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lients\4000 - East Kentucky Power\0021 - 2021 Rate Case\Pleadings\Case No. 2021-00103 - EKPC\Excel Spreadsheets to file\"/>
    </mc:Choice>
  </mc:AlternateContent>
  <xr:revisionPtr revIDLastSave="0" documentId="8_{2177772A-EAB7-45C5-85CC-AB05AA9EA9DD}" xr6:coauthVersionLast="45" xr6:coauthVersionMax="45" xr10:uidLastSave="{00000000-0000-0000-0000-000000000000}"/>
  <bookViews>
    <workbookView xWindow="-98" yWindow="-98" windowWidth="18841" windowHeight="13875" xr2:uid="{00000000-000D-0000-FFFF-FFFF00000000}"/>
  </bookViews>
  <sheets>
    <sheet name="Summary" sheetId="7" r:id="rId1"/>
    <sheet name="Plant" sheetId="1" r:id="rId2"/>
    <sheet name="AccDepr &amp; Depr Exp" sheetId="2" r:id="rId3"/>
    <sheet name="RB - Allowances &amp; Limestone" sheetId="3" r:id="rId4"/>
    <sheet name="Property Tax &amp; Ins" sheetId="4" r:id="rId5"/>
    <sheet name="Operating Exp" sheetId="6" r:id="rId6"/>
    <sheet name="Interest &amp; Principal"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 l="1"/>
  <c r="D36" i="7" l="1"/>
  <c r="D40" i="7"/>
  <c r="D39" i="7"/>
  <c r="G113" i="5" l="1"/>
  <c r="I112" i="5"/>
  <c r="G112" i="5"/>
  <c r="I111" i="5"/>
  <c r="G111" i="5"/>
  <c r="I110" i="5"/>
  <c r="G110" i="5"/>
  <c r="I109" i="5"/>
  <c r="G109" i="5"/>
  <c r="I108" i="5"/>
  <c r="G108" i="5"/>
  <c r="I66" i="5"/>
  <c r="G66" i="5"/>
  <c r="I65" i="5"/>
  <c r="G65" i="5"/>
  <c r="I63" i="5"/>
  <c r="G63" i="5"/>
  <c r="I60" i="5"/>
  <c r="G60" i="5"/>
  <c r="I59" i="5"/>
  <c r="G59" i="5"/>
  <c r="I43" i="5"/>
  <c r="G43" i="5"/>
  <c r="I42" i="5" l="1"/>
  <c r="G42" i="5"/>
  <c r="J115" i="5" l="1"/>
  <c r="I115" i="5"/>
  <c r="H113" i="5"/>
  <c r="H112" i="5"/>
  <c r="E111" i="5"/>
  <c r="H111" i="5" s="1"/>
  <c r="H110" i="5"/>
  <c r="H109" i="5"/>
  <c r="E108" i="5"/>
  <c r="E115" i="5" s="1"/>
  <c r="E66" i="5"/>
  <c r="E65" i="5"/>
  <c r="E63" i="5"/>
  <c r="E61" i="5"/>
  <c r="E54" i="5"/>
  <c r="J68" i="5"/>
  <c r="J45" i="5"/>
  <c r="J34" i="5"/>
  <c r="J118" i="5" s="1"/>
  <c r="K115" i="5" l="1"/>
  <c r="N115" i="5" s="1"/>
  <c r="D64" i="7" l="1"/>
  <c r="G30" i="6" l="1"/>
  <c r="E30" i="6"/>
  <c r="D30" i="6"/>
  <c r="G28" i="6"/>
  <c r="E28" i="6"/>
  <c r="D28" i="6"/>
  <c r="G26" i="6"/>
  <c r="E26" i="6"/>
  <c r="D26" i="6"/>
  <c r="G24" i="6"/>
  <c r="F24" i="6"/>
  <c r="E24" i="6"/>
  <c r="D24" i="6"/>
  <c r="G22" i="6"/>
  <c r="E22" i="6"/>
  <c r="D22" i="6"/>
  <c r="G20" i="6"/>
  <c r="F20" i="6"/>
  <c r="E20" i="6"/>
  <c r="D20" i="6"/>
  <c r="G18" i="6"/>
  <c r="E18" i="6"/>
  <c r="D18" i="6"/>
  <c r="G16" i="6"/>
  <c r="E16" i="6"/>
  <c r="D16" i="6"/>
  <c r="G14" i="6"/>
  <c r="F14" i="6"/>
  <c r="E14" i="6"/>
  <c r="D14" i="6"/>
  <c r="G12" i="6"/>
  <c r="E12" i="6"/>
  <c r="D12" i="6"/>
  <c r="G10" i="6"/>
  <c r="F10" i="6"/>
  <c r="E10" i="6"/>
  <c r="D10" i="6"/>
  <c r="G8" i="6"/>
  <c r="F8" i="6"/>
  <c r="E8" i="6"/>
  <c r="D8" i="6"/>
  <c r="I26" i="4"/>
  <c r="C39" i="4" s="1"/>
  <c r="H26" i="4"/>
  <c r="C31" i="4" s="1"/>
  <c r="D29" i="7" l="1"/>
  <c r="V16" i="2" l="1"/>
  <c r="V18" i="2" l="1"/>
  <c r="V20" i="2" l="1"/>
  <c r="V22" i="2" l="1"/>
  <c r="V24" i="2" l="1"/>
  <c r="V26" i="2" l="1"/>
  <c r="V28" i="2" l="1"/>
  <c r="V30" i="2" l="1"/>
  <c r="V32" i="2" l="1"/>
  <c r="Q32" i="2" s="1"/>
  <c r="Q30" i="2"/>
  <c r="Q28" i="2"/>
  <c r="Q26" i="2"/>
  <c r="Q24" i="2"/>
  <c r="Q22" i="2"/>
  <c r="Q20" i="2"/>
  <c r="Q18" i="2"/>
  <c r="Q16" i="2"/>
  <c r="Q14" i="2"/>
  <c r="Q12" i="2"/>
  <c r="Q10" i="2"/>
  <c r="V34" i="2"/>
  <c r="D108" i="7" s="1"/>
  <c r="T34" i="2"/>
  <c r="D104" i="7" s="1"/>
  <c r="R34" i="2"/>
  <c r="D100" i="7" s="1"/>
  <c r="N63" i="1"/>
  <c r="N61" i="1"/>
  <c r="N59" i="1"/>
  <c r="N57" i="1"/>
  <c r="N55" i="1"/>
  <c r="N53" i="1"/>
  <c r="N51" i="1"/>
  <c r="N49" i="1"/>
  <c r="N47" i="1"/>
  <c r="N45" i="1"/>
  <c r="M65" i="1"/>
  <c r="L65" i="1"/>
  <c r="K65" i="1"/>
  <c r="J65" i="1"/>
  <c r="I65" i="1"/>
  <c r="H65" i="1"/>
  <c r="G65" i="1"/>
  <c r="F65" i="1"/>
  <c r="D11" i="7" s="1"/>
  <c r="E65" i="1"/>
  <c r="D9" i="7" s="1"/>
  <c r="H60" i="2"/>
  <c r="F60" i="2"/>
  <c r="E60" i="2"/>
  <c r="G58" i="2"/>
  <c r="G56" i="2"/>
  <c r="G54" i="2"/>
  <c r="G52" i="2"/>
  <c r="G50" i="2"/>
  <c r="G48" i="2"/>
  <c r="G46" i="2"/>
  <c r="G44" i="2"/>
  <c r="G42" i="2"/>
  <c r="G40" i="2"/>
  <c r="D60" i="2"/>
  <c r="Q34" i="2" l="1"/>
  <c r="N43" i="1"/>
  <c r="G38" i="2"/>
  <c r="N41" i="1"/>
  <c r="N32" i="2"/>
  <c r="N39" i="1"/>
  <c r="N37" i="1"/>
  <c r="N35" i="1"/>
  <c r="N33" i="1"/>
  <c r="N31" i="1"/>
  <c r="N29" i="1"/>
  <c r="N27" i="1"/>
  <c r="N25" i="1"/>
  <c r="N23" i="1"/>
  <c r="N21" i="1"/>
  <c r="N19" i="1"/>
  <c r="N17" i="1"/>
  <c r="N15" i="1"/>
  <c r="N13" i="1"/>
  <c r="N11" i="1"/>
  <c r="N9" i="1"/>
  <c r="D29" i="1"/>
  <c r="D65" i="1" s="1"/>
  <c r="N65" i="1" l="1"/>
  <c r="B1" i="5"/>
  <c r="D51" i="7" l="1"/>
  <c r="D48" i="7"/>
  <c r="A2" i="7"/>
  <c r="A3" i="7" s="1"/>
  <c r="A4" i="7" s="1"/>
  <c r="A5" i="7" s="1"/>
  <c r="A6" i="7" s="1"/>
  <c r="A7" i="7" l="1"/>
  <c r="A8" i="7" s="1"/>
  <c r="A9" i="7" l="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E32" i="6"/>
  <c r="D76" i="7" s="1"/>
  <c r="C32" i="6"/>
  <c r="D72" i="7" s="1"/>
  <c r="I30" i="6"/>
  <c r="I28" i="6"/>
  <c r="I26" i="6"/>
  <c r="I24" i="6"/>
  <c r="I22" i="6"/>
  <c r="I20" i="6"/>
  <c r="I18" i="6"/>
  <c r="I16" i="6"/>
  <c r="B1" i="6"/>
  <c r="A2" i="6"/>
  <c r="A3" i="6" s="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38" i="7" l="1"/>
  <c r="I14" i="6"/>
  <c r="F32" i="6"/>
  <c r="D77" i="7" s="1"/>
  <c r="E78" i="7" s="1"/>
  <c r="G32" i="6"/>
  <c r="D80" i="7" s="1"/>
  <c r="I12" i="6"/>
  <c r="D32" i="6"/>
  <c r="D74" i="7" s="1"/>
  <c r="I10" i="6"/>
  <c r="I8" i="6"/>
  <c r="A39" i="7" l="1"/>
  <c r="A40" i="7" s="1"/>
  <c r="A41" i="7" s="1"/>
  <c r="A42" i="7" s="1"/>
  <c r="A43" i="7" s="1"/>
  <c r="G115" i="5"/>
  <c r="L115" i="5" s="1"/>
  <c r="H108" i="5"/>
  <c r="H115" i="5" s="1"/>
  <c r="H103" i="5"/>
  <c r="H102" i="5"/>
  <c r="H101" i="5"/>
  <c r="H100" i="5"/>
  <c r="H99" i="5"/>
  <c r="H98" i="5"/>
  <c r="H97" i="5"/>
  <c r="H96" i="5"/>
  <c r="H95" i="5"/>
  <c r="I105" i="5"/>
  <c r="G105" i="5"/>
  <c r="E105" i="5"/>
  <c r="K105" i="5" s="1"/>
  <c r="I92" i="5"/>
  <c r="G92" i="5"/>
  <c r="E92" i="5"/>
  <c r="K92" i="5" s="1"/>
  <c r="H88" i="5"/>
  <c r="H90" i="5"/>
  <c r="H89" i="5"/>
  <c r="H87" i="5"/>
  <c r="H86" i="5"/>
  <c r="H85" i="5"/>
  <c r="H84" i="5"/>
  <c r="H83" i="5"/>
  <c r="H82" i="5"/>
  <c r="H81" i="5"/>
  <c r="H80" i="5"/>
  <c r="H79" i="5"/>
  <c r="H78" i="5"/>
  <c r="H77" i="5"/>
  <c r="H76" i="5"/>
  <c r="H75" i="5"/>
  <c r="H74" i="5"/>
  <c r="H73" i="5"/>
  <c r="H72" i="5"/>
  <c r="H71" i="5"/>
  <c r="F116" i="5" l="1"/>
  <c r="M115" i="5"/>
  <c r="H92" i="5"/>
  <c r="F93" i="5" s="1"/>
  <c r="A44" i="7"/>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N105" i="5"/>
  <c r="H105" i="5"/>
  <c r="F106" i="5" s="1"/>
  <c r="L105" i="5"/>
  <c r="L92" i="5"/>
  <c r="N92" i="5"/>
  <c r="A99" i="7" l="1"/>
  <c r="A100" i="7" s="1"/>
  <c r="A101" i="7" s="1"/>
  <c r="A102" i="7" s="1"/>
  <c r="A103" i="7" s="1"/>
  <c r="M105" i="5"/>
  <c r="M92" i="5"/>
  <c r="A104" i="7" l="1"/>
  <c r="A105" i="7" s="1"/>
  <c r="A106" i="7" s="1"/>
  <c r="A107" i="7" s="1"/>
  <c r="H60" i="5"/>
  <c r="H59" i="5"/>
  <c r="H58" i="5"/>
  <c r="H57" i="5"/>
  <c r="H56" i="5"/>
  <c r="H55" i="5"/>
  <c r="H65" i="5"/>
  <c r="H61" i="5"/>
  <c r="H66" i="5"/>
  <c r="H64" i="5"/>
  <c r="H63" i="5"/>
  <c r="H62" i="5"/>
  <c r="H53" i="5"/>
  <c r="H52" i="5"/>
  <c r="H51" i="5"/>
  <c r="H50" i="5"/>
  <c r="H49" i="5"/>
  <c r="H48" i="5"/>
  <c r="H43" i="5"/>
  <c r="H42" i="5"/>
  <c r="H41" i="5"/>
  <c r="H40" i="5"/>
  <c r="H39" i="5"/>
  <c r="H38" i="5"/>
  <c r="H37" i="5"/>
  <c r="I45" i="5"/>
  <c r="G45" i="5"/>
  <c r="E45" i="5"/>
  <c r="K45" i="5" s="1"/>
  <c r="H32" i="5"/>
  <c r="H31" i="5"/>
  <c r="H30" i="5"/>
  <c r="H29" i="5"/>
  <c r="H28" i="5"/>
  <c r="H27" i="5"/>
  <c r="I34" i="5"/>
  <c r="G34" i="5"/>
  <c r="E34" i="5"/>
  <c r="A108" i="7" l="1"/>
  <c r="A109" i="7" s="1"/>
  <c r="A110" i="7" s="1"/>
  <c r="A111" i="7" s="1"/>
  <c r="N45" i="5"/>
  <c r="N34" i="5"/>
  <c r="I68" i="5"/>
  <c r="G68" i="5"/>
  <c r="E68" i="5"/>
  <c r="K68" i="5" s="1"/>
  <c r="H54" i="5"/>
  <c r="H68" i="5" s="1"/>
  <c r="H34" i="5"/>
  <c r="F35" i="5" s="1"/>
  <c r="H45" i="5"/>
  <c r="F46" i="5" s="1"/>
  <c r="L45" i="5"/>
  <c r="A112" i="7" l="1"/>
  <c r="A113" i="7" s="1"/>
  <c r="N68" i="5"/>
  <c r="L34" i="5"/>
  <c r="F69" i="5"/>
  <c r="L68" i="5"/>
  <c r="M34" i="5"/>
  <c r="M68" i="5"/>
  <c r="M45" i="5"/>
  <c r="A114" i="7" l="1"/>
  <c r="A115" i="7" s="1"/>
  <c r="A116" i="7" s="1"/>
  <c r="A117" i="7" s="1"/>
  <c r="A118" i="7" s="1"/>
  <c r="I24" i="5"/>
  <c r="I118" i="5" s="1"/>
  <c r="G24" i="5"/>
  <c r="G118" i="5" s="1"/>
  <c r="E24" i="5"/>
  <c r="E118" i="5" s="1"/>
  <c r="H22" i="5"/>
  <c r="H21" i="5"/>
  <c r="H20" i="5"/>
  <c r="H19" i="5"/>
  <c r="H18" i="5"/>
  <c r="H17" i="5"/>
  <c r="H16" i="5"/>
  <c r="H15" i="5"/>
  <c r="H14" i="5"/>
  <c r="H13" i="5"/>
  <c r="H12" i="5"/>
  <c r="H11" i="5"/>
  <c r="H10" i="5"/>
  <c r="H9" i="5"/>
  <c r="K24" i="5" l="1"/>
  <c r="N24" i="5" s="1"/>
  <c r="N118" i="5" s="1"/>
  <c r="H24" i="5"/>
  <c r="H118" i="5" s="1"/>
  <c r="D57" i="7" l="1"/>
  <c r="L24" i="5"/>
  <c r="L118" i="5" s="1"/>
  <c r="M24" i="5"/>
  <c r="M118" i="5" s="1"/>
  <c r="F25" i="5"/>
  <c r="A2" i="5"/>
  <c r="A3" i="5" s="1"/>
  <c r="B2" i="4"/>
  <c r="D117" i="7" l="1"/>
  <c r="A4" i="5"/>
  <c r="A5" i="5" s="1"/>
  <c r="A6" i="5" s="1"/>
  <c r="A7" i="5" s="1"/>
  <c r="A8" i="5" s="1"/>
  <c r="A9" i="5" s="1"/>
  <c r="A10" i="5" s="1"/>
  <c r="A11" i="5" s="1"/>
  <c r="A12" i="5" s="1"/>
  <c r="A13" i="5" s="1"/>
  <c r="A14" i="5" s="1"/>
  <c r="A15" i="5" s="1"/>
  <c r="A16" i="5" s="1"/>
  <c r="A17" i="5" s="1"/>
  <c r="A18" i="5" s="1"/>
  <c r="A19" i="5" s="1"/>
  <c r="D39" i="4"/>
  <c r="D31" i="4"/>
  <c r="A2" i="4"/>
  <c r="A3" i="4" s="1"/>
  <c r="A4" i="4" s="1"/>
  <c r="A5" i="4" s="1"/>
  <c r="A6" i="4" s="1"/>
  <c r="A7" i="4" s="1"/>
  <c r="A8" i="4" s="1"/>
  <c r="A9" i="4" s="1"/>
  <c r="A10" i="4" s="1"/>
  <c r="A11" i="4" s="1"/>
  <c r="A12" i="4" s="1"/>
  <c r="A13" i="4" s="1"/>
  <c r="A20" i="5" l="1"/>
  <c r="A21" i="5" s="1"/>
  <c r="A22" i="5" s="1"/>
  <c r="A23" i="5" s="1"/>
  <c r="A24" i="5" s="1"/>
  <c r="A25" i="5" s="1"/>
  <c r="A26" i="5" s="1"/>
  <c r="A27" i="5" s="1"/>
  <c r="A28" i="5" s="1"/>
  <c r="A29" i="5" s="1"/>
  <c r="A14" i="4"/>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30" i="5" l="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E43" i="3"/>
  <c r="E52" i="7" s="1"/>
  <c r="D43" i="3"/>
  <c r="E49" i="7" s="1"/>
  <c r="C43" i="3"/>
  <c r="F38" i="3" l="1"/>
  <c r="F36" i="3"/>
  <c r="F34" i="3"/>
  <c r="F28" i="3"/>
  <c r="F24" i="3"/>
  <c r="F22" i="3"/>
  <c r="F20" i="3"/>
  <c r="F40" i="3"/>
  <c r="F32" i="3"/>
  <c r="F30" i="3"/>
  <c r="F26" i="3"/>
  <c r="F18" i="3"/>
  <c r="F16" i="3"/>
  <c r="A2" i="3"/>
  <c r="A3" i="3" s="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F43" i="3" l="1"/>
  <c r="M30" i="2"/>
  <c r="M28" i="2"/>
  <c r="M26" i="2"/>
  <c r="M24" i="2"/>
  <c r="M22" i="2"/>
  <c r="M20" i="2" l="1"/>
  <c r="M18" i="2" l="1"/>
  <c r="M16" i="2" l="1"/>
  <c r="M14" i="2" l="1"/>
  <c r="M12" i="2" l="1"/>
  <c r="L30" i="2" l="1"/>
  <c r="L28" i="2"/>
  <c r="L26" i="2"/>
  <c r="L24" i="2"/>
  <c r="L22" i="2"/>
  <c r="L20" i="2"/>
  <c r="L18" i="2"/>
  <c r="L16" i="2"/>
  <c r="L14" i="2"/>
  <c r="L12" i="2"/>
  <c r="M10" i="2"/>
  <c r="L10" i="2" s="1"/>
  <c r="M32" i="2"/>
  <c r="L32" i="2" l="1"/>
  <c r="N34" i="2" l="1"/>
  <c r="D97" i="7" s="1"/>
  <c r="M34" i="2" l="1"/>
  <c r="D95" i="7" s="1"/>
  <c r="L34" i="2"/>
  <c r="D93" i="7" s="1"/>
  <c r="K34" i="2"/>
  <c r="G36" i="2" l="1"/>
  <c r="G34" i="2"/>
  <c r="G32" i="2"/>
  <c r="G30" i="2"/>
  <c r="G28" i="2"/>
  <c r="G26" i="2"/>
  <c r="G24" i="2"/>
  <c r="G22" i="2"/>
  <c r="G20" i="2"/>
  <c r="G18" i="2"/>
  <c r="G16" i="2"/>
  <c r="G14" i="2"/>
  <c r="G12" i="2"/>
  <c r="G10" i="2"/>
  <c r="B2" i="2"/>
  <c r="B1" i="2"/>
  <c r="B1" i="3" s="1"/>
  <c r="B1" i="4" s="1"/>
  <c r="A2" i="2"/>
  <c r="A3" i="2" s="1"/>
  <c r="A4" i="2" s="1"/>
  <c r="A5" i="2" s="1"/>
  <c r="A6" i="2" s="1"/>
  <c r="G60" i="2" l="1"/>
  <c r="D31" i="7"/>
  <c r="D23" i="4"/>
  <c r="D27" i="7"/>
  <c r="C23" i="4"/>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E23" i="4" l="1"/>
  <c r="D21" i="7" l="1"/>
  <c r="C18" i="4"/>
  <c r="E18" i="4" s="1"/>
  <c r="D13" i="7"/>
  <c r="C14" i="4"/>
  <c r="E14" i="4" s="1"/>
  <c r="D23" i="7"/>
  <c r="D19" i="4"/>
  <c r="D19" i="7"/>
  <c r="C17" i="4"/>
  <c r="E17" i="4" s="1"/>
  <c r="D17" i="7"/>
  <c r="C16" i="4"/>
  <c r="E16" i="4" s="1"/>
  <c r="D15" i="7"/>
  <c r="C15" i="4"/>
  <c r="E19" i="4" l="1"/>
  <c r="D21" i="4"/>
  <c r="D25" i="4" s="1"/>
  <c r="E15" i="4"/>
  <c r="E21" i="4" s="1"/>
  <c r="E25" i="4" s="1"/>
  <c r="D27" i="4" s="1"/>
  <c r="D32" i="4" s="1"/>
  <c r="C21" i="4"/>
  <c r="C25" i="4" s="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l="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C27" i="4"/>
  <c r="C32" i="4" s="1"/>
  <c r="C34" i="4" s="1"/>
  <c r="D83" i="7" s="1"/>
  <c r="D40" i="4"/>
  <c r="D43" i="4" s="1"/>
  <c r="D89" i="7" s="1"/>
  <c r="D35" i="4"/>
  <c r="D88" i="7" s="1"/>
  <c r="C40" i="4" l="1"/>
  <c r="C42" i="4" s="1"/>
  <c r="D84" i="7" s="1"/>
  <c r="E85" i="7" s="1"/>
  <c r="E90" i="7"/>
</calcChain>
</file>

<file path=xl/sharedStrings.xml><?xml version="1.0" encoding="utf-8"?>
<sst xmlns="http://schemas.openxmlformats.org/spreadsheetml/2006/main" count="503" uniqueCount="346">
  <si>
    <t>Adjustment by RUS Account Number</t>
  </si>
  <si>
    <t>Project</t>
  </si>
  <si>
    <t>Number</t>
  </si>
  <si>
    <t>Description</t>
  </si>
  <si>
    <t>Balance as of</t>
  </si>
  <si>
    <t>Totals</t>
  </si>
  <si>
    <t>RUS Account Numbers</t>
  </si>
  <si>
    <t>Gilbert</t>
  </si>
  <si>
    <t>Spurlock 1 - Precipitator</t>
  </si>
  <si>
    <t>Spurlock 1 - SCR</t>
  </si>
  <si>
    <t>Spurlock 2 - SCR</t>
  </si>
  <si>
    <t>Spurlock 1 - Low Nox Burners</t>
  </si>
  <si>
    <t>Spurlock 2 - Scrubber</t>
  </si>
  <si>
    <t>Spurlock 1 - Scrubber</t>
  </si>
  <si>
    <t>Spurlock 4</t>
  </si>
  <si>
    <t>Spurlock &amp; Cooper - CEMs</t>
  </si>
  <si>
    <t>Cooper 2 - AQCS</t>
  </si>
  <si>
    <t>Spurlock - Landfill Area C</t>
  </si>
  <si>
    <t>Spurlock 2 - Ductwork</t>
  </si>
  <si>
    <t>Cooper 1 - Ductwork</t>
  </si>
  <si>
    <t>Smith Special Waste Landfill</t>
  </si>
  <si>
    <t>Plant in Service and ARO</t>
  </si>
  <si>
    <t xml:space="preserve">Note:  </t>
  </si>
  <si>
    <t>Dale Ash Pond Reclamation ARO</t>
  </si>
  <si>
    <t>Accumulated Depreciation</t>
  </si>
  <si>
    <t>Steam</t>
  </si>
  <si>
    <t>Production</t>
  </si>
  <si>
    <t>Transmission</t>
  </si>
  <si>
    <t>Plant</t>
  </si>
  <si>
    <t xml:space="preserve">Notes:  </t>
  </si>
  <si>
    <t>Steam Production Accumulated Depreciation corresponds with Plant Account Numbers 310, 311, 312, 315, and 316.</t>
  </si>
  <si>
    <t>Transmission Plant Accumulated Depreciation corresponds with Plant Account Number 353.</t>
  </si>
  <si>
    <t>Month</t>
  </si>
  <si>
    <t>February</t>
  </si>
  <si>
    <t>March</t>
  </si>
  <si>
    <t>April</t>
  </si>
  <si>
    <t>May</t>
  </si>
  <si>
    <t>June</t>
  </si>
  <si>
    <t>July</t>
  </si>
  <si>
    <t>August</t>
  </si>
  <si>
    <t>September</t>
  </si>
  <si>
    <t>October</t>
  </si>
  <si>
    <t>November</t>
  </si>
  <si>
    <t>Annual Depreciation &amp; Amortization Expense</t>
  </si>
  <si>
    <t>Total</t>
  </si>
  <si>
    <t>Monthly Deprec.</t>
  </si>
  <si>
    <t>&amp; Amort. Exp.</t>
  </si>
  <si>
    <t>Amortization</t>
  </si>
  <si>
    <t>Monthly Expense Breakdown</t>
  </si>
  <si>
    <t>Rate Base Considerations - Emission Allowances and Limestone Inventory</t>
  </si>
  <si>
    <t>End of Month</t>
  </si>
  <si>
    <t>Fuel Stock</t>
  </si>
  <si>
    <t>Balance</t>
  </si>
  <si>
    <t>Emission</t>
  </si>
  <si>
    <t>Allowance</t>
  </si>
  <si>
    <t>Inventory</t>
  </si>
  <si>
    <t>Limestone</t>
  </si>
  <si>
    <t>Net Fuel Stock</t>
  </si>
  <si>
    <t>13-Month Aver.</t>
  </si>
  <si>
    <t>Property Taxes and Property Insurance</t>
  </si>
  <si>
    <t>Because these expenses are allocated to the appropriate operating expense accounts, the total expense</t>
  </si>
  <si>
    <t>needs a similar allocation.  Trying to track to the specific accounts would be difficult.  Allocation will be based</t>
  </si>
  <si>
    <t>on the net book value of the corresponding plant in service.</t>
  </si>
  <si>
    <t>Plant Account</t>
  </si>
  <si>
    <t>Plant in Service:</t>
  </si>
  <si>
    <t>Less Accumulated Depreciation</t>
  </si>
  <si>
    <t>Net Book Value of Plant in Service</t>
  </si>
  <si>
    <t>Percentage of Total Net Book Value</t>
  </si>
  <si>
    <t>Allocation of Property Taxes:</t>
  </si>
  <si>
    <t>Test Year Surcharge Property Taxes</t>
  </si>
  <si>
    <t>Percentages</t>
  </si>
  <si>
    <t>Allocation to Account 502 - Steam</t>
  </si>
  <si>
    <t>Allocation to Account 562 - Transmission</t>
  </si>
  <si>
    <t>Allocation of Property Insurance:</t>
  </si>
  <si>
    <t>Test Year Surcharge Property Insurance</t>
  </si>
  <si>
    <t>Adjustment to Rate Base Components</t>
  </si>
  <si>
    <t>Adjustment to Interest Expense and Principal Payments</t>
  </si>
  <si>
    <t>Compliance Project</t>
  </si>
  <si>
    <t>Loan Source</t>
  </si>
  <si>
    <t>Net Book Value</t>
  </si>
  <si>
    <t>Note Number</t>
  </si>
  <si>
    <t>Interest Rate</t>
  </si>
  <si>
    <t>Interest Expense</t>
  </si>
  <si>
    <t>Normalized</t>
  </si>
  <si>
    <t>Payment</t>
  </si>
  <si>
    <t>Outstanding Bal.</t>
  </si>
  <si>
    <t>Total Note Information</t>
  </si>
  <si>
    <t>1 - Gilbert</t>
  </si>
  <si>
    <t>Z-8</t>
  </si>
  <si>
    <t>H0810</t>
  </si>
  <si>
    <t>H0815</t>
  </si>
  <si>
    <t>H0820</t>
  </si>
  <si>
    <t>H0825</t>
  </si>
  <si>
    <t>H0830</t>
  </si>
  <si>
    <t>H0835</t>
  </si>
  <si>
    <t>H0840</t>
  </si>
  <si>
    <t>H0845</t>
  </si>
  <si>
    <t>H0855</t>
  </si>
  <si>
    <t>H0860</t>
  </si>
  <si>
    <t>H0870</t>
  </si>
  <si>
    <t>H0915</t>
  </si>
  <si>
    <t>H0920</t>
  </si>
  <si>
    <t>H1025</t>
  </si>
  <si>
    <t>Totals Z-8</t>
  </si>
  <si>
    <t>Average Cost of Debt</t>
  </si>
  <si>
    <t>%age NBV to</t>
  </si>
  <si>
    <t>Interest &amp; Principal Associated with Compliance Project</t>
  </si>
  <si>
    <t>Y-8</t>
  </si>
  <si>
    <t>2 - Spurlock 1 - Precipitator</t>
  </si>
  <si>
    <t>3 - Spurlock 1 - SCR</t>
  </si>
  <si>
    <t>4 - Spurlock 2 - SCR</t>
  </si>
  <si>
    <t>H0720</t>
  </si>
  <si>
    <t>H0725</t>
  </si>
  <si>
    <t>H0730</t>
  </si>
  <si>
    <t>H0885</t>
  </si>
  <si>
    <t>H0960</t>
  </si>
  <si>
    <t>H1005</t>
  </si>
  <si>
    <t>Totals Y-8</t>
  </si>
  <si>
    <t>6 - Spurlock 1 - Low Nox Burners</t>
  </si>
  <si>
    <t>9 - Spurlock 4 - Ash Silo</t>
  </si>
  <si>
    <t>10 - Spurlock &amp; Cooper CEM Equip</t>
  </si>
  <si>
    <t>12 - Spurlock Landfill Expansion</t>
  </si>
  <si>
    <t>AH-8</t>
  </si>
  <si>
    <t>H1200</t>
  </si>
  <si>
    <t>H1280</t>
  </si>
  <si>
    <t>H1285</t>
  </si>
  <si>
    <t>H1305</t>
  </si>
  <si>
    <t>H1310</t>
  </si>
  <si>
    <t>H1325</t>
  </si>
  <si>
    <t>H1345</t>
  </si>
  <si>
    <t>Totals AH-8</t>
  </si>
  <si>
    <t>7 - Spurlock 2 - Scrubber</t>
  </si>
  <si>
    <t>AG-8</t>
  </si>
  <si>
    <t>H1035</t>
  </si>
  <si>
    <t>H1040</t>
  </si>
  <si>
    <t>H1045</t>
  </si>
  <si>
    <t>H1050</t>
  </si>
  <si>
    <t>H1055</t>
  </si>
  <si>
    <t>H1060</t>
  </si>
  <si>
    <t>H1070</t>
  </si>
  <si>
    <t>H1115</t>
  </si>
  <si>
    <t>H1130</t>
  </si>
  <si>
    <t>H1170</t>
  </si>
  <si>
    <t>H1190</t>
  </si>
  <si>
    <t>H1220</t>
  </si>
  <si>
    <t>H1320</t>
  </si>
  <si>
    <t>Totals AG-8</t>
  </si>
  <si>
    <t>8 - Spurlock 1 - Scrubber</t>
  </si>
  <si>
    <t>H1075</t>
  </si>
  <si>
    <t>H1085</t>
  </si>
  <si>
    <t>H1100</t>
  </si>
  <si>
    <t>H1095</t>
  </si>
  <si>
    <t>H1105</t>
  </si>
  <si>
    <t>H1110</t>
  </si>
  <si>
    <t>(outstanding</t>
  </si>
  <si>
    <t>balance</t>
  </si>
  <si>
    <t>associated</t>
  </si>
  <si>
    <t>with surcharge)</t>
  </si>
  <si>
    <t>9 - Spurlock 4 - Environmental</t>
  </si>
  <si>
    <t>AD-8</t>
  </si>
  <si>
    <t>H0925</t>
  </si>
  <si>
    <t>H0930</t>
  </si>
  <si>
    <t>H0935</t>
  </si>
  <si>
    <t>H0940</t>
  </si>
  <si>
    <t>H0945</t>
  </si>
  <si>
    <t>H0955</t>
  </si>
  <si>
    <t>H0965</t>
  </si>
  <si>
    <t>H0975</t>
  </si>
  <si>
    <t>H0980</t>
  </si>
  <si>
    <t>H0985</t>
  </si>
  <si>
    <t>H0990</t>
  </si>
  <si>
    <t>H0995</t>
  </si>
  <si>
    <t>H1000</t>
  </si>
  <si>
    <t>H1010</t>
  </si>
  <si>
    <t>H1015</t>
  </si>
  <si>
    <t>H1020</t>
  </si>
  <si>
    <t>H1030</t>
  </si>
  <si>
    <t>H1215</t>
  </si>
  <si>
    <t>H1275</t>
  </si>
  <si>
    <t>Totals AD-8</t>
  </si>
  <si>
    <t>H1065</t>
  </si>
  <si>
    <t>11 - Cooper - Air Quality Control</t>
  </si>
  <si>
    <t>AL-8</t>
  </si>
  <si>
    <t>(proportional</t>
  </si>
  <si>
    <t>allocation)</t>
  </si>
  <si>
    <t>H1210</t>
  </si>
  <si>
    <t>H1245</t>
  </si>
  <si>
    <t>H1250</t>
  </si>
  <si>
    <t>H1255</t>
  </si>
  <si>
    <t>H1265</t>
  </si>
  <si>
    <t>H1270</t>
  </si>
  <si>
    <t>H1290</t>
  </si>
  <si>
    <t>H1315</t>
  </si>
  <si>
    <t>H1355</t>
  </si>
  <si>
    <t>Totals AL-8</t>
  </si>
  <si>
    <t>14 - Cooper 1 Tie to Cooper AQCS</t>
  </si>
  <si>
    <t>15 - Smith Special Waste Landfill</t>
  </si>
  <si>
    <t>AN-8</t>
  </si>
  <si>
    <t>Totals, All Categories</t>
  </si>
  <si>
    <t>Adjustment to Certain Operating Expenses</t>
  </si>
  <si>
    <t>Account 509</t>
  </si>
  <si>
    <t>Account 501.010</t>
  </si>
  <si>
    <t>Account 506.001</t>
  </si>
  <si>
    <t>Account 506.002</t>
  </si>
  <si>
    <t>Account 512.000</t>
  </si>
  <si>
    <t>Operating &amp; Maintenance Expenses - Actual Monthly Expense</t>
  </si>
  <si>
    <t>Check Total</t>
  </si>
  <si>
    <t>O&amp;M Expenses</t>
  </si>
  <si>
    <t>Total Account</t>
  </si>
  <si>
    <t>Summary of Adjustment to Test Year for Current Environmental Surcharge Mechanism</t>
  </si>
  <si>
    <t>Utility Plant Accounts</t>
  </si>
  <si>
    <t xml:space="preserve">  Account No. 310</t>
  </si>
  <si>
    <t xml:space="preserve">  Account No. 311</t>
  </si>
  <si>
    <t xml:space="preserve">  Account No. 312</t>
  </si>
  <si>
    <t xml:space="preserve">  Account No. 315</t>
  </si>
  <si>
    <t xml:space="preserve">  Account No. 316</t>
  </si>
  <si>
    <t xml:space="preserve">  Account No. 353</t>
  </si>
  <si>
    <t>All balances associated with the Environmental Surcharge Mechanism have to be removed</t>
  </si>
  <si>
    <t xml:space="preserve">  from the historic test year to accurately reflect the level of operations related to base rates.</t>
  </si>
  <si>
    <t xml:space="preserve">  Steam Production</t>
  </si>
  <si>
    <t xml:space="preserve">  Transmission Plant</t>
  </si>
  <si>
    <t xml:space="preserve">    Dale Ash Pond Reclamation ARO</t>
  </si>
  <si>
    <t xml:space="preserve">      Reclamation costs accumulated and to be</t>
  </si>
  <si>
    <t xml:space="preserve">      amortized and recovered through the surcharge.</t>
  </si>
  <si>
    <t>Accumulated Depreciation &amp; Amortization</t>
  </si>
  <si>
    <t xml:space="preserve">  Steam Production - depreciation</t>
  </si>
  <si>
    <t xml:space="preserve">  Steam Production - amortization</t>
  </si>
  <si>
    <t>Other Balance Sheet Accounts &amp; Rate Base</t>
  </si>
  <si>
    <t xml:space="preserve">  Adjustment to Fuel Stock accounts:</t>
  </si>
  <si>
    <t xml:space="preserve">    Emission Allowances</t>
  </si>
  <si>
    <t xml:space="preserve">      13-month average for Rate Base</t>
  </si>
  <si>
    <t xml:space="preserve">    Limestone Inventory</t>
  </si>
  <si>
    <t>Long-Term Debt - Principal</t>
  </si>
  <si>
    <t xml:space="preserve">  Adjustment to Principal payments associated</t>
  </si>
  <si>
    <t xml:space="preserve">    with Environmental Surcharge investments</t>
  </si>
  <si>
    <t>Revenues</t>
  </si>
  <si>
    <t xml:space="preserve">    from monthly surcharge report, Form 3.0</t>
  </si>
  <si>
    <t xml:space="preserve">  Adjustment to Revenues from Members, </t>
  </si>
  <si>
    <t xml:space="preserve">    accrued surcharge (net Members &amp; Steam)</t>
  </si>
  <si>
    <t xml:space="preserve">  Adjustment to Revenues from Off-System</t>
  </si>
  <si>
    <t xml:space="preserve">    Sales, imputed level of surcharge reflected</t>
  </si>
  <si>
    <t xml:space="preserve">    in total off-system sales revenues</t>
  </si>
  <si>
    <t>Operating Expenses</t>
  </si>
  <si>
    <t>Operating &amp; Maintenance</t>
  </si>
  <si>
    <t xml:space="preserve">  Account No. 509</t>
  </si>
  <si>
    <t xml:space="preserve">  Account No. 501.010</t>
  </si>
  <si>
    <t xml:space="preserve">  Account No. 506.001</t>
  </si>
  <si>
    <t xml:space="preserve">  Account No. 506.002</t>
  </si>
  <si>
    <t xml:space="preserve">  Account No. 512</t>
  </si>
  <si>
    <t xml:space="preserve">  Account No. 502 -</t>
  </si>
  <si>
    <t xml:space="preserve">    Property Taxes</t>
  </si>
  <si>
    <t xml:space="preserve">    Property Insurance</t>
  </si>
  <si>
    <t xml:space="preserve">      Total Account 502</t>
  </si>
  <si>
    <t xml:space="preserve">  Account No. 562 -</t>
  </si>
  <si>
    <t xml:space="preserve">      Total Account 562</t>
  </si>
  <si>
    <t>Depreciation &amp; Amortization</t>
  </si>
  <si>
    <t xml:space="preserve">  Amortization</t>
  </si>
  <si>
    <t>Interest on Long-Term Debt</t>
  </si>
  <si>
    <t xml:space="preserve">    Total Account 506</t>
  </si>
  <si>
    <t>ARO-related Expenses recovered through the Surcharge</t>
  </si>
  <si>
    <t xml:space="preserve">    Recorded in Account No. 403.800</t>
  </si>
  <si>
    <t xml:space="preserve">    Recorded in Account No. 411.100</t>
  </si>
  <si>
    <t xml:space="preserve">      December 31, 2019 balance</t>
  </si>
  <si>
    <t>at 12/31/2019</t>
  </si>
  <si>
    <t>2019 Actual</t>
  </si>
  <si>
    <t>2019 Principal</t>
  </si>
  <si>
    <t>Spurlock Amended Project ARO</t>
  </si>
  <si>
    <t>106</t>
  </si>
  <si>
    <t>107</t>
  </si>
  <si>
    <t>December 2019</t>
  </si>
  <si>
    <t>January 2019</t>
  </si>
  <si>
    <t>182.330</t>
  </si>
  <si>
    <t>CCR / ELG</t>
  </si>
  <si>
    <t>Cooper Landfill Cap ARO</t>
  </si>
  <si>
    <t>Cooper Landfill Phases 1A &amp; 1B</t>
  </si>
  <si>
    <t>Cooper Sediment Pond</t>
  </si>
  <si>
    <t>Cooper Ash Mixer Unloader</t>
  </si>
  <si>
    <t>Cooper Ditch Sediment Trap</t>
  </si>
  <si>
    <t>Spurlock Site Drainage Improve.</t>
  </si>
  <si>
    <t>Spurlock HG (Mercury) Compliance</t>
  </si>
  <si>
    <t>Spurlock Ammonia 2nd Containmt</t>
  </si>
  <si>
    <t>Projects 12, 17, and 23 are recorded as Land, so there is no accumulated depreciation or depreciation expense for these projects.</t>
  </si>
  <si>
    <t>Spurlock Vacuum Ash</t>
  </si>
  <si>
    <t>Spurlock DSI System</t>
  </si>
  <si>
    <t>Spurlock Coal Pile Retention Pond</t>
  </si>
  <si>
    <t>Projects 16 and 26 are Construction Work in Progress and no depreciation had started by the end of the test year.</t>
  </si>
  <si>
    <t>Accumulated</t>
  </si>
  <si>
    <t>ARO Amortization Expense</t>
  </si>
  <si>
    <t>Total Monthly</t>
  </si>
  <si>
    <t>Expense</t>
  </si>
  <si>
    <t>ARO Amortization</t>
  </si>
  <si>
    <t>Monthly</t>
  </si>
  <si>
    <t>Cumulative</t>
  </si>
  <si>
    <t>Project 15 ARO - Dale</t>
  </si>
  <si>
    <t>Project 12 ARO - Spurlock</t>
  </si>
  <si>
    <t>Project 17 ARO - Cooper</t>
  </si>
  <si>
    <t xml:space="preserve">  Account No. 106</t>
  </si>
  <si>
    <t xml:space="preserve">  Account No. 107</t>
  </si>
  <si>
    <t xml:space="preserve">  Account No. 182.330</t>
  </si>
  <si>
    <t xml:space="preserve">    Spurlock Landfill ARO</t>
  </si>
  <si>
    <t xml:space="preserve">    Cooper Landfill ARO</t>
  </si>
  <si>
    <t xml:space="preserve">      Costs to settle landfill AROs to be</t>
  </si>
  <si>
    <t>EKPC was permitted by the Commission to accumulate the Dale Ash Pond Reclamation costs (Project 15) and will be recovering those over a 10-year amortization period.  The amortization expenses were reported during</t>
  </si>
  <si>
    <t xml:space="preserve">EKPC was permitted by the Commission to accumulate costs associated with landfill caps at Spurlock (Project 12 Amended) and Cooper (Project 17) and will be recovering those over a 2-year amortization period. </t>
  </si>
  <si>
    <t>Monthly Property</t>
  </si>
  <si>
    <t>Taxes</t>
  </si>
  <si>
    <t>Insurance</t>
  </si>
  <si>
    <t xml:space="preserve">  Accts 447.143 &amp; 456.043</t>
  </si>
  <si>
    <t xml:space="preserve">  Project 12 - Spurlock Landfill</t>
  </si>
  <si>
    <t xml:space="preserve">  Project 15 - Dale Ash Pond Reclamation</t>
  </si>
  <si>
    <t xml:space="preserve">  Project 17 - Cooper Landfill</t>
  </si>
  <si>
    <t>December 2018</t>
  </si>
  <si>
    <t>17 - Cooper Landfill - Phase 1A&amp;1B</t>
  </si>
  <si>
    <t>21 - Spurlock Drainage Improve.</t>
  </si>
  <si>
    <t>22 - Spurlock HG Compliance</t>
  </si>
  <si>
    <t>23 - Spurlock Anhydrous Ammonia</t>
  </si>
  <si>
    <t>24 - Spurlock Vacuum Truck Ash</t>
  </si>
  <si>
    <t>25 - Spurlock 1&amp;2 Dry Sorbent Inj.</t>
  </si>
  <si>
    <t>Totals AN-8</t>
  </si>
  <si>
    <t>Several of the notes which financed these projects were paid off</t>
  </si>
  <si>
    <t xml:space="preserve">  early utilizing the Cushion of Credit; allocation percentage will be</t>
  </si>
  <si>
    <t xml:space="preserve">  limited to 100%.</t>
  </si>
  <si>
    <t>F1395 FFB 25-3</t>
  </si>
  <si>
    <t>#1 FFB 25-1</t>
  </si>
  <si>
    <t>#5 FFB 25-5</t>
  </si>
  <si>
    <t>#7 FFB 25-7</t>
  </si>
  <si>
    <t>#9 FFB 25-9</t>
  </si>
  <si>
    <t>#10 FFB 25-10</t>
  </si>
  <si>
    <t>Not an adjustment to be made to income statement or balance sheet</t>
  </si>
  <si>
    <t>Note:  The amortization of the ARO-related regulatory assets for Project 12 and 17 started in April 2019.</t>
  </si>
  <si>
    <t xml:space="preserve">  The recording of the amounts in Accounts 403.800 and 411.100 in the records occurred one month</t>
  </si>
  <si>
    <t xml:space="preserve">  after the first recognition in the surcharge calculations.  Thus the totals for Account 403.800 and 411.100</t>
  </si>
  <si>
    <t xml:space="preserve">  differ with the amounts shown in the surcharge calculations by one month's amortization.</t>
  </si>
  <si>
    <t>See Note</t>
  </si>
  <si>
    <t>Accretion Expense</t>
  </si>
  <si>
    <t>Asset Retirement Obligations (ARO) Recovered through the Surcharge</t>
  </si>
  <si>
    <t>in conjunction with the accretion and depreciation expense arising from the ARO.  EKPC is allowed to earn a return in the rate base calculation on the unamortized balance of the Reclamation costs.</t>
  </si>
  <si>
    <t>all of calendar year 2019.  These Reclamation costs will be part of the settlement of the ARO associated with the Dale Ash Ponds as well as associated with regulatory assets EKPC was allowed to establish</t>
  </si>
  <si>
    <t>Amortization began in April 2019.  These costs will be part of the settlement of the ARO associated with the Spurlock and Cooper landfill caps as well as associated with regulatory assets EKPC was allowed to</t>
  </si>
  <si>
    <t>establish in conjunction with the accretion and depreciation expense arising from the ARO.  EKPC did not seek nor was authorized to earn a return on the unamortized balance of these landfill cap costs.</t>
  </si>
  <si>
    <t>Project 15 is being amortized over a 10-year period as directed by the Commission.</t>
  </si>
  <si>
    <t>A schedule of the balances in the Fuel Stock account has been prepared for a 13-month period.  The analysis</t>
  </si>
  <si>
    <t>of the Fuel Stock account breaks out separately the monthly balances for Emission Allowances.  The Limestone</t>
  </si>
  <si>
    <t>Inventory needed to be removed as well from the Fuel Stock account.  The schedule below starts with per book balances</t>
  </si>
  <si>
    <t>and then includes the Emission Allowance Inventory and Limestone Inventory.</t>
  </si>
  <si>
    <t>Workpaper 1.02 Surcharge Adjustment FINAL.xlsx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</si>
</sst>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3" x14ac:knownFonts="1">
    <font>
      <sz val="11"/>
      <color theme="1"/>
      <name val="Arial"/>
      <family val="2"/>
    </font>
    <font>
      <b/>
      <sz val="11"/>
      <color theme="1"/>
      <name val="Arial"/>
      <family val="2"/>
    </font>
    <font>
      <u/>
      <sz val="11"/>
      <color theme="1"/>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double">
        <color indexed="64"/>
      </bottom>
      <diagonal/>
    </border>
  </borders>
  <cellStyleXfs count="1">
    <xf numFmtId="0" fontId="0" fillId="0" borderId="0"/>
  </cellStyleXfs>
  <cellXfs count="36">
    <xf numFmtId="0" fontId="0" fillId="0" borderId="0" xfId="0"/>
    <xf numFmtId="38" fontId="0" fillId="0" borderId="0" xfId="0" applyNumberFormat="1"/>
    <xf numFmtId="0" fontId="1" fillId="0" borderId="0" xfId="0" applyFont="1"/>
    <xf numFmtId="0" fontId="0" fillId="0" borderId="0" xfId="0" applyAlignment="1">
      <alignment horizontal="center"/>
    </xf>
    <xf numFmtId="0" fontId="0" fillId="0" borderId="4" xfId="0" applyBorder="1" applyAlignment="1">
      <alignment horizontal="center"/>
    </xf>
    <xf numFmtId="14" fontId="0" fillId="0" borderId="4" xfId="0" applyNumberFormat="1" applyBorder="1" applyAlignment="1">
      <alignment horizontal="center"/>
    </xf>
    <xf numFmtId="6" fontId="0" fillId="0" borderId="0" xfId="0" applyNumberFormat="1"/>
    <xf numFmtId="0" fontId="0" fillId="0" borderId="0" xfId="0" applyAlignment="1">
      <alignment horizontal="right"/>
    </xf>
    <xf numFmtId="0" fontId="0" fillId="0" borderId="4" xfId="0" applyFill="1" applyBorder="1" applyAlignment="1">
      <alignment horizontal="center"/>
    </xf>
    <xf numFmtId="49" fontId="0" fillId="0" borderId="0" xfId="0" applyNumberFormat="1"/>
    <xf numFmtId="0" fontId="0" fillId="0" borderId="0" xfId="0" applyBorder="1" applyAlignment="1">
      <alignment horizontal="center"/>
    </xf>
    <xf numFmtId="0" fontId="0" fillId="0" borderId="0" xfId="0" applyAlignment="1">
      <alignment horizontal="left"/>
    </xf>
    <xf numFmtId="6" fontId="0" fillId="0" borderId="5" xfId="0" applyNumberFormat="1" applyBorder="1"/>
    <xf numFmtId="6" fontId="0" fillId="0" borderId="6" xfId="0" applyNumberFormat="1" applyBorder="1"/>
    <xf numFmtId="10" fontId="0" fillId="0" borderId="0" xfId="0" applyNumberFormat="1"/>
    <xf numFmtId="10" fontId="0" fillId="0" borderId="6" xfId="0" applyNumberFormat="1" applyBorder="1"/>
    <xf numFmtId="10" fontId="0" fillId="0" borderId="5" xfId="0" applyNumberFormat="1" applyBorder="1"/>
    <xf numFmtId="164" fontId="0" fillId="0" borderId="0" xfId="0" applyNumberFormat="1"/>
    <xf numFmtId="164" fontId="0" fillId="0" borderId="5" xfId="0" applyNumberFormat="1" applyBorder="1"/>
    <xf numFmtId="0" fontId="0" fillId="0" borderId="0" xfId="0" applyFill="1" applyBorder="1" applyAlignment="1">
      <alignment horizontal="center"/>
    </xf>
    <xf numFmtId="6" fontId="0" fillId="0" borderId="0" xfId="0" applyNumberFormat="1" applyBorder="1"/>
    <xf numFmtId="0" fontId="0" fillId="2" borderId="0" xfId="0" applyFill="1" applyAlignment="1">
      <alignment horizontal="center"/>
    </xf>
    <xf numFmtId="6" fontId="0" fillId="2" borderId="0" xfId="0" applyNumberFormat="1" applyFill="1"/>
    <xf numFmtId="6" fontId="0" fillId="2" borderId="5" xfId="0" applyNumberFormat="1" applyFill="1" applyBorder="1"/>
    <xf numFmtId="0" fontId="0" fillId="0" borderId="0" xfId="0" quotePrefix="1"/>
    <xf numFmtId="0" fontId="2" fillId="0" borderId="0" xfId="0" applyFont="1"/>
    <xf numFmtId="0" fontId="0" fillId="2" borderId="0" xfId="0" applyFill="1"/>
    <xf numFmtId="6" fontId="0" fillId="0" borderId="0" xfId="0" applyNumberFormat="1" applyFill="1"/>
    <xf numFmtId="49" fontId="0" fillId="0" borderId="4" xfId="0" quotePrefix="1" applyNumberFormat="1" applyBorder="1" applyAlignment="1">
      <alignment horizontal="center"/>
    </xf>
    <xf numFmtId="49" fontId="0" fillId="0" borderId="4" xfId="0" applyNumberFormat="1" applyBorder="1" applyAlignment="1">
      <alignment horizontal="center"/>
    </xf>
    <xf numFmtId="17" fontId="0" fillId="0" borderId="0" xfId="0" quotePrefix="1" applyNumberFormat="1"/>
    <xf numFmtId="0" fontId="0" fillId="0" borderId="0" xfId="0" applyFill="1"/>
    <xf numFmtId="6" fontId="0" fillId="0" borderId="5" xfId="0" applyNumberFormat="1" applyFill="1"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8"/>
  <sheetViews>
    <sheetView tabSelected="1" zoomScale="80" zoomScaleNormal="80" workbookViewId="0">
      <selection activeCell="B2" sqref="B2"/>
    </sheetView>
  </sheetViews>
  <sheetFormatPr defaultColWidth="15.625" defaultRowHeight="13.5" x14ac:dyDescent="0.35"/>
  <cols>
    <col min="1" max="1" width="4.625" customWidth="1"/>
    <col min="2" max="3" width="20.625" customWidth="1"/>
  </cols>
  <sheetData>
    <row r="1" spans="1:4" x14ac:dyDescent="0.35">
      <c r="A1" s="1">
        <v>1</v>
      </c>
      <c r="B1" t="s">
        <v>345</v>
      </c>
    </row>
    <row r="2" spans="1:4" x14ac:dyDescent="0.35">
      <c r="A2" s="1">
        <f>A1+1</f>
        <v>2</v>
      </c>
      <c r="B2" t="s">
        <v>209</v>
      </c>
    </row>
    <row r="3" spans="1:4" x14ac:dyDescent="0.35">
      <c r="A3" s="1">
        <f t="shared" ref="A3:A68" si="0">A2+1</f>
        <v>3</v>
      </c>
    </row>
    <row r="4" spans="1:4" x14ac:dyDescent="0.35">
      <c r="A4" s="1">
        <f t="shared" si="0"/>
        <v>4</v>
      </c>
      <c r="B4" t="s">
        <v>217</v>
      </c>
    </row>
    <row r="5" spans="1:4" x14ac:dyDescent="0.35">
      <c r="A5" s="1">
        <f t="shared" si="0"/>
        <v>5</v>
      </c>
      <c r="B5" t="s">
        <v>218</v>
      </c>
    </row>
    <row r="6" spans="1:4" x14ac:dyDescent="0.35">
      <c r="A6" s="1">
        <f t="shared" si="0"/>
        <v>6</v>
      </c>
    </row>
    <row r="7" spans="1:4" ht="13.9" x14ac:dyDescent="0.4">
      <c r="A7" s="1">
        <f t="shared" si="0"/>
        <v>7</v>
      </c>
      <c r="B7" s="2" t="s">
        <v>210</v>
      </c>
      <c r="C7" s="2"/>
    </row>
    <row r="8" spans="1:4" x14ac:dyDescent="0.35">
      <c r="A8" s="1">
        <f t="shared" si="0"/>
        <v>8</v>
      </c>
    </row>
    <row r="9" spans="1:4" x14ac:dyDescent="0.35">
      <c r="A9" s="1">
        <f t="shared" si="0"/>
        <v>9</v>
      </c>
      <c r="B9" t="s">
        <v>296</v>
      </c>
      <c r="D9" s="6">
        <f>Plant!E65</f>
        <v>4743885</v>
      </c>
    </row>
    <row r="10" spans="1:4" x14ac:dyDescent="0.35">
      <c r="A10" s="1">
        <f t="shared" si="0"/>
        <v>10</v>
      </c>
    </row>
    <row r="11" spans="1:4" x14ac:dyDescent="0.35">
      <c r="A11" s="1">
        <f t="shared" si="0"/>
        <v>11</v>
      </c>
      <c r="B11" t="s">
        <v>297</v>
      </c>
      <c r="D11" s="6">
        <f>Plant!F65</f>
        <v>135280630</v>
      </c>
    </row>
    <row r="12" spans="1:4" x14ac:dyDescent="0.35">
      <c r="A12" s="1">
        <f t="shared" si="0"/>
        <v>12</v>
      </c>
    </row>
    <row r="13" spans="1:4" x14ac:dyDescent="0.35">
      <c r="A13" s="1">
        <f t="shared" si="0"/>
        <v>13</v>
      </c>
      <c r="B13" t="s">
        <v>211</v>
      </c>
      <c r="D13" s="6">
        <f>Plant!G65</f>
        <v>25128223</v>
      </c>
    </row>
    <row r="14" spans="1:4" x14ac:dyDescent="0.35">
      <c r="A14" s="1">
        <f t="shared" si="0"/>
        <v>14</v>
      </c>
      <c r="D14" s="6"/>
    </row>
    <row r="15" spans="1:4" x14ac:dyDescent="0.35">
      <c r="A15" s="1">
        <f t="shared" si="0"/>
        <v>15</v>
      </c>
      <c r="B15" t="s">
        <v>212</v>
      </c>
      <c r="D15" s="6">
        <f>Plant!H65</f>
        <v>94673063</v>
      </c>
    </row>
    <row r="16" spans="1:4" x14ac:dyDescent="0.35">
      <c r="A16" s="1">
        <f t="shared" si="0"/>
        <v>16</v>
      </c>
      <c r="D16" s="6"/>
    </row>
    <row r="17" spans="1:4" x14ac:dyDescent="0.35">
      <c r="A17" s="1">
        <f t="shared" si="0"/>
        <v>17</v>
      </c>
      <c r="B17" t="s">
        <v>213</v>
      </c>
      <c r="D17" s="6">
        <f>Plant!I65</f>
        <v>787161637</v>
      </c>
    </row>
    <row r="18" spans="1:4" x14ac:dyDescent="0.35">
      <c r="A18" s="1">
        <f t="shared" si="0"/>
        <v>18</v>
      </c>
      <c r="D18" s="6"/>
    </row>
    <row r="19" spans="1:4" x14ac:dyDescent="0.35">
      <c r="A19" s="1">
        <f t="shared" si="0"/>
        <v>19</v>
      </c>
      <c r="B19" t="s">
        <v>214</v>
      </c>
      <c r="D19" s="6">
        <f>Plant!J65</f>
        <v>46007358</v>
      </c>
    </row>
    <row r="20" spans="1:4" x14ac:dyDescent="0.35">
      <c r="A20" s="1">
        <f t="shared" si="0"/>
        <v>20</v>
      </c>
      <c r="D20" s="6"/>
    </row>
    <row r="21" spans="1:4" x14ac:dyDescent="0.35">
      <c r="A21" s="1">
        <f t="shared" si="0"/>
        <v>21</v>
      </c>
      <c r="B21" t="s">
        <v>215</v>
      </c>
      <c r="D21" s="6">
        <f>Plant!K65</f>
        <v>3676274</v>
      </c>
    </row>
    <row r="22" spans="1:4" x14ac:dyDescent="0.35">
      <c r="A22" s="1">
        <f t="shared" si="0"/>
        <v>22</v>
      </c>
      <c r="D22" s="6"/>
    </row>
    <row r="23" spans="1:4" x14ac:dyDescent="0.35">
      <c r="A23" s="1">
        <f t="shared" si="0"/>
        <v>23</v>
      </c>
      <c r="B23" t="s">
        <v>216</v>
      </c>
      <c r="D23" s="6">
        <f>Plant!L65</f>
        <v>18351642</v>
      </c>
    </row>
    <row r="24" spans="1:4" x14ac:dyDescent="0.35">
      <c r="A24" s="1">
        <f t="shared" si="0"/>
        <v>24</v>
      </c>
    </row>
    <row r="25" spans="1:4" ht="13.9" x14ac:dyDescent="0.4">
      <c r="A25" s="1">
        <f t="shared" si="0"/>
        <v>25</v>
      </c>
      <c r="B25" s="2" t="s">
        <v>224</v>
      </c>
      <c r="C25" s="2"/>
    </row>
    <row r="26" spans="1:4" x14ac:dyDescent="0.35">
      <c r="A26" s="1">
        <f t="shared" si="0"/>
        <v>26</v>
      </c>
    </row>
    <row r="27" spans="1:4" x14ac:dyDescent="0.35">
      <c r="A27" s="1">
        <f t="shared" si="0"/>
        <v>27</v>
      </c>
      <c r="B27" t="s">
        <v>225</v>
      </c>
      <c r="D27" s="6">
        <f>'AccDepr &amp; Depr Exp'!E60-'AccDepr &amp; Depr Exp'!E36</f>
        <v>343224432</v>
      </c>
    </row>
    <row r="28" spans="1:4" x14ac:dyDescent="0.35">
      <c r="A28" s="1">
        <f t="shared" si="0"/>
        <v>28</v>
      </c>
      <c r="D28" s="6"/>
    </row>
    <row r="29" spans="1:4" x14ac:dyDescent="0.35">
      <c r="A29" s="1">
        <f t="shared" si="0"/>
        <v>29</v>
      </c>
      <c r="B29" t="s">
        <v>226</v>
      </c>
      <c r="D29" s="6">
        <f>'AccDepr &amp; Depr Exp'!H36</f>
        <v>1462186</v>
      </c>
    </row>
    <row r="30" spans="1:4" x14ac:dyDescent="0.35">
      <c r="A30" s="1">
        <f t="shared" si="0"/>
        <v>30</v>
      </c>
    </row>
    <row r="31" spans="1:4" x14ac:dyDescent="0.35">
      <c r="A31" s="1">
        <f t="shared" si="0"/>
        <v>31</v>
      </c>
      <c r="B31" t="s">
        <v>220</v>
      </c>
      <c r="D31" s="6">
        <f>'AccDepr &amp; Depr Exp'!F60</f>
        <v>3482106</v>
      </c>
    </row>
    <row r="32" spans="1:4" x14ac:dyDescent="0.35">
      <c r="A32" s="1">
        <f t="shared" si="0"/>
        <v>32</v>
      </c>
    </row>
    <row r="33" spans="1:4" ht="13.9" x14ac:dyDescent="0.4">
      <c r="A33" s="1">
        <f t="shared" si="0"/>
        <v>33</v>
      </c>
      <c r="B33" s="2" t="s">
        <v>335</v>
      </c>
    </row>
    <row r="34" spans="1:4" x14ac:dyDescent="0.35">
      <c r="A34" s="1">
        <f t="shared" si="0"/>
        <v>34</v>
      </c>
    </row>
    <row r="35" spans="1:4" x14ac:dyDescent="0.35">
      <c r="A35" s="1">
        <f t="shared" si="0"/>
        <v>35</v>
      </c>
      <c r="B35" t="s">
        <v>298</v>
      </c>
    </row>
    <row r="36" spans="1:4" x14ac:dyDescent="0.35">
      <c r="A36" s="1">
        <f t="shared" si="0"/>
        <v>36</v>
      </c>
      <c r="B36" t="s">
        <v>221</v>
      </c>
      <c r="D36" s="6">
        <f>Plant!M39</f>
        <v>14555837</v>
      </c>
    </row>
    <row r="37" spans="1:4" x14ac:dyDescent="0.35">
      <c r="A37" s="1">
        <f t="shared" si="0"/>
        <v>37</v>
      </c>
      <c r="B37" t="s">
        <v>222</v>
      </c>
    </row>
    <row r="38" spans="1:4" x14ac:dyDescent="0.35">
      <c r="A38" s="1">
        <f t="shared" si="0"/>
        <v>38</v>
      </c>
      <c r="B38" t="s">
        <v>223</v>
      </c>
    </row>
    <row r="39" spans="1:4" x14ac:dyDescent="0.35">
      <c r="A39" s="1">
        <f t="shared" si="0"/>
        <v>39</v>
      </c>
      <c r="B39" t="s">
        <v>299</v>
      </c>
      <c r="D39" s="6">
        <f>Plant!M31</f>
        <v>1965365</v>
      </c>
    </row>
    <row r="40" spans="1:4" x14ac:dyDescent="0.35">
      <c r="A40" s="1">
        <f t="shared" si="0"/>
        <v>40</v>
      </c>
      <c r="B40" t="s">
        <v>300</v>
      </c>
      <c r="D40" s="6">
        <f>Plant!M43</f>
        <v>917830</v>
      </c>
    </row>
    <row r="41" spans="1:4" x14ac:dyDescent="0.35">
      <c r="A41" s="1">
        <f t="shared" si="0"/>
        <v>41</v>
      </c>
      <c r="B41" t="s">
        <v>301</v>
      </c>
    </row>
    <row r="42" spans="1:4" x14ac:dyDescent="0.35">
      <c r="A42" s="1">
        <f t="shared" si="0"/>
        <v>42</v>
      </c>
      <c r="B42" t="s">
        <v>223</v>
      </c>
    </row>
    <row r="43" spans="1:4" x14ac:dyDescent="0.35">
      <c r="A43" s="1">
        <f t="shared" si="0"/>
        <v>43</v>
      </c>
    </row>
    <row r="44" spans="1:4" ht="13.9" x14ac:dyDescent="0.4">
      <c r="A44" s="1">
        <f t="shared" si="0"/>
        <v>44</v>
      </c>
      <c r="B44" s="2" t="s">
        <v>227</v>
      </c>
    </row>
    <row r="45" spans="1:4" x14ac:dyDescent="0.35">
      <c r="A45" s="1">
        <f t="shared" si="0"/>
        <v>45</v>
      </c>
    </row>
    <row r="46" spans="1:4" x14ac:dyDescent="0.35">
      <c r="A46" s="1">
        <f t="shared" si="0"/>
        <v>46</v>
      </c>
      <c r="B46" t="s">
        <v>228</v>
      </c>
    </row>
    <row r="47" spans="1:4" x14ac:dyDescent="0.35">
      <c r="A47" s="1">
        <f t="shared" si="0"/>
        <v>47</v>
      </c>
      <c r="B47" t="s">
        <v>229</v>
      </c>
    </row>
    <row r="48" spans="1:4" x14ac:dyDescent="0.35">
      <c r="A48" s="1">
        <f t="shared" si="0"/>
        <v>48</v>
      </c>
      <c r="B48" t="s">
        <v>262</v>
      </c>
      <c r="D48" s="6">
        <f>'RB - Allowances &amp; Limestone'!D40</f>
        <v>561307</v>
      </c>
    </row>
    <row r="49" spans="1:8" x14ac:dyDescent="0.35">
      <c r="A49" s="1">
        <f t="shared" si="0"/>
        <v>49</v>
      </c>
      <c r="B49" t="s">
        <v>230</v>
      </c>
      <c r="E49" s="6">
        <f>'RB - Allowances &amp; Limestone'!D43</f>
        <v>581274</v>
      </c>
    </row>
    <row r="50" spans="1:8" x14ac:dyDescent="0.35">
      <c r="A50" s="1">
        <f t="shared" si="0"/>
        <v>50</v>
      </c>
      <c r="B50" t="s">
        <v>231</v>
      </c>
    </row>
    <row r="51" spans="1:8" x14ac:dyDescent="0.35">
      <c r="A51" s="1">
        <f t="shared" si="0"/>
        <v>51</v>
      </c>
      <c r="B51" t="s">
        <v>262</v>
      </c>
      <c r="D51" s="6">
        <f>'RB - Allowances &amp; Limestone'!E40</f>
        <v>631808</v>
      </c>
    </row>
    <row r="52" spans="1:8" x14ac:dyDescent="0.35">
      <c r="A52" s="1">
        <f t="shared" si="0"/>
        <v>52</v>
      </c>
      <c r="B52" t="s">
        <v>230</v>
      </c>
      <c r="E52" s="6">
        <f>'RB - Allowances &amp; Limestone'!E43</f>
        <v>591377</v>
      </c>
    </row>
    <row r="53" spans="1:8" x14ac:dyDescent="0.35">
      <c r="A53" s="1">
        <f t="shared" si="0"/>
        <v>53</v>
      </c>
    </row>
    <row r="54" spans="1:8" ht="13.9" x14ac:dyDescent="0.4">
      <c r="A54" s="1">
        <f t="shared" si="0"/>
        <v>54</v>
      </c>
      <c r="B54" s="2" t="s">
        <v>232</v>
      </c>
    </row>
    <row r="55" spans="1:8" x14ac:dyDescent="0.35">
      <c r="A55" s="1">
        <f t="shared" si="0"/>
        <v>55</v>
      </c>
    </row>
    <row r="56" spans="1:8" x14ac:dyDescent="0.35">
      <c r="A56" s="1">
        <f t="shared" si="0"/>
        <v>56</v>
      </c>
      <c r="B56" t="s">
        <v>233</v>
      </c>
    </row>
    <row r="57" spans="1:8" x14ac:dyDescent="0.35">
      <c r="A57" s="1">
        <f t="shared" si="0"/>
        <v>57</v>
      </c>
      <c r="B57" t="s">
        <v>234</v>
      </c>
      <c r="D57" s="6">
        <f>'Interest &amp; Principal'!N118</f>
        <v>18919643</v>
      </c>
      <c r="E57" s="26" t="s">
        <v>328</v>
      </c>
      <c r="F57" s="26"/>
      <c r="G57" s="26"/>
      <c r="H57" s="26"/>
    </row>
    <row r="58" spans="1:8" x14ac:dyDescent="0.35">
      <c r="A58" s="1">
        <f t="shared" si="0"/>
        <v>58</v>
      </c>
    </row>
    <row r="59" spans="1:8" ht="13.9" x14ac:dyDescent="0.4">
      <c r="A59" s="1">
        <f t="shared" si="0"/>
        <v>59</v>
      </c>
      <c r="B59" s="2" t="s">
        <v>235</v>
      </c>
    </row>
    <row r="60" spans="1:8" x14ac:dyDescent="0.35">
      <c r="A60" s="1">
        <f t="shared" si="0"/>
        <v>60</v>
      </c>
    </row>
    <row r="61" spans="1:8" x14ac:dyDescent="0.35">
      <c r="A61" s="1">
        <f t="shared" si="0"/>
        <v>61</v>
      </c>
      <c r="B61" t="s">
        <v>237</v>
      </c>
    </row>
    <row r="62" spans="1:8" x14ac:dyDescent="0.35">
      <c r="A62" s="1">
        <f t="shared" si="0"/>
        <v>62</v>
      </c>
      <c r="B62" t="s">
        <v>236</v>
      </c>
      <c r="D62" s="27">
        <v>114778199</v>
      </c>
    </row>
    <row r="63" spans="1:8" x14ac:dyDescent="0.35">
      <c r="A63" s="1">
        <f t="shared" si="0"/>
        <v>63</v>
      </c>
      <c r="B63" t="s">
        <v>237</v>
      </c>
      <c r="D63" s="31"/>
    </row>
    <row r="64" spans="1:8" x14ac:dyDescent="0.35">
      <c r="A64" s="1">
        <f t="shared" si="0"/>
        <v>64</v>
      </c>
      <c r="B64" t="s">
        <v>238</v>
      </c>
      <c r="D64" s="27">
        <f>164922-5915</f>
        <v>159007</v>
      </c>
      <c r="E64" t="s">
        <v>307</v>
      </c>
    </row>
    <row r="65" spans="1:5" x14ac:dyDescent="0.35">
      <c r="A65" s="1">
        <f t="shared" si="0"/>
        <v>65</v>
      </c>
      <c r="B65" t="s">
        <v>239</v>
      </c>
      <c r="D65" s="31"/>
    </row>
    <row r="66" spans="1:5" x14ac:dyDescent="0.35">
      <c r="A66" s="1">
        <f t="shared" si="0"/>
        <v>66</v>
      </c>
      <c r="B66" t="s">
        <v>240</v>
      </c>
      <c r="D66" s="31"/>
    </row>
    <row r="67" spans="1:5" x14ac:dyDescent="0.35">
      <c r="A67" s="1">
        <f t="shared" si="0"/>
        <v>67</v>
      </c>
      <c r="B67" t="s">
        <v>241</v>
      </c>
      <c r="D67" s="27">
        <v>652665</v>
      </c>
    </row>
    <row r="68" spans="1:5" x14ac:dyDescent="0.35">
      <c r="A68" s="1">
        <f t="shared" si="0"/>
        <v>68</v>
      </c>
    </row>
    <row r="69" spans="1:5" ht="13.9" x14ac:dyDescent="0.4">
      <c r="A69" s="1">
        <f t="shared" ref="A69:A118" si="1">A68+1</f>
        <v>69</v>
      </c>
      <c r="B69" s="2" t="s">
        <v>242</v>
      </c>
    </row>
    <row r="70" spans="1:5" x14ac:dyDescent="0.35">
      <c r="A70" s="1">
        <f t="shared" si="1"/>
        <v>70</v>
      </c>
    </row>
    <row r="71" spans="1:5" x14ac:dyDescent="0.35">
      <c r="A71" s="1">
        <f t="shared" si="1"/>
        <v>71</v>
      </c>
      <c r="B71" s="25" t="s">
        <v>243</v>
      </c>
    </row>
    <row r="72" spans="1:5" x14ac:dyDescent="0.35">
      <c r="A72" s="1">
        <f t="shared" si="1"/>
        <v>72</v>
      </c>
      <c r="B72" t="s">
        <v>244</v>
      </c>
      <c r="D72" s="6">
        <f>'Operating Exp'!C32</f>
        <v>15177</v>
      </c>
    </row>
    <row r="73" spans="1:5" x14ac:dyDescent="0.35">
      <c r="A73" s="1">
        <f t="shared" si="1"/>
        <v>73</v>
      </c>
    </row>
    <row r="74" spans="1:5" x14ac:dyDescent="0.35">
      <c r="A74" s="1">
        <f t="shared" si="1"/>
        <v>74</v>
      </c>
      <c r="B74" t="s">
        <v>245</v>
      </c>
      <c r="D74" s="6">
        <f>'Operating Exp'!D32</f>
        <v>3123726</v>
      </c>
    </row>
    <row r="75" spans="1:5" x14ac:dyDescent="0.35">
      <c r="A75" s="1">
        <f t="shared" si="1"/>
        <v>75</v>
      </c>
    </row>
    <row r="76" spans="1:5" x14ac:dyDescent="0.35">
      <c r="A76" s="1">
        <f t="shared" si="1"/>
        <v>76</v>
      </c>
      <c r="B76" t="s">
        <v>246</v>
      </c>
      <c r="D76" s="6">
        <f>'Operating Exp'!E32</f>
        <v>9750307</v>
      </c>
    </row>
    <row r="77" spans="1:5" x14ac:dyDescent="0.35">
      <c r="A77" s="1">
        <f t="shared" si="1"/>
        <v>77</v>
      </c>
      <c r="B77" t="s">
        <v>247</v>
      </c>
      <c r="D77" s="6">
        <f>'Operating Exp'!F32</f>
        <v>275146</v>
      </c>
    </row>
    <row r="78" spans="1:5" x14ac:dyDescent="0.35">
      <c r="A78" s="1">
        <f t="shared" si="1"/>
        <v>78</v>
      </c>
      <c r="B78" t="s">
        <v>258</v>
      </c>
      <c r="D78" s="6"/>
      <c r="E78" s="6">
        <f>SUM(D76:D77)</f>
        <v>10025453</v>
      </c>
    </row>
    <row r="79" spans="1:5" x14ac:dyDescent="0.35">
      <c r="A79" s="1">
        <f t="shared" si="1"/>
        <v>79</v>
      </c>
    </row>
    <row r="80" spans="1:5" x14ac:dyDescent="0.35">
      <c r="A80" s="1">
        <f t="shared" si="1"/>
        <v>80</v>
      </c>
      <c r="B80" t="s">
        <v>248</v>
      </c>
      <c r="D80" s="6">
        <f>'Operating Exp'!G32</f>
        <v>18084411</v>
      </c>
    </row>
    <row r="81" spans="1:5" x14ac:dyDescent="0.35">
      <c r="A81" s="1">
        <f t="shared" si="1"/>
        <v>81</v>
      </c>
    </row>
    <row r="82" spans="1:5" x14ac:dyDescent="0.35">
      <c r="A82" s="1">
        <f t="shared" si="1"/>
        <v>82</v>
      </c>
      <c r="B82" t="s">
        <v>249</v>
      </c>
    </row>
    <row r="83" spans="1:5" x14ac:dyDescent="0.35">
      <c r="A83" s="1">
        <f t="shared" si="1"/>
        <v>83</v>
      </c>
      <c r="B83" t="s">
        <v>250</v>
      </c>
      <c r="D83" s="6">
        <f>'Property Tax &amp; Ins'!C34</f>
        <v>1757590</v>
      </c>
    </row>
    <row r="84" spans="1:5" x14ac:dyDescent="0.35">
      <c r="A84" s="1">
        <f t="shared" si="1"/>
        <v>84</v>
      </c>
      <c r="B84" t="s">
        <v>251</v>
      </c>
      <c r="D84" s="6">
        <f>'Property Tax &amp; Ins'!C42</f>
        <v>930573</v>
      </c>
    </row>
    <row r="85" spans="1:5" x14ac:dyDescent="0.35">
      <c r="A85" s="1">
        <f t="shared" si="1"/>
        <v>85</v>
      </c>
      <c r="B85" t="s">
        <v>252</v>
      </c>
      <c r="E85" s="6">
        <f>SUM(D83:D84)</f>
        <v>2688163</v>
      </c>
    </row>
    <row r="86" spans="1:5" x14ac:dyDescent="0.35">
      <c r="A86" s="1">
        <f t="shared" si="1"/>
        <v>86</v>
      </c>
    </row>
    <row r="87" spans="1:5" x14ac:dyDescent="0.35">
      <c r="A87" s="1">
        <f t="shared" si="1"/>
        <v>87</v>
      </c>
      <c r="B87" t="s">
        <v>253</v>
      </c>
    </row>
    <row r="88" spans="1:5" x14ac:dyDescent="0.35">
      <c r="A88" s="1">
        <f t="shared" si="1"/>
        <v>88</v>
      </c>
      <c r="B88" t="s">
        <v>250</v>
      </c>
      <c r="D88" s="6">
        <f>'Property Tax &amp; Ins'!D35</f>
        <v>42666</v>
      </c>
    </row>
    <row r="89" spans="1:5" x14ac:dyDescent="0.35">
      <c r="A89" s="1">
        <f t="shared" si="1"/>
        <v>89</v>
      </c>
      <c r="B89" t="s">
        <v>251</v>
      </c>
      <c r="D89" s="6">
        <f>'Property Tax &amp; Ins'!D43</f>
        <v>22590</v>
      </c>
    </row>
    <row r="90" spans="1:5" x14ac:dyDescent="0.35">
      <c r="A90" s="1">
        <f t="shared" si="1"/>
        <v>90</v>
      </c>
      <c r="B90" t="s">
        <v>254</v>
      </c>
      <c r="E90" s="6">
        <f>SUM(D88:D89)</f>
        <v>65256</v>
      </c>
    </row>
    <row r="91" spans="1:5" x14ac:dyDescent="0.35">
      <c r="A91" s="1">
        <f t="shared" si="1"/>
        <v>91</v>
      </c>
    </row>
    <row r="92" spans="1:5" x14ac:dyDescent="0.35">
      <c r="A92" s="1">
        <f t="shared" si="1"/>
        <v>92</v>
      </c>
      <c r="B92" s="25" t="s">
        <v>255</v>
      </c>
    </row>
    <row r="93" spans="1:5" x14ac:dyDescent="0.35">
      <c r="A93" s="1">
        <f t="shared" si="1"/>
        <v>93</v>
      </c>
      <c r="B93" t="s">
        <v>219</v>
      </c>
      <c r="D93" s="6">
        <f>'AccDepr &amp; Depr Exp'!L34</f>
        <v>32833814</v>
      </c>
    </row>
    <row r="94" spans="1:5" x14ac:dyDescent="0.35">
      <c r="A94" s="1">
        <f t="shared" si="1"/>
        <v>94</v>
      </c>
    </row>
    <row r="95" spans="1:5" x14ac:dyDescent="0.35">
      <c r="A95" s="1">
        <f t="shared" si="1"/>
        <v>95</v>
      </c>
      <c r="B95" t="s">
        <v>220</v>
      </c>
      <c r="D95" s="6">
        <f>'AccDepr &amp; Depr Exp'!M34</f>
        <v>328500</v>
      </c>
    </row>
    <row r="96" spans="1:5" x14ac:dyDescent="0.35">
      <c r="A96" s="1">
        <f t="shared" si="1"/>
        <v>96</v>
      </c>
    </row>
    <row r="97" spans="1:6" x14ac:dyDescent="0.35">
      <c r="A97" s="1">
        <f t="shared" si="1"/>
        <v>97</v>
      </c>
      <c r="B97" t="s">
        <v>256</v>
      </c>
      <c r="D97" s="6">
        <f>'AccDepr &amp; Depr Exp'!N34</f>
        <v>605040</v>
      </c>
    </row>
    <row r="98" spans="1:6" x14ac:dyDescent="0.35">
      <c r="A98" s="1">
        <f t="shared" si="1"/>
        <v>98</v>
      </c>
    </row>
    <row r="99" spans="1:6" x14ac:dyDescent="0.35">
      <c r="A99" s="1">
        <f t="shared" si="1"/>
        <v>99</v>
      </c>
      <c r="B99" s="25" t="s">
        <v>259</v>
      </c>
    </row>
    <row r="100" spans="1:6" x14ac:dyDescent="0.35">
      <c r="A100" s="1">
        <f t="shared" si="1"/>
        <v>100</v>
      </c>
      <c r="B100" t="s">
        <v>308</v>
      </c>
      <c r="D100" s="6">
        <f>'AccDepr &amp; Depr Exp'!R34</f>
        <v>737010</v>
      </c>
      <c r="F100" t="s">
        <v>333</v>
      </c>
    </row>
    <row r="101" spans="1:6" x14ac:dyDescent="0.35">
      <c r="A101" s="1">
        <f t="shared" si="1"/>
        <v>101</v>
      </c>
      <c r="B101" t="s">
        <v>260</v>
      </c>
      <c r="E101" s="27">
        <v>441618</v>
      </c>
    </row>
    <row r="102" spans="1:6" x14ac:dyDescent="0.35">
      <c r="A102" s="1">
        <f t="shared" si="1"/>
        <v>102</v>
      </c>
      <c r="B102" t="s">
        <v>261</v>
      </c>
      <c r="E102" s="27">
        <v>213504</v>
      </c>
      <c r="F102" t="s">
        <v>334</v>
      </c>
    </row>
    <row r="103" spans="1:6" x14ac:dyDescent="0.35">
      <c r="A103" s="1">
        <f t="shared" si="1"/>
        <v>103</v>
      </c>
      <c r="E103" s="31"/>
    </row>
    <row r="104" spans="1:6" x14ac:dyDescent="0.35">
      <c r="A104" s="1">
        <f t="shared" si="1"/>
        <v>104</v>
      </c>
      <c r="B104" t="s">
        <v>309</v>
      </c>
      <c r="D104" s="6">
        <f>'AccDepr &amp; Depr Exp'!T34</f>
        <v>1455552</v>
      </c>
      <c r="E104" s="31"/>
    </row>
    <row r="105" spans="1:6" x14ac:dyDescent="0.35">
      <c r="A105" s="1">
        <f t="shared" si="1"/>
        <v>105</v>
      </c>
      <c r="B105" t="s">
        <v>260</v>
      </c>
      <c r="E105" s="27">
        <v>1359485</v>
      </c>
    </row>
    <row r="106" spans="1:6" x14ac:dyDescent="0.35">
      <c r="A106" s="1">
        <f t="shared" si="1"/>
        <v>106</v>
      </c>
      <c r="B106" t="s">
        <v>261</v>
      </c>
      <c r="E106" s="27">
        <v>96067</v>
      </c>
      <c r="F106" t="s">
        <v>334</v>
      </c>
    </row>
    <row r="107" spans="1:6" x14ac:dyDescent="0.35">
      <c r="A107" s="1">
        <f t="shared" si="1"/>
        <v>107</v>
      </c>
      <c r="E107" s="31"/>
    </row>
    <row r="108" spans="1:6" x14ac:dyDescent="0.35">
      <c r="A108" s="1">
        <f t="shared" si="1"/>
        <v>108</v>
      </c>
      <c r="B108" t="s">
        <v>310</v>
      </c>
      <c r="D108" s="6">
        <f>'AccDepr &amp; Depr Exp'!V34</f>
        <v>344186.1</v>
      </c>
      <c r="E108" s="31"/>
      <c r="F108" t="s">
        <v>333</v>
      </c>
    </row>
    <row r="109" spans="1:6" x14ac:dyDescent="0.35">
      <c r="A109" s="1">
        <f t="shared" si="1"/>
        <v>109</v>
      </c>
      <c r="B109" t="s">
        <v>260</v>
      </c>
      <c r="E109" s="27">
        <v>224654</v>
      </c>
    </row>
    <row r="110" spans="1:6" x14ac:dyDescent="0.35">
      <c r="A110" s="1">
        <f t="shared" si="1"/>
        <v>110</v>
      </c>
      <c r="B110" t="s">
        <v>261</v>
      </c>
      <c r="E110" s="27">
        <v>81289</v>
      </c>
      <c r="F110" t="s">
        <v>334</v>
      </c>
    </row>
    <row r="111" spans="1:6" x14ac:dyDescent="0.35">
      <c r="A111" s="1">
        <f t="shared" si="1"/>
        <v>111</v>
      </c>
    </row>
    <row r="112" spans="1:6" x14ac:dyDescent="0.35">
      <c r="A112" s="1">
        <f t="shared" si="1"/>
        <v>112</v>
      </c>
      <c r="B112" t="s">
        <v>329</v>
      </c>
    </row>
    <row r="113" spans="1:4" x14ac:dyDescent="0.35">
      <c r="A113" s="1">
        <f t="shared" si="1"/>
        <v>113</v>
      </c>
      <c r="B113" t="s">
        <v>330</v>
      </c>
    </row>
    <row r="114" spans="1:4" x14ac:dyDescent="0.35">
      <c r="A114" s="1">
        <f t="shared" si="1"/>
        <v>114</v>
      </c>
      <c r="B114" t="s">
        <v>331</v>
      </c>
    </row>
    <row r="115" spans="1:4" x14ac:dyDescent="0.35">
      <c r="A115" s="1">
        <f t="shared" si="1"/>
        <v>115</v>
      </c>
      <c r="B115" t="s">
        <v>332</v>
      </c>
    </row>
    <row r="116" spans="1:4" x14ac:dyDescent="0.35">
      <c r="A116" s="1">
        <f t="shared" si="1"/>
        <v>116</v>
      </c>
    </row>
    <row r="117" spans="1:4" x14ac:dyDescent="0.35">
      <c r="A117" s="1">
        <f t="shared" si="1"/>
        <v>117</v>
      </c>
      <c r="B117" s="25" t="s">
        <v>257</v>
      </c>
      <c r="D117" s="6">
        <f>'Interest &amp; Principal'!L118</f>
        <v>24450841</v>
      </c>
    </row>
    <row r="118" spans="1:4" x14ac:dyDescent="0.35">
      <c r="A118" s="1">
        <f t="shared" si="1"/>
        <v>118</v>
      </c>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80" zoomScaleNormal="80" workbookViewId="0">
      <selection activeCell="B2" sqref="B2"/>
    </sheetView>
  </sheetViews>
  <sheetFormatPr defaultColWidth="15.625" defaultRowHeight="13.5" x14ac:dyDescent="0.35"/>
  <cols>
    <col min="1" max="1" width="4.625" customWidth="1"/>
    <col min="2" max="2" width="10.625" customWidth="1"/>
    <col min="3" max="3" width="30.625" customWidth="1"/>
  </cols>
  <sheetData>
    <row r="1" spans="1:14" x14ac:dyDescent="0.35">
      <c r="A1" s="1">
        <v>1</v>
      </c>
      <c r="B1" t="str">
        <f>Summary!B1</f>
        <v>Workpaper 1.02 Surcharge Adjustment FINAL.xlsx</v>
      </c>
    </row>
    <row r="2" spans="1:14" x14ac:dyDescent="0.35">
      <c r="A2" s="1">
        <f>A1+1</f>
        <v>2</v>
      </c>
      <c r="B2" t="s">
        <v>0</v>
      </c>
    </row>
    <row r="3" spans="1:14" x14ac:dyDescent="0.35">
      <c r="A3" s="1">
        <f t="shared" ref="A3:A71" si="0">A2+1</f>
        <v>3</v>
      </c>
    </row>
    <row r="4" spans="1:14" ht="13.9" x14ac:dyDescent="0.4">
      <c r="A4" s="1">
        <f t="shared" si="0"/>
        <v>4</v>
      </c>
      <c r="B4" s="2" t="s">
        <v>21</v>
      </c>
    </row>
    <row r="5" spans="1:14" x14ac:dyDescent="0.35">
      <c r="A5" s="1">
        <f t="shared" si="0"/>
        <v>5</v>
      </c>
    </row>
    <row r="6" spans="1:14" x14ac:dyDescent="0.35">
      <c r="A6" s="1">
        <f t="shared" si="0"/>
        <v>6</v>
      </c>
      <c r="B6" s="3" t="s">
        <v>1</v>
      </c>
      <c r="C6" s="3"/>
      <c r="D6" s="3" t="s">
        <v>4</v>
      </c>
      <c r="E6" s="33" t="s">
        <v>6</v>
      </c>
      <c r="F6" s="34"/>
      <c r="G6" s="34"/>
      <c r="H6" s="34"/>
      <c r="I6" s="34"/>
      <c r="J6" s="34"/>
      <c r="K6" s="34"/>
      <c r="L6" s="34"/>
      <c r="M6" s="34"/>
      <c r="N6" s="35"/>
    </row>
    <row r="7" spans="1:14" ht="13.9" thickBot="1" x14ac:dyDescent="0.4">
      <c r="A7" s="1">
        <f t="shared" si="0"/>
        <v>7</v>
      </c>
      <c r="B7" s="4" t="s">
        <v>2</v>
      </c>
      <c r="C7" s="4" t="s">
        <v>3</v>
      </c>
      <c r="D7" s="5">
        <v>43830</v>
      </c>
      <c r="E7" s="28" t="s">
        <v>267</v>
      </c>
      <c r="F7" s="28" t="s">
        <v>268</v>
      </c>
      <c r="G7" s="4">
        <v>310</v>
      </c>
      <c r="H7" s="4">
        <v>311</v>
      </c>
      <c r="I7" s="4">
        <v>312</v>
      </c>
      <c r="J7" s="4">
        <v>315</v>
      </c>
      <c r="K7" s="4">
        <v>316</v>
      </c>
      <c r="L7" s="4">
        <v>353</v>
      </c>
      <c r="M7" s="29" t="s">
        <v>271</v>
      </c>
      <c r="N7" s="4" t="s">
        <v>5</v>
      </c>
    </row>
    <row r="8" spans="1:14" x14ac:dyDescent="0.35">
      <c r="A8" s="1">
        <f t="shared" si="0"/>
        <v>8</v>
      </c>
    </row>
    <row r="9" spans="1:14" x14ac:dyDescent="0.35">
      <c r="A9" s="1">
        <f t="shared" si="0"/>
        <v>9</v>
      </c>
      <c r="B9" s="3">
        <v>1</v>
      </c>
      <c r="C9" t="s">
        <v>7</v>
      </c>
      <c r="D9" s="27">
        <v>69612000</v>
      </c>
      <c r="E9" s="27"/>
      <c r="F9" s="27"/>
      <c r="G9" s="27"/>
      <c r="H9" s="27"/>
      <c r="I9" s="27">
        <v>69612000</v>
      </c>
      <c r="J9" s="27"/>
      <c r="K9" s="27"/>
      <c r="L9" s="27"/>
      <c r="M9" s="27"/>
      <c r="N9" s="6">
        <f>SUM(E9:M9)</f>
        <v>69612000</v>
      </c>
    </row>
    <row r="10" spans="1:14" x14ac:dyDescent="0.35">
      <c r="A10" s="1">
        <f t="shared" si="0"/>
        <v>10</v>
      </c>
      <c r="B10" s="3"/>
      <c r="D10" s="27"/>
      <c r="E10" s="27"/>
      <c r="F10" s="27"/>
      <c r="G10" s="27"/>
      <c r="H10" s="27"/>
      <c r="I10" s="27"/>
      <c r="J10" s="27"/>
      <c r="K10" s="27"/>
      <c r="L10" s="27"/>
      <c r="M10" s="27"/>
      <c r="N10" s="6"/>
    </row>
    <row r="11" spans="1:14" x14ac:dyDescent="0.35">
      <c r="A11" s="1">
        <f t="shared" si="0"/>
        <v>11</v>
      </c>
      <c r="B11" s="3">
        <v>2</v>
      </c>
      <c r="C11" t="s">
        <v>8</v>
      </c>
      <c r="D11" s="27">
        <v>24291751</v>
      </c>
      <c r="E11" s="27"/>
      <c r="F11" s="27"/>
      <c r="G11" s="27"/>
      <c r="H11" s="27">
        <v>728752</v>
      </c>
      <c r="I11" s="27">
        <v>19919236</v>
      </c>
      <c r="J11" s="27">
        <v>3643763</v>
      </c>
      <c r="K11" s="27"/>
      <c r="L11" s="27"/>
      <c r="M11" s="27"/>
      <c r="N11" s="6">
        <f>SUM(E11:M11)</f>
        <v>24291751</v>
      </c>
    </row>
    <row r="12" spans="1:14" x14ac:dyDescent="0.35">
      <c r="A12" s="1">
        <f t="shared" si="0"/>
        <v>12</v>
      </c>
      <c r="B12" s="3"/>
      <c r="D12" s="27"/>
      <c r="E12" s="27"/>
      <c r="F12" s="27"/>
      <c r="G12" s="27"/>
      <c r="H12" s="27"/>
      <c r="I12" s="27"/>
      <c r="J12" s="27"/>
      <c r="K12" s="27"/>
      <c r="L12" s="27"/>
      <c r="M12" s="27"/>
      <c r="N12" s="6"/>
    </row>
    <row r="13" spans="1:14" x14ac:dyDescent="0.35">
      <c r="A13" s="1">
        <f t="shared" si="0"/>
        <v>13</v>
      </c>
      <c r="B13" s="3">
        <v>3</v>
      </c>
      <c r="C13" t="s">
        <v>9</v>
      </c>
      <c r="D13" s="27">
        <v>82017971</v>
      </c>
      <c r="E13" s="27"/>
      <c r="F13" s="27"/>
      <c r="G13" s="27"/>
      <c r="H13" s="27"/>
      <c r="I13" s="27">
        <v>82017971</v>
      </c>
      <c r="J13" s="27"/>
      <c r="K13" s="27"/>
      <c r="L13" s="27"/>
      <c r="M13" s="27"/>
      <c r="N13" s="6">
        <f>SUM(E13:M13)</f>
        <v>82017971</v>
      </c>
    </row>
    <row r="14" spans="1:14" x14ac:dyDescent="0.35">
      <c r="A14" s="1">
        <f t="shared" si="0"/>
        <v>14</v>
      </c>
      <c r="B14" s="3"/>
      <c r="D14" s="27"/>
      <c r="E14" s="27"/>
      <c r="F14" s="27"/>
      <c r="G14" s="27"/>
      <c r="H14" s="27"/>
      <c r="I14" s="27"/>
      <c r="J14" s="27"/>
      <c r="K14" s="27"/>
      <c r="L14" s="27"/>
      <c r="M14" s="27"/>
      <c r="N14" s="6"/>
    </row>
    <row r="15" spans="1:14" x14ac:dyDescent="0.35">
      <c r="A15" s="1">
        <f t="shared" si="0"/>
        <v>15</v>
      </c>
      <c r="B15" s="3">
        <v>4</v>
      </c>
      <c r="C15" t="s">
        <v>10</v>
      </c>
      <c r="D15" s="27">
        <v>45943101</v>
      </c>
      <c r="E15" s="27"/>
      <c r="F15" s="27"/>
      <c r="G15" s="27"/>
      <c r="H15" s="27">
        <v>145128</v>
      </c>
      <c r="I15" s="27">
        <v>45797973</v>
      </c>
      <c r="J15" s="27"/>
      <c r="K15" s="27"/>
      <c r="L15" s="27"/>
      <c r="M15" s="27"/>
      <c r="N15" s="6">
        <f>SUM(E15:M15)</f>
        <v>45943101</v>
      </c>
    </row>
    <row r="16" spans="1:14" x14ac:dyDescent="0.35">
      <c r="A16" s="1">
        <f t="shared" si="0"/>
        <v>16</v>
      </c>
      <c r="B16" s="3"/>
      <c r="D16" s="27"/>
      <c r="E16" s="27"/>
      <c r="F16" s="27"/>
      <c r="G16" s="27"/>
      <c r="H16" s="27"/>
      <c r="I16" s="27"/>
      <c r="J16" s="27"/>
      <c r="K16" s="27"/>
      <c r="L16" s="27"/>
      <c r="M16" s="27"/>
      <c r="N16" s="6"/>
    </row>
    <row r="17" spans="1:14" x14ac:dyDescent="0.35">
      <c r="A17" s="1">
        <f t="shared" si="0"/>
        <v>17</v>
      </c>
      <c r="B17" s="3">
        <v>6</v>
      </c>
      <c r="C17" t="s">
        <v>11</v>
      </c>
      <c r="D17" s="27">
        <v>3088571</v>
      </c>
      <c r="E17" s="27"/>
      <c r="F17" s="27"/>
      <c r="G17" s="27"/>
      <c r="H17" s="27"/>
      <c r="I17" s="27">
        <v>3088571</v>
      </c>
      <c r="J17" s="27"/>
      <c r="K17" s="27"/>
      <c r="L17" s="27"/>
      <c r="M17" s="27"/>
      <c r="N17" s="6">
        <f>SUM(E17:M17)</f>
        <v>3088571</v>
      </c>
    </row>
    <row r="18" spans="1:14" x14ac:dyDescent="0.35">
      <c r="A18" s="1">
        <f t="shared" si="0"/>
        <v>18</v>
      </c>
      <c r="B18" s="3"/>
      <c r="D18" s="27"/>
      <c r="E18" s="27"/>
      <c r="F18" s="27"/>
      <c r="G18" s="27"/>
      <c r="H18" s="27"/>
      <c r="I18" s="27"/>
      <c r="J18" s="27"/>
      <c r="K18" s="27"/>
      <c r="L18" s="27"/>
      <c r="M18" s="27"/>
      <c r="N18" s="6"/>
    </row>
    <row r="19" spans="1:14" x14ac:dyDescent="0.35">
      <c r="A19" s="1">
        <f t="shared" si="0"/>
        <v>19</v>
      </c>
      <c r="B19" s="3">
        <v>7</v>
      </c>
      <c r="C19" t="s">
        <v>12</v>
      </c>
      <c r="D19" s="27">
        <v>206856161</v>
      </c>
      <c r="E19" s="27"/>
      <c r="F19" s="27"/>
      <c r="G19" s="27"/>
      <c r="H19" s="27">
        <v>22341947</v>
      </c>
      <c r="I19" s="27">
        <v>158386659</v>
      </c>
      <c r="J19" s="27">
        <v>17731989</v>
      </c>
      <c r="K19" s="27"/>
      <c r="L19" s="27">
        <v>8395566</v>
      </c>
      <c r="M19" s="27"/>
      <c r="N19" s="6">
        <f>SUM(E19:M19)</f>
        <v>206856161</v>
      </c>
    </row>
    <row r="20" spans="1:14" x14ac:dyDescent="0.35">
      <c r="A20" s="1">
        <f t="shared" si="0"/>
        <v>20</v>
      </c>
      <c r="B20" s="3"/>
      <c r="D20" s="27"/>
      <c r="E20" s="27"/>
      <c r="F20" s="27"/>
      <c r="G20" s="27"/>
      <c r="H20" s="27"/>
      <c r="I20" s="27"/>
      <c r="J20" s="27"/>
      <c r="K20" s="27"/>
      <c r="L20" s="27"/>
      <c r="M20" s="27"/>
      <c r="N20" s="6"/>
    </row>
    <row r="21" spans="1:14" x14ac:dyDescent="0.35">
      <c r="A21" s="1">
        <f t="shared" si="0"/>
        <v>21</v>
      </c>
      <c r="B21" s="3">
        <v>8</v>
      </c>
      <c r="C21" t="s">
        <v>13</v>
      </c>
      <c r="D21" s="27">
        <v>151374608</v>
      </c>
      <c r="E21" s="27"/>
      <c r="F21" s="27"/>
      <c r="G21" s="27"/>
      <c r="H21" s="27">
        <v>25289574</v>
      </c>
      <c r="I21" s="27">
        <v>103608243</v>
      </c>
      <c r="J21" s="27">
        <v>12520715</v>
      </c>
      <c r="K21" s="27"/>
      <c r="L21" s="27">
        <v>9956076</v>
      </c>
      <c r="M21" s="27"/>
      <c r="N21" s="6">
        <f>SUM(E21:M21)</f>
        <v>151374608</v>
      </c>
    </row>
    <row r="22" spans="1:14" x14ac:dyDescent="0.35">
      <c r="A22" s="1">
        <f t="shared" si="0"/>
        <v>22</v>
      </c>
      <c r="B22" s="3"/>
      <c r="D22" s="27"/>
      <c r="E22" s="27"/>
      <c r="F22" s="27"/>
      <c r="G22" s="27"/>
      <c r="H22" s="27"/>
      <c r="I22" s="27"/>
      <c r="J22" s="27"/>
      <c r="K22" s="27"/>
      <c r="L22" s="27"/>
      <c r="M22" s="27"/>
      <c r="N22" s="6"/>
    </row>
    <row r="23" spans="1:14" x14ac:dyDescent="0.35">
      <c r="A23" s="1">
        <f t="shared" si="0"/>
        <v>23</v>
      </c>
      <c r="B23" s="3">
        <v>9</v>
      </c>
      <c r="C23" t="s">
        <v>14</v>
      </c>
      <c r="D23" s="27">
        <v>96502627</v>
      </c>
      <c r="E23" s="27"/>
      <c r="F23" s="27"/>
      <c r="G23" s="27"/>
      <c r="H23" s="27">
        <v>14959428</v>
      </c>
      <c r="I23" s="27">
        <v>79956647</v>
      </c>
      <c r="J23" s="27">
        <v>50263</v>
      </c>
      <c r="K23" s="27">
        <v>1536289</v>
      </c>
      <c r="L23" s="27"/>
      <c r="M23" s="27"/>
      <c r="N23" s="6">
        <f>SUM(E23:M23)</f>
        <v>96502627</v>
      </c>
    </row>
    <row r="24" spans="1:14" x14ac:dyDescent="0.35">
      <c r="A24" s="1">
        <f t="shared" si="0"/>
        <v>24</v>
      </c>
      <c r="B24" s="3"/>
      <c r="D24" s="27"/>
      <c r="E24" s="27"/>
      <c r="F24" s="27"/>
      <c r="G24" s="27"/>
      <c r="H24" s="27"/>
      <c r="I24" s="27"/>
      <c r="J24" s="27"/>
      <c r="K24" s="27"/>
      <c r="L24" s="27"/>
      <c r="M24" s="27"/>
      <c r="N24" s="6"/>
    </row>
    <row r="25" spans="1:14" x14ac:dyDescent="0.35">
      <c r="A25" s="1">
        <f t="shared" si="0"/>
        <v>25</v>
      </c>
      <c r="B25" s="3">
        <v>10</v>
      </c>
      <c r="C25" t="s">
        <v>15</v>
      </c>
      <c r="D25" s="27">
        <v>2586198</v>
      </c>
      <c r="E25" s="27"/>
      <c r="F25" s="27"/>
      <c r="G25" s="27"/>
      <c r="H25" s="27"/>
      <c r="I25" s="27">
        <v>2586198</v>
      </c>
      <c r="J25" s="27"/>
      <c r="K25" s="27"/>
      <c r="L25" s="27"/>
      <c r="M25" s="27"/>
      <c r="N25" s="6">
        <f>SUM(E25:M25)</f>
        <v>2586198</v>
      </c>
    </row>
    <row r="26" spans="1:14" x14ac:dyDescent="0.35">
      <c r="A26" s="1">
        <f t="shared" si="0"/>
        <v>26</v>
      </c>
      <c r="B26" s="3"/>
      <c r="D26" s="27"/>
      <c r="E26" s="27"/>
      <c r="F26" s="27"/>
      <c r="G26" s="27"/>
      <c r="H26" s="27"/>
      <c r="I26" s="27"/>
      <c r="J26" s="27"/>
      <c r="K26" s="27"/>
      <c r="L26" s="27"/>
      <c r="M26" s="27"/>
      <c r="N26" s="6"/>
    </row>
    <row r="27" spans="1:14" x14ac:dyDescent="0.35">
      <c r="A27" s="1">
        <f t="shared" si="0"/>
        <v>27</v>
      </c>
      <c r="B27" s="3">
        <v>11</v>
      </c>
      <c r="C27" t="s">
        <v>16</v>
      </c>
      <c r="D27" s="27">
        <v>224063511</v>
      </c>
      <c r="E27" s="27"/>
      <c r="F27" s="27"/>
      <c r="G27" s="27"/>
      <c r="H27" s="27">
        <v>16839215</v>
      </c>
      <c r="I27" s="27">
        <v>193023683</v>
      </c>
      <c r="J27" s="27">
        <v>12060628</v>
      </c>
      <c r="K27" s="27">
        <v>2139985</v>
      </c>
      <c r="L27" s="27"/>
      <c r="M27" s="27"/>
      <c r="N27" s="6">
        <f>SUM(E27:M27)</f>
        <v>224063511</v>
      </c>
    </row>
    <row r="28" spans="1:14" x14ac:dyDescent="0.35">
      <c r="A28" s="1">
        <f t="shared" si="0"/>
        <v>28</v>
      </c>
      <c r="B28" s="3"/>
      <c r="D28" s="27"/>
      <c r="E28" s="27"/>
      <c r="F28" s="27"/>
      <c r="G28" s="27"/>
      <c r="H28" s="27"/>
      <c r="I28" s="27"/>
      <c r="J28" s="27"/>
      <c r="K28" s="27"/>
      <c r="L28" s="27"/>
      <c r="M28" s="27"/>
      <c r="N28" s="6"/>
    </row>
    <row r="29" spans="1:14" x14ac:dyDescent="0.35">
      <c r="A29" s="1">
        <f t="shared" si="0"/>
        <v>29</v>
      </c>
      <c r="B29" s="3">
        <v>12</v>
      </c>
      <c r="C29" t="s">
        <v>17</v>
      </c>
      <c r="D29" s="27">
        <f>4743885+5755766+12701446</f>
        <v>23201097</v>
      </c>
      <c r="E29" s="27">
        <v>4743885</v>
      </c>
      <c r="F29" s="27">
        <v>5755766</v>
      </c>
      <c r="G29" s="27">
        <v>12701446</v>
      </c>
      <c r="H29" s="27"/>
      <c r="I29" s="27"/>
      <c r="J29" s="27"/>
      <c r="K29" s="27"/>
      <c r="L29" s="27"/>
      <c r="M29" s="27"/>
      <c r="N29" s="6">
        <f>SUM(E29:M29)</f>
        <v>23201097</v>
      </c>
    </row>
    <row r="30" spans="1:14" x14ac:dyDescent="0.35">
      <c r="A30" s="1">
        <f t="shared" si="0"/>
        <v>30</v>
      </c>
      <c r="B30" s="3"/>
      <c r="D30" s="27"/>
      <c r="E30" s="27"/>
      <c r="F30" s="27"/>
      <c r="G30" s="27"/>
      <c r="H30" s="27"/>
      <c r="I30" s="27"/>
      <c r="J30" s="27"/>
      <c r="K30" s="27"/>
      <c r="L30" s="27"/>
      <c r="M30" s="27"/>
      <c r="N30" s="6"/>
    </row>
    <row r="31" spans="1:14" x14ac:dyDescent="0.35">
      <c r="A31" s="1">
        <f t="shared" si="0"/>
        <v>31</v>
      </c>
      <c r="B31" s="3">
        <v>12</v>
      </c>
      <c r="C31" t="s">
        <v>266</v>
      </c>
      <c r="D31" s="27">
        <v>1965365</v>
      </c>
      <c r="E31" s="27"/>
      <c r="F31" s="27"/>
      <c r="G31" s="27"/>
      <c r="H31" s="27"/>
      <c r="I31" s="27"/>
      <c r="J31" s="27"/>
      <c r="K31" s="27"/>
      <c r="L31" s="27"/>
      <c r="M31" s="27">
        <v>1965365</v>
      </c>
      <c r="N31" s="6">
        <f>SUM(E31:M31)</f>
        <v>1965365</v>
      </c>
    </row>
    <row r="32" spans="1:14" x14ac:dyDescent="0.35">
      <c r="A32" s="1">
        <f t="shared" si="0"/>
        <v>32</v>
      </c>
      <c r="B32" s="3"/>
      <c r="D32" s="27"/>
      <c r="E32" s="27"/>
      <c r="F32" s="27"/>
      <c r="G32" s="27"/>
      <c r="H32" s="27"/>
      <c r="I32" s="27"/>
      <c r="J32" s="27"/>
      <c r="K32" s="27"/>
      <c r="L32" s="27"/>
      <c r="M32" s="27"/>
      <c r="N32" s="6"/>
    </row>
    <row r="33" spans="1:14" x14ac:dyDescent="0.35">
      <c r="A33" s="1">
        <f t="shared" si="0"/>
        <v>33</v>
      </c>
      <c r="B33" s="3">
        <v>13</v>
      </c>
      <c r="C33" t="s">
        <v>18</v>
      </c>
      <c r="D33" s="27">
        <v>2809721</v>
      </c>
      <c r="E33" s="27"/>
      <c r="F33" s="27"/>
      <c r="G33" s="27"/>
      <c r="H33" s="27"/>
      <c r="I33" s="27">
        <v>2809721</v>
      </c>
      <c r="J33" s="27"/>
      <c r="K33" s="27"/>
      <c r="L33" s="27"/>
      <c r="M33" s="27"/>
      <c r="N33" s="6">
        <f>SUM(E33:M33)</f>
        <v>2809721</v>
      </c>
    </row>
    <row r="34" spans="1:14" x14ac:dyDescent="0.35">
      <c r="A34" s="1">
        <f t="shared" si="0"/>
        <v>34</v>
      </c>
      <c r="B34" s="3"/>
      <c r="D34" s="27"/>
      <c r="E34" s="27"/>
      <c r="F34" s="27"/>
      <c r="G34" s="27"/>
      <c r="H34" s="27"/>
      <c r="I34" s="27"/>
      <c r="J34" s="27"/>
      <c r="K34" s="27"/>
      <c r="L34" s="27"/>
      <c r="M34" s="27"/>
      <c r="N34" s="6"/>
    </row>
    <row r="35" spans="1:14" x14ac:dyDescent="0.35">
      <c r="A35" s="1">
        <f t="shared" si="0"/>
        <v>35</v>
      </c>
      <c r="B35" s="3">
        <v>14</v>
      </c>
      <c r="C35" t="s">
        <v>19</v>
      </c>
      <c r="D35" s="27">
        <v>14959125</v>
      </c>
      <c r="E35" s="27"/>
      <c r="F35" s="27"/>
      <c r="G35" s="27"/>
      <c r="H35" s="27"/>
      <c r="I35" s="27">
        <v>14959125</v>
      </c>
      <c r="J35" s="27"/>
      <c r="K35" s="27"/>
      <c r="L35" s="27"/>
      <c r="M35" s="27"/>
      <c r="N35" s="6">
        <f>SUM(E35:M35)</f>
        <v>14959125</v>
      </c>
    </row>
    <row r="36" spans="1:14" x14ac:dyDescent="0.35">
      <c r="A36" s="1">
        <f t="shared" si="0"/>
        <v>36</v>
      </c>
      <c r="B36" s="3"/>
      <c r="D36" s="27"/>
      <c r="E36" s="27"/>
      <c r="F36" s="27"/>
      <c r="G36" s="27"/>
      <c r="H36" s="27"/>
      <c r="I36" s="27"/>
      <c r="J36" s="27"/>
      <c r="K36" s="27"/>
      <c r="L36" s="27"/>
      <c r="M36" s="27"/>
      <c r="N36" s="6"/>
    </row>
    <row r="37" spans="1:14" x14ac:dyDescent="0.35">
      <c r="A37" s="1">
        <f t="shared" si="0"/>
        <v>37</v>
      </c>
      <c r="B37" s="3">
        <v>15</v>
      </c>
      <c r="C37" t="s">
        <v>20</v>
      </c>
      <c r="D37" s="27">
        <v>6050425</v>
      </c>
      <c r="E37" s="27"/>
      <c r="F37" s="27"/>
      <c r="G37" s="27">
        <v>6050425</v>
      </c>
      <c r="H37" s="27"/>
      <c r="I37" s="27"/>
      <c r="J37" s="27"/>
      <c r="K37" s="27"/>
      <c r="L37" s="27"/>
      <c r="M37" s="27"/>
      <c r="N37" s="6">
        <f>SUM(E37:M37)</f>
        <v>6050425</v>
      </c>
    </row>
    <row r="38" spans="1:14" x14ac:dyDescent="0.35">
      <c r="A38" s="1">
        <f t="shared" si="0"/>
        <v>38</v>
      </c>
      <c r="B38" s="3"/>
      <c r="D38" s="27"/>
      <c r="E38" s="27"/>
      <c r="F38" s="27"/>
      <c r="G38" s="27"/>
      <c r="H38" s="27"/>
      <c r="I38" s="27"/>
      <c r="J38" s="27"/>
      <c r="K38" s="27"/>
      <c r="L38" s="27"/>
      <c r="M38" s="27"/>
      <c r="N38" s="6"/>
    </row>
    <row r="39" spans="1:14" x14ac:dyDescent="0.35">
      <c r="A39" s="1">
        <f t="shared" si="0"/>
        <v>39</v>
      </c>
      <c r="B39" s="3">
        <v>15</v>
      </c>
      <c r="C39" t="s">
        <v>23</v>
      </c>
      <c r="D39" s="27">
        <v>14555837</v>
      </c>
      <c r="E39" s="27"/>
      <c r="F39" s="27"/>
      <c r="G39" s="27"/>
      <c r="H39" s="27"/>
      <c r="I39" s="27"/>
      <c r="J39" s="27"/>
      <c r="K39" s="27"/>
      <c r="L39" s="27"/>
      <c r="M39" s="27">
        <v>14555837</v>
      </c>
      <c r="N39" s="6">
        <f>SUM(E39:M39)</f>
        <v>14555837</v>
      </c>
    </row>
    <row r="40" spans="1:14" x14ac:dyDescent="0.35">
      <c r="A40" s="1">
        <f t="shared" si="0"/>
        <v>40</v>
      </c>
      <c r="B40" s="3"/>
      <c r="D40" s="27"/>
      <c r="E40" s="27"/>
      <c r="F40" s="27"/>
      <c r="G40" s="27"/>
      <c r="H40" s="27"/>
      <c r="I40" s="27"/>
      <c r="J40" s="27"/>
      <c r="K40" s="27"/>
      <c r="L40" s="27"/>
      <c r="M40" s="27"/>
      <c r="N40" s="6"/>
    </row>
    <row r="41" spans="1:14" x14ac:dyDescent="0.35">
      <c r="A41" s="1">
        <f t="shared" si="0"/>
        <v>41</v>
      </c>
      <c r="B41" s="3">
        <v>16</v>
      </c>
      <c r="C41" t="s">
        <v>272</v>
      </c>
      <c r="D41" s="27">
        <v>129093455</v>
      </c>
      <c r="E41" s="27"/>
      <c r="F41" s="27">
        <v>129093455</v>
      </c>
      <c r="G41" s="27"/>
      <c r="H41" s="27"/>
      <c r="I41" s="27"/>
      <c r="J41" s="27"/>
      <c r="K41" s="27"/>
      <c r="L41" s="27"/>
      <c r="M41" s="27"/>
      <c r="N41" s="6">
        <f>SUM(E41:M41)</f>
        <v>129093455</v>
      </c>
    </row>
    <row r="42" spans="1:14" x14ac:dyDescent="0.35">
      <c r="A42" s="1">
        <f t="shared" si="0"/>
        <v>42</v>
      </c>
      <c r="B42" s="3"/>
      <c r="D42" s="27"/>
      <c r="E42" s="27"/>
      <c r="F42" s="27"/>
      <c r="G42" s="27"/>
      <c r="H42" s="27"/>
      <c r="I42" s="27"/>
      <c r="J42" s="27"/>
      <c r="K42" s="27"/>
      <c r="L42" s="27"/>
      <c r="M42" s="27"/>
      <c r="N42" s="6"/>
    </row>
    <row r="43" spans="1:14" x14ac:dyDescent="0.35">
      <c r="A43" s="1">
        <f t="shared" si="0"/>
        <v>43</v>
      </c>
      <c r="B43" s="3">
        <v>17</v>
      </c>
      <c r="C43" t="s">
        <v>273</v>
      </c>
      <c r="D43" s="27">
        <v>917830</v>
      </c>
      <c r="E43" s="27"/>
      <c r="F43" s="27"/>
      <c r="G43" s="27"/>
      <c r="H43" s="27"/>
      <c r="I43" s="27"/>
      <c r="J43" s="27"/>
      <c r="K43" s="27"/>
      <c r="L43" s="27"/>
      <c r="M43" s="27">
        <v>917830</v>
      </c>
      <c r="N43" s="6">
        <f>SUM(E43:M43)</f>
        <v>917830</v>
      </c>
    </row>
    <row r="44" spans="1:14" x14ac:dyDescent="0.35">
      <c r="A44" s="1">
        <f t="shared" si="0"/>
        <v>44</v>
      </c>
      <c r="B44" s="3"/>
      <c r="D44" s="27"/>
      <c r="E44" s="27"/>
      <c r="F44" s="27"/>
      <c r="G44" s="27"/>
      <c r="H44" s="27"/>
      <c r="I44" s="27"/>
      <c r="J44" s="27"/>
      <c r="K44" s="27"/>
      <c r="L44" s="27"/>
      <c r="M44" s="27"/>
      <c r="N44" s="6"/>
    </row>
    <row r="45" spans="1:14" x14ac:dyDescent="0.35">
      <c r="A45" s="1">
        <f t="shared" si="0"/>
        <v>45</v>
      </c>
      <c r="B45" s="3">
        <v>17</v>
      </c>
      <c r="C45" t="s">
        <v>274</v>
      </c>
      <c r="D45" s="27">
        <v>5325572</v>
      </c>
      <c r="E45" s="27"/>
      <c r="F45" s="27"/>
      <c r="G45" s="27">
        <v>5325572</v>
      </c>
      <c r="H45" s="27"/>
      <c r="I45" s="27"/>
      <c r="J45" s="27"/>
      <c r="K45" s="27"/>
      <c r="L45" s="27"/>
      <c r="M45" s="27"/>
      <c r="N45" s="6">
        <f>SUM(E45:M45)</f>
        <v>5325572</v>
      </c>
    </row>
    <row r="46" spans="1:14" x14ac:dyDescent="0.35">
      <c r="A46" s="1">
        <f t="shared" si="0"/>
        <v>46</v>
      </c>
      <c r="B46" s="3"/>
      <c r="D46" s="27"/>
      <c r="E46" s="27"/>
      <c r="F46" s="27"/>
      <c r="G46" s="27"/>
      <c r="H46" s="27"/>
      <c r="I46" s="27"/>
      <c r="J46" s="27"/>
      <c r="K46" s="27"/>
      <c r="L46" s="27"/>
      <c r="M46" s="27"/>
      <c r="N46" s="6"/>
    </row>
    <row r="47" spans="1:14" x14ac:dyDescent="0.35">
      <c r="A47" s="1">
        <f t="shared" si="0"/>
        <v>47</v>
      </c>
      <c r="B47" s="3">
        <v>18</v>
      </c>
      <c r="C47" t="s">
        <v>275</v>
      </c>
      <c r="D47" s="27">
        <v>2163009</v>
      </c>
      <c r="E47" s="27"/>
      <c r="F47" s="27"/>
      <c r="G47" s="27"/>
      <c r="H47" s="27"/>
      <c r="I47" s="27">
        <v>2163009</v>
      </c>
      <c r="J47" s="27"/>
      <c r="K47" s="27"/>
      <c r="L47" s="27"/>
      <c r="M47" s="27"/>
      <c r="N47" s="6">
        <f>SUM(E47:M47)</f>
        <v>2163009</v>
      </c>
    </row>
    <row r="48" spans="1:14" x14ac:dyDescent="0.35">
      <c r="A48" s="1">
        <f t="shared" si="0"/>
        <v>48</v>
      </c>
      <c r="B48" s="3"/>
      <c r="D48" s="27"/>
      <c r="E48" s="27"/>
      <c r="F48" s="27"/>
      <c r="G48" s="27"/>
      <c r="H48" s="27"/>
      <c r="I48" s="27"/>
      <c r="J48" s="27"/>
      <c r="K48" s="27"/>
      <c r="L48" s="27"/>
      <c r="M48" s="27"/>
      <c r="N48" s="6"/>
    </row>
    <row r="49" spans="1:14" x14ac:dyDescent="0.35">
      <c r="A49" s="1">
        <f t="shared" si="0"/>
        <v>49</v>
      </c>
      <c r="B49" s="3">
        <v>19</v>
      </c>
      <c r="C49" t="s">
        <v>276</v>
      </c>
      <c r="D49" s="27">
        <v>260441</v>
      </c>
      <c r="E49" s="27"/>
      <c r="F49" s="27"/>
      <c r="G49" s="27"/>
      <c r="H49" s="27"/>
      <c r="I49" s="27">
        <v>260441</v>
      </c>
      <c r="J49" s="27"/>
      <c r="K49" s="27"/>
      <c r="L49" s="27"/>
      <c r="M49" s="27"/>
      <c r="N49" s="6">
        <f>SUM(E49:M49)</f>
        <v>260441</v>
      </c>
    </row>
    <row r="50" spans="1:14" x14ac:dyDescent="0.35">
      <c r="A50" s="1">
        <f t="shared" si="0"/>
        <v>50</v>
      </c>
      <c r="B50" s="3"/>
      <c r="D50" s="27"/>
      <c r="E50" s="27"/>
      <c r="F50" s="27"/>
      <c r="G50" s="27"/>
      <c r="H50" s="27"/>
      <c r="I50" s="27"/>
      <c r="J50" s="27"/>
      <c r="K50" s="27"/>
      <c r="L50" s="27"/>
      <c r="M50" s="27"/>
      <c r="N50" s="6"/>
    </row>
    <row r="51" spans="1:14" x14ac:dyDescent="0.35">
      <c r="A51" s="1">
        <f t="shared" si="0"/>
        <v>51</v>
      </c>
      <c r="B51" s="3">
        <v>20</v>
      </c>
      <c r="C51" t="s">
        <v>277</v>
      </c>
      <c r="D51" s="27">
        <v>1242055</v>
      </c>
      <c r="E51" s="27"/>
      <c r="F51" s="27"/>
      <c r="G51" s="27"/>
      <c r="H51" s="27">
        <v>1242055</v>
      </c>
      <c r="I51" s="27"/>
      <c r="J51" s="27"/>
      <c r="K51" s="27"/>
      <c r="L51" s="27"/>
      <c r="M51" s="27"/>
      <c r="N51" s="6">
        <f>SUM(E51:M51)</f>
        <v>1242055</v>
      </c>
    </row>
    <row r="52" spans="1:14" x14ac:dyDescent="0.35">
      <c r="A52" s="1">
        <f t="shared" si="0"/>
        <v>52</v>
      </c>
      <c r="B52" s="3"/>
      <c r="D52" s="27"/>
      <c r="E52" s="27"/>
      <c r="F52" s="27"/>
      <c r="G52" s="27"/>
      <c r="H52" s="27"/>
      <c r="I52" s="27"/>
      <c r="J52" s="27"/>
      <c r="K52" s="27"/>
      <c r="L52" s="27"/>
      <c r="M52" s="27"/>
      <c r="N52" s="6"/>
    </row>
    <row r="53" spans="1:14" x14ac:dyDescent="0.35">
      <c r="A53" s="1">
        <f t="shared" si="0"/>
        <v>53</v>
      </c>
      <c r="B53" s="3">
        <v>21</v>
      </c>
      <c r="C53" t="s">
        <v>278</v>
      </c>
      <c r="D53" s="27">
        <v>13126964</v>
      </c>
      <c r="E53" s="27"/>
      <c r="F53" s="27"/>
      <c r="G53" s="27"/>
      <c r="H53" s="27">
        <v>13126964</v>
      </c>
      <c r="I53" s="27"/>
      <c r="J53" s="27"/>
      <c r="K53" s="27"/>
      <c r="L53" s="27"/>
      <c r="M53" s="27"/>
      <c r="N53" s="6">
        <f>SUM(E53:M53)</f>
        <v>13126964</v>
      </c>
    </row>
    <row r="54" spans="1:14" x14ac:dyDescent="0.35">
      <c r="A54" s="1">
        <f t="shared" si="0"/>
        <v>54</v>
      </c>
      <c r="B54" s="3"/>
      <c r="D54" s="27"/>
      <c r="E54" s="27"/>
      <c r="F54" s="27"/>
      <c r="G54" s="27"/>
      <c r="H54" s="27"/>
      <c r="I54" s="27"/>
      <c r="J54" s="27"/>
      <c r="K54" s="27"/>
      <c r="L54" s="27"/>
      <c r="M54" s="27"/>
      <c r="N54" s="6"/>
    </row>
    <row r="55" spans="1:14" x14ac:dyDescent="0.35">
      <c r="A55" s="1">
        <f t="shared" si="0"/>
        <v>55</v>
      </c>
      <c r="B55" s="3">
        <v>22</v>
      </c>
      <c r="C55" t="s">
        <v>279</v>
      </c>
      <c r="D55" s="27">
        <v>2755438</v>
      </c>
      <c r="E55" s="27"/>
      <c r="F55" s="27"/>
      <c r="G55" s="27"/>
      <c r="H55" s="27"/>
      <c r="I55" s="27">
        <v>2755438</v>
      </c>
      <c r="J55" s="27"/>
      <c r="K55" s="27"/>
      <c r="L55" s="27"/>
      <c r="M55" s="27"/>
      <c r="N55" s="6">
        <f>SUM(E55:M55)</f>
        <v>2755438</v>
      </c>
    </row>
    <row r="56" spans="1:14" x14ac:dyDescent="0.35">
      <c r="A56" s="1">
        <f t="shared" si="0"/>
        <v>56</v>
      </c>
      <c r="B56" s="3"/>
      <c r="D56" s="27"/>
      <c r="E56" s="27"/>
      <c r="F56" s="27"/>
      <c r="G56" s="27"/>
      <c r="H56" s="27"/>
      <c r="I56" s="27"/>
      <c r="J56" s="27"/>
      <c r="K56" s="27"/>
      <c r="L56" s="27"/>
      <c r="M56" s="27"/>
      <c r="N56" s="6"/>
    </row>
    <row r="57" spans="1:14" x14ac:dyDescent="0.35">
      <c r="A57" s="1">
        <f t="shared" si="0"/>
        <v>57</v>
      </c>
      <c r="B57" s="3">
        <v>23</v>
      </c>
      <c r="C57" t="s">
        <v>280</v>
      </c>
      <c r="D57" s="27">
        <v>1050780</v>
      </c>
      <c r="E57" s="27"/>
      <c r="F57" s="27"/>
      <c r="G57" s="27">
        <v>1050780</v>
      </c>
      <c r="H57" s="27"/>
      <c r="I57" s="27"/>
      <c r="J57" s="27"/>
      <c r="K57" s="27"/>
      <c r="L57" s="27"/>
      <c r="M57" s="27"/>
      <c r="N57" s="6">
        <f>SUM(E57:M57)</f>
        <v>1050780</v>
      </c>
    </row>
    <row r="58" spans="1:14" x14ac:dyDescent="0.35">
      <c r="A58" s="1">
        <f t="shared" si="0"/>
        <v>58</v>
      </c>
      <c r="B58" s="3"/>
      <c r="D58" s="27"/>
      <c r="E58" s="27"/>
      <c r="F58" s="27"/>
      <c r="G58" s="27"/>
      <c r="H58" s="27"/>
      <c r="I58" s="27"/>
      <c r="J58" s="27"/>
      <c r="K58" s="27"/>
      <c r="L58" s="27"/>
      <c r="M58" s="27"/>
      <c r="N58" s="6"/>
    </row>
    <row r="59" spans="1:14" x14ac:dyDescent="0.35">
      <c r="A59" s="1">
        <f t="shared" si="0"/>
        <v>59</v>
      </c>
      <c r="B59" s="3">
        <v>24</v>
      </c>
      <c r="C59" t="s">
        <v>282</v>
      </c>
      <c r="D59" s="27">
        <v>2350114</v>
      </c>
      <c r="E59" s="27"/>
      <c r="F59" s="27"/>
      <c r="G59" s="27"/>
      <c r="H59" s="27"/>
      <c r="I59" s="27">
        <v>2350114</v>
      </c>
      <c r="J59" s="27"/>
      <c r="K59" s="27"/>
      <c r="L59" s="27"/>
      <c r="M59" s="27"/>
      <c r="N59" s="6">
        <f>SUM(E59:M59)</f>
        <v>2350114</v>
      </c>
    </row>
    <row r="60" spans="1:14" x14ac:dyDescent="0.35">
      <c r="A60" s="1">
        <f t="shared" si="0"/>
        <v>60</v>
      </c>
      <c r="B60" s="3"/>
      <c r="D60" s="27"/>
      <c r="E60" s="27"/>
      <c r="F60" s="27"/>
      <c r="G60" s="27"/>
      <c r="H60" s="27"/>
      <c r="I60" s="27"/>
      <c r="J60" s="27"/>
      <c r="K60" s="27"/>
      <c r="L60" s="27"/>
      <c r="M60" s="27"/>
      <c r="N60" s="6"/>
    </row>
    <row r="61" spans="1:14" x14ac:dyDescent="0.35">
      <c r="A61" s="1">
        <f t="shared" si="0"/>
        <v>61</v>
      </c>
      <c r="B61" s="3">
        <v>25</v>
      </c>
      <c r="C61" t="s">
        <v>283</v>
      </c>
      <c r="D61" s="27">
        <v>3866608</v>
      </c>
      <c r="E61" s="27"/>
      <c r="F61" s="27"/>
      <c r="G61" s="27"/>
      <c r="H61" s="27"/>
      <c r="I61" s="27">
        <v>3866608</v>
      </c>
      <c r="J61" s="27"/>
      <c r="K61" s="27"/>
      <c r="L61" s="27"/>
      <c r="M61" s="27"/>
      <c r="N61" s="6">
        <f>SUM(E61:M61)</f>
        <v>3866608</v>
      </c>
    </row>
    <row r="62" spans="1:14" x14ac:dyDescent="0.35">
      <c r="A62" s="1">
        <f t="shared" si="0"/>
        <v>62</v>
      </c>
      <c r="B62" s="3"/>
      <c r="D62" s="27"/>
      <c r="E62" s="27"/>
      <c r="F62" s="27"/>
      <c r="G62" s="27"/>
      <c r="H62" s="27"/>
      <c r="I62" s="27"/>
      <c r="J62" s="27"/>
      <c r="K62" s="27"/>
      <c r="L62" s="27"/>
      <c r="M62" s="27"/>
      <c r="N62" s="6"/>
    </row>
    <row r="63" spans="1:14" x14ac:dyDescent="0.35">
      <c r="A63" s="1">
        <f t="shared" si="0"/>
        <v>63</v>
      </c>
      <c r="B63" s="3">
        <v>26</v>
      </c>
      <c r="C63" t="s">
        <v>284</v>
      </c>
      <c r="D63" s="27">
        <v>431409</v>
      </c>
      <c r="E63" s="27"/>
      <c r="F63" s="27">
        <v>431409</v>
      </c>
      <c r="G63" s="27"/>
      <c r="H63" s="27"/>
      <c r="I63" s="27"/>
      <c r="J63" s="27"/>
      <c r="K63" s="27"/>
      <c r="L63" s="27"/>
      <c r="M63" s="27"/>
      <c r="N63" s="6">
        <f>SUM(E63:M63)</f>
        <v>431409</v>
      </c>
    </row>
    <row r="64" spans="1:14" x14ac:dyDescent="0.35">
      <c r="A64" s="1">
        <f t="shared" si="0"/>
        <v>64</v>
      </c>
      <c r="B64" s="3"/>
      <c r="D64" s="27"/>
      <c r="E64" s="27"/>
      <c r="F64" s="27"/>
      <c r="G64" s="27"/>
      <c r="H64" s="27"/>
      <c r="I64" s="27"/>
      <c r="J64" s="27"/>
      <c r="K64" s="27"/>
      <c r="L64" s="27"/>
      <c r="M64" s="27"/>
      <c r="N64" s="6"/>
    </row>
    <row r="65" spans="1:14" x14ac:dyDescent="0.35">
      <c r="A65" s="1">
        <f t="shared" si="0"/>
        <v>65</v>
      </c>
      <c r="B65" s="3"/>
      <c r="C65" t="s">
        <v>5</v>
      </c>
      <c r="D65" s="6">
        <f>SUM(D9:D63)</f>
        <v>1132461744</v>
      </c>
      <c r="E65" s="6">
        <f>SUM(E9:E63)</f>
        <v>4743885</v>
      </c>
      <c r="F65" s="6">
        <f t="shared" ref="F65:N65" si="1">SUM(F9:F63)</f>
        <v>135280630</v>
      </c>
      <c r="G65" s="6">
        <f t="shared" si="1"/>
        <v>25128223</v>
      </c>
      <c r="H65" s="6">
        <f t="shared" si="1"/>
        <v>94673063</v>
      </c>
      <c r="I65" s="6">
        <f t="shared" si="1"/>
        <v>787161637</v>
      </c>
      <c r="J65" s="6">
        <f t="shared" si="1"/>
        <v>46007358</v>
      </c>
      <c r="K65" s="6">
        <f t="shared" si="1"/>
        <v>3676274</v>
      </c>
      <c r="L65" s="6">
        <f t="shared" si="1"/>
        <v>18351642</v>
      </c>
      <c r="M65" s="6">
        <f t="shared" si="1"/>
        <v>17439032</v>
      </c>
      <c r="N65" s="6">
        <f t="shared" si="1"/>
        <v>1132461744</v>
      </c>
    </row>
    <row r="66" spans="1:14" x14ac:dyDescent="0.35">
      <c r="A66" s="1">
        <f t="shared" si="0"/>
        <v>66</v>
      </c>
      <c r="B66" s="3"/>
      <c r="D66" s="6"/>
      <c r="E66" s="6"/>
      <c r="F66" s="6"/>
      <c r="G66" s="6"/>
      <c r="H66" s="6"/>
      <c r="I66" s="6"/>
      <c r="J66" s="6"/>
      <c r="K66" s="6"/>
      <c r="L66" s="6"/>
      <c r="M66" s="6"/>
      <c r="N66" s="6"/>
    </row>
    <row r="67" spans="1:14" x14ac:dyDescent="0.35">
      <c r="A67" s="1">
        <f t="shared" si="0"/>
        <v>67</v>
      </c>
      <c r="B67" s="3"/>
      <c r="D67" s="6"/>
      <c r="E67" s="6"/>
      <c r="F67" s="6"/>
      <c r="G67" s="6"/>
      <c r="H67" s="6"/>
      <c r="I67" s="6"/>
      <c r="J67" s="6"/>
      <c r="K67" s="6"/>
      <c r="L67" s="6"/>
      <c r="M67" s="6"/>
      <c r="N67" s="6"/>
    </row>
    <row r="68" spans="1:14" x14ac:dyDescent="0.35">
      <c r="A68" s="1">
        <f t="shared" si="0"/>
        <v>68</v>
      </c>
      <c r="B68" s="7" t="s">
        <v>22</v>
      </c>
      <c r="C68" t="s">
        <v>302</v>
      </c>
    </row>
    <row r="69" spans="1:14" x14ac:dyDescent="0.35">
      <c r="A69" s="1">
        <f t="shared" si="0"/>
        <v>69</v>
      </c>
      <c r="C69" t="s">
        <v>337</v>
      </c>
    </row>
    <row r="70" spans="1:14" x14ac:dyDescent="0.35">
      <c r="A70" s="1">
        <f t="shared" si="0"/>
        <v>70</v>
      </c>
      <c r="C70" t="s">
        <v>336</v>
      </c>
    </row>
    <row r="71" spans="1:14" x14ac:dyDescent="0.35">
      <c r="A71" s="1">
        <f t="shared" si="0"/>
        <v>71</v>
      </c>
      <c r="C71" t="s">
        <v>303</v>
      </c>
    </row>
    <row r="72" spans="1:14" x14ac:dyDescent="0.35">
      <c r="A72" s="1">
        <f t="shared" ref="A72:A73" si="2">A71+1</f>
        <v>72</v>
      </c>
      <c r="C72" t="s">
        <v>338</v>
      </c>
    </row>
    <row r="73" spans="1:14" x14ac:dyDescent="0.35">
      <c r="A73" s="1">
        <f t="shared" si="2"/>
        <v>73</v>
      </c>
      <c r="C73" t="s">
        <v>339</v>
      </c>
    </row>
  </sheetData>
  <mergeCells count="1">
    <mergeCell ref="E6:N6"/>
  </mergeCells>
  <pageMargins left="0.7" right="0.7" top="0.75" bottom="0.75" header="0.3" footer="0.3"/>
  <pageSetup orientation="portrait" verticalDpi="300" r:id="rId1"/>
  <ignoredErrors>
    <ignoredError sqref="N28 N30:N31 N26 N24 N22 N20 N18 N16 N14 N12 N10 N9 N11 N13 N15 N17 N19 N21 N23 N25 N27 N38 N36 N34 N33 N35 N37 N39 N41:N63" formulaRange="1"/>
    <ignoredError sqref="E7:F7 M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8"/>
  <sheetViews>
    <sheetView zoomScale="80" zoomScaleNormal="80" workbookViewId="0">
      <selection activeCell="B1" sqref="B1"/>
    </sheetView>
  </sheetViews>
  <sheetFormatPr defaultColWidth="15.625" defaultRowHeight="13.5" x14ac:dyDescent="0.35"/>
  <cols>
    <col min="1" max="1" width="4.625" customWidth="1"/>
    <col min="2" max="2" width="10.625" customWidth="1"/>
    <col min="3" max="3" width="30.625" customWidth="1"/>
  </cols>
  <sheetData>
    <row r="1" spans="1:23" x14ac:dyDescent="0.35">
      <c r="A1" s="1">
        <v>1</v>
      </c>
      <c r="B1" t="str">
        <f>Plant!B1</f>
        <v>Workpaper 1.02 Surcharge Adjustment FINAL.xlsx</v>
      </c>
    </row>
    <row r="2" spans="1:23" x14ac:dyDescent="0.35">
      <c r="A2" s="1">
        <f>A1+1</f>
        <v>2</v>
      </c>
      <c r="B2" t="str">
        <f>Plant!B2</f>
        <v>Adjustment by RUS Account Number</v>
      </c>
    </row>
    <row r="3" spans="1:23" x14ac:dyDescent="0.35">
      <c r="A3" s="1">
        <f t="shared" ref="A3:A68" si="0">A2+1</f>
        <v>3</v>
      </c>
    </row>
    <row r="4" spans="1:23" ht="13.9" x14ac:dyDescent="0.4">
      <c r="A4" s="1">
        <f t="shared" si="0"/>
        <v>4</v>
      </c>
      <c r="B4" s="2" t="s">
        <v>24</v>
      </c>
      <c r="J4" s="2" t="s">
        <v>43</v>
      </c>
      <c r="P4" s="2" t="s">
        <v>287</v>
      </c>
    </row>
    <row r="5" spans="1:23" ht="13.9" x14ac:dyDescent="0.4">
      <c r="A5" s="1">
        <f t="shared" si="0"/>
        <v>5</v>
      </c>
      <c r="B5" s="2"/>
    </row>
    <row r="6" spans="1:23" x14ac:dyDescent="0.35">
      <c r="A6" s="1">
        <f t="shared" si="0"/>
        <v>6</v>
      </c>
      <c r="E6" s="33" t="s">
        <v>24</v>
      </c>
      <c r="F6" s="34"/>
      <c r="G6" s="35"/>
      <c r="K6" s="3" t="s">
        <v>44</v>
      </c>
      <c r="L6" s="33" t="s">
        <v>48</v>
      </c>
      <c r="M6" s="34"/>
      <c r="N6" s="35"/>
      <c r="Q6" s="3" t="s">
        <v>288</v>
      </c>
      <c r="R6" s="33" t="s">
        <v>294</v>
      </c>
      <c r="S6" s="35"/>
      <c r="T6" s="33" t="s">
        <v>293</v>
      </c>
      <c r="U6" s="35"/>
      <c r="V6" s="33" t="s">
        <v>295</v>
      </c>
      <c r="W6" s="35"/>
    </row>
    <row r="7" spans="1:23" x14ac:dyDescent="0.35">
      <c r="A7" s="1">
        <f t="shared" si="0"/>
        <v>7</v>
      </c>
      <c r="B7" s="3" t="s">
        <v>1</v>
      </c>
      <c r="C7" s="3"/>
      <c r="D7" s="3" t="s">
        <v>4</v>
      </c>
      <c r="E7" s="3" t="s">
        <v>25</v>
      </c>
      <c r="F7" s="3" t="s">
        <v>27</v>
      </c>
      <c r="H7" s="3" t="s">
        <v>286</v>
      </c>
      <c r="J7" s="3"/>
      <c r="K7" s="3" t="s">
        <v>45</v>
      </c>
      <c r="L7" s="3" t="s">
        <v>25</v>
      </c>
      <c r="M7" s="3" t="s">
        <v>27</v>
      </c>
      <c r="Q7" s="3" t="s">
        <v>290</v>
      </c>
      <c r="R7" s="3" t="s">
        <v>291</v>
      </c>
      <c r="S7" s="3" t="s">
        <v>292</v>
      </c>
      <c r="T7" s="3" t="s">
        <v>291</v>
      </c>
      <c r="U7" s="3" t="s">
        <v>292</v>
      </c>
      <c r="V7" s="3" t="s">
        <v>291</v>
      </c>
      <c r="W7" s="3" t="s">
        <v>292</v>
      </c>
    </row>
    <row r="8" spans="1:23" ht="13.9" thickBot="1" x14ac:dyDescent="0.4">
      <c r="A8" s="1">
        <f t="shared" si="0"/>
        <v>8</v>
      </c>
      <c r="B8" s="4" t="s">
        <v>2</v>
      </c>
      <c r="C8" s="4" t="s">
        <v>3</v>
      </c>
      <c r="D8" s="5">
        <v>43830</v>
      </c>
      <c r="E8" s="4" t="s">
        <v>26</v>
      </c>
      <c r="F8" s="4" t="s">
        <v>28</v>
      </c>
      <c r="G8" s="8" t="s">
        <v>5</v>
      </c>
      <c r="H8" s="8" t="s">
        <v>47</v>
      </c>
      <c r="J8" s="8" t="s">
        <v>32</v>
      </c>
      <c r="K8" s="8" t="s">
        <v>46</v>
      </c>
      <c r="L8" s="8" t="s">
        <v>26</v>
      </c>
      <c r="M8" s="8" t="s">
        <v>28</v>
      </c>
      <c r="N8" s="8" t="s">
        <v>47</v>
      </c>
      <c r="P8" s="8" t="s">
        <v>32</v>
      </c>
      <c r="Q8" s="8" t="s">
        <v>289</v>
      </c>
      <c r="R8" s="8" t="s">
        <v>47</v>
      </c>
      <c r="S8" s="8" t="s">
        <v>47</v>
      </c>
      <c r="T8" s="8" t="s">
        <v>47</v>
      </c>
      <c r="U8" s="8" t="s">
        <v>47</v>
      </c>
      <c r="V8" s="8" t="s">
        <v>47</v>
      </c>
      <c r="W8" s="8" t="s">
        <v>47</v>
      </c>
    </row>
    <row r="9" spans="1:23" x14ac:dyDescent="0.35">
      <c r="A9" s="1">
        <f t="shared" si="0"/>
        <v>9</v>
      </c>
    </row>
    <row r="10" spans="1:23" x14ac:dyDescent="0.35">
      <c r="A10" s="1">
        <f t="shared" si="0"/>
        <v>10</v>
      </c>
      <c r="B10" s="3">
        <v>1</v>
      </c>
      <c r="C10" t="s">
        <v>7</v>
      </c>
      <c r="D10" s="27">
        <v>26095112</v>
      </c>
      <c r="E10" s="27">
        <v>26095112</v>
      </c>
      <c r="F10" s="27">
        <v>0</v>
      </c>
      <c r="G10" s="6">
        <f>E10+F10</f>
        <v>26095112</v>
      </c>
      <c r="H10" s="6">
        <v>0</v>
      </c>
      <c r="J10" s="9" t="s">
        <v>270</v>
      </c>
      <c r="K10" s="27">
        <v>2750249</v>
      </c>
      <c r="L10" s="6">
        <f>K10-M10-N10</f>
        <v>2672454</v>
      </c>
      <c r="M10" s="6">
        <f>12523+14851+1</f>
        <v>27375</v>
      </c>
      <c r="N10" s="6">
        <v>50420</v>
      </c>
      <c r="P10" s="9" t="s">
        <v>270</v>
      </c>
      <c r="Q10" s="6">
        <f>R10+T10+V10</f>
        <v>121296</v>
      </c>
      <c r="R10" s="6">
        <v>0</v>
      </c>
      <c r="S10" s="6">
        <v>0</v>
      </c>
      <c r="T10" s="6">
        <v>121296</v>
      </c>
      <c r="U10" s="6">
        <v>728096</v>
      </c>
      <c r="V10" s="6">
        <v>0</v>
      </c>
      <c r="W10" s="6">
        <v>0</v>
      </c>
    </row>
    <row r="11" spans="1:23" x14ac:dyDescent="0.35">
      <c r="A11" s="1">
        <f t="shared" si="0"/>
        <v>11</v>
      </c>
      <c r="B11" s="3"/>
      <c r="D11" s="27"/>
      <c r="E11" s="27"/>
      <c r="F11" s="27"/>
      <c r="G11" s="6"/>
      <c r="J11" s="9"/>
      <c r="K11" s="27"/>
      <c r="L11" s="6"/>
      <c r="M11" s="6"/>
      <c r="N11" s="6"/>
      <c r="P11" s="9"/>
      <c r="Q11" s="6"/>
      <c r="R11" s="6"/>
      <c r="S11" s="6"/>
      <c r="T11" s="6"/>
      <c r="U11" s="6"/>
      <c r="V11" s="6"/>
      <c r="W11" s="6"/>
    </row>
    <row r="12" spans="1:23" x14ac:dyDescent="0.35">
      <c r="A12" s="1">
        <f t="shared" si="0"/>
        <v>12</v>
      </c>
      <c r="B12" s="3">
        <v>2</v>
      </c>
      <c r="C12" t="s">
        <v>8</v>
      </c>
      <c r="D12" s="27">
        <v>11556009</v>
      </c>
      <c r="E12" s="27">
        <v>11556009</v>
      </c>
      <c r="F12" s="27">
        <v>0</v>
      </c>
      <c r="G12" s="6">
        <f>E12+F12</f>
        <v>11556009</v>
      </c>
      <c r="H12" s="6">
        <v>0</v>
      </c>
      <c r="J12" s="9" t="s">
        <v>33</v>
      </c>
      <c r="K12" s="27">
        <v>2746583</v>
      </c>
      <c r="L12" s="6">
        <f>K12-M12-N12</f>
        <v>2668788</v>
      </c>
      <c r="M12" s="6">
        <f>12523+14851+1</f>
        <v>27375</v>
      </c>
      <c r="N12" s="6">
        <v>50420</v>
      </c>
      <c r="P12" s="9" t="s">
        <v>33</v>
      </c>
      <c r="Q12" s="6">
        <f>R12+T12+V12</f>
        <v>121296</v>
      </c>
      <c r="R12" s="6">
        <v>0</v>
      </c>
      <c r="S12" s="6">
        <v>0</v>
      </c>
      <c r="T12" s="6">
        <v>121296</v>
      </c>
      <c r="U12" s="6">
        <v>849392</v>
      </c>
      <c r="V12" s="6">
        <v>0</v>
      </c>
      <c r="W12" s="6">
        <v>0</v>
      </c>
    </row>
    <row r="13" spans="1:23" x14ac:dyDescent="0.35">
      <c r="A13" s="1">
        <f t="shared" si="0"/>
        <v>13</v>
      </c>
      <c r="B13" s="3"/>
      <c r="D13" s="27"/>
      <c r="E13" s="27"/>
      <c r="F13" s="27"/>
      <c r="G13" s="6"/>
      <c r="J13" s="9"/>
      <c r="K13" s="27"/>
      <c r="L13" s="6"/>
      <c r="M13" s="6"/>
      <c r="N13" s="6"/>
      <c r="P13" s="9"/>
      <c r="Q13" s="6"/>
      <c r="R13" s="6"/>
      <c r="S13" s="6"/>
      <c r="T13" s="6"/>
      <c r="U13" s="6"/>
      <c r="V13" s="6"/>
      <c r="W13" s="6"/>
    </row>
    <row r="14" spans="1:23" x14ac:dyDescent="0.35">
      <c r="A14" s="1">
        <f t="shared" si="0"/>
        <v>14</v>
      </c>
      <c r="B14" s="3">
        <v>3</v>
      </c>
      <c r="C14" t="s">
        <v>9</v>
      </c>
      <c r="D14" s="27">
        <v>39748563</v>
      </c>
      <c r="E14" s="27">
        <v>39748563</v>
      </c>
      <c r="F14" s="27">
        <v>0</v>
      </c>
      <c r="G14" s="6">
        <f>E14+F14</f>
        <v>39748563</v>
      </c>
      <c r="H14" s="6">
        <v>0</v>
      </c>
      <c r="J14" s="9" t="s">
        <v>34</v>
      </c>
      <c r="K14" s="27">
        <v>2746583</v>
      </c>
      <c r="L14" s="6">
        <f>K14-M14-N14</f>
        <v>2668788</v>
      </c>
      <c r="M14" s="6">
        <f>12523+14851+1</f>
        <v>27375</v>
      </c>
      <c r="N14" s="6">
        <v>50420</v>
      </c>
      <c r="P14" s="9" t="s">
        <v>34</v>
      </c>
      <c r="Q14" s="6">
        <f>R14+T14+V14</f>
        <v>121296</v>
      </c>
      <c r="R14" s="6">
        <v>0</v>
      </c>
      <c r="S14" s="6">
        <v>0</v>
      </c>
      <c r="T14" s="6">
        <v>121296</v>
      </c>
      <c r="U14" s="6">
        <v>970688</v>
      </c>
      <c r="V14" s="6">
        <v>0</v>
      </c>
      <c r="W14" s="6">
        <v>0</v>
      </c>
    </row>
    <row r="15" spans="1:23" x14ac:dyDescent="0.35">
      <c r="A15" s="1">
        <f t="shared" si="0"/>
        <v>15</v>
      </c>
      <c r="B15" s="3"/>
      <c r="D15" s="27"/>
      <c r="E15" s="27"/>
      <c r="F15" s="27"/>
      <c r="G15" s="6"/>
      <c r="J15" s="9"/>
      <c r="K15" s="27"/>
      <c r="L15" s="6"/>
      <c r="M15" s="6"/>
      <c r="N15" s="6"/>
      <c r="P15" s="9"/>
      <c r="Q15" s="6"/>
      <c r="R15" s="6"/>
      <c r="S15" s="6"/>
      <c r="T15" s="6"/>
      <c r="U15" s="6"/>
      <c r="V15" s="6"/>
      <c r="W15" s="6"/>
    </row>
    <row r="16" spans="1:23" x14ac:dyDescent="0.35">
      <c r="A16" s="1">
        <f t="shared" si="0"/>
        <v>16</v>
      </c>
      <c r="B16" s="3">
        <v>4</v>
      </c>
      <c r="C16" t="s">
        <v>10</v>
      </c>
      <c r="D16" s="27">
        <v>24949253</v>
      </c>
      <c r="E16" s="27">
        <v>24949253</v>
      </c>
      <c r="F16" s="27">
        <v>0</v>
      </c>
      <c r="G16" s="6">
        <f>E16+F16</f>
        <v>24949253</v>
      </c>
      <c r="H16" s="6">
        <v>0</v>
      </c>
      <c r="J16" s="9" t="s">
        <v>35</v>
      </c>
      <c r="K16" s="27">
        <v>2839451</v>
      </c>
      <c r="L16" s="6">
        <f>K16-M16-N16</f>
        <v>2761656</v>
      </c>
      <c r="M16" s="6">
        <f>12523+14851+1</f>
        <v>27375</v>
      </c>
      <c r="N16" s="6">
        <v>50420</v>
      </c>
      <c r="P16" s="9" t="s">
        <v>35</v>
      </c>
      <c r="Q16" s="6">
        <f>R16+T16+V16</f>
        <v>241428.9</v>
      </c>
      <c r="R16" s="6">
        <v>81890</v>
      </c>
      <c r="S16" s="6">
        <v>81890</v>
      </c>
      <c r="T16" s="6">
        <v>121296</v>
      </c>
      <c r="U16" s="6">
        <v>1091984</v>
      </c>
      <c r="V16" s="6">
        <f>21324.6+16918.3</f>
        <v>38242.899999999994</v>
      </c>
      <c r="W16" s="6">
        <v>38243</v>
      </c>
    </row>
    <row r="17" spans="1:23" x14ac:dyDescent="0.35">
      <c r="A17" s="1">
        <f t="shared" si="0"/>
        <v>17</v>
      </c>
      <c r="B17" s="3"/>
      <c r="D17" s="27"/>
      <c r="E17" s="27"/>
      <c r="F17" s="27"/>
      <c r="G17" s="6"/>
      <c r="J17" s="9"/>
      <c r="K17" s="27"/>
      <c r="L17" s="6"/>
      <c r="M17" s="6"/>
      <c r="N17" s="6"/>
      <c r="P17" s="9"/>
      <c r="Q17" s="6"/>
      <c r="R17" s="6"/>
      <c r="S17" s="6"/>
      <c r="T17" s="6"/>
      <c r="U17" s="6"/>
      <c r="V17" s="6"/>
      <c r="W17" s="6"/>
    </row>
    <row r="18" spans="1:23" x14ac:dyDescent="0.35">
      <c r="A18" s="1">
        <f t="shared" si="0"/>
        <v>18</v>
      </c>
      <c r="B18" s="3">
        <v>6</v>
      </c>
      <c r="C18" t="s">
        <v>11</v>
      </c>
      <c r="D18" s="27">
        <v>1029524</v>
      </c>
      <c r="E18" s="27">
        <v>1029524</v>
      </c>
      <c r="F18" s="27">
        <v>0</v>
      </c>
      <c r="G18" s="6">
        <f>E18+F18</f>
        <v>1029524</v>
      </c>
      <c r="H18" s="6">
        <v>0</v>
      </c>
      <c r="J18" s="9" t="s">
        <v>36</v>
      </c>
      <c r="K18" s="27">
        <v>2829265</v>
      </c>
      <c r="L18" s="6">
        <f>K18-M18-N18</f>
        <v>2751470</v>
      </c>
      <c r="M18" s="6">
        <f>12523+14851+1</f>
        <v>27375</v>
      </c>
      <c r="N18" s="6">
        <v>50420</v>
      </c>
      <c r="P18" s="9" t="s">
        <v>36</v>
      </c>
      <c r="Q18" s="6">
        <f>R18+T18+V18</f>
        <v>241428.9</v>
      </c>
      <c r="R18" s="6">
        <v>81890</v>
      </c>
      <c r="S18" s="6">
        <v>163780</v>
      </c>
      <c r="T18" s="6">
        <v>121296</v>
      </c>
      <c r="U18" s="6">
        <v>1213280</v>
      </c>
      <c r="V18" s="6">
        <f>21324.6+16918.3</f>
        <v>38242.899999999994</v>
      </c>
      <c r="W18" s="6">
        <v>76486</v>
      </c>
    </row>
    <row r="19" spans="1:23" x14ac:dyDescent="0.35">
      <c r="A19" s="1">
        <f t="shared" si="0"/>
        <v>19</v>
      </c>
      <c r="B19" s="3"/>
      <c r="D19" s="27"/>
      <c r="E19" s="27"/>
      <c r="F19" s="27"/>
      <c r="G19" s="6"/>
      <c r="J19" s="9"/>
      <c r="K19" s="27"/>
      <c r="L19" s="6"/>
      <c r="M19" s="6"/>
      <c r="N19" s="6"/>
      <c r="P19" s="9"/>
      <c r="Q19" s="6"/>
      <c r="R19" s="6"/>
      <c r="S19" s="6"/>
      <c r="T19" s="6"/>
      <c r="U19" s="6"/>
      <c r="V19" s="6"/>
      <c r="W19" s="6"/>
    </row>
    <row r="20" spans="1:23" x14ac:dyDescent="0.35">
      <c r="A20" s="1">
        <f t="shared" si="0"/>
        <v>20</v>
      </c>
      <c r="B20" s="3">
        <v>7</v>
      </c>
      <c r="C20" t="s">
        <v>12</v>
      </c>
      <c r="D20" s="27">
        <v>66780653</v>
      </c>
      <c r="E20" s="27">
        <v>65140089</v>
      </c>
      <c r="F20" s="27">
        <v>1640564</v>
      </c>
      <c r="G20" s="6">
        <f>E20+F20</f>
        <v>66780653</v>
      </c>
      <c r="H20" s="6">
        <v>0</v>
      </c>
      <c r="J20" s="9" t="s">
        <v>37</v>
      </c>
      <c r="K20" s="27">
        <v>2832944</v>
      </c>
      <c r="L20" s="6">
        <f>K20-M20-N20</f>
        <v>2755149</v>
      </c>
      <c r="M20" s="6">
        <f>12523+14851+1</f>
        <v>27375</v>
      </c>
      <c r="N20" s="6">
        <v>50420</v>
      </c>
      <c r="P20" s="9" t="s">
        <v>37</v>
      </c>
      <c r="Q20" s="6">
        <f>R20+T20+V20</f>
        <v>241428.9</v>
      </c>
      <c r="R20" s="6">
        <v>81890</v>
      </c>
      <c r="S20" s="6">
        <v>245671</v>
      </c>
      <c r="T20" s="6">
        <v>121296</v>
      </c>
      <c r="U20" s="6">
        <v>1334576</v>
      </c>
      <c r="V20" s="6">
        <f>21324.6+16918.3</f>
        <v>38242.899999999994</v>
      </c>
      <c r="W20" s="6">
        <v>114729</v>
      </c>
    </row>
    <row r="21" spans="1:23" x14ac:dyDescent="0.35">
      <c r="A21" s="1">
        <f t="shared" si="0"/>
        <v>21</v>
      </c>
      <c r="B21" s="3"/>
      <c r="D21" s="27"/>
      <c r="E21" s="27"/>
      <c r="F21" s="27"/>
      <c r="G21" s="6"/>
      <c r="J21" s="9"/>
      <c r="K21" s="27"/>
      <c r="L21" s="6"/>
      <c r="M21" s="6"/>
      <c r="N21" s="6"/>
      <c r="P21" s="9"/>
      <c r="Q21" s="6"/>
      <c r="R21" s="6"/>
      <c r="S21" s="6"/>
      <c r="T21" s="6"/>
      <c r="U21" s="6"/>
      <c r="V21" s="6"/>
      <c r="W21" s="6"/>
    </row>
    <row r="22" spans="1:23" x14ac:dyDescent="0.35">
      <c r="A22" s="1">
        <f t="shared" si="0"/>
        <v>22</v>
      </c>
      <c r="B22" s="3">
        <v>8</v>
      </c>
      <c r="C22" t="s">
        <v>13</v>
      </c>
      <c r="D22" s="27">
        <v>49473054</v>
      </c>
      <c r="E22" s="27">
        <v>47631512</v>
      </c>
      <c r="F22" s="27">
        <v>1841542</v>
      </c>
      <c r="G22" s="6">
        <f>E22+F22</f>
        <v>49473054</v>
      </c>
      <c r="H22" s="6">
        <v>0</v>
      </c>
      <c r="J22" s="9" t="s">
        <v>38</v>
      </c>
      <c r="K22" s="27">
        <v>2832919</v>
      </c>
      <c r="L22" s="6">
        <f>K22-M22-N22</f>
        <v>2755124</v>
      </c>
      <c r="M22" s="6">
        <f>12523+14851+1</f>
        <v>27375</v>
      </c>
      <c r="N22" s="6">
        <v>50420</v>
      </c>
      <c r="P22" s="9" t="s">
        <v>38</v>
      </c>
      <c r="Q22" s="6">
        <f>R22+T22+V22</f>
        <v>241428.9</v>
      </c>
      <c r="R22" s="6">
        <v>81890</v>
      </c>
      <c r="S22" s="6">
        <v>327561</v>
      </c>
      <c r="T22" s="6">
        <v>121296</v>
      </c>
      <c r="U22" s="6">
        <v>1455872</v>
      </c>
      <c r="V22" s="6">
        <f>21324.6+16918.3</f>
        <v>38242.899999999994</v>
      </c>
      <c r="W22" s="6">
        <v>152972</v>
      </c>
    </row>
    <row r="23" spans="1:23" x14ac:dyDescent="0.35">
      <c r="A23" s="1">
        <f t="shared" si="0"/>
        <v>23</v>
      </c>
      <c r="B23" s="3"/>
      <c r="D23" s="27"/>
      <c r="E23" s="27"/>
      <c r="F23" s="27"/>
      <c r="G23" s="6"/>
      <c r="J23" s="9"/>
      <c r="K23" s="27"/>
      <c r="L23" s="6"/>
      <c r="M23" s="6"/>
      <c r="N23" s="6"/>
      <c r="P23" s="9"/>
      <c r="Q23" s="6"/>
      <c r="R23" s="6"/>
      <c r="S23" s="6"/>
      <c r="T23" s="6"/>
      <c r="U23" s="6"/>
      <c r="V23" s="6"/>
      <c r="W23" s="6"/>
    </row>
    <row r="24" spans="1:23" x14ac:dyDescent="0.35">
      <c r="A24" s="1">
        <f t="shared" si="0"/>
        <v>24</v>
      </c>
      <c r="B24" s="3">
        <v>9</v>
      </c>
      <c r="C24" t="s">
        <v>14</v>
      </c>
      <c r="D24" s="27">
        <v>25126662</v>
      </c>
      <c r="E24" s="27">
        <v>25126662</v>
      </c>
      <c r="F24" s="27">
        <v>0</v>
      </c>
      <c r="G24" s="6">
        <f>E24+F24</f>
        <v>25126662</v>
      </c>
      <c r="H24" s="6">
        <v>0</v>
      </c>
      <c r="J24" s="9" t="s">
        <v>39</v>
      </c>
      <c r="K24" s="27">
        <v>2832921</v>
      </c>
      <c r="L24" s="6">
        <f>K24-M24-N24</f>
        <v>2755126</v>
      </c>
      <c r="M24" s="6">
        <f>12523+14851+1</f>
        <v>27375</v>
      </c>
      <c r="N24" s="6">
        <v>50420</v>
      </c>
      <c r="P24" s="9" t="s">
        <v>39</v>
      </c>
      <c r="Q24" s="6">
        <f>R24+T24+V24</f>
        <v>241428.9</v>
      </c>
      <c r="R24" s="6">
        <v>81890</v>
      </c>
      <c r="S24" s="6">
        <v>409451</v>
      </c>
      <c r="T24" s="6">
        <v>121296</v>
      </c>
      <c r="U24" s="6">
        <v>1577168</v>
      </c>
      <c r="V24" s="6">
        <f>21324.6+16918.3</f>
        <v>38242.899999999994</v>
      </c>
      <c r="W24" s="6">
        <v>191215</v>
      </c>
    </row>
    <row r="25" spans="1:23" x14ac:dyDescent="0.35">
      <c r="A25" s="1">
        <f t="shared" si="0"/>
        <v>25</v>
      </c>
      <c r="B25" s="3"/>
      <c r="D25" s="27"/>
      <c r="E25" s="27"/>
      <c r="F25" s="27"/>
      <c r="G25" s="6"/>
      <c r="J25" s="9"/>
      <c r="K25" s="27"/>
      <c r="L25" s="6"/>
      <c r="M25" s="6"/>
      <c r="N25" s="6"/>
      <c r="P25" s="9"/>
      <c r="Q25" s="6"/>
      <c r="R25" s="6"/>
      <c r="S25" s="6"/>
      <c r="T25" s="6"/>
      <c r="U25" s="6"/>
      <c r="V25" s="6"/>
      <c r="W25" s="6"/>
    </row>
    <row r="26" spans="1:23" x14ac:dyDescent="0.35">
      <c r="A26" s="1">
        <f t="shared" si="0"/>
        <v>26</v>
      </c>
      <c r="B26" s="3">
        <v>10</v>
      </c>
      <c r="C26" t="s">
        <v>15</v>
      </c>
      <c r="D26" s="27">
        <v>748057</v>
      </c>
      <c r="E26" s="27">
        <v>748057</v>
      </c>
      <c r="F26" s="27">
        <v>0</v>
      </c>
      <c r="G26" s="6">
        <f>E26+F26</f>
        <v>748057</v>
      </c>
      <c r="H26" s="6">
        <v>0</v>
      </c>
      <c r="J26" s="9" t="s">
        <v>40</v>
      </c>
      <c r="K26" s="27">
        <v>2832919</v>
      </c>
      <c r="L26" s="6">
        <f>K26-M26-N26</f>
        <v>2755124</v>
      </c>
      <c r="M26" s="6">
        <f>12523+14851+1</f>
        <v>27375</v>
      </c>
      <c r="N26" s="6">
        <v>50420</v>
      </c>
      <c r="P26" s="9" t="s">
        <v>40</v>
      </c>
      <c r="Q26" s="6">
        <f>R26+T26+V26</f>
        <v>241428.9</v>
      </c>
      <c r="R26" s="6">
        <v>81890</v>
      </c>
      <c r="S26" s="6">
        <v>491341</v>
      </c>
      <c r="T26" s="6">
        <v>121296</v>
      </c>
      <c r="U26" s="6">
        <v>1698464</v>
      </c>
      <c r="V26" s="6">
        <f>21324.6+16918.3</f>
        <v>38242.899999999994</v>
      </c>
      <c r="W26" s="6">
        <v>229457</v>
      </c>
    </row>
    <row r="27" spans="1:23" x14ac:dyDescent="0.35">
      <c r="A27" s="1">
        <f t="shared" si="0"/>
        <v>27</v>
      </c>
      <c r="B27" s="3"/>
      <c r="D27" s="27"/>
      <c r="E27" s="27"/>
      <c r="F27" s="27"/>
      <c r="G27" s="6"/>
      <c r="J27" s="9"/>
      <c r="K27" s="27"/>
      <c r="L27" s="6"/>
      <c r="M27" s="6"/>
      <c r="N27" s="6"/>
      <c r="P27" s="9"/>
      <c r="Q27" s="6"/>
      <c r="R27" s="6"/>
      <c r="S27" s="6"/>
      <c r="T27" s="6"/>
      <c r="U27" s="6"/>
      <c r="V27" s="6"/>
      <c r="W27" s="6"/>
    </row>
    <row r="28" spans="1:23" x14ac:dyDescent="0.35">
      <c r="A28" s="1">
        <f t="shared" si="0"/>
        <v>28</v>
      </c>
      <c r="B28" s="3">
        <v>11</v>
      </c>
      <c r="C28" t="s">
        <v>16</v>
      </c>
      <c r="D28" s="27">
        <v>92751314</v>
      </c>
      <c r="E28" s="27">
        <v>92751314</v>
      </c>
      <c r="F28" s="27">
        <v>0</v>
      </c>
      <c r="G28" s="6">
        <f>E28+F28</f>
        <v>92751314</v>
      </c>
      <c r="H28" s="6">
        <v>0</v>
      </c>
      <c r="J28" s="9" t="s">
        <v>41</v>
      </c>
      <c r="K28" s="27">
        <v>2832919</v>
      </c>
      <c r="L28" s="6">
        <f>K28-M28-N28</f>
        <v>2755124</v>
      </c>
      <c r="M28" s="6">
        <f>12523+14851+1</f>
        <v>27375</v>
      </c>
      <c r="N28" s="6">
        <v>50420</v>
      </c>
      <c r="P28" s="9" t="s">
        <v>41</v>
      </c>
      <c r="Q28" s="6">
        <f>R28+T28+V28</f>
        <v>241428.9</v>
      </c>
      <c r="R28" s="6">
        <v>81890</v>
      </c>
      <c r="S28" s="6">
        <v>573232</v>
      </c>
      <c r="T28" s="6">
        <v>121296</v>
      </c>
      <c r="U28" s="6">
        <v>1819760</v>
      </c>
      <c r="V28" s="6">
        <f>21324.6+16918.3</f>
        <v>38242.899999999994</v>
      </c>
      <c r="W28" s="6">
        <v>267700</v>
      </c>
    </row>
    <row r="29" spans="1:23" x14ac:dyDescent="0.35">
      <c r="A29" s="1">
        <f t="shared" si="0"/>
        <v>29</v>
      </c>
      <c r="B29" s="3"/>
      <c r="D29" s="27"/>
      <c r="E29" s="27"/>
      <c r="F29" s="27"/>
      <c r="G29" s="6"/>
      <c r="J29" s="9"/>
      <c r="K29" s="27"/>
      <c r="L29" s="6"/>
      <c r="M29" s="6"/>
      <c r="N29" s="6"/>
      <c r="P29" s="9"/>
      <c r="Q29" s="6"/>
      <c r="R29" s="6"/>
      <c r="S29" s="6"/>
      <c r="T29" s="6"/>
      <c r="U29" s="6"/>
      <c r="V29" s="6"/>
      <c r="W29" s="6"/>
    </row>
    <row r="30" spans="1:23" x14ac:dyDescent="0.35">
      <c r="A30" s="1">
        <f t="shared" si="0"/>
        <v>30</v>
      </c>
      <c r="B30" s="3">
        <v>12</v>
      </c>
      <c r="C30" t="s">
        <v>17</v>
      </c>
      <c r="D30" s="27">
        <v>0</v>
      </c>
      <c r="E30" s="27">
        <v>0</v>
      </c>
      <c r="F30" s="27">
        <v>0</v>
      </c>
      <c r="G30" s="6">
        <f>E30+F30</f>
        <v>0</v>
      </c>
      <c r="H30" s="6">
        <v>0</v>
      </c>
      <c r="J30" s="9" t="s">
        <v>42</v>
      </c>
      <c r="K30" s="27">
        <v>2856379</v>
      </c>
      <c r="L30" s="6">
        <f>K30-M30-N30</f>
        <v>2778584</v>
      </c>
      <c r="M30" s="6">
        <f>12523+14851+1</f>
        <v>27375</v>
      </c>
      <c r="N30" s="6">
        <v>50420</v>
      </c>
      <c r="P30" s="9" t="s">
        <v>42</v>
      </c>
      <c r="Q30" s="6">
        <f>R30+T30+V30</f>
        <v>241428.9</v>
      </c>
      <c r="R30" s="6">
        <v>81890</v>
      </c>
      <c r="S30" s="6">
        <v>655122</v>
      </c>
      <c r="T30" s="6">
        <v>121296</v>
      </c>
      <c r="U30" s="6">
        <v>1941056</v>
      </c>
      <c r="V30" s="6">
        <f>21324.6+16918.3</f>
        <v>38242.899999999994</v>
      </c>
      <c r="W30" s="6">
        <v>305943</v>
      </c>
    </row>
    <row r="31" spans="1:23" x14ac:dyDescent="0.35">
      <c r="A31" s="1">
        <f t="shared" si="0"/>
        <v>31</v>
      </c>
      <c r="B31" s="3"/>
      <c r="D31" s="27"/>
      <c r="E31" s="27"/>
      <c r="F31" s="27"/>
      <c r="G31" s="6"/>
      <c r="J31" s="9"/>
      <c r="K31" s="27"/>
      <c r="L31" s="6"/>
      <c r="M31" s="6"/>
      <c r="N31" s="6"/>
      <c r="P31" s="9"/>
      <c r="Q31" s="6"/>
      <c r="R31" s="6"/>
      <c r="S31" s="6"/>
      <c r="T31" s="6"/>
      <c r="U31" s="6"/>
      <c r="V31" s="6"/>
      <c r="W31" s="6"/>
    </row>
    <row r="32" spans="1:23" x14ac:dyDescent="0.35">
      <c r="A32" s="1">
        <f t="shared" si="0"/>
        <v>32</v>
      </c>
      <c r="B32" s="3">
        <v>13</v>
      </c>
      <c r="C32" t="s">
        <v>18</v>
      </c>
      <c r="D32" s="27">
        <v>786721</v>
      </c>
      <c r="E32" s="27">
        <v>786721</v>
      </c>
      <c r="F32" s="27">
        <v>0</v>
      </c>
      <c r="G32" s="6">
        <f>E32+F32</f>
        <v>786721</v>
      </c>
      <c r="H32" s="6">
        <v>0</v>
      </c>
      <c r="J32" s="9" t="s">
        <v>269</v>
      </c>
      <c r="K32" s="27">
        <v>2834222</v>
      </c>
      <c r="L32" s="6">
        <f>K32-M32-N32</f>
        <v>2756427</v>
      </c>
      <c r="M32" s="6">
        <f>12523+14851+1</f>
        <v>27375</v>
      </c>
      <c r="N32" s="6">
        <f>50420</f>
        <v>50420</v>
      </c>
      <c r="P32" s="9" t="s">
        <v>269</v>
      </c>
      <c r="Q32" s="6">
        <f>R32+T32+V32</f>
        <v>241428.9</v>
      </c>
      <c r="R32" s="6">
        <v>81890</v>
      </c>
      <c r="S32" s="6">
        <v>737012</v>
      </c>
      <c r="T32" s="6">
        <v>121296</v>
      </c>
      <c r="U32" s="6">
        <v>2062352</v>
      </c>
      <c r="V32" s="6">
        <f>21324.6+16918.3</f>
        <v>38242.899999999994</v>
      </c>
      <c r="W32" s="6">
        <v>344186</v>
      </c>
    </row>
    <row r="33" spans="1:23" x14ac:dyDescent="0.35">
      <c r="A33" s="1">
        <f t="shared" si="0"/>
        <v>33</v>
      </c>
      <c r="B33" s="3"/>
      <c r="D33" s="27"/>
      <c r="E33" s="27"/>
      <c r="F33" s="27"/>
      <c r="G33" s="6"/>
      <c r="J33" s="9"/>
      <c r="K33" s="6"/>
      <c r="L33" s="6"/>
      <c r="M33" s="6"/>
      <c r="N33" s="6"/>
      <c r="P33" s="9"/>
      <c r="Q33" s="6"/>
      <c r="R33" s="6"/>
      <c r="S33" s="6"/>
      <c r="T33" s="6"/>
      <c r="U33" s="6"/>
      <c r="V33" s="6"/>
      <c r="W33" s="6"/>
    </row>
    <row r="34" spans="1:23" x14ac:dyDescent="0.35">
      <c r="A34" s="1">
        <f t="shared" si="0"/>
        <v>34</v>
      </c>
      <c r="B34" s="3">
        <v>14</v>
      </c>
      <c r="C34" t="s">
        <v>19</v>
      </c>
      <c r="D34" s="27">
        <v>4249752</v>
      </c>
      <c r="E34" s="27">
        <v>4249752</v>
      </c>
      <c r="F34" s="27">
        <v>0</v>
      </c>
      <c r="G34" s="6">
        <f>E34+F34</f>
        <v>4249752</v>
      </c>
      <c r="H34" s="6">
        <v>0</v>
      </c>
      <c r="J34" s="9" t="s">
        <v>5</v>
      </c>
      <c r="K34" s="6">
        <f>SUM(K10:K32)</f>
        <v>33767354</v>
      </c>
      <c r="L34" s="6">
        <f t="shared" ref="L34:M34" si="1">SUM(L10:L32)</f>
        <v>32833814</v>
      </c>
      <c r="M34" s="6">
        <f t="shared" si="1"/>
        <v>328500</v>
      </c>
      <c r="N34" s="6">
        <f t="shared" ref="N34" si="2">SUM(N10:N32)</f>
        <v>605040</v>
      </c>
      <c r="P34" s="9" t="s">
        <v>5</v>
      </c>
      <c r="Q34" s="6">
        <f>SUM(Q10:Q32)</f>
        <v>2536748.0999999996</v>
      </c>
      <c r="R34" s="6">
        <f>SUM(R10:R32)</f>
        <v>737010</v>
      </c>
      <c r="S34" s="6"/>
      <c r="T34" s="6">
        <f>SUM(T10:T32)</f>
        <v>1455552</v>
      </c>
      <c r="U34" s="6"/>
      <c r="V34" s="6">
        <f>SUM(V10:V32)</f>
        <v>344186.1</v>
      </c>
      <c r="W34" s="6"/>
    </row>
    <row r="35" spans="1:23" x14ac:dyDescent="0.35">
      <c r="A35" s="1">
        <f t="shared" si="0"/>
        <v>35</v>
      </c>
      <c r="B35" s="3"/>
      <c r="D35" s="27"/>
      <c r="E35" s="27"/>
      <c r="F35" s="27"/>
      <c r="G35" s="6"/>
      <c r="J35" s="9"/>
    </row>
    <row r="36" spans="1:23" x14ac:dyDescent="0.35">
      <c r="A36" s="1">
        <f t="shared" si="0"/>
        <v>36</v>
      </c>
      <c r="B36" s="3">
        <v>15</v>
      </c>
      <c r="C36" t="s">
        <v>20</v>
      </c>
      <c r="D36" s="27">
        <v>1462186</v>
      </c>
      <c r="E36" s="27">
        <v>0</v>
      </c>
      <c r="F36" s="27">
        <v>0</v>
      </c>
      <c r="G36" s="6">
        <f>E36+F36</f>
        <v>0</v>
      </c>
      <c r="H36" s="6">
        <v>1462186</v>
      </c>
      <c r="J36" s="9"/>
    </row>
    <row r="37" spans="1:23" x14ac:dyDescent="0.35">
      <c r="A37" s="1">
        <f t="shared" si="0"/>
        <v>37</v>
      </c>
      <c r="D37" s="6"/>
      <c r="E37" s="6"/>
      <c r="F37" s="6"/>
      <c r="G37" s="6"/>
      <c r="J37" s="9"/>
    </row>
    <row r="38" spans="1:23" x14ac:dyDescent="0.35">
      <c r="A38" s="1">
        <f t="shared" si="0"/>
        <v>38</v>
      </c>
      <c r="B38" s="3">
        <v>16</v>
      </c>
      <c r="C38" t="s">
        <v>272</v>
      </c>
      <c r="D38" s="6">
        <v>0</v>
      </c>
      <c r="E38" s="6">
        <v>0</v>
      </c>
      <c r="F38" s="6">
        <v>0</v>
      </c>
      <c r="G38" s="6">
        <f>E38+F38</f>
        <v>0</v>
      </c>
      <c r="H38" s="6">
        <v>0</v>
      </c>
      <c r="J38" s="9"/>
    </row>
    <row r="39" spans="1:23" x14ac:dyDescent="0.35">
      <c r="A39" s="1">
        <f t="shared" si="0"/>
        <v>39</v>
      </c>
      <c r="D39" s="6"/>
      <c r="E39" s="6"/>
      <c r="F39" s="6"/>
      <c r="G39" s="6"/>
      <c r="J39" s="9"/>
    </row>
    <row r="40" spans="1:23" x14ac:dyDescent="0.35">
      <c r="A40" s="1">
        <f t="shared" si="0"/>
        <v>40</v>
      </c>
      <c r="B40" s="3">
        <v>17</v>
      </c>
      <c r="C40" t="s">
        <v>274</v>
      </c>
      <c r="D40" s="6">
        <v>0</v>
      </c>
      <c r="E40" s="6">
        <v>0</v>
      </c>
      <c r="F40" s="6">
        <v>0</v>
      </c>
      <c r="G40" s="6">
        <f>E40+F40</f>
        <v>0</v>
      </c>
      <c r="H40" s="6">
        <v>0</v>
      </c>
      <c r="J40" s="9"/>
    </row>
    <row r="41" spans="1:23" x14ac:dyDescent="0.35">
      <c r="A41" s="1">
        <f t="shared" si="0"/>
        <v>41</v>
      </c>
      <c r="B41" s="3"/>
      <c r="D41" s="6"/>
      <c r="E41" s="6"/>
      <c r="F41" s="6"/>
      <c r="G41" s="6"/>
      <c r="J41" s="9"/>
    </row>
    <row r="42" spans="1:23" x14ac:dyDescent="0.35">
      <c r="A42" s="1">
        <f t="shared" si="0"/>
        <v>42</v>
      </c>
      <c r="B42" s="3">
        <v>18</v>
      </c>
      <c r="C42" t="s">
        <v>275</v>
      </c>
      <c r="D42" s="6">
        <v>846395</v>
      </c>
      <c r="E42" s="6">
        <v>846395</v>
      </c>
      <c r="F42" s="6">
        <v>0</v>
      </c>
      <c r="G42" s="6">
        <f>E42+F42</f>
        <v>846395</v>
      </c>
      <c r="H42" s="6">
        <v>0</v>
      </c>
      <c r="J42" s="9"/>
    </row>
    <row r="43" spans="1:23" x14ac:dyDescent="0.35">
      <c r="A43" s="1">
        <f t="shared" si="0"/>
        <v>43</v>
      </c>
      <c r="B43" s="3"/>
      <c r="D43" s="6"/>
      <c r="E43" s="6"/>
      <c r="F43" s="6"/>
      <c r="G43" s="6"/>
      <c r="J43" s="9"/>
    </row>
    <row r="44" spans="1:23" x14ac:dyDescent="0.35">
      <c r="A44" s="1">
        <f t="shared" si="0"/>
        <v>44</v>
      </c>
      <c r="B44" s="3">
        <v>19</v>
      </c>
      <c r="C44" t="s">
        <v>276</v>
      </c>
      <c r="D44" s="6">
        <v>96363</v>
      </c>
      <c r="E44" s="6">
        <v>96363</v>
      </c>
      <c r="F44" s="6">
        <v>0</v>
      </c>
      <c r="G44" s="6">
        <f>E44+F44</f>
        <v>96363</v>
      </c>
      <c r="H44" s="6">
        <v>0</v>
      </c>
      <c r="J44" s="9"/>
    </row>
    <row r="45" spans="1:23" x14ac:dyDescent="0.35">
      <c r="A45" s="1">
        <f t="shared" si="0"/>
        <v>45</v>
      </c>
      <c r="B45" s="3"/>
      <c r="D45" s="6"/>
      <c r="E45" s="6"/>
      <c r="F45" s="6"/>
      <c r="G45" s="6"/>
      <c r="J45" s="9"/>
    </row>
    <row r="46" spans="1:23" x14ac:dyDescent="0.35">
      <c r="A46" s="1">
        <f t="shared" si="0"/>
        <v>46</v>
      </c>
      <c r="B46" s="3">
        <v>20</v>
      </c>
      <c r="C46" t="s">
        <v>277</v>
      </c>
      <c r="D46" s="6">
        <v>205638</v>
      </c>
      <c r="E46" s="6">
        <v>205638</v>
      </c>
      <c r="F46" s="6">
        <v>0</v>
      </c>
      <c r="G46" s="6">
        <f>E46+F46</f>
        <v>205638</v>
      </c>
      <c r="H46" s="6">
        <v>0</v>
      </c>
      <c r="J46" s="9"/>
    </row>
    <row r="47" spans="1:23" x14ac:dyDescent="0.35">
      <c r="A47" s="1">
        <f t="shared" si="0"/>
        <v>47</v>
      </c>
      <c r="B47" s="3"/>
      <c r="D47" s="6"/>
      <c r="E47" s="6"/>
      <c r="F47" s="6"/>
      <c r="G47" s="6"/>
      <c r="J47" s="9"/>
    </row>
    <row r="48" spans="1:23" x14ac:dyDescent="0.35">
      <c r="A48" s="1">
        <f t="shared" si="0"/>
        <v>48</v>
      </c>
      <c r="B48" s="3">
        <v>21</v>
      </c>
      <c r="C48" t="s">
        <v>278</v>
      </c>
      <c r="D48" s="6">
        <v>1416028</v>
      </c>
      <c r="E48" s="6">
        <v>1416028</v>
      </c>
      <c r="F48" s="6">
        <v>0</v>
      </c>
      <c r="G48" s="6">
        <f>E48+F48</f>
        <v>1416028</v>
      </c>
      <c r="H48" s="6">
        <v>0</v>
      </c>
      <c r="J48" s="9"/>
    </row>
    <row r="49" spans="1:10" x14ac:dyDescent="0.35">
      <c r="A49" s="1">
        <f t="shared" si="0"/>
        <v>49</v>
      </c>
      <c r="B49" s="3"/>
      <c r="D49" s="6"/>
      <c r="E49" s="6"/>
      <c r="F49" s="6"/>
      <c r="G49" s="6"/>
      <c r="J49" s="9"/>
    </row>
    <row r="50" spans="1:10" x14ac:dyDescent="0.35">
      <c r="A50" s="1">
        <f t="shared" si="0"/>
        <v>50</v>
      </c>
      <c r="B50" s="3">
        <v>22</v>
      </c>
      <c r="C50" t="s">
        <v>279</v>
      </c>
      <c r="D50" s="6">
        <v>426256</v>
      </c>
      <c r="E50" s="6">
        <v>426256</v>
      </c>
      <c r="F50" s="6">
        <v>0</v>
      </c>
      <c r="G50" s="6">
        <f>E50+F50</f>
        <v>426256</v>
      </c>
      <c r="H50" s="6">
        <v>0</v>
      </c>
      <c r="J50" s="9"/>
    </row>
    <row r="51" spans="1:10" x14ac:dyDescent="0.35">
      <c r="A51" s="1">
        <f t="shared" si="0"/>
        <v>51</v>
      </c>
      <c r="B51" s="3"/>
      <c r="D51" s="6"/>
      <c r="E51" s="6"/>
      <c r="F51" s="6"/>
      <c r="G51" s="6"/>
      <c r="J51" s="9"/>
    </row>
    <row r="52" spans="1:10" x14ac:dyDescent="0.35">
      <c r="A52" s="1">
        <f t="shared" si="0"/>
        <v>52</v>
      </c>
      <c r="B52" s="3">
        <v>23</v>
      </c>
      <c r="C52" t="s">
        <v>280</v>
      </c>
      <c r="D52" s="6">
        <v>0</v>
      </c>
      <c r="E52" s="6">
        <v>0</v>
      </c>
      <c r="F52" s="6">
        <v>0</v>
      </c>
      <c r="G52" s="6">
        <f>E52+F52</f>
        <v>0</v>
      </c>
      <c r="H52" s="6">
        <v>0</v>
      </c>
      <c r="J52" s="9"/>
    </row>
    <row r="53" spans="1:10" x14ac:dyDescent="0.35">
      <c r="A53" s="1">
        <f t="shared" si="0"/>
        <v>53</v>
      </c>
      <c r="B53" s="3"/>
      <c r="D53" s="6"/>
      <c r="E53" s="6"/>
      <c r="F53" s="6"/>
      <c r="G53" s="6"/>
      <c r="J53" s="9"/>
    </row>
    <row r="54" spans="1:10" x14ac:dyDescent="0.35">
      <c r="A54" s="1">
        <f t="shared" si="0"/>
        <v>54</v>
      </c>
      <c r="B54" s="3">
        <v>24</v>
      </c>
      <c r="C54" t="s">
        <v>282</v>
      </c>
      <c r="D54" s="6">
        <v>81550</v>
      </c>
      <c r="E54" s="6">
        <v>81550</v>
      </c>
      <c r="F54" s="6">
        <v>0</v>
      </c>
      <c r="G54" s="6">
        <f>E54+F54</f>
        <v>81550</v>
      </c>
      <c r="H54" s="6">
        <v>0</v>
      </c>
      <c r="J54" s="9"/>
    </row>
    <row r="55" spans="1:10" x14ac:dyDescent="0.35">
      <c r="A55" s="1">
        <f t="shared" si="0"/>
        <v>55</v>
      </c>
      <c r="B55" s="3"/>
      <c r="D55" s="6"/>
      <c r="E55" s="6"/>
      <c r="F55" s="6"/>
      <c r="G55" s="6"/>
      <c r="J55" s="9"/>
    </row>
    <row r="56" spans="1:10" x14ac:dyDescent="0.35">
      <c r="A56" s="1">
        <f t="shared" si="0"/>
        <v>56</v>
      </c>
      <c r="B56" s="3">
        <v>25</v>
      </c>
      <c r="C56" t="s">
        <v>283</v>
      </c>
      <c r="D56" s="6">
        <v>339634</v>
      </c>
      <c r="E56" s="6">
        <v>339634</v>
      </c>
      <c r="F56" s="6">
        <v>0</v>
      </c>
      <c r="G56" s="6">
        <f>E56+F56</f>
        <v>339634</v>
      </c>
      <c r="H56" s="6">
        <v>0</v>
      </c>
      <c r="J56" s="9"/>
    </row>
    <row r="57" spans="1:10" x14ac:dyDescent="0.35">
      <c r="A57" s="1">
        <f t="shared" si="0"/>
        <v>57</v>
      </c>
      <c r="B57" s="3"/>
      <c r="D57" s="6"/>
      <c r="E57" s="6"/>
      <c r="F57" s="6"/>
      <c r="G57" s="6"/>
      <c r="J57" s="9"/>
    </row>
    <row r="58" spans="1:10" x14ac:dyDescent="0.35">
      <c r="A58" s="1">
        <f t="shared" si="0"/>
        <v>58</v>
      </c>
      <c r="B58" s="3">
        <v>26</v>
      </c>
      <c r="C58" t="s">
        <v>284</v>
      </c>
      <c r="D58" s="6">
        <v>0</v>
      </c>
      <c r="E58" s="6">
        <v>0</v>
      </c>
      <c r="F58" s="6">
        <v>0</v>
      </c>
      <c r="G58" s="6">
        <f>E58+F58</f>
        <v>0</v>
      </c>
      <c r="H58" s="6">
        <v>0</v>
      </c>
      <c r="J58" s="9"/>
    </row>
    <row r="59" spans="1:10" x14ac:dyDescent="0.35">
      <c r="A59" s="1">
        <f t="shared" si="0"/>
        <v>59</v>
      </c>
      <c r="B59" s="3"/>
      <c r="D59" s="6"/>
      <c r="E59" s="6"/>
      <c r="F59" s="6"/>
      <c r="G59" s="6"/>
      <c r="J59" s="9"/>
    </row>
    <row r="60" spans="1:10" x14ac:dyDescent="0.35">
      <c r="A60" s="1">
        <f t="shared" si="0"/>
        <v>60</v>
      </c>
      <c r="C60" t="s">
        <v>5</v>
      </c>
      <c r="D60" s="6">
        <f>SUM(D10:D58)</f>
        <v>348168724</v>
      </c>
      <c r="E60" s="6">
        <f t="shared" ref="E60:H60" si="3">SUM(E10:E58)</f>
        <v>343224432</v>
      </c>
      <c r="F60" s="6">
        <f t="shared" si="3"/>
        <v>3482106</v>
      </c>
      <c r="G60" s="6">
        <f t="shared" si="3"/>
        <v>346706538</v>
      </c>
      <c r="H60" s="6">
        <f t="shared" si="3"/>
        <v>1462186</v>
      </c>
    </row>
    <row r="61" spans="1:10" x14ac:dyDescent="0.35">
      <c r="A61" s="1">
        <f t="shared" si="0"/>
        <v>61</v>
      </c>
    </row>
    <row r="62" spans="1:10" x14ac:dyDescent="0.35">
      <c r="A62" s="1">
        <f t="shared" si="0"/>
        <v>62</v>
      </c>
    </row>
    <row r="63" spans="1:10" x14ac:dyDescent="0.35">
      <c r="A63" s="1">
        <f t="shared" si="0"/>
        <v>63</v>
      </c>
      <c r="B63" s="7" t="s">
        <v>29</v>
      </c>
      <c r="C63" t="s">
        <v>30</v>
      </c>
    </row>
    <row r="64" spans="1:10" x14ac:dyDescent="0.35">
      <c r="A64" s="1">
        <f t="shared" si="0"/>
        <v>64</v>
      </c>
      <c r="C64" t="s">
        <v>31</v>
      </c>
    </row>
    <row r="65" spans="1:3" x14ac:dyDescent="0.35">
      <c r="A65" s="1">
        <f t="shared" si="0"/>
        <v>65</v>
      </c>
      <c r="C65" t="s">
        <v>281</v>
      </c>
    </row>
    <row r="66" spans="1:3" x14ac:dyDescent="0.35">
      <c r="A66" s="1">
        <f t="shared" si="0"/>
        <v>66</v>
      </c>
      <c r="C66" t="s">
        <v>340</v>
      </c>
    </row>
    <row r="67" spans="1:3" x14ac:dyDescent="0.35">
      <c r="A67" s="1">
        <f t="shared" si="0"/>
        <v>67</v>
      </c>
      <c r="C67" t="s">
        <v>285</v>
      </c>
    </row>
    <row r="68" spans="1:3" x14ac:dyDescent="0.35">
      <c r="A68" s="1">
        <f t="shared" si="0"/>
        <v>68</v>
      </c>
    </row>
  </sheetData>
  <mergeCells count="5">
    <mergeCell ref="L6:N6"/>
    <mergeCell ref="R6:S6"/>
    <mergeCell ref="T6:U6"/>
    <mergeCell ref="V6:W6"/>
    <mergeCell ref="E6:G6"/>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
  <sheetViews>
    <sheetView zoomScale="80" zoomScaleNormal="80" workbookViewId="0">
      <selection activeCell="B10" sqref="B10"/>
    </sheetView>
  </sheetViews>
  <sheetFormatPr defaultColWidth="15.625" defaultRowHeight="13.5" x14ac:dyDescent="0.35"/>
  <cols>
    <col min="1" max="1" width="4.625" customWidth="1"/>
  </cols>
  <sheetData>
    <row r="1" spans="1:6" x14ac:dyDescent="0.35">
      <c r="A1" s="1">
        <v>1</v>
      </c>
      <c r="B1" t="str">
        <f>'AccDepr &amp; Depr Exp'!B1</f>
        <v>Workpaper 1.02 Surcharge Adjustment FINAL.xlsx</v>
      </c>
    </row>
    <row r="2" spans="1:6" x14ac:dyDescent="0.35">
      <c r="A2" s="1">
        <f>A1+1</f>
        <v>2</v>
      </c>
      <c r="B2" t="s">
        <v>75</v>
      </c>
    </row>
    <row r="3" spans="1:6" x14ac:dyDescent="0.35">
      <c r="A3" s="1">
        <f t="shared" ref="A3:A46" si="0">A2+1</f>
        <v>3</v>
      </c>
    </row>
    <row r="4" spans="1:6" ht="13.9" x14ac:dyDescent="0.4">
      <c r="A4" s="1">
        <f t="shared" si="0"/>
        <v>4</v>
      </c>
      <c r="B4" s="2" t="s">
        <v>49</v>
      </c>
    </row>
    <row r="5" spans="1:6" x14ac:dyDescent="0.35">
      <c r="A5" s="1">
        <f t="shared" si="0"/>
        <v>5</v>
      </c>
    </row>
    <row r="6" spans="1:6" x14ac:dyDescent="0.35">
      <c r="A6" s="1">
        <f t="shared" si="0"/>
        <v>6</v>
      </c>
      <c r="B6" t="s">
        <v>341</v>
      </c>
    </row>
    <row r="7" spans="1:6" x14ac:dyDescent="0.35">
      <c r="A7" s="1">
        <f t="shared" si="0"/>
        <v>7</v>
      </c>
      <c r="B7" t="s">
        <v>342</v>
      </c>
    </row>
    <row r="8" spans="1:6" x14ac:dyDescent="0.35">
      <c r="A8" s="1">
        <f t="shared" si="0"/>
        <v>8</v>
      </c>
      <c r="B8" t="s">
        <v>343</v>
      </c>
    </row>
    <row r="9" spans="1:6" x14ac:dyDescent="0.35">
      <c r="A9" s="1">
        <f t="shared" si="0"/>
        <v>9</v>
      </c>
      <c r="B9" t="s">
        <v>344</v>
      </c>
    </row>
    <row r="10" spans="1:6" x14ac:dyDescent="0.35">
      <c r="A10" s="1">
        <f t="shared" si="0"/>
        <v>10</v>
      </c>
    </row>
    <row r="11" spans="1:6" x14ac:dyDescent="0.35">
      <c r="A11" s="1">
        <f t="shared" si="0"/>
        <v>11</v>
      </c>
    </row>
    <row r="12" spans="1:6" x14ac:dyDescent="0.35">
      <c r="A12" s="1">
        <f t="shared" si="0"/>
        <v>12</v>
      </c>
      <c r="B12" s="10"/>
      <c r="C12" s="10" t="s">
        <v>50</v>
      </c>
      <c r="D12" s="10" t="s">
        <v>53</v>
      </c>
      <c r="E12" s="10"/>
      <c r="F12" s="10"/>
    </row>
    <row r="13" spans="1:6" x14ac:dyDescent="0.35">
      <c r="A13" s="1">
        <f t="shared" si="0"/>
        <v>13</v>
      </c>
      <c r="B13" s="10"/>
      <c r="C13" s="10" t="s">
        <v>51</v>
      </c>
      <c r="D13" s="10" t="s">
        <v>54</v>
      </c>
      <c r="E13" s="10" t="s">
        <v>56</v>
      </c>
      <c r="F13" s="10" t="s">
        <v>57</v>
      </c>
    </row>
    <row r="14" spans="1:6" ht="13.9" thickBot="1" x14ac:dyDescent="0.4">
      <c r="A14" s="1">
        <f t="shared" si="0"/>
        <v>14</v>
      </c>
      <c r="B14" s="4" t="s">
        <v>32</v>
      </c>
      <c r="C14" s="4" t="s">
        <v>52</v>
      </c>
      <c r="D14" s="4" t="s">
        <v>55</v>
      </c>
      <c r="E14" s="4" t="s">
        <v>55</v>
      </c>
      <c r="F14" s="4" t="s">
        <v>52</v>
      </c>
    </row>
    <row r="15" spans="1:6" x14ac:dyDescent="0.35">
      <c r="A15" s="1">
        <f t="shared" si="0"/>
        <v>15</v>
      </c>
    </row>
    <row r="16" spans="1:6" x14ac:dyDescent="0.35">
      <c r="A16" s="1">
        <f t="shared" si="0"/>
        <v>16</v>
      </c>
      <c r="B16" s="9" t="s">
        <v>311</v>
      </c>
      <c r="C16" s="27">
        <v>48753110</v>
      </c>
      <c r="D16" s="27">
        <v>589395</v>
      </c>
      <c r="E16" s="27">
        <v>524320</v>
      </c>
      <c r="F16" s="6">
        <f>C16-D16-E16</f>
        <v>47639395</v>
      </c>
    </row>
    <row r="17" spans="1:6" x14ac:dyDescent="0.35">
      <c r="A17" s="1">
        <f t="shared" si="0"/>
        <v>17</v>
      </c>
      <c r="B17" s="9"/>
      <c r="C17" s="27"/>
      <c r="D17" s="27"/>
      <c r="E17" s="27"/>
      <c r="F17" s="6"/>
    </row>
    <row r="18" spans="1:6" x14ac:dyDescent="0.35">
      <c r="A18" s="1">
        <f t="shared" si="0"/>
        <v>18</v>
      </c>
      <c r="B18" s="9" t="s">
        <v>270</v>
      </c>
      <c r="C18" s="27">
        <v>45197099</v>
      </c>
      <c r="D18" s="27">
        <v>587622</v>
      </c>
      <c r="E18" s="27">
        <v>544354</v>
      </c>
      <c r="F18" s="6">
        <f>C18-D18-E18</f>
        <v>44065123</v>
      </c>
    </row>
    <row r="19" spans="1:6" x14ac:dyDescent="0.35">
      <c r="A19" s="1">
        <f t="shared" si="0"/>
        <v>19</v>
      </c>
      <c r="B19" s="9"/>
      <c r="C19" s="27"/>
      <c r="D19" s="27"/>
      <c r="E19" s="27"/>
      <c r="F19" s="6"/>
    </row>
    <row r="20" spans="1:6" x14ac:dyDescent="0.35">
      <c r="A20" s="1">
        <f t="shared" si="0"/>
        <v>20</v>
      </c>
      <c r="B20" s="9" t="s">
        <v>33</v>
      </c>
      <c r="C20" s="27">
        <v>42448613</v>
      </c>
      <c r="D20" s="27">
        <v>586436</v>
      </c>
      <c r="E20" s="27">
        <v>601155</v>
      </c>
      <c r="F20" s="6">
        <f>C20-D20-E20</f>
        <v>41261022</v>
      </c>
    </row>
    <row r="21" spans="1:6" x14ac:dyDescent="0.35">
      <c r="A21" s="1">
        <f t="shared" si="0"/>
        <v>21</v>
      </c>
      <c r="B21" s="9"/>
      <c r="C21" s="27"/>
      <c r="D21" s="27"/>
      <c r="E21" s="27"/>
      <c r="F21" s="6"/>
    </row>
    <row r="22" spans="1:6" x14ac:dyDescent="0.35">
      <c r="A22" s="1">
        <f t="shared" si="0"/>
        <v>22</v>
      </c>
      <c r="B22" s="9" t="s">
        <v>34</v>
      </c>
      <c r="C22" s="27">
        <v>48683244</v>
      </c>
      <c r="D22" s="27">
        <v>585989</v>
      </c>
      <c r="E22" s="27">
        <v>586215</v>
      </c>
      <c r="F22" s="6">
        <f>C22-D22-E22</f>
        <v>47511040</v>
      </c>
    </row>
    <row r="23" spans="1:6" x14ac:dyDescent="0.35">
      <c r="A23" s="1">
        <f t="shared" si="0"/>
        <v>23</v>
      </c>
      <c r="B23" s="9"/>
      <c r="C23" s="27"/>
      <c r="D23" s="27"/>
      <c r="E23" s="27"/>
      <c r="F23" s="6"/>
    </row>
    <row r="24" spans="1:6" x14ac:dyDescent="0.35">
      <c r="A24" s="1">
        <f t="shared" si="0"/>
        <v>24</v>
      </c>
      <c r="B24" s="9" t="s">
        <v>35</v>
      </c>
      <c r="C24" s="27">
        <v>56244270</v>
      </c>
      <c r="D24" s="27">
        <v>585279</v>
      </c>
      <c r="E24" s="27">
        <v>598778</v>
      </c>
      <c r="F24" s="6">
        <f>C24-D24-E24</f>
        <v>55060213</v>
      </c>
    </row>
    <row r="25" spans="1:6" x14ac:dyDescent="0.35">
      <c r="A25" s="1">
        <f t="shared" si="0"/>
        <v>25</v>
      </c>
      <c r="B25" s="9"/>
      <c r="C25" s="27"/>
      <c r="D25" s="27"/>
      <c r="E25" s="27"/>
      <c r="F25" s="6"/>
    </row>
    <row r="26" spans="1:6" x14ac:dyDescent="0.35">
      <c r="A26" s="1">
        <f t="shared" si="0"/>
        <v>26</v>
      </c>
      <c r="B26" s="9" t="s">
        <v>36</v>
      </c>
      <c r="C26" s="27">
        <v>62874673</v>
      </c>
      <c r="D26" s="27">
        <v>584357</v>
      </c>
      <c r="E26" s="27">
        <v>621474</v>
      </c>
      <c r="F26" s="6">
        <f>C26-D26-E26</f>
        <v>61668842</v>
      </c>
    </row>
    <row r="27" spans="1:6" x14ac:dyDescent="0.35">
      <c r="A27" s="1">
        <f t="shared" si="0"/>
        <v>27</v>
      </c>
      <c r="B27" s="9"/>
      <c r="C27" s="27"/>
      <c r="D27" s="27"/>
      <c r="E27" s="27"/>
      <c r="F27" s="6"/>
    </row>
    <row r="28" spans="1:6" x14ac:dyDescent="0.35">
      <c r="A28" s="1">
        <f t="shared" si="0"/>
        <v>28</v>
      </c>
      <c r="B28" s="9" t="s">
        <v>37</v>
      </c>
      <c r="C28" s="27">
        <v>64522207</v>
      </c>
      <c r="D28" s="27">
        <v>583442</v>
      </c>
      <c r="E28" s="27">
        <v>582909</v>
      </c>
      <c r="F28" s="6">
        <f>C28-D28-E28</f>
        <v>63355856</v>
      </c>
    </row>
    <row r="29" spans="1:6" x14ac:dyDescent="0.35">
      <c r="A29" s="1">
        <f t="shared" si="0"/>
        <v>29</v>
      </c>
      <c r="B29" s="9"/>
      <c r="C29" s="27"/>
      <c r="D29" s="27"/>
      <c r="E29" s="27"/>
      <c r="F29" s="6"/>
    </row>
    <row r="30" spans="1:6" x14ac:dyDescent="0.35">
      <c r="A30" s="1">
        <f t="shared" si="0"/>
        <v>30</v>
      </c>
      <c r="B30" s="9" t="s">
        <v>38</v>
      </c>
      <c r="C30" s="27">
        <v>58951057</v>
      </c>
      <c r="D30" s="27">
        <v>581455</v>
      </c>
      <c r="E30" s="27">
        <v>564278</v>
      </c>
      <c r="F30" s="6">
        <f>C30-D30-E30</f>
        <v>57805324</v>
      </c>
    </row>
    <row r="31" spans="1:6" x14ac:dyDescent="0.35">
      <c r="A31" s="1">
        <f t="shared" si="0"/>
        <v>31</v>
      </c>
      <c r="B31" s="9"/>
      <c r="C31" s="27"/>
      <c r="D31" s="27"/>
      <c r="E31" s="27"/>
      <c r="F31" s="6"/>
    </row>
    <row r="32" spans="1:6" x14ac:dyDescent="0.35">
      <c r="A32" s="1">
        <f t="shared" si="0"/>
        <v>32</v>
      </c>
      <c r="B32" s="9" t="s">
        <v>39</v>
      </c>
      <c r="C32" s="27">
        <v>57995794</v>
      </c>
      <c r="D32" s="27">
        <v>579885</v>
      </c>
      <c r="E32" s="27">
        <v>573141</v>
      </c>
      <c r="F32" s="6">
        <f>C32-D32-E32</f>
        <v>56842768</v>
      </c>
    </row>
    <row r="33" spans="1:6" x14ac:dyDescent="0.35">
      <c r="A33" s="1">
        <f t="shared" si="0"/>
        <v>33</v>
      </c>
      <c r="B33" s="9"/>
      <c r="C33" s="27"/>
      <c r="D33" s="27"/>
      <c r="E33" s="27"/>
      <c r="F33" s="6"/>
    </row>
    <row r="34" spans="1:6" x14ac:dyDescent="0.35">
      <c r="A34" s="1">
        <f t="shared" si="0"/>
        <v>34</v>
      </c>
      <c r="B34" s="9" t="s">
        <v>40</v>
      </c>
      <c r="C34" s="27">
        <v>62090079</v>
      </c>
      <c r="D34" s="27">
        <v>578486</v>
      </c>
      <c r="E34" s="27">
        <v>587229</v>
      </c>
      <c r="F34" s="6">
        <f>C34-D34-E34</f>
        <v>60924364</v>
      </c>
    </row>
    <row r="35" spans="1:6" x14ac:dyDescent="0.35">
      <c r="A35" s="1">
        <f t="shared" si="0"/>
        <v>35</v>
      </c>
      <c r="B35" s="9"/>
      <c r="C35" s="27"/>
      <c r="D35" s="27"/>
      <c r="E35" s="27"/>
      <c r="F35" s="6"/>
    </row>
    <row r="36" spans="1:6" x14ac:dyDescent="0.35">
      <c r="A36" s="1">
        <f t="shared" si="0"/>
        <v>36</v>
      </c>
      <c r="B36" s="9" t="s">
        <v>41</v>
      </c>
      <c r="C36" s="27">
        <v>54905983</v>
      </c>
      <c r="D36" s="27">
        <v>577086</v>
      </c>
      <c r="E36" s="27">
        <v>608995</v>
      </c>
      <c r="F36" s="6">
        <f>C36-D36-E36</f>
        <v>53719902</v>
      </c>
    </row>
    <row r="37" spans="1:6" x14ac:dyDescent="0.35">
      <c r="A37" s="1">
        <f t="shared" si="0"/>
        <v>37</v>
      </c>
      <c r="B37" s="9"/>
      <c r="C37" s="27"/>
      <c r="D37" s="27"/>
      <c r="E37" s="27"/>
      <c r="F37" s="6"/>
    </row>
    <row r="38" spans="1:6" x14ac:dyDescent="0.35">
      <c r="A38" s="1">
        <f t="shared" si="0"/>
        <v>38</v>
      </c>
      <c r="B38" s="9" t="s">
        <v>42</v>
      </c>
      <c r="C38" s="27">
        <v>59820611</v>
      </c>
      <c r="D38" s="27">
        <v>575824</v>
      </c>
      <c r="E38" s="27">
        <v>663242</v>
      </c>
      <c r="F38" s="6">
        <f>C38-D38-E38</f>
        <v>58581545</v>
      </c>
    </row>
    <row r="39" spans="1:6" x14ac:dyDescent="0.35">
      <c r="A39" s="1">
        <f t="shared" si="0"/>
        <v>39</v>
      </c>
      <c r="B39" s="9"/>
      <c r="C39" s="27"/>
      <c r="D39" s="27"/>
      <c r="E39" s="27"/>
      <c r="F39" s="6"/>
    </row>
    <row r="40" spans="1:6" x14ac:dyDescent="0.35">
      <c r="A40" s="1">
        <f t="shared" si="0"/>
        <v>40</v>
      </c>
      <c r="B40" s="9" t="s">
        <v>269</v>
      </c>
      <c r="C40" s="27">
        <v>67431601</v>
      </c>
      <c r="D40" s="27">
        <v>561307</v>
      </c>
      <c r="E40" s="27">
        <v>631808</v>
      </c>
      <c r="F40" s="6">
        <f>C40-D40-E40</f>
        <v>66238486</v>
      </c>
    </row>
    <row r="41" spans="1:6" x14ac:dyDescent="0.35">
      <c r="A41" s="1">
        <f t="shared" si="0"/>
        <v>41</v>
      </c>
      <c r="B41" s="9"/>
      <c r="C41" s="6"/>
      <c r="D41" s="6"/>
      <c r="E41" s="6"/>
      <c r="F41" s="6"/>
    </row>
    <row r="42" spans="1:6" x14ac:dyDescent="0.35">
      <c r="A42" s="1">
        <f t="shared" si="0"/>
        <v>42</v>
      </c>
    </row>
    <row r="43" spans="1:6" x14ac:dyDescent="0.35">
      <c r="A43" s="1">
        <f t="shared" si="0"/>
        <v>43</v>
      </c>
      <c r="B43" t="s">
        <v>58</v>
      </c>
      <c r="C43" s="6">
        <f>ROUND(SUM(C16:C40)/13,0)</f>
        <v>56147565</v>
      </c>
      <c r="D43" s="6">
        <f>ROUND(SUM(D16:D40)/13,0)</f>
        <v>581274</v>
      </c>
      <c r="E43" s="6">
        <f>ROUND(SUM(E16:E40)/13,0)</f>
        <v>591377</v>
      </c>
      <c r="F43" s="6">
        <f>ROUND(SUM(F16:F40)/13,0)</f>
        <v>54974914</v>
      </c>
    </row>
    <row r="44" spans="1:6" x14ac:dyDescent="0.35">
      <c r="A44" s="1">
        <f t="shared" si="0"/>
        <v>44</v>
      </c>
    </row>
    <row r="45" spans="1:6" x14ac:dyDescent="0.35">
      <c r="A45" s="1">
        <f t="shared" si="0"/>
        <v>45</v>
      </c>
    </row>
    <row r="46" spans="1:6" x14ac:dyDescent="0.35">
      <c r="A46" s="1">
        <f t="shared" si="0"/>
        <v>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
  <sheetViews>
    <sheetView zoomScale="80" zoomScaleNormal="80" workbookViewId="0">
      <selection activeCell="C39" sqref="C39"/>
    </sheetView>
  </sheetViews>
  <sheetFormatPr defaultColWidth="15.625" defaultRowHeight="13.5" x14ac:dyDescent="0.35"/>
  <cols>
    <col min="1" max="1" width="4.625" customWidth="1"/>
    <col min="2" max="2" width="36.5" customWidth="1"/>
  </cols>
  <sheetData>
    <row r="1" spans="1:9" x14ac:dyDescent="0.35">
      <c r="A1" s="1">
        <v>1</v>
      </c>
      <c r="B1" t="str">
        <f>'RB - Allowances &amp; Limestone'!B1</f>
        <v>Workpaper 1.02 Surcharge Adjustment FINAL.xlsx</v>
      </c>
    </row>
    <row r="2" spans="1:9" x14ac:dyDescent="0.35">
      <c r="A2" s="1">
        <f>A1+1</f>
        <v>2</v>
      </c>
      <c r="B2" t="str">
        <f>Plant!B2</f>
        <v>Adjustment by RUS Account Number</v>
      </c>
    </row>
    <row r="3" spans="1:9" x14ac:dyDescent="0.35">
      <c r="A3" s="1">
        <f t="shared" ref="A3:A47" si="0">A2+1</f>
        <v>3</v>
      </c>
    </row>
    <row r="4" spans="1:9" ht="13.9" x14ac:dyDescent="0.4">
      <c r="A4" s="1">
        <f t="shared" si="0"/>
        <v>4</v>
      </c>
      <c r="B4" s="2" t="s">
        <v>59</v>
      </c>
    </row>
    <row r="5" spans="1:9" x14ac:dyDescent="0.35">
      <c r="A5" s="1">
        <f t="shared" si="0"/>
        <v>5</v>
      </c>
    </row>
    <row r="6" spans="1:9" x14ac:dyDescent="0.35">
      <c r="A6" s="1">
        <f t="shared" si="0"/>
        <v>6</v>
      </c>
      <c r="B6" t="s">
        <v>60</v>
      </c>
    </row>
    <row r="7" spans="1:9" x14ac:dyDescent="0.35">
      <c r="A7" s="1">
        <f t="shared" si="0"/>
        <v>7</v>
      </c>
      <c r="B7" t="s">
        <v>61</v>
      </c>
    </row>
    <row r="8" spans="1:9" x14ac:dyDescent="0.35">
      <c r="A8" s="1">
        <f t="shared" si="0"/>
        <v>8</v>
      </c>
      <c r="B8" t="s">
        <v>62</v>
      </c>
    </row>
    <row r="9" spans="1:9" x14ac:dyDescent="0.35">
      <c r="A9" s="1">
        <f t="shared" si="0"/>
        <v>9</v>
      </c>
    </row>
    <row r="10" spans="1:9" x14ac:dyDescent="0.35">
      <c r="A10" s="1">
        <f t="shared" si="0"/>
        <v>10</v>
      </c>
      <c r="B10" s="10"/>
      <c r="C10" s="10" t="s">
        <v>25</v>
      </c>
      <c r="D10" s="10"/>
      <c r="H10" s="3" t="s">
        <v>304</v>
      </c>
      <c r="I10" s="3" t="s">
        <v>304</v>
      </c>
    </row>
    <row r="11" spans="1:9" ht="13.9" thickBot="1" x14ac:dyDescent="0.4">
      <c r="A11" s="1">
        <f t="shared" si="0"/>
        <v>11</v>
      </c>
      <c r="B11" s="4" t="s">
        <v>63</v>
      </c>
      <c r="C11" s="4" t="s">
        <v>26</v>
      </c>
      <c r="D11" s="4" t="s">
        <v>27</v>
      </c>
      <c r="E11" s="8" t="s">
        <v>5</v>
      </c>
      <c r="G11" s="8" t="s">
        <v>32</v>
      </c>
      <c r="H11" s="8" t="s">
        <v>305</v>
      </c>
      <c r="I11" s="8" t="s">
        <v>306</v>
      </c>
    </row>
    <row r="12" spans="1:9" x14ac:dyDescent="0.35">
      <c r="A12" s="1">
        <f t="shared" si="0"/>
        <v>12</v>
      </c>
      <c r="B12" s="10"/>
      <c r="C12" s="10"/>
      <c r="D12" s="10"/>
    </row>
    <row r="13" spans="1:9" x14ac:dyDescent="0.35">
      <c r="A13" s="1">
        <f t="shared" si="0"/>
        <v>13</v>
      </c>
      <c r="B13" t="s">
        <v>64</v>
      </c>
      <c r="G13" s="24" t="s">
        <v>270</v>
      </c>
      <c r="H13" s="6">
        <v>119787</v>
      </c>
      <c r="I13" s="6">
        <v>75062</v>
      </c>
    </row>
    <row r="14" spans="1:9" x14ac:dyDescent="0.35">
      <c r="A14" s="1">
        <f t="shared" si="0"/>
        <v>14</v>
      </c>
      <c r="B14" s="3">
        <v>310</v>
      </c>
      <c r="C14" s="6">
        <f>Plant!G65</f>
        <v>25128223</v>
      </c>
      <c r="D14" s="6">
        <v>0</v>
      </c>
      <c r="E14" s="6">
        <f>C14+D14</f>
        <v>25128223</v>
      </c>
      <c r="G14" t="s">
        <v>33</v>
      </c>
      <c r="H14" s="6">
        <v>119787</v>
      </c>
      <c r="I14" s="6">
        <v>75062</v>
      </c>
    </row>
    <row r="15" spans="1:9" x14ac:dyDescent="0.35">
      <c r="A15" s="1">
        <f t="shared" si="0"/>
        <v>15</v>
      </c>
      <c r="B15" s="3">
        <v>311</v>
      </c>
      <c r="C15" s="6">
        <f>Plant!H65</f>
        <v>94673063</v>
      </c>
      <c r="D15" s="6">
        <v>0</v>
      </c>
      <c r="E15" s="6">
        <f t="shared" ref="E15:E19" si="1">C15+D15</f>
        <v>94673063</v>
      </c>
      <c r="G15" t="s">
        <v>34</v>
      </c>
      <c r="H15" s="6">
        <v>119787</v>
      </c>
      <c r="I15" s="6">
        <v>75062</v>
      </c>
    </row>
    <row r="16" spans="1:9" x14ac:dyDescent="0.35">
      <c r="A16" s="1">
        <f t="shared" si="0"/>
        <v>16</v>
      </c>
      <c r="B16" s="3">
        <v>312</v>
      </c>
      <c r="C16" s="6">
        <f>Plant!I65</f>
        <v>787161637</v>
      </c>
      <c r="D16" s="6">
        <v>0</v>
      </c>
      <c r="E16" s="6">
        <f t="shared" si="1"/>
        <v>787161637</v>
      </c>
      <c r="G16" t="s">
        <v>35</v>
      </c>
      <c r="H16" s="6">
        <v>150123</v>
      </c>
      <c r="I16" s="6">
        <v>77574</v>
      </c>
    </row>
    <row r="17" spans="1:9" x14ac:dyDescent="0.35">
      <c r="A17" s="1">
        <f t="shared" si="0"/>
        <v>17</v>
      </c>
      <c r="B17" s="3">
        <v>315</v>
      </c>
      <c r="C17" s="6">
        <f>Plant!J65</f>
        <v>46007358</v>
      </c>
      <c r="D17" s="6">
        <v>0</v>
      </c>
      <c r="E17" s="6">
        <f t="shared" si="1"/>
        <v>46007358</v>
      </c>
      <c r="G17" t="s">
        <v>36</v>
      </c>
      <c r="H17" s="6">
        <v>162849</v>
      </c>
      <c r="I17" s="6">
        <v>77574</v>
      </c>
    </row>
    <row r="18" spans="1:9" x14ac:dyDescent="0.35">
      <c r="A18" s="1">
        <f t="shared" si="0"/>
        <v>18</v>
      </c>
      <c r="B18" s="3">
        <v>316</v>
      </c>
      <c r="C18" s="6">
        <f>Plant!K65</f>
        <v>3676274</v>
      </c>
      <c r="D18" s="6">
        <v>0</v>
      </c>
      <c r="E18" s="6">
        <f t="shared" si="1"/>
        <v>3676274</v>
      </c>
      <c r="G18" t="s">
        <v>37</v>
      </c>
      <c r="H18" s="6">
        <v>161088</v>
      </c>
      <c r="I18" s="6">
        <v>81815</v>
      </c>
    </row>
    <row r="19" spans="1:9" x14ac:dyDescent="0.35">
      <c r="A19" s="1">
        <f t="shared" si="0"/>
        <v>19</v>
      </c>
      <c r="B19" s="3">
        <v>353</v>
      </c>
      <c r="C19" s="12">
        <v>0</v>
      </c>
      <c r="D19" s="12">
        <f>Plant!L65</f>
        <v>18351642</v>
      </c>
      <c r="E19" s="12">
        <f t="shared" si="1"/>
        <v>18351642</v>
      </c>
      <c r="G19" t="s">
        <v>38</v>
      </c>
      <c r="H19" s="6">
        <v>161088</v>
      </c>
      <c r="I19" s="6">
        <v>81815</v>
      </c>
    </row>
    <row r="20" spans="1:9" x14ac:dyDescent="0.35">
      <c r="A20" s="1">
        <f t="shared" si="0"/>
        <v>20</v>
      </c>
      <c r="B20" s="11"/>
      <c r="C20" s="6"/>
      <c r="D20" s="6"/>
      <c r="G20" t="s">
        <v>39</v>
      </c>
      <c r="H20" s="6">
        <v>161088</v>
      </c>
      <c r="I20" s="6">
        <v>81815</v>
      </c>
    </row>
    <row r="21" spans="1:9" x14ac:dyDescent="0.35">
      <c r="A21" s="1">
        <f t="shared" si="0"/>
        <v>21</v>
      </c>
      <c r="B21" t="s">
        <v>5</v>
      </c>
      <c r="C21" s="6">
        <f>SUM(C14:C19)</f>
        <v>956646555</v>
      </c>
      <c r="D21" s="6">
        <f>SUM(D14:D19)</f>
        <v>18351642</v>
      </c>
      <c r="E21" s="6">
        <f>SUM(E14:E19)</f>
        <v>974998197</v>
      </c>
      <c r="G21" t="s">
        <v>40</v>
      </c>
      <c r="H21" s="6">
        <v>161088</v>
      </c>
      <c r="I21" s="6">
        <v>81815</v>
      </c>
    </row>
    <row r="22" spans="1:9" x14ac:dyDescent="0.35">
      <c r="A22" s="1">
        <f t="shared" si="0"/>
        <v>22</v>
      </c>
      <c r="C22" s="6"/>
      <c r="D22" s="6"/>
      <c r="G22" t="s">
        <v>41</v>
      </c>
      <c r="H22" s="6">
        <v>161143</v>
      </c>
      <c r="I22" s="6">
        <v>81815</v>
      </c>
    </row>
    <row r="23" spans="1:9" x14ac:dyDescent="0.35">
      <c r="A23" s="1">
        <f t="shared" si="0"/>
        <v>23</v>
      </c>
      <c r="B23" t="s">
        <v>65</v>
      </c>
      <c r="C23" s="12">
        <f>'AccDepr &amp; Depr Exp'!E60</f>
        <v>343224432</v>
      </c>
      <c r="D23" s="12">
        <f>'AccDepr &amp; Depr Exp'!F60</f>
        <v>3482106</v>
      </c>
      <c r="E23" s="12">
        <f>C23+D23</f>
        <v>346706538</v>
      </c>
      <c r="G23" t="s">
        <v>42</v>
      </c>
      <c r="H23" s="6">
        <v>161203</v>
      </c>
      <c r="I23" s="6">
        <v>81877</v>
      </c>
    </row>
    <row r="24" spans="1:9" x14ac:dyDescent="0.35">
      <c r="A24" s="1">
        <f t="shared" si="0"/>
        <v>24</v>
      </c>
      <c r="C24" s="6"/>
      <c r="D24" s="6"/>
      <c r="G24" s="30" t="s">
        <v>269</v>
      </c>
      <c r="H24" s="6">
        <v>161225</v>
      </c>
      <c r="I24" s="6">
        <v>81877</v>
      </c>
    </row>
    <row r="25" spans="1:9" ht="13.9" thickBot="1" x14ac:dyDescent="0.4">
      <c r="A25" s="1">
        <f t="shared" si="0"/>
        <v>25</v>
      </c>
      <c r="B25" t="s">
        <v>66</v>
      </c>
      <c r="C25" s="13">
        <f>C21-C23</f>
        <v>613422123</v>
      </c>
      <c r="D25" s="13">
        <f>D21-D23</f>
        <v>14869536</v>
      </c>
      <c r="E25" s="13">
        <f>E21-E23</f>
        <v>628291659</v>
      </c>
      <c r="H25" s="6"/>
      <c r="I25" s="6"/>
    </row>
    <row r="26" spans="1:9" ht="13.9" thickTop="1" x14ac:dyDescent="0.35">
      <c r="A26" s="1">
        <f t="shared" si="0"/>
        <v>26</v>
      </c>
      <c r="C26" s="6"/>
      <c r="D26" s="6"/>
      <c r="G26" t="s">
        <v>5</v>
      </c>
      <c r="H26" s="6">
        <f>SUM(H13:H24)</f>
        <v>1800256</v>
      </c>
      <c r="I26" s="6">
        <f>SUM(I13:I24)</f>
        <v>953163</v>
      </c>
    </row>
    <row r="27" spans="1:9" ht="13.9" thickBot="1" x14ac:dyDescent="0.4">
      <c r="A27" s="1">
        <f t="shared" si="0"/>
        <v>27</v>
      </c>
      <c r="B27" t="s">
        <v>67</v>
      </c>
      <c r="C27" s="15">
        <f>ROUND(C25/E25,4)</f>
        <v>0.97629999999999995</v>
      </c>
      <c r="D27" s="15">
        <f>ROUND(D25/E25,4)</f>
        <v>2.3699999999999999E-2</v>
      </c>
      <c r="E27" s="14"/>
    </row>
    <row r="28" spans="1:9" ht="13.9" thickTop="1" x14ac:dyDescent="0.35">
      <c r="A28" s="1">
        <f t="shared" si="0"/>
        <v>28</v>
      </c>
    </row>
    <row r="29" spans="1:9" x14ac:dyDescent="0.35">
      <c r="A29" s="1">
        <f t="shared" si="0"/>
        <v>29</v>
      </c>
      <c r="B29" t="s">
        <v>68</v>
      </c>
    </row>
    <row r="30" spans="1:9" x14ac:dyDescent="0.35">
      <c r="A30" s="1">
        <f t="shared" si="0"/>
        <v>30</v>
      </c>
    </row>
    <row r="31" spans="1:9" x14ac:dyDescent="0.35">
      <c r="A31" s="1">
        <f t="shared" si="0"/>
        <v>31</v>
      </c>
      <c r="B31" t="s">
        <v>69</v>
      </c>
      <c r="C31" s="27">
        <f>H26</f>
        <v>1800256</v>
      </c>
      <c r="D31" s="6">
        <f>C31</f>
        <v>1800256</v>
      </c>
    </row>
    <row r="32" spans="1:9" x14ac:dyDescent="0.35">
      <c r="A32" s="1">
        <f t="shared" si="0"/>
        <v>32</v>
      </c>
      <c r="B32" t="s">
        <v>70</v>
      </c>
      <c r="C32" s="16">
        <f>C27</f>
        <v>0.97629999999999995</v>
      </c>
      <c r="D32" s="16">
        <f>D27</f>
        <v>2.3699999999999999E-2</v>
      </c>
    </row>
    <row r="33" spans="1:4" x14ac:dyDescent="0.35">
      <c r="A33" s="1">
        <f t="shared" si="0"/>
        <v>33</v>
      </c>
    </row>
    <row r="34" spans="1:4" ht="13.9" thickBot="1" x14ac:dyDescent="0.4">
      <c r="A34" s="1">
        <f t="shared" si="0"/>
        <v>34</v>
      </c>
      <c r="B34" t="s">
        <v>71</v>
      </c>
      <c r="C34" s="13">
        <f>ROUND(C31*C32,0)</f>
        <v>1757590</v>
      </c>
      <c r="D34" s="6"/>
    </row>
    <row r="35" spans="1:4" ht="14.25" thickTop="1" thickBot="1" x14ac:dyDescent="0.4">
      <c r="A35" s="1">
        <f t="shared" si="0"/>
        <v>35</v>
      </c>
      <c r="B35" t="s">
        <v>72</v>
      </c>
      <c r="C35" s="6"/>
      <c r="D35" s="13">
        <f>ROUND(D31*D32,0)</f>
        <v>42666</v>
      </c>
    </row>
    <row r="36" spans="1:4" ht="13.9" thickTop="1" x14ac:dyDescent="0.35">
      <c r="A36" s="1">
        <f t="shared" si="0"/>
        <v>36</v>
      </c>
    </row>
    <row r="37" spans="1:4" x14ac:dyDescent="0.35">
      <c r="A37" s="1">
        <f t="shared" si="0"/>
        <v>37</v>
      </c>
      <c r="B37" t="s">
        <v>73</v>
      </c>
    </row>
    <row r="38" spans="1:4" x14ac:dyDescent="0.35">
      <c r="A38" s="1">
        <f t="shared" si="0"/>
        <v>38</v>
      </c>
    </row>
    <row r="39" spans="1:4" x14ac:dyDescent="0.35">
      <c r="A39" s="1">
        <f t="shared" si="0"/>
        <v>39</v>
      </c>
      <c r="B39" t="s">
        <v>74</v>
      </c>
      <c r="C39" s="27">
        <f>I26</f>
        <v>953163</v>
      </c>
      <c r="D39" s="6">
        <f>C39</f>
        <v>953163</v>
      </c>
    </row>
    <row r="40" spans="1:4" x14ac:dyDescent="0.35">
      <c r="A40" s="1">
        <f t="shared" si="0"/>
        <v>40</v>
      </c>
      <c r="B40" t="s">
        <v>70</v>
      </c>
      <c r="C40" s="16">
        <f>C27</f>
        <v>0.97629999999999995</v>
      </c>
      <c r="D40" s="16">
        <f>D32</f>
        <v>2.3699999999999999E-2</v>
      </c>
    </row>
    <row r="41" spans="1:4" x14ac:dyDescent="0.35">
      <c r="A41" s="1">
        <f t="shared" si="0"/>
        <v>41</v>
      </c>
    </row>
    <row r="42" spans="1:4" ht="13.9" thickBot="1" x14ac:dyDescent="0.4">
      <c r="A42" s="1">
        <f t="shared" si="0"/>
        <v>42</v>
      </c>
      <c r="B42" t="s">
        <v>71</v>
      </c>
      <c r="C42" s="13">
        <f>ROUND(C39*C40,0)</f>
        <v>930573</v>
      </c>
      <c r="D42" s="6"/>
    </row>
    <row r="43" spans="1:4" ht="14.25" thickTop="1" thickBot="1" x14ac:dyDescent="0.4">
      <c r="A43" s="1">
        <f t="shared" si="0"/>
        <v>43</v>
      </c>
      <c r="B43" t="s">
        <v>72</v>
      </c>
      <c r="C43" s="6"/>
      <c r="D43" s="13">
        <f>ROUND(D39*D40,0)</f>
        <v>22590</v>
      </c>
    </row>
    <row r="44" spans="1:4" ht="13.9" thickTop="1" x14ac:dyDescent="0.35">
      <c r="A44" s="1">
        <f t="shared" si="0"/>
        <v>44</v>
      </c>
    </row>
    <row r="45" spans="1:4" x14ac:dyDescent="0.35">
      <c r="A45" s="1">
        <f t="shared" si="0"/>
        <v>45</v>
      </c>
    </row>
    <row r="46" spans="1:4" x14ac:dyDescent="0.35">
      <c r="A46" s="1">
        <f t="shared" si="0"/>
        <v>46</v>
      </c>
    </row>
    <row r="47" spans="1:4" x14ac:dyDescent="0.35">
      <c r="A47" s="1">
        <f t="shared" si="0"/>
        <v>47</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80" zoomScaleNormal="80" workbookViewId="0">
      <selection activeCell="F42" sqref="F42"/>
    </sheetView>
  </sheetViews>
  <sheetFormatPr defaultColWidth="15.625" defaultRowHeight="13.5" x14ac:dyDescent="0.35"/>
  <cols>
    <col min="1" max="1" width="4.625" customWidth="1"/>
    <col min="8" max="8" width="2.625" customWidth="1"/>
  </cols>
  <sheetData>
    <row r="1" spans="1:9" x14ac:dyDescent="0.35">
      <c r="A1" s="1">
        <v>1</v>
      </c>
      <c r="B1" t="str">
        <f>Plant!B1</f>
        <v>Workpaper 1.02 Surcharge Adjustment FINAL.xlsx</v>
      </c>
    </row>
    <row r="2" spans="1:9" x14ac:dyDescent="0.35">
      <c r="A2" s="1">
        <f>A1+1</f>
        <v>2</v>
      </c>
      <c r="B2" t="s">
        <v>199</v>
      </c>
    </row>
    <row r="3" spans="1:9" x14ac:dyDescent="0.35">
      <c r="A3" s="1">
        <f t="shared" ref="A3:A40" si="0">A2+1</f>
        <v>3</v>
      </c>
    </row>
    <row r="4" spans="1:9" x14ac:dyDescent="0.35">
      <c r="A4" s="1">
        <f t="shared" si="0"/>
        <v>4</v>
      </c>
    </row>
    <row r="5" spans="1:9" x14ac:dyDescent="0.35">
      <c r="A5" s="1">
        <f t="shared" si="0"/>
        <v>5</v>
      </c>
      <c r="C5" s="33" t="s">
        <v>205</v>
      </c>
      <c r="D5" s="34"/>
      <c r="E5" s="34"/>
      <c r="F5" s="34"/>
      <c r="G5" s="35"/>
      <c r="I5" s="3" t="s">
        <v>206</v>
      </c>
    </row>
    <row r="6" spans="1:9" ht="13.9" thickBot="1" x14ac:dyDescent="0.4">
      <c r="A6" s="1">
        <f t="shared" si="0"/>
        <v>6</v>
      </c>
      <c r="B6" s="4" t="s">
        <v>32</v>
      </c>
      <c r="C6" s="4" t="s">
        <v>200</v>
      </c>
      <c r="D6" s="4" t="s">
        <v>201</v>
      </c>
      <c r="E6" s="4" t="s">
        <v>202</v>
      </c>
      <c r="F6" s="4" t="s">
        <v>203</v>
      </c>
      <c r="G6" s="4" t="s">
        <v>204</v>
      </c>
      <c r="I6" s="8" t="s">
        <v>207</v>
      </c>
    </row>
    <row r="7" spans="1:9" x14ac:dyDescent="0.35">
      <c r="A7" s="1">
        <f t="shared" si="0"/>
        <v>7</v>
      </c>
    </row>
    <row r="8" spans="1:9" x14ac:dyDescent="0.35">
      <c r="A8" s="1">
        <f t="shared" si="0"/>
        <v>8</v>
      </c>
      <c r="B8" s="24" t="s">
        <v>270</v>
      </c>
      <c r="C8" s="27">
        <v>1292</v>
      </c>
      <c r="D8" s="27">
        <f>11830+96552+64348</f>
        <v>172730</v>
      </c>
      <c r="E8" s="27">
        <f>17381+179712+64062+38094+306009+237246+92122+181564</f>
        <v>1116190</v>
      </c>
      <c r="F8" s="27">
        <f>6224+1430</f>
        <v>7654</v>
      </c>
      <c r="G8" s="27">
        <f>74518+2609+8646+66513+80751+226241+389755</f>
        <v>849033</v>
      </c>
      <c r="I8" s="6">
        <f>SUM(D8:G8)</f>
        <v>2145607</v>
      </c>
    </row>
    <row r="9" spans="1:9" x14ac:dyDescent="0.35">
      <c r="A9" s="1">
        <f t="shared" si="0"/>
        <v>9</v>
      </c>
      <c r="C9" s="27"/>
      <c r="D9" s="27"/>
      <c r="E9" s="27"/>
      <c r="F9" s="27"/>
      <c r="G9" s="27"/>
    </row>
    <row r="10" spans="1:9" x14ac:dyDescent="0.35">
      <c r="A10" s="1">
        <f t="shared" si="0"/>
        <v>10</v>
      </c>
      <c r="B10" t="s">
        <v>33</v>
      </c>
      <c r="C10" s="27">
        <v>864</v>
      </c>
      <c r="D10" s="27">
        <f>18743+85308+62004</f>
        <v>166055</v>
      </c>
      <c r="E10" s="27">
        <f>6656+58153+45591+32143+167332+68707+55148+221259</f>
        <v>654989</v>
      </c>
      <c r="F10" s="27">
        <f>7040</f>
        <v>7040</v>
      </c>
      <c r="G10" s="27">
        <f>11100+9086+20355+1261341+428227+122576+140429</f>
        <v>1993114</v>
      </c>
      <c r="I10" s="6">
        <f>SUM(D10:G10)</f>
        <v>2821198</v>
      </c>
    </row>
    <row r="11" spans="1:9" x14ac:dyDescent="0.35">
      <c r="A11" s="1">
        <f t="shared" si="0"/>
        <v>11</v>
      </c>
      <c r="C11" s="27"/>
      <c r="D11" s="27"/>
      <c r="E11" s="27"/>
      <c r="F11" s="27"/>
      <c r="G11" s="27"/>
    </row>
    <row r="12" spans="1:9" x14ac:dyDescent="0.35">
      <c r="A12" s="1">
        <f t="shared" si="0"/>
        <v>12</v>
      </c>
      <c r="B12" t="s">
        <v>34</v>
      </c>
      <c r="C12" s="27">
        <v>1249</v>
      </c>
      <c r="D12" s="27">
        <f>77+2371+87400</f>
        <v>89848</v>
      </c>
      <c r="E12" s="27">
        <f>9949+58746+57678+20294+3437+397468+111773+121794</f>
        <v>781139</v>
      </c>
      <c r="F12" s="27">
        <v>58030</v>
      </c>
      <c r="G12" s="27">
        <f>15554+17442+5297+2358575+299159+77709+400659</f>
        <v>3174395</v>
      </c>
      <c r="I12" s="6">
        <f>SUM(D12:G12)</f>
        <v>4103412</v>
      </c>
    </row>
    <row r="13" spans="1:9" x14ac:dyDescent="0.35">
      <c r="A13" s="1">
        <f t="shared" si="0"/>
        <v>13</v>
      </c>
      <c r="C13" s="27"/>
      <c r="D13" s="27"/>
      <c r="E13" s="27"/>
      <c r="F13" s="27"/>
      <c r="G13" s="27"/>
    </row>
    <row r="14" spans="1:9" x14ac:dyDescent="0.35">
      <c r="A14" s="1">
        <f t="shared" si="0"/>
        <v>14</v>
      </c>
      <c r="B14" t="s">
        <v>35</v>
      </c>
      <c r="C14" s="27">
        <v>710</v>
      </c>
      <c r="D14" s="27">
        <f>5591+51266+29082</f>
        <v>85939</v>
      </c>
      <c r="E14" s="27">
        <f>31378+15408+149287+3577+74745+117941</f>
        <v>392336</v>
      </c>
      <c r="F14" s="27">
        <f>212+13690</f>
        <v>13902</v>
      </c>
      <c r="G14" s="27">
        <f>13667+35932+17609+311406+1840727+70013+69977</f>
        <v>2359331</v>
      </c>
      <c r="I14" s="6">
        <f>SUM(D14:G14)</f>
        <v>2851508</v>
      </c>
    </row>
    <row r="15" spans="1:9" x14ac:dyDescent="0.35">
      <c r="A15" s="1">
        <f t="shared" si="0"/>
        <v>15</v>
      </c>
      <c r="C15" s="27"/>
      <c r="D15" s="27"/>
      <c r="E15" s="27"/>
      <c r="F15" s="27"/>
      <c r="G15" s="27"/>
    </row>
    <row r="16" spans="1:9" x14ac:dyDescent="0.35">
      <c r="A16" s="1">
        <f t="shared" si="0"/>
        <v>16</v>
      </c>
      <c r="B16" t="s">
        <v>36</v>
      </c>
      <c r="C16" s="27">
        <v>922</v>
      </c>
      <c r="D16" s="27">
        <f>204744+656</f>
        <v>205400</v>
      </c>
      <c r="E16" s="27">
        <f>38314+30528+272876+10459+26324+118260</f>
        <v>496761</v>
      </c>
      <c r="F16" s="27">
        <v>27</v>
      </c>
      <c r="G16" s="27">
        <f>27364+79595+7431+191829+931724+274373+184358</f>
        <v>1696674</v>
      </c>
      <c r="I16" s="6">
        <f>SUM(D16:G16)</f>
        <v>2398862</v>
      </c>
    </row>
    <row r="17" spans="1:9" x14ac:dyDescent="0.35">
      <c r="A17" s="1">
        <f t="shared" si="0"/>
        <v>17</v>
      </c>
      <c r="C17" s="27"/>
      <c r="D17" s="27"/>
      <c r="E17" s="27"/>
      <c r="F17" s="27"/>
      <c r="G17" s="27"/>
    </row>
    <row r="18" spans="1:9" x14ac:dyDescent="0.35">
      <c r="A18" s="1">
        <f t="shared" si="0"/>
        <v>18</v>
      </c>
      <c r="B18" t="s">
        <v>37</v>
      </c>
      <c r="C18" s="27">
        <v>914</v>
      </c>
      <c r="D18" s="27">
        <f>98395+120140</f>
        <v>218535</v>
      </c>
      <c r="E18" s="27">
        <f>6048+4+24021+62581+301307+6144+153772</f>
        <v>553877</v>
      </c>
      <c r="F18" s="27">
        <v>16257</v>
      </c>
      <c r="G18" s="27">
        <f>16946+50213+44903+103170+326483+65224+304370</f>
        <v>911309</v>
      </c>
      <c r="I18" s="6">
        <f>SUM(D18:G18)</f>
        <v>1699978</v>
      </c>
    </row>
    <row r="19" spans="1:9" x14ac:dyDescent="0.35">
      <c r="A19" s="1">
        <f t="shared" si="0"/>
        <v>19</v>
      </c>
      <c r="C19" s="27"/>
      <c r="D19" s="27"/>
      <c r="E19" s="27"/>
      <c r="F19" s="27"/>
      <c r="G19" s="27"/>
    </row>
    <row r="20" spans="1:9" x14ac:dyDescent="0.35">
      <c r="A20" s="1">
        <f t="shared" si="0"/>
        <v>20</v>
      </c>
      <c r="B20" t="s">
        <v>38</v>
      </c>
      <c r="C20" s="27">
        <v>1986</v>
      </c>
      <c r="D20" s="27">
        <f>10952+96302+239352</f>
        <v>346606</v>
      </c>
      <c r="E20" s="27">
        <f>3002+59177+39156+30466+248191+357435+78500+271324</f>
        <v>1087251</v>
      </c>
      <c r="F20" s="27">
        <f>17967+17705</f>
        <v>35672</v>
      </c>
      <c r="G20" s="27">
        <f>9014+11648+8355+91604+84115+364082+739258</f>
        <v>1308076</v>
      </c>
      <c r="I20" s="6">
        <f>SUM(D20:G20)</f>
        <v>2777605</v>
      </c>
    </row>
    <row r="21" spans="1:9" x14ac:dyDescent="0.35">
      <c r="A21" s="1">
        <f t="shared" si="0"/>
        <v>21</v>
      </c>
      <c r="C21" s="27"/>
      <c r="D21" s="27"/>
      <c r="E21" s="27"/>
      <c r="F21" s="27"/>
      <c r="G21" s="27"/>
    </row>
    <row r="22" spans="1:9" x14ac:dyDescent="0.35">
      <c r="A22" s="1">
        <f t="shared" si="0"/>
        <v>22</v>
      </c>
      <c r="B22" t="s">
        <v>39</v>
      </c>
      <c r="C22" s="27">
        <v>1569</v>
      </c>
      <c r="D22" s="27">
        <f>5041+222591+247565</f>
        <v>475197</v>
      </c>
      <c r="E22" s="27">
        <f>11920+82312+41590+22827+314919+364228+95826+183336</f>
        <v>1116958</v>
      </c>
      <c r="F22" s="27">
        <v>0</v>
      </c>
      <c r="G22" s="27">
        <f>13499+116091+29860+238654+223624+122149+204774</f>
        <v>948651</v>
      </c>
      <c r="I22" s="6">
        <f>SUM(D22:G22)</f>
        <v>2540806</v>
      </c>
    </row>
    <row r="23" spans="1:9" x14ac:dyDescent="0.35">
      <c r="A23" s="1">
        <f t="shared" si="0"/>
        <v>23</v>
      </c>
      <c r="C23" s="27"/>
      <c r="D23" s="27"/>
      <c r="E23" s="27"/>
      <c r="F23" s="27"/>
      <c r="G23" s="27"/>
    </row>
    <row r="24" spans="1:9" x14ac:dyDescent="0.35">
      <c r="A24" s="1">
        <f t="shared" si="0"/>
        <v>24</v>
      </c>
      <c r="B24" t="s">
        <v>40</v>
      </c>
      <c r="C24" s="27">
        <v>1399</v>
      </c>
      <c r="D24" s="27">
        <f>16452+192510+226897</f>
        <v>435859</v>
      </c>
      <c r="E24" s="27">
        <f>9009+59946+25937+13976+277937+327553+67242+124876</f>
        <v>906476</v>
      </c>
      <c r="F24" s="27">
        <f>56319+39883</f>
        <v>96202</v>
      </c>
      <c r="G24" s="27">
        <f>20535+88923+295638+97095+91671+189786+220734</f>
        <v>1004382</v>
      </c>
      <c r="I24" s="6">
        <f>SUM(D24:G24)</f>
        <v>2442919</v>
      </c>
    </row>
    <row r="25" spans="1:9" x14ac:dyDescent="0.35">
      <c r="A25" s="1">
        <f t="shared" si="0"/>
        <v>25</v>
      </c>
      <c r="C25" s="27"/>
      <c r="D25" s="27"/>
      <c r="E25" s="27"/>
      <c r="F25" s="27"/>
      <c r="G25" s="27"/>
    </row>
    <row r="26" spans="1:9" x14ac:dyDescent="0.35">
      <c r="A26" s="1">
        <f t="shared" si="0"/>
        <v>26</v>
      </c>
      <c r="B26" t="s">
        <v>41</v>
      </c>
      <c r="C26" s="27">
        <v>1399</v>
      </c>
      <c r="D26" s="27">
        <f>9715+161167+233959</f>
        <v>404841</v>
      </c>
      <c r="E26" s="27">
        <f>100858+17601+29685+127801+380289+93075+150648</f>
        <v>899957</v>
      </c>
      <c r="F26" s="27">
        <v>4465</v>
      </c>
      <c r="G26" s="27">
        <f>10119+398987+36057+123478+99056+683530+85350</f>
        <v>1436577</v>
      </c>
      <c r="I26" s="6">
        <f>SUM(D26:G26)</f>
        <v>2745840</v>
      </c>
    </row>
    <row r="27" spans="1:9" x14ac:dyDescent="0.35">
      <c r="A27" s="1">
        <f t="shared" si="0"/>
        <v>27</v>
      </c>
      <c r="C27" s="27"/>
      <c r="D27" s="27"/>
      <c r="E27" s="27"/>
      <c r="F27" s="27"/>
      <c r="G27" s="27"/>
    </row>
    <row r="28" spans="1:9" x14ac:dyDescent="0.35">
      <c r="A28" s="1">
        <f t="shared" si="0"/>
        <v>28</v>
      </c>
      <c r="B28" t="s">
        <v>42</v>
      </c>
      <c r="C28" s="27">
        <v>1262</v>
      </c>
      <c r="D28" s="27">
        <f>125242+294612</f>
        <v>419854</v>
      </c>
      <c r="E28" s="27">
        <f>6374+119537+56728+213177+347358+103892+9216</f>
        <v>856282</v>
      </c>
      <c r="F28" s="27">
        <v>18897</v>
      </c>
      <c r="G28" s="27">
        <f>43447+68241+161588+83686+48695+112524+698458</f>
        <v>1216639</v>
      </c>
      <c r="I28" s="6">
        <f>SUM(D28:G28)</f>
        <v>2511672</v>
      </c>
    </row>
    <row r="29" spans="1:9" x14ac:dyDescent="0.35">
      <c r="A29" s="1">
        <f t="shared" si="0"/>
        <v>29</v>
      </c>
      <c r="C29" s="27"/>
      <c r="D29" s="27"/>
      <c r="E29" s="27"/>
      <c r="F29" s="27"/>
      <c r="G29" s="27"/>
    </row>
    <row r="30" spans="1:9" x14ac:dyDescent="0.35">
      <c r="A30" s="1">
        <f t="shared" si="0"/>
        <v>30</v>
      </c>
      <c r="B30" s="24" t="s">
        <v>269</v>
      </c>
      <c r="C30" s="27">
        <v>1611</v>
      </c>
      <c r="D30" s="27">
        <f>9165+67324+26373</f>
        <v>102862</v>
      </c>
      <c r="E30" s="27">
        <f>3225+57659+20512+35285+315689+182332+48171+225218</f>
        <v>888091</v>
      </c>
      <c r="F30" s="27">
        <v>17000</v>
      </c>
      <c r="G30" s="27">
        <f>146462+41430+415836+129581+196367+118365+138189</f>
        <v>1186230</v>
      </c>
      <c r="I30" s="6">
        <f>SUM(D30:G30)</f>
        <v>2194183</v>
      </c>
    </row>
    <row r="31" spans="1:9" x14ac:dyDescent="0.35">
      <c r="A31" s="1">
        <f t="shared" si="0"/>
        <v>31</v>
      </c>
      <c r="C31" s="6"/>
      <c r="D31" s="6"/>
      <c r="E31" s="6"/>
      <c r="F31" s="6"/>
      <c r="G31" s="6"/>
    </row>
    <row r="32" spans="1:9" x14ac:dyDescent="0.35">
      <c r="A32" s="1">
        <f t="shared" si="0"/>
        <v>32</v>
      </c>
      <c r="B32" t="s">
        <v>208</v>
      </c>
      <c r="C32" s="6">
        <f>SUM(C8:C30)</f>
        <v>15177</v>
      </c>
      <c r="D32" s="6">
        <f t="shared" ref="D32:G32" si="1">SUM(D8:D30)</f>
        <v>3123726</v>
      </c>
      <c r="E32" s="6">
        <f t="shared" si="1"/>
        <v>9750307</v>
      </c>
      <c r="F32" s="6">
        <f t="shared" si="1"/>
        <v>275146</v>
      </c>
      <c r="G32" s="6">
        <f t="shared" si="1"/>
        <v>18084411</v>
      </c>
    </row>
    <row r="33" spans="1:7" x14ac:dyDescent="0.35">
      <c r="A33" s="1">
        <f t="shared" si="0"/>
        <v>33</v>
      </c>
      <c r="C33" s="6"/>
      <c r="D33" s="6"/>
      <c r="E33" s="6"/>
      <c r="F33" s="6"/>
      <c r="G33" s="6"/>
    </row>
    <row r="34" spans="1:7" x14ac:dyDescent="0.35">
      <c r="A34" s="1">
        <f t="shared" si="0"/>
        <v>34</v>
      </c>
      <c r="C34" s="6"/>
      <c r="D34" s="6"/>
      <c r="E34" s="6"/>
      <c r="F34" s="6"/>
      <c r="G34" s="6"/>
    </row>
    <row r="35" spans="1:7" x14ac:dyDescent="0.35">
      <c r="A35" s="1">
        <f t="shared" si="0"/>
        <v>35</v>
      </c>
      <c r="C35" s="6"/>
      <c r="D35" s="6"/>
      <c r="E35" s="6"/>
      <c r="F35" s="6"/>
      <c r="G35" s="6"/>
    </row>
    <row r="36" spans="1:7" x14ac:dyDescent="0.35">
      <c r="A36" s="1">
        <f t="shared" si="0"/>
        <v>36</v>
      </c>
      <c r="C36" s="6"/>
      <c r="D36" s="6"/>
      <c r="E36" s="6"/>
      <c r="F36" s="6"/>
      <c r="G36" s="6"/>
    </row>
    <row r="37" spans="1:7" x14ac:dyDescent="0.35">
      <c r="A37" s="1">
        <f t="shared" si="0"/>
        <v>37</v>
      </c>
      <c r="C37" s="6"/>
      <c r="D37" s="6"/>
      <c r="E37" s="6"/>
      <c r="F37" s="6"/>
      <c r="G37" s="6"/>
    </row>
    <row r="38" spans="1:7" x14ac:dyDescent="0.35">
      <c r="A38" s="1">
        <f t="shared" si="0"/>
        <v>38</v>
      </c>
      <c r="C38" s="6"/>
      <c r="D38" s="6"/>
      <c r="E38" s="6"/>
      <c r="F38" s="6"/>
      <c r="G38" s="6"/>
    </row>
    <row r="39" spans="1:7" x14ac:dyDescent="0.35">
      <c r="A39" s="1">
        <f t="shared" si="0"/>
        <v>39</v>
      </c>
      <c r="C39" s="6"/>
      <c r="D39" s="6"/>
      <c r="E39" s="6"/>
      <c r="F39" s="6"/>
      <c r="G39" s="6"/>
    </row>
    <row r="40" spans="1:7" x14ac:dyDescent="0.35">
      <c r="A40" s="1">
        <f t="shared" si="0"/>
        <v>40</v>
      </c>
      <c r="C40" s="6"/>
      <c r="D40" s="6"/>
      <c r="E40" s="6"/>
      <c r="F40" s="6"/>
      <c r="G40" s="6"/>
    </row>
  </sheetData>
  <mergeCells count="1">
    <mergeCell ref="C5:G5"/>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8"/>
  <sheetViews>
    <sheetView zoomScale="80" zoomScaleNormal="80" workbookViewId="0">
      <pane xSplit="1" ySplit="7" topLeftCell="B8" activePane="bottomRight" state="frozen"/>
      <selection pane="topRight" activeCell="B1" sqref="B1"/>
      <selection pane="bottomLeft" activeCell="A8" sqref="A8"/>
      <selection pane="bottomRight" activeCell="B1" sqref="B1"/>
    </sheetView>
  </sheetViews>
  <sheetFormatPr defaultColWidth="15.625" defaultRowHeight="13.5" x14ac:dyDescent="0.35"/>
  <cols>
    <col min="1" max="1" width="4.625" customWidth="1"/>
    <col min="2" max="2" width="30.625" customWidth="1"/>
  </cols>
  <sheetData>
    <row r="1" spans="1:14" x14ac:dyDescent="0.35">
      <c r="A1" s="1">
        <v>1</v>
      </c>
      <c r="B1" t="str">
        <f>Plant!B1</f>
        <v>Workpaper 1.02 Surcharge Adjustment FINAL.xlsx</v>
      </c>
    </row>
    <row r="2" spans="1:14" x14ac:dyDescent="0.35">
      <c r="A2" s="1">
        <f>A1+1</f>
        <v>2</v>
      </c>
      <c r="B2" t="s">
        <v>76</v>
      </c>
    </row>
    <row r="3" spans="1:14" x14ac:dyDescent="0.35">
      <c r="A3" s="1">
        <f t="shared" ref="A3:A4" si="0">A2+1</f>
        <v>3</v>
      </c>
    </row>
    <row r="4" spans="1:14" x14ac:dyDescent="0.35">
      <c r="A4" s="1">
        <f t="shared" si="0"/>
        <v>4</v>
      </c>
    </row>
    <row r="5" spans="1:14" x14ac:dyDescent="0.35">
      <c r="A5" s="1">
        <f t="shared" ref="A5:A67" si="1">A4+1</f>
        <v>5</v>
      </c>
      <c r="D5" s="33" t="s">
        <v>86</v>
      </c>
      <c r="E5" s="34"/>
      <c r="F5" s="34"/>
      <c r="G5" s="34"/>
      <c r="H5" s="34"/>
      <c r="I5" s="35"/>
      <c r="J5" s="33" t="s">
        <v>106</v>
      </c>
      <c r="K5" s="34"/>
      <c r="L5" s="34"/>
      <c r="M5" s="34"/>
      <c r="N5" s="35"/>
    </row>
    <row r="6" spans="1:14" x14ac:dyDescent="0.35">
      <c r="A6" s="1">
        <f t="shared" si="1"/>
        <v>6</v>
      </c>
      <c r="B6" s="10"/>
      <c r="C6" s="10"/>
      <c r="D6" s="10"/>
      <c r="E6" s="10" t="s">
        <v>85</v>
      </c>
      <c r="F6" s="10" t="s">
        <v>81</v>
      </c>
      <c r="G6" s="10" t="s">
        <v>264</v>
      </c>
      <c r="H6" s="10" t="s">
        <v>83</v>
      </c>
      <c r="I6" s="10" t="s">
        <v>265</v>
      </c>
      <c r="J6" s="10" t="s">
        <v>79</v>
      </c>
      <c r="K6" s="19" t="s">
        <v>105</v>
      </c>
      <c r="L6" s="10" t="s">
        <v>264</v>
      </c>
      <c r="M6" s="10" t="s">
        <v>83</v>
      </c>
      <c r="N6" s="10" t="s">
        <v>265</v>
      </c>
    </row>
    <row r="7" spans="1:14" ht="13.9" thickBot="1" x14ac:dyDescent="0.4">
      <c r="A7" s="1">
        <f t="shared" si="1"/>
        <v>7</v>
      </c>
      <c r="B7" s="4" t="s">
        <v>77</v>
      </c>
      <c r="C7" s="4" t="s">
        <v>78</v>
      </c>
      <c r="D7" s="4" t="s">
        <v>80</v>
      </c>
      <c r="E7" s="4" t="s">
        <v>263</v>
      </c>
      <c r="F7" s="4" t="s">
        <v>263</v>
      </c>
      <c r="G7" s="4" t="s">
        <v>82</v>
      </c>
      <c r="H7" s="4" t="s">
        <v>82</v>
      </c>
      <c r="I7" s="4" t="s">
        <v>84</v>
      </c>
      <c r="J7" s="4" t="s">
        <v>263</v>
      </c>
      <c r="K7" s="8" t="s">
        <v>85</v>
      </c>
      <c r="L7" s="4" t="s">
        <v>82</v>
      </c>
      <c r="M7" s="4" t="s">
        <v>82</v>
      </c>
      <c r="N7" s="4" t="s">
        <v>84</v>
      </c>
    </row>
    <row r="8" spans="1:14" x14ac:dyDescent="0.35">
      <c r="A8" s="1">
        <f t="shared" si="1"/>
        <v>8</v>
      </c>
    </row>
    <row r="9" spans="1:14" x14ac:dyDescent="0.35">
      <c r="A9" s="1">
        <f t="shared" si="1"/>
        <v>9</v>
      </c>
      <c r="B9" t="s">
        <v>87</v>
      </c>
      <c r="C9" s="3" t="s">
        <v>88</v>
      </c>
      <c r="D9" s="3" t="s">
        <v>89</v>
      </c>
      <c r="E9" s="6">
        <v>37287274</v>
      </c>
      <c r="F9" s="17">
        <v>4.7440000000000003E-2</v>
      </c>
      <c r="G9" s="6">
        <v>1804594</v>
      </c>
      <c r="H9" s="6">
        <f>ROUND(E9*F9,0)</f>
        <v>1768908</v>
      </c>
      <c r="I9" s="6">
        <v>1201498</v>
      </c>
      <c r="J9" s="6"/>
    </row>
    <row r="10" spans="1:14" x14ac:dyDescent="0.35">
      <c r="A10" s="1">
        <f t="shared" si="1"/>
        <v>10</v>
      </c>
      <c r="C10" s="3"/>
      <c r="D10" s="3" t="s">
        <v>90</v>
      </c>
      <c r="E10" s="6">
        <v>37416443</v>
      </c>
      <c r="F10" s="17">
        <v>4.8250000000000001E-2</v>
      </c>
      <c r="G10" s="6">
        <v>1841536</v>
      </c>
      <c r="H10" s="6">
        <f t="shared" ref="H10:H22" si="2">ROUND(E10*F10,0)</f>
        <v>1805343</v>
      </c>
      <c r="I10" s="6">
        <v>1194734</v>
      </c>
      <c r="J10" s="6"/>
    </row>
    <row r="11" spans="1:14" x14ac:dyDescent="0.35">
      <c r="A11" s="1">
        <f t="shared" si="1"/>
        <v>11</v>
      </c>
      <c r="C11" s="3"/>
      <c r="D11" s="3" t="s">
        <v>91</v>
      </c>
      <c r="E11" s="6">
        <v>37607853</v>
      </c>
      <c r="F11" s="17">
        <v>4.9459999999999997E-2</v>
      </c>
      <c r="G11" s="6">
        <v>1896769</v>
      </c>
      <c r="H11" s="6">
        <f t="shared" si="2"/>
        <v>1860084</v>
      </c>
      <c r="I11" s="6">
        <v>1184588</v>
      </c>
      <c r="J11" s="6"/>
    </row>
    <row r="12" spans="1:14" x14ac:dyDescent="0.35">
      <c r="A12" s="1">
        <f t="shared" si="1"/>
        <v>12</v>
      </c>
      <c r="C12" s="3"/>
      <c r="D12" s="3" t="s">
        <v>92</v>
      </c>
      <c r="E12" s="6">
        <v>18574615</v>
      </c>
      <c r="F12" s="17">
        <v>4.6580000000000003E-2</v>
      </c>
      <c r="G12" s="6">
        <v>882829</v>
      </c>
      <c r="H12" s="6">
        <f t="shared" si="2"/>
        <v>865206</v>
      </c>
      <c r="I12" s="6">
        <v>604327</v>
      </c>
      <c r="J12" s="6"/>
    </row>
    <row r="13" spans="1:14" x14ac:dyDescent="0.35">
      <c r="A13" s="1">
        <f t="shared" si="1"/>
        <v>13</v>
      </c>
      <c r="C13" s="3"/>
      <c r="D13" s="3" t="s">
        <v>93</v>
      </c>
      <c r="E13" s="6">
        <v>18444160</v>
      </c>
      <c r="F13" s="17">
        <v>4.4970000000000003E-2</v>
      </c>
      <c r="G13" s="6">
        <v>846634</v>
      </c>
      <c r="H13" s="6">
        <f t="shared" si="2"/>
        <v>829434</v>
      </c>
      <c r="I13" s="6">
        <v>610988</v>
      </c>
      <c r="J13" s="6"/>
    </row>
    <row r="14" spans="1:14" x14ac:dyDescent="0.35">
      <c r="A14" s="1">
        <f t="shared" si="1"/>
        <v>14</v>
      </c>
      <c r="C14" s="3"/>
      <c r="D14" s="3" t="s">
        <v>94</v>
      </c>
      <c r="E14" s="6">
        <v>18612393</v>
      </c>
      <c r="F14" s="17">
        <v>4.7050000000000002E-2</v>
      </c>
      <c r="G14" s="6">
        <v>893457</v>
      </c>
      <c r="H14" s="6">
        <f t="shared" si="2"/>
        <v>875713</v>
      </c>
      <c r="I14" s="6">
        <v>602373</v>
      </c>
      <c r="J14" s="6"/>
    </row>
    <row r="15" spans="1:14" x14ac:dyDescent="0.35">
      <c r="A15" s="1">
        <f t="shared" si="1"/>
        <v>15</v>
      </c>
      <c r="C15" s="3"/>
      <c r="D15" s="3" t="s">
        <v>95</v>
      </c>
      <c r="E15" s="6">
        <v>18308805</v>
      </c>
      <c r="F15" s="17">
        <v>4.3319999999999997E-2</v>
      </c>
      <c r="G15" s="6">
        <v>809889</v>
      </c>
      <c r="H15" s="6">
        <f t="shared" si="2"/>
        <v>793137</v>
      </c>
      <c r="I15" s="6">
        <v>617761</v>
      </c>
      <c r="J15" s="6"/>
    </row>
    <row r="16" spans="1:14" x14ac:dyDescent="0.35">
      <c r="A16" s="1">
        <f t="shared" si="1"/>
        <v>16</v>
      </c>
      <c r="C16" s="3"/>
      <c r="D16" s="3" t="s">
        <v>96</v>
      </c>
      <c r="E16" s="6">
        <v>13909672</v>
      </c>
      <c r="F16" s="17">
        <v>4.3240000000000001E-2</v>
      </c>
      <c r="G16" s="6">
        <v>614168</v>
      </c>
      <c r="H16" s="6">
        <f t="shared" si="2"/>
        <v>601454</v>
      </c>
      <c r="I16" s="6">
        <v>469747</v>
      </c>
      <c r="J16" s="6"/>
    </row>
    <row r="17" spans="1:14" x14ac:dyDescent="0.35">
      <c r="A17" s="1">
        <f t="shared" si="1"/>
        <v>17</v>
      </c>
      <c r="C17" s="3"/>
      <c r="D17" s="3" t="s">
        <v>97</v>
      </c>
      <c r="E17" s="6">
        <v>22104590</v>
      </c>
      <c r="F17" s="17">
        <v>4.4679999999999997E-2</v>
      </c>
      <c r="G17" s="6">
        <v>1008180</v>
      </c>
      <c r="H17" s="6">
        <f t="shared" si="2"/>
        <v>987633</v>
      </c>
      <c r="I17" s="6">
        <v>734619</v>
      </c>
      <c r="J17" s="6"/>
    </row>
    <row r="18" spans="1:14" x14ac:dyDescent="0.35">
      <c r="A18" s="1">
        <f t="shared" si="1"/>
        <v>18</v>
      </c>
      <c r="C18" s="3"/>
      <c r="D18" s="3" t="s">
        <v>98</v>
      </c>
      <c r="E18" s="6">
        <v>22106550</v>
      </c>
      <c r="F18" s="17">
        <v>4.4699999999999997E-2</v>
      </c>
      <c r="G18" s="6">
        <v>1008716</v>
      </c>
      <c r="H18" s="6">
        <f t="shared" si="2"/>
        <v>988163</v>
      </c>
      <c r="I18" s="6">
        <v>734521</v>
      </c>
      <c r="J18" s="6"/>
    </row>
    <row r="19" spans="1:14" x14ac:dyDescent="0.35">
      <c r="A19" s="1">
        <f t="shared" si="1"/>
        <v>19</v>
      </c>
      <c r="C19" s="3"/>
      <c r="D19" s="3" t="s">
        <v>99</v>
      </c>
      <c r="E19" s="6">
        <v>22396338</v>
      </c>
      <c r="F19" s="17">
        <v>4.7690000000000003E-2</v>
      </c>
      <c r="G19" s="6">
        <v>1089569</v>
      </c>
      <c r="H19" s="6">
        <f t="shared" si="2"/>
        <v>1068081</v>
      </c>
      <c r="I19" s="6">
        <v>719647</v>
      </c>
      <c r="J19" s="6"/>
    </row>
    <row r="20" spans="1:14" x14ac:dyDescent="0.35">
      <c r="A20" s="1">
        <f t="shared" si="1"/>
        <v>20</v>
      </c>
      <c r="C20" s="3"/>
      <c r="D20" s="3" t="s">
        <v>100</v>
      </c>
      <c r="E20" s="6">
        <v>17511060</v>
      </c>
      <c r="F20" s="17">
        <v>4.7759999999999997E-2</v>
      </c>
      <c r="G20" s="6">
        <v>853140</v>
      </c>
      <c r="H20" s="6">
        <f t="shared" si="2"/>
        <v>836328</v>
      </c>
      <c r="I20" s="6">
        <v>562230</v>
      </c>
      <c r="J20" s="6"/>
    </row>
    <row r="21" spans="1:14" x14ac:dyDescent="0.35">
      <c r="A21" s="1">
        <f t="shared" si="1"/>
        <v>21</v>
      </c>
      <c r="C21" s="3"/>
      <c r="D21" s="3" t="s">
        <v>101</v>
      </c>
      <c r="E21" s="6">
        <v>17723123</v>
      </c>
      <c r="F21" s="17">
        <v>4.8120000000000003E-2</v>
      </c>
      <c r="G21" s="6">
        <v>869911</v>
      </c>
      <c r="H21" s="6">
        <f t="shared" si="2"/>
        <v>852837</v>
      </c>
      <c r="I21" s="6">
        <v>566740</v>
      </c>
      <c r="J21" s="6"/>
    </row>
    <row r="22" spans="1:14" x14ac:dyDescent="0.35">
      <c r="A22" s="1">
        <f t="shared" si="1"/>
        <v>22</v>
      </c>
      <c r="C22" s="3"/>
      <c r="D22" s="3" t="s">
        <v>102</v>
      </c>
      <c r="E22" s="12">
        <v>2732553</v>
      </c>
      <c r="F22" s="18">
        <v>3.8010000000000002E-2</v>
      </c>
      <c r="G22" s="12">
        <v>106190</v>
      </c>
      <c r="H22" s="12">
        <f t="shared" si="2"/>
        <v>103864</v>
      </c>
      <c r="I22" s="12">
        <v>97774</v>
      </c>
      <c r="J22" s="6"/>
    </row>
    <row r="23" spans="1:14" x14ac:dyDescent="0.35">
      <c r="A23" s="1">
        <f t="shared" si="1"/>
        <v>23</v>
      </c>
      <c r="C23" s="3"/>
      <c r="D23" s="3"/>
      <c r="E23" s="6"/>
      <c r="F23" s="17"/>
      <c r="G23" s="6"/>
      <c r="H23" s="6"/>
      <c r="I23" s="6"/>
      <c r="J23" s="6"/>
    </row>
    <row r="24" spans="1:14" x14ac:dyDescent="0.35">
      <c r="A24" s="1">
        <f t="shared" si="1"/>
        <v>24</v>
      </c>
      <c r="C24" s="3" t="s">
        <v>103</v>
      </c>
      <c r="D24" s="3"/>
      <c r="E24" s="6">
        <f>SUM(E9:E22)</f>
        <v>304735429</v>
      </c>
      <c r="F24" s="17"/>
      <c r="G24" s="6">
        <f>SUM(G9:G22)</f>
        <v>14525582</v>
      </c>
      <c r="H24" s="6">
        <f>SUM(H9:H22)</f>
        <v>14236185</v>
      </c>
      <c r="I24" s="6">
        <f>SUM(I9:I22)</f>
        <v>9901547</v>
      </c>
      <c r="J24" s="6">
        <v>43516878</v>
      </c>
      <c r="K24" s="17">
        <f>ROUND(J24/E24,5)</f>
        <v>0.14280000000000001</v>
      </c>
      <c r="L24" s="6">
        <f>ROUND(G24*K24,0)</f>
        <v>2074253</v>
      </c>
      <c r="M24" s="6">
        <f>ROUND(H24*K24,0)</f>
        <v>2032927</v>
      </c>
      <c r="N24" s="6">
        <f>ROUND(I24*K24,0)</f>
        <v>1413941</v>
      </c>
    </row>
    <row r="25" spans="1:14" x14ac:dyDescent="0.35">
      <c r="A25" s="1">
        <f t="shared" si="1"/>
        <v>25</v>
      </c>
      <c r="C25" s="11" t="s">
        <v>104</v>
      </c>
      <c r="D25" s="3"/>
      <c r="E25" s="6"/>
      <c r="F25" s="17">
        <f>ROUND(H24/E24,5)</f>
        <v>4.6719999999999998E-2</v>
      </c>
      <c r="G25" s="6"/>
      <c r="H25" s="6"/>
      <c r="I25" s="6"/>
      <c r="J25" s="6"/>
    </row>
    <row r="26" spans="1:14" x14ac:dyDescent="0.35">
      <c r="A26" s="1">
        <f t="shared" si="1"/>
        <v>26</v>
      </c>
      <c r="C26" s="3"/>
      <c r="D26" s="3"/>
      <c r="E26" s="6"/>
      <c r="F26" s="17"/>
      <c r="G26" s="6"/>
      <c r="H26" s="6"/>
      <c r="I26" s="6"/>
      <c r="J26" s="6"/>
    </row>
    <row r="27" spans="1:14" x14ac:dyDescent="0.35">
      <c r="A27" s="1">
        <f t="shared" si="1"/>
        <v>27</v>
      </c>
      <c r="B27" t="s">
        <v>108</v>
      </c>
      <c r="C27" s="3" t="s">
        <v>107</v>
      </c>
      <c r="D27" s="3" t="s">
        <v>111</v>
      </c>
      <c r="E27" s="6">
        <v>15297619</v>
      </c>
      <c r="F27" s="17">
        <v>4.4600000000000001E-2</v>
      </c>
      <c r="G27" s="6">
        <v>706276</v>
      </c>
      <c r="H27" s="20">
        <f t="shared" ref="H27:H32" si="3">ROUND(E27*F27,0)</f>
        <v>682274</v>
      </c>
      <c r="I27" s="6">
        <v>858973</v>
      </c>
      <c r="J27" s="6"/>
    </row>
    <row r="28" spans="1:14" x14ac:dyDescent="0.35">
      <c r="A28" s="1">
        <f t="shared" si="1"/>
        <v>28</v>
      </c>
      <c r="B28" t="s">
        <v>109</v>
      </c>
      <c r="C28" s="3"/>
      <c r="D28" s="3" t="s">
        <v>112</v>
      </c>
      <c r="E28" s="6">
        <v>15586076</v>
      </c>
      <c r="F28" s="17">
        <v>4.8189999999999997E-2</v>
      </c>
      <c r="G28" s="6">
        <v>776819</v>
      </c>
      <c r="H28" s="20">
        <f t="shared" si="3"/>
        <v>751093</v>
      </c>
      <c r="I28" s="6">
        <v>851802</v>
      </c>
      <c r="J28" s="6"/>
      <c r="K28" t="s">
        <v>319</v>
      </c>
    </row>
    <row r="29" spans="1:14" x14ac:dyDescent="0.35">
      <c r="A29" s="1">
        <f t="shared" si="1"/>
        <v>29</v>
      </c>
      <c r="B29" t="s">
        <v>110</v>
      </c>
      <c r="C29" s="3"/>
      <c r="D29" s="3" t="s">
        <v>113</v>
      </c>
      <c r="E29" s="6">
        <v>15564813</v>
      </c>
      <c r="F29" s="17">
        <v>4.9500000000000002E-2</v>
      </c>
      <c r="G29" s="6">
        <v>796590</v>
      </c>
      <c r="H29" s="20">
        <f t="shared" si="3"/>
        <v>770458</v>
      </c>
      <c r="I29" s="6">
        <v>842250</v>
      </c>
      <c r="J29" s="6"/>
      <c r="K29" t="s">
        <v>320</v>
      </c>
    </row>
    <row r="30" spans="1:14" x14ac:dyDescent="0.35">
      <c r="A30" s="1">
        <f t="shared" si="1"/>
        <v>30</v>
      </c>
      <c r="C30" s="3"/>
      <c r="D30" s="3" t="s">
        <v>114</v>
      </c>
      <c r="E30" s="6">
        <v>4163203</v>
      </c>
      <c r="F30" s="17">
        <v>4.8899999999999999E-2</v>
      </c>
      <c r="G30" s="6">
        <v>210517</v>
      </c>
      <c r="H30" s="20">
        <f t="shared" si="3"/>
        <v>203581</v>
      </c>
      <c r="I30" s="6">
        <v>226307</v>
      </c>
      <c r="J30" s="6"/>
      <c r="K30" t="s">
        <v>321</v>
      </c>
    </row>
    <row r="31" spans="1:14" x14ac:dyDescent="0.35">
      <c r="A31" s="1">
        <f t="shared" si="1"/>
        <v>31</v>
      </c>
      <c r="C31" s="3"/>
      <c r="D31" s="3" t="s">
        <v>115</v>
      </c>
      <c r="E31" s="6">
        <v>7157759</v>
      </c>
      <c r="F31" s="17">
        <v>4.3380000000000002E-2</v>
      </c>
      <c r="G31" s="6">
        <v>321527</v>
      </c>
      <c r="H31" s="20">
        <f t="shared" si="3"/>
        <v>310504</v>
      </c>
      <c r="I31" s="6">
        <v>405614</v>
      </c>
      <c r="J31" s="6"/>
    </row>
    <row r="32" spans="1:14" x14ac:dyDescent="0.35">
      <c r="A32" s="1">
        <f t="shared" si="1"/>
        <v>32</v>
      </c>
      <c r="C32" s="3"/>
      <c r="D32" s="3" t="s">
        <v>116</v>
      </c>
      <c r="E32" s="12">
        <v>2777952</v>
      </c>
      <c r="F32" s="18">
        <v>4.3060000000000001E-2</v>
      </c>
      <c r="G32" s="12">
        <v>123875</v>
      </c>
      <c r="H32" s="12">
        <f t="shared" si="3"/>
        <v>119619</v>
      </c>
      <c r="I32" s="12">
        <v>157798</v>
      </c>
      <c r="J32" s="6"/>
    </row>
    <row r="33" spans="1:14" x14ac:dyDescent="0.35">
      <c r="A33" s="1">
        <f t="shared" si="1"/>
        <v>33</v>
      </c>
      <c r="C33" s="3"/>
      <c r="D33" s="3"/>
      <c r="E33" s="6"/>
      <c r="F33" s="17"/>
      <c r="G33" s="6"/>
      <c r="H33" s="6"/>
      <c r="I33" s="6"/>
      <c r="J33" s="6"/>
    </row>
    <row r="34" spans="1:14" x14ac:dyDescent="0.35">
      <c r="A34" s="1">
        <f t="shared" si="1"/>
        <v>34</v>
      </c>
      <c r="C34" s="3" t="s">
        <v>117</v>
      </c>
      <c r="D34" s="3"/>
      <c r="E34" s="6">
        <f>SUM(E27:E32)</f>
        <v>60547422</v>
      </c>
      <c r="F34" s="17"/>
      <c r="G34" s="6">
        <f>SUM(G27:G32)</f>
        <v>2935604</v>
      </c>
      <c r="H34" s="6">
        <f>SUM(H27:H32)</f>
        <v>2837529</v>
      </c>
      <c r="I34" s="6">
        <f>SUM(I27:I32)</f>
        <v>3342744</v>
      </c>
      <c r="J34" s="6">
        <f>12735742+42269409+20993848</f>
        <v>75998999</v>
      </c>
      <c r="K34" s="17">
        <v>1</v>
      </c>
      <c r="L34" s="6">
        <f>ROUND(G34*K34,0)</f>
        <v>2935604</v>
      </c>
      <c r="M34" s="6">
        <f>ROUND(H34*K34,0)</f>
        <v>2837529</v>
      </c>
      <c r="N34" s="6">
        <f>ROUND(I34*K34,0)</f>
        <v>3342744</v>
      </c>
    </row>
    <row r="35" spans="1:14" x14ac:dyDescent="0.35">
      <c r="A35" s="1">
        <f t="shared" si="1"/>
        <v>35</v>
      </c>
      <c r="C35" t="s">
        <v>104</v>
      </c>
      <c r="F35" s="17">
        <f>ROUND(H34/E34,5)</f>
        <v>4.6859999999999999E-2</v>
      </c>
    </row>
    <row r="36" spans="1:14" x14ac:dyDescent="0.35">
      <c r="A36" s="1">
        <f t="shared" si="1"/>
        <v>36</v>
      </c>
    </row>
    <row r="37" spans="1:14" x14ac:dyDescent="0.35">
      <c r="A37" s="1">
        <f t="shared" si="1"/>
        <v>37</v>
      </c>
      <c r="B37" t="s">
        <v>118</v>
      </c>
      <c r="C37" s="3" t="s">
        <v>122</v>
      </c>
      <c r="D37" s="3" t="s">
        <v>123</v>
      </c>
      <c r="E37" s="6">
        <v>342385</v>
      </c>
      <c r="F37" s="17">
        <v>3.9129999999999998E-2</v>
      </c>
      <c r="G37" s="6">
        <v>13673</v>
      </c>
      <c r="H37" s="20">
        <f t="shared" ref="H37:H43" si="4">ROUND(E37*F37,0)</f>
        <v>13398</v>
      </c>
      <c r="I37" s="6">
        <v>11255</v>
      </c>
    </row>
    <row r="38" spans="1:14" x14ac:dyDescent="0.35">
      <c r="A38" s="1">
        <f t="shared" si="1"/>
        <v>38</v>
      </c>
      <c r="B38" t="s">
        <v>119</v>
      </c>
      <c r="C38" s="3" t="s">
        <v>154</v>
      </c>
      <c r="D38" s="3" t="s">
        <v>124</v>
      </c>
      <c r="E38" s="6">
        <v>19717927</v>
      </c>
      <c r="F38" s="17">
        <v>2.3019999999999999E-2</v>
      </c>
      <c r="G38" s="6">
        <v>465114</v>
      </c>
      <c r="H38" s="20">
        <f t="shared" si="4"/>
        <v>453907</v>
      </c>
      <c r="I38" s="6">
        <v>778818</v>
      </c>
    </row>
    <row r="39" spans="1:14" x14ac:dyDescent="0.35">
      <c r="A39" s="1">
        <f t="shared" si="1"/>
        <v>39</v>
      </c>
      <c r="B39" t="s">
        <v>120</v>
      </c>
      <c r="C39" s="3" t="s">
        <v>155</v>
      </c>
      <c r="D39" s="3" t="s">
        <v>125</v>
      </c>
      <c r="E39" s="6">
        <v>19078145</v>
      </c>
      <c r="F39" s="17">
        <v>2.3380000000000001E-2</v>
      </c>
      <c r="G39" s="6">
        <v>457016</v>
      </c>
      <c r="H39" s="20">
        <f t="shared" si="4"/>
        <v>446047</v>
      </c>
      <c r="I39" s="6">
        <v>750526</v>
      </c>
    </row>
    <row r="40" spans="1:14" x14ac:dyDescent="0.35">
      <c r="A40" s="1">
        <f t="shared" si="1"/>
        <v>40</v>
      </c>
      <c r="B40" t="s">
        <v>121</v>
      </c>
      <c r="C40" s="3" t="s">
        <v>156</v>
      </c>
      <c r="D40" s="3" t="s">
        <v>126</v>
      </c>
      <c r="E40" s="6">
        <v>10393048</v>
      </c>
      <c r="F40" s="17">
        <v>2.5100000000000001E-2</v>
      </c>
      <c r="G40" s="6">
        <v>267159</v>
      </c>
      <c r="H40" s="20">
        <f t="shared" si="4"/>
        <v>260866</v>
      </c>
      <c r="I40" s="6">
        <v>401061</v>
      </c>
    </row>
    <row r="41" spans="1:14" x14ac:dyDescent="0.35">
      <c r="A41" s="1">
        <f t="shared" si="1"/>
        <v>41</v>
      </c>
      <c r="C41" s="3" t="s">
        <v>157</v>
      </c>
      <c r="D41" s="3" t="s">
        <v>127</v>
      </c>
      <c r="E41" s="6">
        <v>5658666</v>
      </c>
      <c r="F41" s="17">
        <v>2.393E-2</v>
      </c>
      <c r="G41" s="6">
        <v>138722</v>
      </c>
      <c r="H41" s="20">
        <f t="shared" si="4"/>
        <v>135412</v>
      </c>
      <c r="I41" s="6">
        <v>221245</v>
      </c>
    </row>
    <row r="42" spans="1:14" x14ac:dyDescent="0.35">
      <c r="A42" s="1">
        <f t="shared" si="1"/>
        <v>42</v>
      </c>
      <c r="C42" s="21" t="s">
        <v>183</v>
      </c>
      <c r="D42" s="21" t="s">
        <v>128</v>
      </c>
      <c r="E42" s="27">
        <v>3188549</v>
      </c>
      <c r="F42" s="17">
        <v>3.338E-2</v>
      </c>
      <c r="G42" s="22">
        <f>ROUND(334489*(3188549/9805188),0)</f>
        <v>108772</v>
      </c>
      <c r="H42" s="20">
        <f t="shared" si="4"/>
        <v>106434</v>
      </c>
      <c r="I42" s="22">
        <f>ROUND(344460*(3188549/9805188),0)</f>
        <v>112015</v>
      </c>
    </row>
    <row r="43" spans="1:14" x14ac:dyDescent="0.35">
      <c r="A43" s="1">
        <f t="shared" si="1"/>
        <v>43</v>
      </c>
      <c r="C43" s="21" t="s">
        <v>184</v>
      </c>
      <c r="D43" s="21" t="s">
        <v>129</v>
      </c>
      <c r="E43" s="32">
        <v>5074867</v>
      </c>
      <c r="F43" s="18">
        <v>3.5130000000000002E-2</v>
      </c>
      <c r="G43" s="23">
        <f>ROUND(510570*(5074867/14227270),0)</f>
        <v>182120</v>
      </c>
      <c r="H43" s="12">
        <f t="shared" si="4"/>
        <v>178280</v>
      </c>
      <c r="I43" s="23">
        <f>ROUND(489860*(5074867/14227270),0)</f>
        <v>174733</v>
      </c>
    </row>
    <row r="44" spans="1:14" x14ac:dyDescent="0.35">
      <c r="A44" s="1">
        <f t="shared" si="1"/>
        <v>44</v>
      </c>
      <c r="C44" s="3"/>
      <c r="D44" s="3"/>
      <c r="E44" s="6"/>
      <c r="F44" s="17"/>
      <c r="G44" s="6"/>
      <c r="H44" s="6"/>
      <c r="I44" s="6"/>
    </row>
    <row r="45" spans="1:14" x14ac:dyDescent="0.35">
      <c r="A45" s="1">
        <f t="shared" si="1"/>
        <v>45</v>
      </c>
      <c r="C45" s="3" t="s">
        <v>130</v>
      </c>
      <c r="D45" s="3"/>
      <c r="E45" s="6">
        <f>SUM(E37:E43)</f>
        <v>63453587</v>
      </c>
      <c r="F45" s="17"/>
      <c r="G45" s="6">
        <f t="shared" ref="G45:I45" si="5">SUM(G37:G43)</f>
        <v>1632576</v>
      </c>
      <c r="H45" s="6">
        <f t="shared" si="5"/>
        <v>1594344</v>
      </c>
      <c r="I45" s="6">
        <f t="shared" si="5"/>
        <v>2449653</v>
      </c>
      <c r="J45" s="6">
        <f>2059047+9045869+1838141+6046318</f>
        <v>18989375</v>
      </c>
      <c r="K45" s="17">
        <f>ROUND(J45/E45,5)</f>
        <v>0.29926000000000003</v>
      </c>
      <c r="L45" s="6">
        <f>ROUND(G45*K45,0)</f>
        <v>488565</v>
      </c>
      <c r="M45" s="6">
        <f>ROUND(H45*K45,0)</f>
        <v>477123</v>
      </c>
      <c r="N45" s="6">
        <f>ROUND(I45*K45,0)</f>
        <v>733083</v>
      </c>
    </row>
    <row r="46" spans="1:14" x14ac:dyDescent="0.35">
      <c r="A46" s="1">
        <f t="shared" si="1"/>
        <v>46</v>
      </c>
      <c r="C46" s="11" t="s">
        <v>104</v>
      </c>
      <c r="D46" s="3"/>
      <c r="E46" s="6"/>
      <c r="F46" s="17">
        <f>ROUND(H45/E45,5)</f>
        <v>2.513E-2</v>
      </c>
      <c r="G46" s="6"/>
      <c r="H46" s="6"/>
      <c r="I46" s="6"/>
    </row>
    <row r="47" spans="1:14" x14ac:dyDescent="0.35">
      <c r="A47" s="1">
        <f t="shared" si="1"/>
        <v>47</v>
      </c>
      <c r="C47" s="3"/>
      <c r="D47" s="3"/>
      <c r="E47" s="6"/>
      <c r="F47" s="17"/>
      <c r="G47" s="6"/>
      <c r="H47" s="6"/>
      <c r="I47" s="6"/>
    </row>
    <row r="48" spans="1:14" x14ac:dyDescent="0.35">
      <c r="A48" s="1">
        <f t="shared" si="1"/>
        <v>48</v>
      </c>
      <c r="B48" t="s">
        <v>131</v>
      </c>
      <c r="C48" s="3" t="s">
        <v>132</v>
      </c>
      <c r="D48" s="3" t="s">
        <v>133</v>
      </c>
      <c r="E48" s="6">
        <v>28086406</v>
      </c>
      <c r="F48" s="17">
        <v>3.9879999999999999E-2</v>
      </c>
      <c r="G48" s="6">
        <v>1141369</v>
      </c>
      <c r="H48" s="20">
        <f t="shared" ref="H48:H66" si="6">ROUND(E48*F48,0)</f>
        <v>1120086</v>
      </c>
      <c r="I48" s="6">
        <v>852968</v>
      </c>
    </row>
    <row r="49" spans="1:9" x14ac:dyDescent="0.35">
      <c r="A49" s="1">
        <f t="shared" si="1"/>
        <v>49</v>
      </c>
      <c r="B49" t="s">
        <v>147</v>
      </c>
      <c r="C49" s="3" t="s">
        <v>154</v>
      </c>
      <c r="D49" s="3" t="s">
        <v>134</v>
      </c>
      <c r="E49" s="6">
        <v>20306048</v>
      </c>
      <c r="F49" s="17">
        <v>4.3740000000000001E-2</v>
      </c>
      <c r="G49" s="6">
        <v>904281</v>
      </c>
      <c r="H49" s="20">
        <f t="shared" si="6"/>
        <v>888187</v>
      </c>
      <c r="I49" s="6">
        <v>588009</v>
      </c>
    </row>
    <row r="50" spans="1:9" x14ac:dyDescent="0.35">
      <c r="A50" s="1">
        <f t="shared" si="1"/>
        <v>50</v>
      </c>
      <c r="C50" s="3" t="s">
        <v>155</v>
      </c>
      <c r="D50" s="3" t="s">
        <v>135</v>
      </c>
      <c r="E50" s="6">
        <v>20316623</v>
      </c>
      <c r="F50" s="17">
        <v>4.3909999999999998E-2</v>
      </c>
      <c r="G50" s="6">
        <v>908234</v>
      </c>
      <c r="H50" s="20">
        <f t="shared" si="6"/>
        <v>892103</v>
      </c>
      <c r="I50" s="6">
        <v>587076</v>
      </c>
    </row>
    <row r="51" spans="1:9" x14ac:dyDescent="0.35">
      <c r="A51" s="1">
        <f t="shared" si="1"/>
        <v>51</v>
      </c>
      <c r="C51" s="3" t="s">
        <v>156</v>
      </c>
      <c r="D51" s="3" t="s">
        <v>136</v>
      </c>
      <c r="E51" s="6">
        <v>20448405</v>
      </c>
      <c r="F51" s="17">
        <v>4.6050000000000001E-2</v>
      </c>
      <c r="G51" s="6">
        <v>958230</v>
      </c>
      <c r="H51" s="20">
        <f t="shared" si="6"/>
        <v>941649</v>
      </c>
      <c r="I51" s="6">
        <v>575368</v>
      </c>
    </row>
    <row r="52" spans="1:9" x14ac:dyDescent="0.35">
      <c r="A52" s="1">
        <f t="shared" si="1"/>
        <v>52</v>
      </c>
      <c r="C52" s="3" t="s">
        <v>157</v>
      </c>
      <c r="D52" s="3" t="s">
        <v>137</v>
      </c>
      <c r="E52" s="6">
        <v>32717447</v>
      </c>
      <c r="F52" s="17">
        <v>4.6050000000000001E-2</v>
      </c>
      <c r="G52" s="6">
        <v>1533168</v>
      </c>
      <c r="H52" s="20">
        <f t="shared" si="6"/>
        <v>1506638</v>
      </c>
      <c r="I52" s="6">
        <v>920589</v>
      </c>
    </row>
    <row r="53" spans="1:9" x14ac:dyDescent="0.35">
      <c r="A53" s="1">
        <f t="shared" si="1"/>
        <v>53</v>
      </c>
      <c r="C53" s="21" t="s">
        <v>183</v>
      </c>
      <c r="D53" s="3" t="s">
        <v>138</v>
      </c>
      <c r="E53" s="6">
        <v>20445354</v>
      </c>
      <c r="F53" s="17">
        <v>4.5999999999999999E-2</v>
      </c>
      <c r="G53" s="6">
        <v>957057</v>
      </c>
      <c r="H53" s="20">
        <f t="shared" si="6"/>
        <v>940486</v>
      </c>
      <c r="I53" s="6">
        <v>575641</v>
      </c>
    </row>
    <row r="54" spans="1:9" x14ac:dyDescent="0.35">
      <c r="A54" s="1">
        <f t="shared" si="1"/>
        <v>54</v>
      </c>
      <c r="C54" s="21" t="s">
        <v>184</v>
      </c>
      <c r="D54" s="3" t="s">
        <v>139</v>
      </c>
      <c r="E54" s="6">
        <f>9190415+11045568</f>
        <v>20235983</v>
      </c>
      <c r="F54" s="17">
        <v>4.2619999999999998E-2</v>
      </c>
      <c r="G54" s="6">
        <v>878303</v>
      </c>
      <c r="H54" s="20">
        <f t="shared" si="6"/>
        <v>862458</v>
      </c>
      <c r="I54" s="6">
        <v>594160</v>
      </c>
    </row>
    <row r="55" spans="1:9" x14ac:dyDescent="0.35">
      <c r="A55" s="1">
        <f t="shared" si="1"/>
        <v>55</v>
      </c>
      <c r="C55" s="3"/>
      <c r="D55" s="3" t="s">
        <v>148</v>
      </c>
      <c r="E55" s="6">
        <v>20133439</v>
      </c>
      <c r="F55" s="17">
        <v>4.1000000000000002E-2</v>
      </c>
      <c r="G55" s="6">
        <v>840942</v>
      </c>
      <c r="H55" s="20">
        <f t="shared" si="6"/>
        <v>825471</v>
      </c>
      <c r="I55" s="6">
        <v>603081</v>
      </c>
    </row>
    <row r="56" spans="1:9" x14ac:dyDescent="0.35">
      <c r="A56" s="1">
        <f t="shared" si="1"/>
        <v>56</v>
      </c>
      <c r="C56" s="3"/>
      <c r="D56" s="3" t="s">
        <v>149</v>
      </c>
      <c r="E56" s="6">
        <v>20361857</v>
      </c>
      <c r="F56" s="17">
        <v>4.4639999999999999E-2</v>
      </c>
      <c r="G56" s="6">
        <v>925241</v>
      </c>
      <c r="H56" s="20">
        <f t="shared" si="6"/>
        <v>908953</v>
      </c>
      <c r="I56" s="6">
        <v>583076</v>
      </c>
    </row>
    <row r="57" spans="1:9" x14ac:dyDescent="0.35">
      <c r="A57" s="1">
        <f t="shared" si="1"/>
        <v>57</v>
      </c>
      <c r="C57" s="3"/>
      <c r="D57" s="3" t="s">
        <v>151</v>
      </c>
      <c r="E57" s="6">
        <v>20316002</v>
      </c>
      <c r="F57" s="17">
        <v>4.3900000000000002E-2</v>
      </c>
      <c r="G57" s="6">
        <v>908002</v>
      </c>
      <c r="H57" s="20">
        <f t="shared" si="6"/>
        <v>891872</v>
      </c>
      <c r="I57" s="6">
        <v>587131</v>
      </c>
    </row>
    <row r="58" spans="1:9" x14ac:dyDescent="0.35">
      <c r="A58" s="1">
        <f t="shared" si="1"/>
        <v>58</v>
      </c>
      <c r="C58" s="3"/>
      <c r="D58" s="3" t="s">
        <v>150</v>
      </c>
      <c r="E58" s="6">
        <v>20426411</v>
      </c>
      <c r="F58" s="17">
        <v>4.5690000000000001E-2</v>
      </c>
      <c r="G58" s="6">
        <v>949790</v>
      </c>
      <c r="H58" s="20">
        <f t="shared" si="6"/>
        <v>933283</v>
      </c>
      <c r="I58" s="6">
        <v>577334</v>
      </c>
    </row>
    <row r="59" spans="1:9" x14ac:dyDescent="0.35">
      <c r="A59" s="1">
        <f t="shared" si="1"/>
        <v>59</v>
      </c>
      <c r="C59" s="3"/>
      <c r="D59" s="21" t="s">
        <v>152</v>
      </c>
      <c r="E59" s="6">
        <v>5854301</v>
      </c>
      <c r="F59" s="17">
        <v>4.1419999999999998E-2</v>
      </c>
      <c r="G59" s="22">
        <f>ROUND(680483*(5854301/16128128),0)</f>
        <v>247006</v>
      </c>
      <c r="H59" s="20">
        <f t="shared" si="6"/>
        <v>242485</v>
      </c>
      <c r="I59" s="22">
        <f>ROUND(480613*(5854301/16128128),0)</f>
        <v>174456</v>
      </c>
    </row>
    <row r="60" spans="1:9" x14ac:dyDescent="0.35">
      <c r="A60" s="1">
        <f t="shared" si="1"/>
        <v>60</v>
      </c>
      <c r="C60" s="3"/>
      <c r="D60" s="21" t="s">
        <v>153</v>
      </c>
      <c r="E60" s="6">
        <v>476331</v>
      </c>
      <c r="F60" s="17">
        <v>4.1939999999999998E-2</v>
      </c>
      <c r="G60" s="22">
        <f>ROUND(690072*(476331/16154490),0)</f>
        <v>20347</v>
      </c>
      <c r="H60" s="20">
        <f t="shared" si="6"/>
        <v>19977</v>
      </c>
      <c r="I60" s="22">
        <f>ROUND(478321*(476331/16154490),0)</f>
        <v>14104</v>
      </c>
    </row>
    <row r="61" spans="1:9" x14ac:dyDescent="0.35">
      <c r="A61" s="1">
        <f t="shared" si="1"/>
        <v>61</v>
      </c>
      <c r="C61" s="3"/>
      <c r="D61" s="3" t="s">
        <v>140</v>
      </c>
      <c r="E61" s="6">
        <f>1325381+14819490</f>
        <v>16144871</v>
      </c>
      <c r="F61" s="17">
        <v>4.1750000000000002E-2</v>
      </c>
      <c r="G61" s="6">
        <v>686566</v>
      </c>
      <c r="H61" s="20">
        <f t="shared" si="6"/>
        <v>674048</v>
      </c>
      <c r="I61" s="6">
        <v>479158</v>
      </c>
    </row>
    <row r="62" spans="1:9" x14ac:dyDescent="0.35">
      <c r="A62" s="1">
        <f t="shared" si="1"/>
        <v>62</v>
      </c>
      <c r="C62" s="3"/>
      <c r="D62" s="3" t="s">
        <v>141</v>
      </c>
      <c r="E62" s="6">
        <v>4815121</v>
      </c>
      <c r="F62" s="17">
        <v>3.9899999999999998E-2</v>
      </c>
      <c r="G62" s="6">
        <v>195773</v>
      </c>
      <c r="H62" s="20">
        <f t="shared" si="6"/>
        <v>192123</v>
      </c>
      <c r="I62" s="6">
        <v>146197</v>
      </c>
    </row>
    <row r="63" spans="1:9" x14ac:dyDescent="0.35">
      <c r="A63" s="1">
        <f t="shared" si="1"/>
        <v>63</v>
      </c>
      <c r="C63" s="3"/>
      <c r="D63" s="21" t="s">
        <v>142</v>
      </c>
      <c r="E63" s="6">
        <f>8778272+3011637</f>
        <v>11789909</v>
      </c>
      <c r="F63" s="17">
        <v>4.5080000000000002E-2</v>
      </c>
      <c r="G63" s="22">
        <f>ROUND(710992*(11789909/15495626),0)</f>
        <v>540961</v>
      </c>
      <c r="H63" s="20">
        <f t="shared" si="6"/>
        <v>531489</v>
      </c>
      <c r="I63" s="22">
        <f>ROUND(441308*(11789909/15495626),0)</f>
        <v>335771</v>
      </c>
    </row>
    <row r="64" spans="1:9" x14ac:dyDescent="0.35">
      <c r="A64" s="1">
        <f t="shared" si="1"/>
        <v>64</v>
      </c>
      <c r="C64" s="3"/>
      <c r="D64" s="3" t="s">
        <v>143</v>
      </c>
      <c r="E64" s="6">
        <v>730349</v>
      </c>
      <c r="F64" s="17">
        <v>3.9219999999999998E-2</v>
      </c>
      <c r="G64" s="6">
        <v>29193</v>
      </c>
      <c r="H64" s="20">
        <f t="shared" si="6"/>
        <v>28644</v>
      </c>
      <c r="I64" s="6">
        <v>22361</v>
      </c>
    </row>
    <row r="65" spans="1:14" x14ac:dyDescent="0.35">
      <c r="A65" s="1">
        <f t="shared" si="1"/>
        <v>65</v>
      </c>
      <c r="C65" s="3"/>
      <c r="D65" s="21" t="s">
        <v>144</v>
      </c>
      <c r="E65" s="6">
        <f>2674864+3839601</f>
        <v>6514465</v>
      </c>
      <c r="F65" s="17">
        <v>3.9539999999999999E-2</v>
      </c>
      <c r="G65" s="22">
        <f>ROUND(416536*(6514465/10337320),0)</f>
        <v>262496</v>
      </c>
      <c r="H65" s="20">
        <f t="shared" si="6"/>
        <v>257582</v>
      </c>
      <c r="I65" s="22">
        <f>ROUND(315251*(6514465/10337320),0)</f>
        <v>198668</v>
      </c>
    </row>
    <row r="66" spans="1:14" x14ac:dyDescent="0.35">
      <c r="A66" s="1">
        <f t="shared" si="1"/>
        <v>66</v>
      </c>
      <c r="C66" s="3"/>
      <c r="D66" s="21" t="s">
        <v>145</v>
      </c>
      <c r="E66" s="12">
        <f>347278+2007874</f>
        <v>2355152</v>
      </c>
      <c r="F66" s="18">
        <v>2.4320000000000001E-2</v>
      </c>
      <c r="G66" s="23">
        <f>ROUND(64673*(2355152/2599735),0)</f>
        <v>58589</v>
      </c>
      <c r="H66" s="12">
        <f t="shared" si="6"/>
        <v>57277</v>
      </c>
      <c r="I66" s="23">
        <f>ROUND(95196*(2355152/2599735),0)</f>
        <v>86240</v>
      </c>
    </row>
    <row r="67" spans="1:14" x14ac:dyDescent="0.35">
      <c r="A67" s="1">
        <f t="shared" si="1"/>
        <v>67</v>
      </c>
      <c r="C67" s="3"/>
      <c r="D67" s="3"/>
      <c r="E67" s="6"/>
      <c r="F67" s="17"/>
      <c r="G67" s="6"/>
      <c r="H67" s="6"/>
      <c r="I67" s="6"/>
    </row>
    <row r="68" spans="1:14" x14ac:dyDescent="0.35">
      <c r="A68" s="1">
        <f t="shared" ref="A68:A118" si="7">A67+1</f>
        <v>68</v>
      </c>
      <c r="C68" s="3" t="s">
        <v>146</v>
      </c>
      <c r="D68" s="3"/>
      <c r="E68" s="6">
        <f>SUM(E48:E66)</f>
        <v>292474474</v>
      </c>
      <c r="F68" s="17"/>
      <c r="G68" s="6">
        <f t="shared" ref="G68:I68" si="8">SUM(G48:G66)</f>
        <v>12945548</v>
      </c>
      <c r="H68" s="6">
        <f t="shared" si="8"/>
        <v>12714811</v>
      </c>
      <c r="I68" s="6">
        <f t="shared" si="8"/>
        <v>8501388</v>
      </c>
      <c r="J68" s="6">
        <f>140075508+101901553</f>
        <v>241977061</v>
      </c>
      <c r="K68" s="17">
        <f>ROUND(J68/E68,5)</f>
        <v>0.82733999999999996</v>
      </c>
      <c r="L68" s="6">
        <f>ROUND(G68*K68,0)</f>
        <v>10710370</v>
      </c>
      <c r="M68" s="6">
        <f>ROUND(H68*K68,0)</f>
        <v>10519472</v>
      </c>
      <c r="N68" s="6">
        <f>ROUND(I68*K68,0)</f>
        <v>7033538</v>
      </c>
    </row>
    <row r="69" spans="1:14" x14ac:dyDescent="0.35">
      <c r="A69" s="1">
        <f t="shared" si="7"/>
        <v>69</v>
      </c>
      <c r="C69" s="11" t="s">
        <v>104</v>
      </c>
      <c r="D69" s="3"/>
      <c r="E69" s="6"/>
      <c r="F69" s="17">
        <f>ROUND(H68/E68,5)</f>
        <v>4.3470000000000002E-2</v>
      </c>
      <c r="G69" s="6"/>
      <c r="H69" s="6"/>
      <c r="I69" s="6"/>
      <c r="J69" s="6"/>
    </row>
    <row r="70" spans="1:14" x14ac:dyDescent="0.35">
      <c r="A70" s="1">
        <f t="shared" si="7"/>
        <v>70</v>
      </c>
      <c r="C70" s="3"/>
      <c r="D70" s="3"/>
      <c r="E70" s="6"/>
      <c r="F70" s="17"/>
      <c r="G70" s="6"/>
      <c r="H70" s="6"/>
      <c r="I70" s="6"/>
      <c r="J70" s="6"/>
    </row>
    <row r="71" spans="1:14" x14ac:dyDescent="0.35">
      <c r="A71" s="1">
        <f t="shared" si="7"/>
        <v>71</v>
      </c>
      <c r="B71" t="s">
        <v>158</v>
      </c>
      <c r="C71" s="3" t="s">
        <v>159</v>
      </c>
      <c r="D71" s="3" t="s">
        <v>160</v>
      </c>
      <c r="E71" s="6">
        <v>40429340</v>
      </c>
      <c r="F71" s="17">
        <v>4.8210000000000003E-2</v>
      </c>
      <c r="G71" s="6">
        <v>1982507</v>
      </c>
      <c r="H71" s="20">
        <f t="shared" ref="H71:H90" si="9">ROUND(E71*F71,0)</f>
        <v>1949098</v>
      </c>
      <c r="I71" s="6">
        <v>1107275</v>
      </c>
      <c r="J71" s="6"/>
    </row>
    <row r="72" spans="1:14" x14ac:dyDescent="0.35">
      <c r="A72" s="1">
        <f t="shared" si="7"/>
        <v>72</v>
      </c>
      <c r="C72" s="3"/>
      <c r="D72" s="3" t="s">
        <v>161</v>
      </c>
      <c r="E72" s="6">
        <v>20158717</v>
      </c>
      <c r="F72" s="17">
        <v>4.7359999999999999E-2</v>
      </c>
      <c r="G72" s="6">
        <v>971256</v>
      </c>
      <c r="H72" s="20">
        <f t="shared" si="9"/>
        <v>954717</v>
      </c>
      <c r="I72" s="6">
        <v>558013</v>
      </c>
      <c r="J72" s="6"/>
    </row>
    <row r="73" spans="1:14" x14ac:dyDescent="0.35">
      <c r="A73" s="1">
        <f t="shared" si="7"/>
        <v>73</v>
      </c>
      <c r="C73" s="3"/>
      <c r="D73" s="3" t="s">
        <v>162</v>
      </c>
      <c r="E73" s="6">
        <v>40228612</v>
      </c>
      <c r="F73" s="17">
        <v>4.6690000000000002E-2</v>
      </c>
      <c r="G73" s="6">
        <v>1911086</v>
      </c>
      <c r="H73" s="20">
        <f t="shared" si="9"/>
        <v>1878274</v>
      </c>
      <c r="I73" s="6">
        <v>1122931</v>
      </c>
      <c r="J73" s="6"/>
    </row>
    <row r="74" spans="1:14" x14ac:dyDescent="0.35">
      <c r="A74" s="1">
        <f t="shared" si="7"/>
        <v>74</v>
      </c>
      <c r="C74" s="3"/>
      <c r="D74" s="3" t="s">
        <v>163</v>
      </c>
      <c r="E74" s="6">
        <v>19922391</v>
      </c>
      <c r="F74" s="17">
        <v>4.3839999999999997E-2</v>
      </c>
      <c r="G74" s="6">
        <v>889204</v>
      </c>
      <c r="H74" s="20">
        <f t="shared" si="9"/>
        <v>873398</v>
      </c>
      <c r="I74" s="6">
        <v>576184</v>
      </c>
      <c r="J74" s="6"/>
    </row>
    <row r="75" spans="1:14" x14ac:dyDescent="0.35">
      <c r="A75" s="1">
        <f t="shared" si="7"/>
        <v>75</v>
      </c>
      <c r="C75" s="3"/>
      <c r="D75" s="3" t="s">
        <v>164</v>
      </c>
      <c r="E75" s="6">
        <v>40200662</v>
      </c>
      <c r="F75" s="17">
        <v>4.648E-2</v>
      </c>
      <c r="G75" s="6">
        <v>1901254</v>
      </c>
      <c r="H75" s="20">
        <f t="shared" si="9"/>
        <v>1868527</v>
      </c>
      <c r="I75" s="6">
        <v>1125097</v>
      </c>
      <c r="J75" s="6"/>
    </row>
    <row r="76" spans="1:14" x14ac:dyDescent="0.35">
      <c r="A76" s="1">
        <f t="shared" si="7"/>
        <v>76</v>
      </c>
      <c r="C76" s="3"/>
      <c r="D76" s="3" t="s">
        <v>165</v>
      </c>
      <c r="E76" s="6">
        <v>40143265</v>
      </c>
      <c r="F76" s="17">
        <v>4.6050000000000001E-2</v>
      </c>
      <c r="G76" s="6">
        <v>1881149</v>
      </c>
      <c r="H76" s="20">
        <f t="shared" si="9"/>
        <v>1848597</v>
      </c>
      <c r="I76" s="6">
        <v>1129533</v>
      </c>
      <c r="J76" s="6"/>
    </row>
    <row r="77" spans="1:14" x14ac:dyDescent="0.35">
      <c r="A77" s="1">
        <f t="shared" si="7"/>
        <v>77</v>
      </c>
      <c r="C77" s="3"/>
      <c r="D77" s="3" t="s">
        <v>166</v>
      </c>
      <c r="E77" s="6">
        <v>6377782</v>
      </c>
      <c r="F77" s="17">
        <v>4.3959999999999999E-2</v>
      </c>
      <c r="G77" s="6">
        <v>285434</v>
      </c>
      <c r="H77" s="20">
        <f t="shared" si="9"/>
        <v>280367</v>
      </c>
      <c r="I77" s="6">
        <v>184180</v>
      </c>
      <c r="J77" s="6"/>
    </row>
    <row r="78" spans="1:14" x14ac:dyDescent="0.35">
      <c r="A78" s="1">
        <f t="shared" si="7"/>
        <v>78</v>
      </c>
      <c r="C78" s="3"/>
      <c r="D78" s="3" t="s">
        <v>167</v>
      </c>
      <c r="E78" s="6">
        <v>15922073</v>
      </c>
      <c r="F78" s="17">
        <v>4.3549999999999998E-2</v>
      </c>
      <c r="G78" s="6">
        <v>706001</v>
      </c>
      <c r="H78" s="20">
        <f t="shared" si="9"/>
        <v>693406</v>
      </c>
      <c r="I78" s="6">
        <v>462148</v>
      </c>
      <c r="J78" s="6"/>
    </row>
    <row r="79" spans="1:14" x14ac:dyDescent="0.35">
      <c r="A79" s="1">
        <f t="shared" si="7"/>
        <v>79</v>
      </c>
      <c r="C79" s="3"/>
      <c r="D79" s="3" t="s">
        <v>168</v>
      </c>
      <c r="E79" s="6">
        <v>15929178</v>
      </c>
      <c r="F79" s="17">
        <v>4.3679999999999997E-2</v>
      </c>
      <c r="G79" s="6">
        <v>708404</v>
      </c>
      <c r="H79" s="20">
        <f t="shared" si="9"/>
        <v>695786</v>
      </c>
      <c r="I79" s="6">
        <v>461610</v>
      </c>
      <c r="J79" s="6"/>
    </row>
    <row r="80" spans="1:14" x14ac:dyDescent="0.35">
      <c r="A80" s="1">
        <f t="shared" si="7"/>
        <v>80</v>
      </c>
      <c r="C80" s="3"/>
      <c r="D80" s="3" t="s">
        <v>169</v>
      </c>
      <c r="E80" s="6">
        <v>20019292</v>
      </c>
      <c r="F80" s="17">
        <v>4.5269999999999998E-2</v>
      </c>
      <c r="G80" s="6">
        <v>922387</v>
      </c>
      <c r="H80" s="20">
        <f t="shared" si="9"/>
        <v>906273</v>
      </c>
      <c r="I80" s="6">
        <v>568793</v>
      </c>
      <c r="J80" s="6"/>
    </row>
    <row r="81" spans="1:14" x14ac:dyDescent="0.35">
      <c r="A81" s="1">
        <f t="shared" si="7"/>
        <v>81</v>
      </c>
      <c r="C81" s="3"/>
      <c r="D81" s="3" t="s">
        <v>170</v>
      </c>
      <c r="E81" s="6">
        <v>20170602</v>
      </c>
      <c r="F81" s="17">
        <v>4.7539999999999999E-2</v>
      </c>
      <c r="G81" s="6">
        <v>975485</v>
      </c>
      <c r="H81" s="20">
        <f t="shared" si="9"/>
        <v>958910</v>
      </c>
      <c r="I81" s="6">
        <v>557086</v>
      </c>
      <c r="J81" s="6"/>
    </row>
    <row r="82" spans="1:14" x14ac:dyDescent="0.35">
      <c r="A82" s="1">
        <f t="shared" si="7"/>
        <v>82</v>
      </c>
      <c r="C82" s="3"/>
      <c r="D82" s="3" t="s">
        <v>171</v>
      </c>
      <c r="E82" s="6">
        <v>20083659</v>
      </c>
      <c r="F82" s="17">
        <v>4.623E-2</v>
      </c>
      <c r="G82" s="6">
        <v>944780</v>
      </c>
      <c r="H82" s="20">
        <f t="shared" si="9"/>
        <v>928468</v>
      </c>
      <c r="I82" s="6">
        <v>563838</v>
      </c>
      <c r="J82" s="6"/>
    </row>
    <row r="83" spans="1:14" x14ac:dyDescent="0.35">
      <c r="A83" s="1">
        <f t="shared" si="7"/>
        <v>83</v>
      </c>
      <c r="C83" s="3"/>
      <c r="D83" s="3" t="s">
        <v>172</v>
      </c>
      <c r="E83" s="6">
        <v>6276875</v>
      </c>
      <c r="F83" s="17">
        <v>4.2979999999999997E-2</v>
      </c>
      <c r="G83" s="6">
        <v>274715</v>
      </c>
      <c r="H83" s="20">
        <f t="shared" si="9"/>
        <v>269780</v>
      </c>
      <c r="I83" s="6">
        <v>183480</v>
      </c>
      <c r="J83" s="6"/>
    </row>
    <row r="84" spans="1:14" x14ac:dyDescent="0.35">
      <c r="A84" s="1">
        <f t="shared" si="7"/>
        <v>84</v>
      </c>
      <c r="C84" s="3"/>
      <c r="D84" s="3" t="s">
        <v>173</v>
      </c>
      <c r="E84" s="6">
        <v>19897120</v>
      </c>
      <c r="F84" s="17">
        <v>4.3470000000000002E-2</v>
      </c>
      <c r="G84" s="6">
        <v>880653</v>
      </c>
      <c r="H84" s="20">
        <f t="shared" si="9"/>
        <v>864928</v>
      </c>
      <c r="I84" s="6">
        <v>578098</v>
      </c>
      <c r="J84" s="6"/>
    </row>
    <row r="85" spans="1:14" x14ac:dyDescent="0.35">
      <c r="A85" s="1">
        <f t="shared" si="7"/>
        <v>85</v>
      </c>
      <c r="C85" s="3"/>
      <c r="D85" s="3" t="s">
        <v>174</v>
      </c>
      <c r="E85" s="6">
        <v>19936698</v>
      </c>
      <c r="F85" s="17">
        <v>4.4049999999999999E-2</v>
      </c>
      <c r="G85" s="6">
        <v>894064</v>
      </c>
      <c r="H85" s="20">
        <f t="shared" si="9"/>
        <v>878212</v>
      </c>
      <c r="I85" s="6">
        <v>575098</v>
      </c>
      <c r="J85" s="6"/>
    </row>
    <row r="86" spans="1:14" x14ac:dyDescent="0.35">
      <c r="A86" s="1">
        <f t="shared" si="7"/>
        <v>86</v>
      </c>
      <c r="C86" s="3"/>
      <c r="D86" s="3" t="s">
        <v>175</v>
      </c>
      <c r="E86" s="6">
        <v>5566338</v>
      </c>
      <c r="F86" s="17">
        <v>2.8459999999999999E-2</v>
      </c>
      <c r="G86" s="6">
        <v>161872</v>
      </c>
      <c r="H86" s="20">
        <f t="shared" si="9"/>
        <v>158418</v>
      </c>
      <c r="I86" s="6">
        <v>194077</v>
      </c>
      <c r="J86" s="6"/>
    </row>
    <row r="87" spans="1:14" x14ac:dyDescent="0.35">
      <c r="A87" s="1">
        <f t="shared" si="7"/>
        <v>87</v>
      </c>
      <c r="C87" s="3"/>
      <c r="D87" s="3" t="s">
        <v>176</v>
      </c>
      <c r="E87" s="6">
        <v>19377038</v>
      </c>
      <c r="F87" s="17">
        <v>3.6510000000000001E-2</v>
      </c>
      <c r="G87" s="6">
        <v>721461</v>
      </c>
      <c r="H87" s="20">
        <f t="shared" si="9"/>
        <v>707456</v>
      </c>
      <c r="I87" s="6">
        <v>613211</v>
      </c>
      <c r="J87" s="6"/>
    </row>
    <row r="88" spans="1:14" x14ac:dyDescent="0.35">
      <c r="A88" s="1">
        <f t="shared" si="7"/>
        <v>88</v>
      </c>
      <c r="C88" s="3"/>
      <c r="D88" s="3" t="s">
        <v>180</v>
      </c>
      <c r="E88" s="6">
        <v>11624991</v>
      </c>
      <c r="F88" s="17">
        <v>4.2520000000000002E-2</v>
      </c>
      <c r="G88" s="6">
        <v>503387</v>
      </c>
      <c r="H88" s="20">
        <f t="shared" si="9"/>
        <v>494295</v>
      </c>
      <c r="I88" s="6">
        <v>341750</v>
      </c>
      <c r="J88" s="6"/>
    </row>
    <row r="89" spans="1:14" x14ac:dyDescent="0.35">
      <c r="A89" s="1">
        <f t="shared" si="7"/>
        <v>89</v>
      </c>
      <c r="C89" s="3"/>
      <c r="D89" s="3" t="s">
        <v>177</v>
      </c>
      <c r="E89" s="6">
        <v>1479441</v>
      </c>
      <c r="F89" s="17">
        <v>3.9539999999999999E-2</v>
      </c>
      <c r="G89" s="6">
        <v>59613</v>
      </c>
      <c r="H89" s="20">
        <f t="shared" si="9"/>
        <v>58497</v>
      </c>
      <c r="I89" s="6">
        <v>45118</v>
      </c>
      <c r="J89" s="6"/>
    </row>
    <row r="90" spans="1:14" x14ac:dyDescent="0.35">
      <c r="A90" s="1">
        <f t="shared" si="7"/>
        <v>90</v>
      </c>
      <c r="C90" s="3"/>
      <c r="D90" s="3" t="s">
        <v>178</v>
      </c>
      <c r="E90" s="12">
        <v>1335613</v>
      </c>
      <c r="F90" s="18">
        <v>2.3689999999999999E-2</v>
      </c>
      <c r="G90" s="12">
        <v>32370</v>
      </c>
      <c r="H90" s="12">
        <f t="shared" si="9"/>
        <v>31641</v>
      </c>
      <c r="I90" s="12">
        <v>49271</v>
      </c>
      <c r="J90" s="6"/>
    </row>
    <row r="91" spans="1:14" x14ac:dyDescent="0.35">
      <c r="A91" s="1">
        <f t="shared" si="7"/>
        <v>91</v>
      </c>
      <c r="C91" s="3"/>
      <c r="D91" s="3"/>
      <c r="E91" s="6"/>
      <c r="F91" s="17"/>
      <c r="G91" s="6"/>
      <c r="H91" s="6"/>
      <c r="I91" s="6"/>
      <c r="J91" s="6"/>
    </row>
    <row r="92" spans="1:14" x14ac:dyDescent="0.35">
      <c r="A92" s="1">
        <f t="shared" si="7"/>
        <v>92</v>
      </c>
      <c r="C92" s="3" t="s">
        <v>179</v>
      </c>
      <c r="D92" s="3"/>
      <c r="E92" s="6">
        <f>SUM(E71:E90)</f>
        <v>385079687</v>
      </c>
      <c r="F92" s="17"/>
      <c r="G92" s="6">
        <f t="shared" ref="G92:I92" si="10">SUM(G71:G90)</f>
        <v>17607082</v>
      </c>
      <c r="H92" s="6">
        <f t="shared" si="10"/>
        <v>17299048</v>
      </c>
      <c r="I92" s="6">
        <f t="shared" si="10"/>
        <v>10996791</v>
      </c>
      <c r="J92" s="6">
        <v>62330097</v>
      </c>
      <c r="K92" s="17">
        <f>ROUND(J92/E92,5)</f>
        <v>0.16186</v>
      </c>
      <c r="L92" s="6">
        <f>ROUND(G92*K92,0)</f>
        <v>2849882</v>
      </c>
      <c r="M92" s="6">
        <f>ROUND(H92*K92,0)</f>
        <v>2800024</v>
      </c>
      <c r="N92" s="6">
        <f>ROUND(I92*K92,0)</f>
        <v>1779941</v>
      </c>
    </row>
    <row r="93" spans="1:14" x14ac:dyDescent="0.35">
      <c r="A93" s="1">
        <f t="shared" si="7"/>
        <v>93</v>
      </c>
      <c r="C93" s="11" t="s">
        <v>104</v>
      </c>
      <c r="D93" s="3"/>
      <c r="E93" s="6"/>
      <c r="F93" s="17">
        <f>ROUND(H92/E92,5)</f>
        <v>4.4920000000000002E-2</v>
      </c>
      <c r="G93" s="6"/>
      <c r="H93" s="6"/>
      <c r="I93" s="6"/>
      <c r="J93" s="6"/>
    </row>
    <row r="94" spans="1:14" x14ac:dyDescent="0.35">
      <c r="A94" s="1">
        <f t="shared" si="7"/>
        <v>94</v>
      </c>
      <c r="C94" s="3"/>
      <c r="D94" s="3"/>
      <c r="E94" s="6"/>
      <c r="F94" s="17"/>
      <c r="G94" s="6"/>
      <c r="H94" s="6"/>
      <c r="I94" s="6"/>
      <c r="J94" s="6"/>
    </row>
    <row r="95" spans="1:14" x14ac:dyDescent="0.35">
      <c r="A95" s="1">
        <f t="shared" si="7"/>
        <v>95</v>
      </c>
      <c r="B95" t="s">
        <v>181</v>
      </c>
      <c r="C95" s="3" t="s">
        <v>182</v>
      </c>
      <c r="D95" s="3" t="s">
        <v>185</v>
      </c>
      <c r="E95" s="6">
        <v>20513367</v>
      </c>
      <c r="F95" s="17">
        <v>4.0669999999999998E-2</v>
      </c>
      <c r="G95" s="6">
        <v>846322</v>
      </c>
      <c r="H95" s="20">
        <f t="shared" ref="H95:H103" si="11">ROUND(E95*F95,0)</f>
        <v>834279</v>
      </c>
      <c r="I95" s="6">
        <v>473598</v>
      </c>
      <c r="J95" s="6"/>
    </row>
    <row r="96" spans="1:14" x14ac:dyDescent="0.35">
      <c r="A96" s="1">
        <f t="shared" si="7"/>
        <v>96</v>
      </c>
      <c r="C96" s="3"/>
      <c r="D96" s="3" t="s">
        <v>186</v>
      </c>
      <c r="E96" s="6">
        <v>25052907</v>
      </c>
      <c r="F96" s="17">
        <v>2.7910000000000001E-2</v>
      </c>
      <c r="G96" s="6">
        <v>711379</v>
      </c>
      <c r="H96" s="20">
        <f t="shared" si="11"/>
        <v>699227</v>
      </c>
      <c r="I96" s="6">
        <v>696573</v>
      </c>
      <c r="J96" s="6"/>
    </row>
    <row r="97" spans="1:14" x14ac:dyDescent="0.35">
      <c r="A97" s="1">
        <f t="shared" si="7"/>
        <v>97</v>
      </c>
      <c r="C97" s="3"/>
      <c r="D97" s="3" t="s">
        <v>187</v>
      </c>
      <c r="E97" s="6">
        <v>25180650</v>
      </c>
      <c r="F97" s="17">
        <v>2.9159999999999998E-2</v>
      </c>
      <c r="G97" s="6">
        <v>746803</v>
      </c>
      <c r="H97" s="20">
        <f t="shared" si="11"/>
        <v>734268</v>
      </c>
      <c r="I97" s="6">
        <v>687718</v>
      </c>
      <c r="J97" s="6"/>
    </row>
    <row r="98" spans="1:14" x14ac:dyDescent="0.35">
      <c r="A98" s="1">
        <f t="shared" si="7"/>
        <v>98</v>
      </c>
      <c r="C98" s="3"/>
      <c r="D98" s="3" t="s">
        <v>188</v>
      </c>
      <c r="E98" s="6">
        <v>25280617</v>
      </c>
      <c r="F98" s="17">
        <v>3.0939999999999999E-2</v>
      </c>
      <c r="G98" s="6">
        <v>795199</v>
      </c>
      <c r="H98" s="20">
        <f t="shared" si="11"/>
        <v>782182</v>
      </c>
      <c r="I98" s="6">
        <v>673006</v>
      </c>
      <c r="J98" s="6"/>
    </row>
    <row r="99" spans="1:14" x14ac:dyDescent="0.35">
      <c r="A99" s="1">
        <f t="shared" si="7"/>
        <v>99</v>
      </c>
      <c r="C99" s="3"/>
      <c r="D99" s="3" t="s">
        <v>189</v>
      </c>
      <c r="E99" s="6">
        <v>15972579</v>
      </c>
      <c r="F99" s="17">
        <v>2.928E-2</v>
      </c>
      <c r="G99" s="6">
        <v>475648</v>
      </c>
      <c r="H99" s="20">
        <f t="shared" si="11"/>
        <v>467677</v>
      </c>
      <c r="I99" s="6">
        <v>435483</v>
      </c>
      <c r="J99" s="6"/>
    </row>
    <row r="100" spans="1:14" x14ac:dyDescent="0.35">
      <c r="A100" s="1">
        <f t="shared" si="7"/>
        <v>100</v>
      </c>
      <c r="C100" s="3"/>
      <c r="D100" s="3" t="s">
        <v>190</v>
      </c>
      <c r="E100" s="6">
        <v>24632021</v>
      </c>
      <c r="F100" s="17">
        <v>2.495E-2</v>
      </c>
      <c r="G100" s="6">
        <v>625707</v>
      </c>
      <c r="H100" s="20">
        <f t="shared" si="11"/>
        <v>614569</v>
      </c>
      <c r="I100" s="6">
        <v>714283</v>
      </c>
      <c r="J100" s="6"/>
    </row>
    <row r="101" spans="1:14" x14ac:dyDescent="0.35">
      <c r="A101" s="1">
        <f t="shared" si="7"/>
        <v>101</v>
      </c>
      <c r="C101" s="3"/>
      <c r="D101" s="3" t="s">
        <v>191</v>
      </c>
      <c r="E101" s="6">
        <v>22841761</v>
      </c>
      <c r="F101" s="17">
        <v>2.724E-2</v>
      </c>
      <c r="G101" s="6">
        <v>633126</v>
      </c>
      <c r="H101" s="20">
        <f t="shared" si="11"/>
        <v>622210</v>
      </c>
      <c r="I101" s="6">
        <v>641191</v>
      </c>
      <c r="J101" s="6"/>
    </row>
    <row r="102" spans="1:14" x14ac:dyDescent="0.35">
      <c r="A102" s="1">
        <f t="shared" si="7"/>
        <v>102</v>
      </c>
      <c r="C102" s="3"/>
      <c r="D102" s="3" t="s">
        <v>192</v>
      </c>
      <c r="E102" s="6">
        <v>11650515</v>
      </c>
      <c r="F102" s="17">
        <v>2.5729999999999999E-2</v>
      </c>
      <c r="G102" s="6">
        <v>305141</v>
      </c>
      <c r="H102" s="20">
        <f t="shared" si="11"/>
        <v>299768</v>
      </c>
      <c r="I102" s="6">
        <v>334134</v>
      </c>
      <c r="J102" s="6"/>
    </row>
    <row r="103" spans="1:14" x14ac:dyDescent="0.35">
      <c r="A103" s="1">
        <f t="shared" si="7"/>
        <v>103</v>
      </c>
      <c r="C103" s="3"/>
      <c r="D103" s="3" t="s">
        <v>193</v>
      </c>
      <c r="E103" s="12">
        <v>19068882</v>
      </c>
      <c r="F103" s="18">
        <v>2.656E-2</v>
      </c>
      <c r="G103" s="12">
        <v>515442</v>
      </c>
      <c r="H103" s="12">
        <f t="shared" si="11"/>
        <v>506470</v>
      </c>
      <c r="I103" s="12">
        <v>540486</v>
      </c>
      <c r="J103" s="6"/>
    </row>
    <row r="104" spans="1:14" x14ac:dyDescent="0.35">
      <c r="A104" s="1">
        <f t="shared" si="7"/>
        <v>104</v>
      </c>
      <c r="C104" s="3"/>
      <c r="D104" s="3"/>
      <c r="E104" s="6"/>
      <c r="F104" s="17"/>
      <c r="G104" s="6"/>
      <c r="H104" s="6"/>
      <c r="I104" s="6"/>
      <c r="J104" s="6"/>
    </row>
    <row r="105" spans="1:14" x14ac:dyDescent="0.35">
      <c r="A105" s="1">
        <f t="shared" si="7"/>
        <v>105</v>
      </c>
      <c r="C105" s="3" t="s">
        <v>194</v>
      </c>
      <c r="D105" s="3"/>
      <c r="E105" s="6">
        <f>SUM(E95:E103)</f>
        <v>190193299</v>
      </c>
      <c r="F105" s="17"/>
      <c r="G105" s="6">
        <f t="shared" ref="G105:I105" si="12">SUM(G95:G103)</f>
        <v>5654767</v>
      </c>
      <c r="H105" s="6">
        <f t="shared" si="12"/>
        <v>5560650</v>
      </c>
      <c r="I105" s="6">
        <f t="shared" si="12"/>
        <v>5196472</v>
      </c>
      <c r="J105" s="6">
        <v>131312197</v>
      </c>
      <c r="K105" s="17">
        <f>ROUND(J105/E105,5)</f>
        <v>0.69040999999999997</v>
      </c>
      <c r="L105" s="6">
        <f>ROUND(G105*K105,0)</f>
        <v>3904108</v>
      </c>
      <c r="M105" s="6">
        <f>ROUND(H105*K105,0)</f>
        <v>3839128</v>
      </c>
      <c r="N105" s="6">
        <f>ROUND(I105*K105,0)</f>
        <v>3587696</v>
      </c>
    </row>
    <row r="106" spans="1:14" x14ac:dyDescent="0.35">
      <c r="A106" s="1">
        <f t="shared" si="7"/>
        <v>106</v>
      </c>
      <c r="C106" s="11" t="s">
        <v>104</v>
      </c>
      <c r="D106" s="3"/>
      <c r="E106" s="6"/>
      <c r="F106" s="17">
        <f>ROUND(H105/E105,5)</f>
        <v>2.9239999999999999E-2</v>
      </c>
      <c r="G106" s="6"/>
      <c r="H106" s="6"/>
      <c r="I106" s="6"/>
      <c r="J106" s="6"/>
    </row>
    <row r="107" spans="1:14" x14ac:dyDescent="0.35">
      <c r="A107" s="1">
        <f t="shared" si="7"/>
        <v>107</v>
      </c>
      <c r="C107" s="3"/>
      <c r="D107" s="3"/>
      <c r="E107" s="6"/>
      <c r="F107" s="17"/>
      <c r="G107" s="6"/>
      <c r="H107" s="6"/>
      <c r="I107" s="6"/>
      <c r="J107" s="6"/>
    </row>
    <row r="108" spans="1:14" x14ac:dyDescent="0.35">
      <c r="A108" s="1">
        <f t="shared" si="7"/>
        <v>108</v>
      </c>
      <c r="B108" t="s">
        <v>121</v>
      </c>
      <c r="C108" s="3" t="s">
        <v>197</v>
      </c>
      <c r="D108" s="21" t="s">
        <v>322</v>
      </c>
      <c r="E108" s="6">
        <f>14638125+5920592+6109427</f>
        <v>26668144</v>
      </c>
      <c r="F108" s="17">
        <v>2.6790000000000001E-2</v>
      </c>
      <c r="G108" s="22">
        <f>ROUND(778573*(26668144/28669310),0)</f>
        <v>724227</v>
      </c>
      <c r="H108" s="20">
        <f t="shared" ref="H108:H113" si="13">ROUND(E108*F108,0)</f>
        <v>714440</v>
      </c>
      <c r="I108" s="22">
        <f>ROUND(628690*(26668144/28669310),0)</f>
        <v>584806</v>
      </c>
      <c r="J108" s="6"/>
      <c r="K108" s="17"/>
      <c r="L108" s="6"/>
      <c r="M108" s="6"/>
      <c r="N108" s="6"/>
    </row>
    <row r="109" spans="1:14" x14ac:dyDescent="0.35">
      <c r="A109" s="1">
        <f t="shared" si="7"/>
        <v>109</v>
      </c>
      <c r="B109" t="s">
        <v>195</v>
      </c>
      <c r="C109" s="3" t="s">
        <v>154</v>
      </c>
      <c r="D109" s="21" t="s">
        <v>323</v>
      </c>
      <c r="E109" s="6">
        <v>3281530</v>
      </c>
      <c r="F109" s="17">
        <v>2.9420000000000002E-2</v>
      </c>
      <c r="G109" s="22">
        <f>ROUND(676063*(3281530/22682795),0)</f>
        <v>97806</v>
      </c>
      <c r="H109" s="20">
        <f t="shared" si="13"/>
        <v>96543</v>
      </c>
      <c r="I109" s="22">
        <f>ROUND(475205*(3281530/22682795),0)</f>
        <v>68748</v>
      </c>
      <c r="J109" s="6"/>
    </row>
    <row r="110" spans="1:14" x14ac:dyDescent="0.35">
      <c r="A110" s="1">
        <f t="shared" si="7"/>
        <v>110</v>
      </c>
      <c r="B110" t="s">
        <v>196</v>
      </c>
      <c r="C110" s="3" t="s">
        <v>155</v>
      </c>
      <c r="D110" s="21" t="s">
        <v>324</v>
      </c>
      <c r="E110" s="6">
        <v>2699359</v>
      </c>
      <c r="F110" s="17">
        <v>2.9899999999999999E-2</v>
      </c>
      <c r="G110" s="22">
        <f>ROUND(315855*(2699359/10428350),0)</f>
        <v>81758</v>
      </c>
      <c r="H110" s="20">
        <f t="shared" si="13"/>
        <v>80711</v>
      </c>
      <c r="I110" s="22">
        <f>ROUND(315855*(2699359/10428350),0)</f>
        <v>81758</v>
      </c>
      <c r="J110" s="6"/>
    </row>
    <row r="111" spans="1:14" x14ac:dyDescent="0.35">
      <c r="A111" s="1">
        <f t="shared" si="7"/>
        <v>111</v>
      </c>
      <c r="B111" t="s">
        <v>312</v>
      </c>
      <c r="C111" s="3" t="s">
        <v>156</v>
      </c>
      <c r="D111" s="21" t="s">
        <v>325</v>
      </c>
      <c r="E111" s="6">
        <f>12902686+3800546+3216546</f>
        <v>19919778</v>
      </c>
      <c r="F111" s="17">
        <v>3.2809999999999999E-2</v>
      </c>
      <c r="G111" s="22">
        <f>ROUND(904715*(19919778/27254260),0)</f>
        <v>661244</v>
      </c>
      <c r="H111" s="20">
        <f t="shared" si="13"/>
        <v>653568</v>
      </c>
      <c r="I111" s="22">
        <f>ROUND(473740*(19919778/27254260),0)</f>
        <v>346250</v>
      </c>
      <c r="J111" s="6"/>
    </row>
    <row r="112" spans="1:14" x14ac:dyDescent="0.35">
      <c r="A112" s="1">
        <f t="shared" si="7"/>
        <v>112</v>
      </c>
      <c r="B112" t="s">
        <v>313</v>
      </c>
      <c r="C112" s="3" t="s">
        <v>157</v>
      </c>
      <c r="D112" s="21" t="s">
        <v>326</v>
      </c>
      <c r="E112" s="6">
        <v>1044254</v>
      </c>
      <c r="F112" s="17">
        <v>1.9140000000000001E-2</v>
      </c>
      <c r="G112" s="22">
        <f>ROUND(119382*(1044254/18394050),0)</f>
        <v>6777</v>
      </c>
      <c r="H112" s="20">
        <f t="shared" si="13"/>
        <v>19987</v>
      </c>
      <c r="I112" s="22">
        <f>ROUND(114950*(1044254/18394050),0)</f>
        <v>6526</v>
      </c>
      <c r="J112" s="6"/>
    </row>
    <row r="113" spans="1:14" x14ac:dyDescent="0.35">
      <c r="A113" s="1">
        <f t="shared" si="7"/>
        <v>113</v>
      </c>
      <c r="B113" t="s">
        <v>314</v>
      </c>
      <c r="C113" s="21" t="s">
        <v>183</v>
      </c>
      <c r="D113" s="21" t="s">
        <v>327</v>
      </c>
      <c r="E113" s="12">
        <v>2350114</v>
      </c>
      <c r="F113" s="18">
        <v>2.222E-2</v>
      </c>
      <c r="G113" s="23">
        <f>ROUND(3859*(2350114/4210000),0)</f>
        <v>2154</v>
      </c>
      <c r="H113" s="12">
        <f t="shared" si="13"/>
        <v>52220</v>
      </c>
      <c r="I113" s="23">
        <v>0</v>
      </c>
      <c r="J113" s="6"/>
    </row>
    <row r="114" spans="1:14" x14ac:dyDescent="0.35">
      <c r="A114" s="1">
        <f t="shared" si="7"/>
        <v>114</v>
      </c>
      <c r="B114" t="s">
        <v>315</v>
      </c>
      <c r="C114" s="21" t="s">
        <v>184</v>
      </c>
      <c r="D114" s="3"/>
      <c r="E114" s="6"/>
      <c r="F114" s="17"/>
      <c r="G114" s="6"/>
      <c r="H114" s="6"/>
      <c r="I114" s="6"/>
      <c r="J114" s="6"/>
    </row>
    <row r="115" spans="1:14" x14ac:dyDescent="0.35">
      <c r="A115" s="1">
        <f t="shared" si="7"/>
        <v>115</v>
      </c>
      <c r="B115" t="s">
        <v>316</v>
      </c>
      <c r="C115" s="3" t="s">
        <v>318</v>
      </c>
      <c r="D115" s="3"/>
      <c r="E115" s="6">
        <f>SUM(E108:E113)</f>
        <v>55963179</v>
      </c>
      <c r="F115" s="17"/>
      <c r="G115" s="6">
        <f t="shared" ref="G115:I115" si="14">SUM(G108:G113)</f>
        <v>1573966</v>
      </c>
      <c r="H115" s="6">
        <f t="shared" si="14"/>
        <v>1617469</v>
      </c>
      <c r="I115" s="6">
        <f t="shared" si="14"/>
        <v>1088088</v>
      </c>
      <c r="J115" s="6">
        <f>11399013+10709373+4588239+5325572+11710936+2329182+1050780+2268564+3526974</f>
        <v>52908633</v>
      </c>
      <c r="K115" s="17">
        <f>ROUND(J115/E115,5)</f>
        <v>0.94542000000000004</v>
      </c>
      <c r="L115" s="6">
        <f>ROUND(G115*K115,0)</f>
        <v>1488059</v>
      </c>
      <c r="M115" s="6">
        <f>ROUND(H115*K115,0)</f>
        <v>1529188</v>
      </c>
      <c r="N115" s="6">
        <f>ROUND(I115*K115,0)</f>
        <v>1028700</v>
      </c>
    </row>
    <row r="116" spans="1:14" x14ac:dyDescent="0.35">
      <c r="A116" s="1">
        <f t="shared" si="7"/>
        <v>116</v>
      </c>
      <c r="B116" t="s">
        <v>317</v>
      </c>
      <c r="C116" s="11" t="s">
        <v>104</v>
      </c>
      <c r="F116" s="17">
        <f>ROUND(H115/E115,5)</f>
        <v>2.8899999999999999E-2</v>
      </c>
    </row>
    <row r="117" spans="1:14" x14ac:dyDescent="0.35">
      <c r="A117" s="1">
        <f t="shared" si="7"/>
        <v>117</v>
      </c>
      <c r="C117" s="3"/>
      <c r="D117" s="3"/>
      <c r="E117" s="6"/>
      <c r="F117" s="17"/>
      <c r="G117" s="6"/>
      <c r="H117" s="6"/>
      <c r="I117" s="6"/>
      <c r="J117" s="6"/>
    </row>
    <row r="118" spans="1:14" x14ac:dyDescent="0.35">
      <c r="A118" s="1">
        <f t="shared" si="7"/>
        <v>118</v>
      </c>
      <c r="C118" s="11" t="s">
        <v>198</v>
      </c>
      <c r="D118" s="3"/>
      <c r="E118" s="6">
        <f>E24+E34+E45+E68+E92+E105+E115</f>
        <v>1352447077</v>
      </c>
      <c r="F118" s="17"/>
      <c r="G118" s="6">
        <f>G24+G34+G45+G68+G92+G105+G115</f>
        <v>56875125</v>
      </c>
      <c r="H118" s="6">
        <f>H24+H34+H45+H68+H92+H105+H115</f>
        <v>55860036</v>
      </c>
      <c r="I118" s="6">
        <f>I24+I34+I45+I68+I92+I105+I115</f>
        <v>41476683</v>
      </c>
      <c r="J118" s="6">
        <f>J24+J34+J45+J68+J92+J105+J115</f>
        <v>627033240</v>
      </c>
      <c r="L118" s="6">
        <f>L24+L34+L45+L68+L92+L105+L115</f>
        <v>24450841</v>
      </c>
      <c r="M118" s="6">
        <f>M24+M34+M45+M68+M92+M105+M115</f>
        <v>24035391</v>
      </c>
      <c r="N118" s="6">
        <f>N24+N34+N45+N68+N92+N105+N115</f>
        <v>18919643</v>
      </c>
    </row>
  </sheetData>
  <mergeCells count="2">
    <mergeCell ref="D5:I5"/>
    <mergeCell ref="J5:N5"/>
  </mergeCells>
  <pageMargins left="0.7" right="0.7" top="0.75" bottom="0.75" header="0.3" footer="0.3"/>
  <pageSetup orientation="portrait" verticalDpi="300" r:id="rId1"/>
  <ignoredErrors>
    <ignoredError sqref="H1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Plant</vt:lpstr>
      <vt:lpstr>AccDepr &amp; Depr Exp</vt:lpstr>
      <vt:lpstr>RB - Allowances &amp; Limestone</vt:lpstr>
      <vt:lpstr>Property Tax &amp; Ins</vt:lpstr>
      <vt:lpstr>Operating Exp</vt:lpstr>
      <vt:lpstr>Interest &amp; Principal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Scott</dc:creator>
  <cp:lastModifiedBy>Allyson Honaker</cp:lastModifiedBy>
  <dcterms:created xsi:type="dcterms:W3CDTF">2018-07-13T11:44:31Z</dcterms:created>
  <dcterms:modified xsi:type="dcterms:W3CDTF">2021-03-30T16:55:41Z</dcterms:modified>
</cp:coreProperties>
</file>