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4000 - East Kentucky Power\0021 - 2021 Rate Case\Pleadings\Case No. 2021-00103 - EKPC\Excel Spreadsheets to file\"/>
    </mc:Choice>
  </mc:AlternateContent>
  <xr:revisionPtr revIDLastSave="0" documentId="8_{0DD36320-5CDF-4FE0-945A-456736C4DAF6}" xr6:coauthVersionLast="45" xr6:coauthVersionMax="45" xr10:uidLastSave="{00000000-0000-0000-0000-000000000000}"/>
  <bookViews>
    <workbookView xWindow="-98" yWindow="-98" windowWidth="18841" windowHeight="13875" xr2:uid="{00000000-000D-0000-FFFF-FFFF00000000}"/>
  </bookViews>
  <sheets>
    <sheet name="Ex 1 Adjust-Rev Inc" sheetId="1" r:id="rId1"/>
    <sheet name="Sch 1.00 - Summary" sheetId="3" r:id="rId2"/>
    <sheet name="1.01 - FAC" sheetId="4" r:id="rId3"/>
    <sheet name="1.02 - ES" sheetId="5" r:id="rId4"/>
    <sheet name="1.03 - ES Off-System" sheetId="7" r:id="rId5"/>
    <sheet name="1.04 - LTD Interest Expense" sheetId="9" r:id="rId6"/>
    <sheet name="1.05 - Interest Income" sheetId="8" r:id="rId7"/>
    <sheet name="1.06 - Cushion of Credit" sheetId="27" r:id="rId8"/>
    <sheet name="1.07 - Wages Salaries" sheetId="28" r:id="rId9"/>
    <sheet name="1.08 - Payroll Taxes" sheetId="29" r:id="rId10"/>
    <sheet name="1.09 - Med Ins" sheetId="24" r:id="rId11"/>
    <sheet name="1.10 - Benefits" sheetId="31" r:id="rId12"/>
    <sheet name="1.11 - Retiree Med Ins" sheetId="33" r:id="rId13"/>
    <sheet name="1.12 - Misc. Employee Benefits" sheetId="17" r:id="rId14"/>
    <sheet name="1.13 - Advertising" sheetId="20" r:id="rId15"/>
    <sheet name="1.14 - Directors Expenses" sheetId="21" r:id="rId16"/>
    <sheet name="1.15 - 426 Donations" sheetId="19" r:id="rId17"/>
    <sheet name="1.16 - Lobbying" sheetId="16" r:id="rId18"/>
    <sheet name="1.17 - Touchstone" sheetId="18" r:id="rId19"/>
    <sheet name="1.18 - Non-Recur &amp; Other" sheetId="22" r:id="rId20"/>
    <sheet name="1.19 - Depreciation" sheetId="30" r:id="rId21"/>
    <sheet name="1.20 - Amort Smith 1" sheetId="14" r:id="rId22"/>
    <sheet name="1.21 - Amort Dale ES RegA" sheetId="11" r:id="rId23"/>
    <sheet name="1.22 - Amort Dale Asbestos" sheetId="32" r:id="rId24"/>
    <sheet name="1.23 - Forced Outage High PP" sheetId="10" r:id="rId25"/>
    <sheet name="1.24 - Insurance Expense" sheetId="15" r:id="rId26"/>
    <sheet name="1.25 - RTEP" sheetId="25" r:id="rId27"/>
    <sheet name="1.26 - Spurlock Reg Asset" sheetId="26" r:id="rId28"/>
    <sheet name="1.27 - Rate Case Expense" sheetId="23" r:id="rId29"/>
    <sheet name="1.28 - Remove Bill Credits" sheetId="13" r:id="rId30"/>
    <sheet name="1.29 - PSC Assessment" sheetId="12" r:id="rId31"/>
    <sheet name="1.30 - Revenue Increase" sheetId="6" r:id="rId32"/>
  </sheets>
  <externalReferences>
    <externalReference r:id="rId3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4" l="1"/>
  <c r="G13" i="8" l="1"/>
  <c r="G11" i="8"/>
  <c r="G47" i="8" l="1"/>
  <c r="G46" i="8"/>
  <c r="G45" i="8"/>
  <c r="G44" i="8"/>
  <c r="G39" i="8"/>
  <c r="G38" i="8"/>
  <c r="G37" i="8"/>
  <c r="G36" i="8"/>
  <c r="G35" i="8"/>
  <c r="G31" i="8"/>
  <c r="G30" i="8"/>
  <c r="G29" i="8"/>
  <c r="G28" i="8"/>
  <c r="G27" i="8"/>
  <c r="G24" i="8"/>
  <c r="G22" i="8"/>
  <c r="G21" i="8"/>
  <c r="G20" i="8"/>
  <c r="G17" i="8"/>
  <c r="G16" i="8"/>
  <c r="I13" i="8"/>
  <c r="I11" i="8"/>
  <c r="I50" i="8" s="1"/>
  <c r="E38" i="27" s="1"/>
  <c r="D38" i="30" l="1"/>
  <c r="B1" i="20"/>
  <c r="F32" i="33" l="1"/>
  <c r="F31" i="33"/>
  <c r="F30" i="33"/>
  <c r="F29" i="33"/>
  <c r="F28" i="33"/>
  <c r="F26" i="33"/>
  <c r="F25" i="33"/>
  <c r="F24" i="33"/>
  <c r="F23" i="33"/>
  <c r="F22" i="33"/>
  <c r="F21" i="33"/>
  <c r="F20" i="33"/>
  <c r="F19" i="33"/>
  <c r="F18" i="33"/>
  <c r="D27" i="33"/>
  <c r="F27" i="33" s="1"/>
  <c r="A2" i="33"/>
  <c r="A3" i="33" s="1"/>
  <c r="A4" i="33" s="1"/>
  <c r="A5" i="33" s="1"/>
  <c r="A6" i="33" s="1"/>
  <c r="A7" i="33" s="1"/>
  <c r="A8" i="33" s="1"/>
  <c r="A9" i="33" s="1"/>
  <c r="A10" i="33" s="1"/>
  <c r="A11" i="33" s="1"/>
  <c r="B1" i="33"/>
  <c r="F24" i="32"/>
  <c r="F27" i="32" s="1"/>
  <c r="X36" i="3" s="1"/>
  <c r="A2" i="32"/>
  <c r="A3" i="32" s="1"/>
  <c r="A4" i="32" s="1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B1" i="32"/>
  <c r="A12" i="33" l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E41" i="33"/>
  <c r="M25" i="3" s="1"/>
  <c r="E42" i="33"/>
  <c r="M27" i="3" s="1"/>
  <c r="E43" i="33"/>
  <c r="M28" i="3" s="1"/>
  <c r="E40" i="33"/>
  <c r="M23" i="3" s="1"/>
  <c r="E44" i="33"/>
  <c r="M29" i="3" s="1"/>
  <c r="E39" i="33"/>
  <c r="M20" i="3" s="1"/>
  <c r="F11" i="31"/>
  <c r="F31" i="31"/>
  <c r="E43" i="31" s="1"/>
  <c r="L25" i="3" s="1"/>
  <c r="F30" i="31"/>
  <c r="E42" i="31" s="1"/>
  <c r="L23" i="3" s="1"/>
  <c r="F29" i="31"/>
  <c r="E41" i="31" s="1"/>
  <c r="L20" i="3" s="1"/>
  <c r="F28" i="31"/>
  <c r="F27" i="31"/>
  <c r="D29" i="31"/>
  <c r="F13" i="31"/>
  <c r="F34" i="31" s="1"/>
  <c r="E46" i="31" s="1"/>
  <c r="L29" i="3" s="1"/>
  <c r="F33" i="31" l="1"/>
  <c r="E45" i="31" s="1"/>
  <c r="L28" i="3" s="1"/>
  <c r="F32" i="31"/>
  <c r="E44" i="31" s="1"/>
  <c r="L27" i="3" s="1"/>
  <c r="F26" i="31"/>
  <c r="E46" i="33"/>
  <c r="F35" i="33"/>
  <c r="E48" i="31"/>
  <c r="F20" i="31"/>
  <c r="F21" i="31"/>
  <c r="F22" i="31"/>
  <c r="F23" i="31"/>
  <c r="F24" i="31"/>
  <c r="F25" i="31"/>
  <c r="F37" i="31" l="1"/>
  <c r="A2" i="31"/>
  <c r="A3" i="31" s="1"/>
  <c r="A4" i="31" s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B1" i="31"/>
  <c r="A35" i="31" l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F18" i="23"/>
  <c r="E52" i="30"/>
  <c r="E50" i="30"/>
  <c r="F38" i="30"/>
  <c r="F37" i="30"/>
  <c r="E51" i="30" s="1"/>
  <c r="F36" i="30"/>
  <c r="F35" i="30"/>
  <c r="E49" i="30" s="1"/>
  <c r="F49" i="30" s="1"/>
  <c r="E40" i="30"/>
  <c r="F34" i="30"/>
  <c r="E48" i="30" s="1"/>
  <c r="F33" i="30"/>
  <c r="E47" i="30" s="1"/>
  <c r="D40" i="30"/>
  <c r="F19" i="30"/>
  <c r="D50" i="30" s="1"/>
  <c r="F16" i="30"/>
  <c r="E17" i="30"/>
  <c r="E23" i="30" s="1"/>
  <c r="D21" i="30"/>
  <c r="F21" i="30" s="1"/>
  <c r="D52" i="30" s="1"/>
  <c r="D20" i="30"/>
  <c r="F20" i="30" s="1"/>
  <c r="D51" i="30" s="1"/>
  <c r="D19" i="30"/>
  <c r="D18" i="30"/>
  <c r="F18" i="30" s="1"/>
  <c r="D49" i="30" s="1"/>
  <c r="D17" i="30"/>
  <c r="D23" i="30" s="1"/>
  <c r="D16" i="30"/>
  <c r="A2" i="30"/>
  <c r="A3" i="30" s="1"/>
  <c r="A4" i="30" s="1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B1" i="30"/>
  <c r="D47" i="30" l="1"/>
  <c r="D54" i="30" s="1"/>
  <c r="F50" i="30"/>
  <c r="F17" i="30"/>
  <c r="D48" i="30" s="1"/>
  <c r="F48" i="30" s="1"/>
  <c r="F52" i="30"/>
  <c r="F51" i="30"/>
  <c r="E54" i="30"/>
  <c r="F40" i="30"/>
  <c r="E28" i="24"/>
  <c r="D28" i="24"/>
  <c r="F47" i="30" l="1"/>
  <c r="F54" i="30" s="1"/>
  <c r="F56" i="30" s="1"/>
  <c r="U36" i="3" s="1"/>
  <c r="F23" i="30"/>
  <c r="E29" i="29"/>
  <c r="D29" i="29"/>
  <c r="E31" i="28" l="1"/>
  <c r="D31" i="28"/>
  <c r="F21" i="14" l="1"/>
  <c r="E37" i="29" l="1"/>
  <c r="F35" i="29"/>
  <c r="F34" i="29"/>
  <c r="E48" i="29" s="1"/>
  <c r="J29" i="3" s="1"/>
  <c r="F33" i="29"/>
  <c r="E47" i="29" s="1"/>
  <c r="J28" i="3" s="1"/>
  <c r="F32" i="29"/>
  <c r="E46" i="29" s="1"/>
  <c r="J27" i="3" s="1"/>
  <c r="F31" i="29"/>
  <c r="E45" i="29" s="1"/>
  <c r="J25" i="3" s="1"/>
  <c r="F30" i="29"/>
  <c r="E44" i="29" s="1"/>
  <c r="J23" i="3" s="1"/>
  <c r="D37" i="29"/>
  <c r="F28" i="29"/>
  <c r="F27" i="29"/>
  <c r="F26" i="29"/>
  <c r="F25" i="29"/>
  <c r="F24" i="29"/>
  <c r="F23" i="29"/>
  <c r="F22" i="29"/>
  <c r="F21" i="29"/>
  <c r="F20" i="29"/>
  <c r="F19" i="29"/>
  <c r="F16" i="29"/>
  <c r="F29" i="29" l="1"/>
  <c r="E43" i="29" s="1"/>
  <c r="F37" i="29"/>
  <c r="F39" i="29" s="1"/>
  <c r="E50" i="29" l="1"/>
  <c r="J20" i="3"/>
  <c r="F30" i="28"/>
  <c r="F25" i="28"/>
  <c r="F23" i="28"/>
  <c r="A2" i="29"/>
  <c r="A3" i="29" s="1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B1" i="29"/>
  <c r="F37" i="28"/>
  <c r="F36" i="28"/>
  <c r="E50" i="28" s="1"/>
  <c r="I29" i="3" s="1"/>
  <c r="F35" i="28"/>
  <c r="E49" i="28" s="1"/>
  <c r="I28" i="3" s="1"/>
  <c r="F34" i="28"/>
  <c r="E48" i="28" s="1"/>
  <c r="I27" i="3" s="1"/>
  <c r="F33" i="28"/>
  <c r="E47" i="28" s="1"/>
  <c r="I25" i="3" s="1"/>
  <c r="F32" i="28"/>
  <c r="E46" i="28" s="1"/>
  <c r="I23" i="3" s="1"/>
  <c r="E39" i="28"/>
  <c r="D39" i="28"/>
  <c r="F29" i="28"/>
  <c r="F28" i="28"/>
  <c r="F27" i="28"/>
  <c r="F26" i="28"/>
  <c r="F24" i="28"/>
  <c r="F22" i="28"/>
  <c r="F21" i="28"/>
  <c r="F20" i="28"/>
  <c r="F19" i="28"/>
  <c r="F16" i="28"/>
  <c r="A2" i="28"/>
  <c r="A3" i="28" s="1"/>
  <c r="A4" i="28" s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B1" i="28"/>
  <c r="A23" i="28" l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25" i="29"/>
  <c r="A26" i="29" s="1"/>
  <c r="A27" i="29" s="1"/>
  <c r="A28" i="29" s="1"/>
  <c r="F31" i="28"/>
  <c r="E45" i="28" s="1"/>
  <c r="A29" i="29" l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E52" i="28"/>
  <c r="I20" i="3"/>
  <c r="F39" i="28"/>
  <c r="F41" i="28" s="1"/>
  <c r="F41" i="27" l="1"/>
  <c r="F32" i="27"/>
  <c r="F27" i="27"/>
  <c r="F34" i="27" l="1"/>
  <c r="G38" i="27"/>
  <c r="A2" i="27"/>
  <c r="A3" i="27" s="1"/>
  <c r="A4" i="27" s="1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B1" i="27"/>
  <c r="G22" i="14"/>
  <c r="E44" i="14" l="1"/>
  <c r="G47" i="14" s="1"/>
  <c r="F33" i="14"/>
  <c r="G34" i="14" s="1"/>
  <c r="F29" i="14"/>
  <c r="G30" i="14" s="1"/>
  <c r="F25" i="14"/>
  <c r="G26" i="14" s="1"/>
  <c r="G15" i="14" l="1"/>
  <c r="E35" i="25" l="1"/>
  <c r="E38" i="25" s="1"/>
  <c r="D35" i="25"/>
  <c r="D38" i="25" s="1"/>
  <c r="F34" i="25"/>
  <c r="F33" i="25"/>
  <c r="F32" i="25"/>
  <c r="F31" i="25"/>
  <c r="F30" i="25"/>
  <c r="F29" i="25"/>
  <c r="E27" i="25"/>
  <c r="E40" i="25" s="1"/>
  <c r="F26" i="25"/>
  <c r="F25" i="25"/>
  <c r="F24" i="25"/>
  <c r="F23" i="25"/>
  <c r="F22" i="25"/>
  <c r="F21" i="25"/>
  <c r="F20" i="25"/>
  <c r="F19" i="25"/>
  <c r="F18" i="25"/>
  <c r="F17" i="25"/>
  <c r="F16" i="25"/>
  <c r="F15" i="25"/>
  <c r="F35" i="25" l="1"/>
  <c r="F38" i="25" s="1"/>
  <c r="E42" i="25"/>
  <c r="F18" i="26" l="1"/>
  <c r="F20" i="26" s="1"/>
  <c r="AB36" i="3" s="1"/>
  <c r="A2" i="26"/>
  <c r="A3" i="26" s="1"/>
  <c r="A4" i="26" s="1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B1" i="26"/>
  <c r="D27" i="25" l="1"/>
  <c r="D40" i="25" s="1"/>
  <c r="D42" i="25" s="1"/>
  <c r="F27" i="25" l="1"/>
  <c r="A2" i="25"/>
  <c r="A3" i="25" s="1"/>
  <c r="A4" i="25" s="1"/>
  <c r="A5" i="25" s="1"/>
  <c r="A6" i="25" s="1"/>
  <c r="A7" i="25" s="1"/>
  <c r="A8" i="25" s="1"/>
  <c r="A9" i="25" s="1"/>
  <c r="B1" i="25"/>
  <c r="K28" i="3"/>
  <c r="K27" i="3"/>
  <c r="K25" i="3"/>
  <c r="E36" i="24"/>
  <c r="F34" i="24"/>
  <c r="D36" i="24"/>
  <c r="F26" i="24"/>
  <c r="F24" i="24"/>
  <c r="B1" i="24"/>
  <c r="F33" i="24"/>
  <c r="E47" i="24" s="1"/>
  <c r="K29" i="3" s="1"/>
  <c r="F32" i="24"/>
  <c r="E46" i="24" s="1"/>
  <c r="F31" i="24"/>
  <c r="E45" i="24" s="1"/>
  <c r="F30" i="24"/>
  <c r="E44" i="24" s="1"/>
  <c r="F29" i="24"/>
  <c r="E43" i="24" s="1"/>
  <c r="K23" i="3" s="1"/>
  <c r="F27" i="24"/>
  <c r="F25" i="24"/>
  <c r="F23" i="24"/>
  <c r="F22" i="24"/>
  <c r="F21" i="24"/>
  <c r="F20" i="24"/>
  <c r="F19" i="24"/>
  <c r="F16" i="24"/>
  <c r="A2" i="24"/>
  <c r="A3" i="24" s="1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F40" i="25" l="1"/>
  <c r="F42" i="25" s="1"/>
  <c r="E44" i="25" s="1"/>
  <c r="AA23" i="3" s="1"/>
  <c r="A10" i="25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36" i="24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F28" i="24"/>
  <c r="E42" i="24" s="1"/>
  <c r="E49" i="24" l="1"/>
  <c r="K20" i="3"/>
  <c r="F36" i="24"/>
  <c r="F38" i="24" s="1"/>
  <c r="F15" i="23"/>
  <c r="B1" i="23" l="1"/>
  <c r="F21" i="23"/>
  <c r="F23" i="23" s="1"/>
  <c r="AC29" i="3" s="1"/>
  <c r="A2" i="23"/>
  <c r="A3" i="23" s="1"/>
  <c r="A4" i="23" s="1"/>
  <c r="A5" i="23" s="1"/>
  <c r="A6" i="23" s="1"/>
  <c r="A7" i="23" s="1"/>
  <c r="A8" i="23" s="1"/>
  <c r="A9" i="23" s="1"/>
  <c r="A10" i="23" l="1"/>
  <c r="A11" i="23" s="1"/>
  <c r="A12" i="23" s="1"/>
  <c r="A13" i="23" s="1"/>
  <c r="A14" i="23" s="1"/>
  <c r="A15" i="23" s="1"/>
  <c r="A16" i="23" s="1"/>
  <c r="A17" i="23" s="1"/>
  <c r="F35" i="22"/>
  <c r="G31" i="22"/>
  <c r="G33" i="22" s="1"/>
  <c r="G35" i="22" s="1"/>
  <c r="F31" i="22"/>
  <c r="F33" i="22" s="1"/>
  <c r="D31" i="22"/>
  <c r="D33" i="22" s="1"/>
  <c r="D35" i="22" s="1"/>
  <c r="T27" i="3" s="1"/>
  <c r="G19" i="22"/>
  <c r="F19" i="22"/>
  <c r="E19" i="22"/>
  <c r="D19" i="22"/>
  <c r="F17" i="17"/>
  <c r="E22" i="22"/>
  <c r="E31" i="22" s="1"/>
  <c r="E33" i="22" s="1"/>
  <c r="E35" i="22" s="1"/>
  <c r="T29" i="3" s="1"/>
  <c r="A18" i="23" l="1"/>
  <c r="A19" i="23" s="1"/>
  <c r="A20" i="23" s="1"/>
  <c r="A21" i="23" s="1"/>
  <c r="A22" i="23" s="1"/>
  <c r="A23" i="23" s="1"/>
  <c r="A24" i="23" s="1"/>
  <c r="A25" i="23" s="1"/>
  <c r="A2" i="22"/>
  <c r="A3" i="22" s="1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B1" i="22"/>
  <c r="G16" i="21"/>
  <c r="G18" i="21" s="1"/>
  <c r="G20" i="21" s="1"/>
  <c r="P29" i="3" s="1"/>
  <c r="E26" i="20" l="1"/>
  <c r="O28" i="3" s="1"/>
  <c r="E25" i="20"/>
  <c r="O27" i="3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E22" i="20"/>
  <c r="B1" i="21"/>
  <c r="A2" i="21"/>
  <c r="A3" i="21" s="1"/>
  <c r="A4" i="21" s="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E20" i="20"/>
  <c r="A2" i="20"/>
  <c r="A3" i="20" s="1"/>
  <c r="A4" i="20" s="1"/>
  <c r="A5" i="20" s="1"/>
  <c r="A6" i="20" s="1"/>
  <c r="A7" i="20" s="1"/>
  <c r="F18" i="16" l="1"/>
  <c r="R42" i="3" s="1"/>
  <c r="F17" i="16"/>
  <c r="R29" i="3" s="1"/>
  <c r="F19" i="16" l="1"/>
  <c r="B1" i="19"/>
  <c r="E16" i="19"/>
  <c r="E18" i="19" s="1"/>
  <c r="Q42" i="3" s="1"/>
  <c r="A2" i="19"/>
  <c r="A3" i="19" s="1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F14" i="18" l="1"/>
  <c r="F16" i="18" s="1"/>
  <c r="F18" i="18" s="1"/>
  <c r="S27" i="3" s="1"/>
  <c r="B1" i="18" l="1"/>
  <c r="A2" i="18"/>
  <c r="A3" i="18" s="1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F21" i="17" l="1"/>
  <c r="B1" i="16" l="1"/>
  <c r="B1" i="17"/>
  <c r="F23" i="17"/>
  <c r="N29" i="3" s="1"/>
  <c r="A2" i="17"/>
  <c r="A3" i="17" s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F14" i="16"/>
  <c r="A16" i="17" l="1"/>
  <c r="A17" i="17" s="1"/>
  <c r="A18" i="17" s="1"/>
  <c r="A2" i="16"/>
  <c r="A3" i="16" s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7" l="1"/>
  <c r="A20" i="17" s="1"/>
  <c r="A21" i="17" s="1"/>
  <c r="A22" i="17" s="1"/>
  <c r="A23" i="17" s="1"/>
  <c r="A24" i="17" s="1"/>
  <c r="A25" i="17" s="1"/>
  <c r="G25" i="15"/>
  <c r="G24" i="15"/>
  <c r="G23" i="15"/>
  <c r="G26" i="15" s="1"/>
  <c r="G17" i="15"/>
  <c r="G16" i="15"/>
  <c r="G15" i="15"/>
  <c r="G14" i="15"/>
  <c r="G18" i="15" s="1"/>
  <c r="G28" i="15" s="1"/>
  <c r="Z29" i="3" s="1"/>
  <c r="A2" i="15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B1" i="15"/>
  <c r="G13" i="14" l="1"/>
  <c r="G18" i="14" s="1"/>
  <c r="G36" i="14" s="1"/>
  <c r="G46" i="14" s="1"/>
  <c r="G49" i="14" s="1"/>
  <c r="G52" i="14" s="1"/>
  <c r="G54" i="14" s="1"/>
  <c r="V36" i="3" s="1"/>
  <c r="A2" i="14"/>
  <c r="A3" i="14" s="1"/>
  <c r="A4" i="14" s="1"/>
  <c r="A5" i="14" s="1"/>
  <c r="A6" i="14" s="1"/>
  <c r="A7" i="14" s="1"/>
  <c r="A8" i="14" s="1"/>
  <c r="A9" i="14" s="1"/>
  <c r="A10" i="14" s="1"/>
  <c r="B1" i="14"/>
  <c r="A11" i="14" l="1"/>
  <c r="A12" i="14" s="1"/>
  <c r="A13" i="14" s="1"/>
  <c r="A14" i="14" s="1"/>
  <c r="A15" i="14" s="1"/>
  <c r="AD13" i="3"/>
  <c r="F31" i="12"/>
  <c r="A16" i="14" l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l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F23" i="12"/>
  <c r="B1" i="13"/>
  <c r="A2" i="13"/>
  <c r="A3" i="13" s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B1" i="12"/>
  <c r="F27" i="12"/>
  <c r="A2" i="12"/>
  <c r="A3" i="12" s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l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B1" i="11"/>
  <c r="F27" i="11"/>
  <c r="W36" i="3" s="1"/>
  <c r="A2" i="11"/>
  <c r="A3" i="11" s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B1" i="10" l="1"/>
  <c r="F25" i="10"/>
  <c r="D25" i="10"/>
  <c r="F21" i="10"/>
  <c r="D21" i="10"/>
  <c r="A2" i="10"/>
  <c r="A3" i="10" s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D23" i="10" l="1"/>
  <c r="D27" i="10" s="1"/>
  <c r="F23" i="10"/>
  <c r="F27" i="10" s="1"/>
  <c r="F29" i="10" l="1"/>
  <c r="Y22" i="3" s="1"/>
  <c r="G222" i="9"/>
  <c r="E26" i="27" s="1"/>
  <c r="G26" i="27" s="1"/>
  <c r="G225" i="9"/>
  <c r="E31" i="27" s="1"/>
  <c r="G31" i="27" s="1"/>
  <c r="G213" i="9" l="1"/>
  <c r="F213" i="9"/>
  <c r="C23" i="4" l="1"/>
  <c r="C22" i="4"/>
  <c r="C21" i="4"/>
  <c r="C20" i="4"/>
  <c r="C19" i="4"/>
  <c r="C18" i="4"/>
  <c r="C17" i="4"/>
  <c r="C16" i="4"/>
  <c r="C15" i="4"/>
  <c r="C14" i="4"/>
  <c r="C13" i="4"/>
  <c r="C12" i="4"/>
  <c r="H209" i="9" l="1"/>
  <c r="C209" i="9"/>
  <c r="G207" i="9"/>
  <c r="F207" i="9"/>
  <c r="G206" i="9"/>
  <c r="F206" i="9"/>
  <c r="G205" i="9"/>
  <c r="F205" i="9"/>
  <c r="G204" i="9"/>
  <c r="F204" i="9"/>
  <c r="G203" i="9"/>
  <c r="F203" i="9"/>
  <c r="G202" i="9"/>
  <c r="F202" i="9"/>
  <c r="G201" i="9"/>
  <c r="F201" i="9"/>
  <c r="G200" i="9"/>
  <c r="F200" i="9"/>
  <c r="G199" i="9"/>
  <c r="F199" i="9"/>
  <c r="G198" i="9"/>
  <c r="F198" i="9"/>
  <c r="G197" i="9"/>
  <c r="F197" i="9"/>
  <c r="G196" i="9"/>
  <c r="F196" i="9"/>
  <c r="G195" i="9"/>
  <c r="F195" i="9"/>
  <c r="G194" i="9"/>
  <c r="F194" i="9"/>
  <c r="G193" i="9"/>
  <c r="F193" i="9"/>
  <c r="G192" i="9"/>
  <c r="F192" i="9"/>
  <c r="G191" i="9"/>
  <c r="F191" i="9"/>
  <c r="G190" i="9"/>
  <c r="F190" i="9"/>
  <c r="G189" i="9"/>
  <c r="F189" i="9"/>
  <c r="G188" i="9"/>
  <c r="F188" i="9"/>
  <c r="G187" i="9"/>
  <c r="F187" i="9"/>
  <c r="G186" i="9"/>
  <c r="F186" i="9"/>
  <c r="G185" i="9"/>
  <c r="F185" i="9"/>
  <c r="G184" i="9"/>
  <c r="F184" i="9"/>
  <c r="G183" i="9"/>
  <c r="F183" i="9"/>
  <c r="G182" i="9"/>
  <c r="F182" i="9"/>
  <c r="G181" i="9"/>
  <c r="F181" i="9"/>
  <c r="G180" i="9"/>
  <c r="F180" i="9"/>
  <c r="G179" i="9"/>
  <c r="F179" i="9"/>
  <c r="G178" i="9"/>
  <c r="F178" i="9"/>
  <c r="G177" i="9"/>
  <c r="F177" i="9"/>
  <c r="G176" i="9"/>
  <c r="F176" i="9"/>
  <c r="G175" i="9"/>
  <c r="F175" i="9"/>
  <c r="G174" i="9"/>
  <c r="F174" i="9"/>
  <c r="G173" i="9"/>
  <c r="F173" i="9"/>
  <c r="G172" i="9"/>
  <c r="F172" i="9"/>
  <c r="G171" i="9"/>
  <c r="F171" i="9"/>
  <c r="G170" i="9"/>
  <c r="F170" i="9"/>
  <c r="G169" i="9"/>
  <c r="F169" i="9"/>
  <c r="G168" i="9"/>
  <c r="F168" i="9"/>
  <c r="G167" i="9"/>
  <c r="F167" i="9"/>
  <c r="G166" i="9"/>
  <c r="F166" i="9"/>
  <c r="G165" i="9"/>
  <c r="F165" i="9"/>
  <c r="G164" i="9"/>
  <c r="F164" i="9"/>
  <c r="G163" i="9"/>
  <c r="F163" i="9"/>
  <c r="G162" i="9"/>
  <c r="F162" i="9"/>
  <c r="G161" i="9"/>
  <c r="F161" i="9"/>
  <c r="G160" i="9"/>
  <c r="F160" i="9"/>
  <c r="G159" i="9"/>
  <c r="F159" i="9"/>
  <c r="G158" i="9"/>
  <c r="F158" i="9"/>
  <c r="G157" i="9"/>
  <c r="F157" i="9"/>
  <c r="G156" i="9"/>
  <c r="F156" i="9"/>
  <c r="G155" i="9"/>
  <c r="F155" i="9"/>
  <c r="G154" i="9"/>
  <c r="F154" i="9"/>
  <c r="G153" i="9"/>
  <c r="F153" i="9"/>
  <c r="G152" i="9"/>
  <c r="F152" i="9"/>
  <c r="G151" i="9"/>
  <c r="F151" i="9"/>
  <c r="G150" i="9"/>
  <c r="F150" i="9"/>
  <c r="G149" i="9"/>
  <c r="F149" i="9"/>
  <c r="G148" i="9"/>
  <c r="F148" i="9"/>
  <c r="G147" i="9"/>
  <c r="F147" i="9"/>
  <c r="G146" i="9"/>
  <c r="F146" i="9"/>
  <c r="G145" i="9"/>
  <c r="F145" i="9"/>
  <c r="G144" i="9"/>
  <c r="F144" i="9"/>
  <c r="G143" i="9"/>
  <c r="F143" i="9"/>
  <c r="G142" i="9"/>
  <c r="F142" i="9"/>
  <c r="G141" i="9"/>
  <c r="F141" i="9"/>
  <c r="G140" i="9"/>
  <c r="F140" i="9"/>
  <c r="G139" i="9"/>
  <c r="F139" i="9"/>
  <c r="G138" i="9"/>
  <c r="F138" i="9"/>
  <c r="G137" i="9"/>
  <c r="F137" i="9"/>
  <c r="G136" i="9"/>
  <c r="F136" i="9"/>
  <c r="G135" i="9"/>
  <c r="F135" i="9"/>
  <c r="G134" i="9"/>
  <c r="F134" i="9"/>
  <c r="G133" i="9"/>
  <c r="F133" i="9"/>
  <c r="G132" i="9"/>
  <c r="F132" i="9"/>
  <c r="G131" i="9"/>
  <c r="F131" i="9"/>
  <c r="G130" i="9"/>
  <c r="F130" i="9"/>
  <c r="G129" i="9"/>
  <c r="F129" i="9"/>
  <c r="G128" i="9"/>
  <c r="F128" i="9"/>
  <c r="G127" i="9"/>
  <c r="F127" i="9"/>
  <c r="G126" i="9"/>
  <c r="F126" i="9"/>
  <c r="G125" i="9"/>
  <c r="F125" i="9"/>
  <c r="G124" i="9"/>
  <c r="F124" i="9"/>
  <c r="G123" i="9"/>
  <c r="F123" i="9"/>
  <c r="G122" i="9"/>
  <c r="F122" i="9"/>
  <c r="G121" i="9"/>
  <c r="F121" i="9"/>
  <c r="G120" i="9"/>
  <c r="F120" i="9"/>
  <c r="G119" i="9"/>
  <c r="F119" i="9"/>
  <c r="G118" i="9"/>
  <c r="F118" i="9"/>
  <c r="G117" i="9"/>
  <c r="F117" i="9"/>
  <c r="G116" i="9"/>
  <c r="F116" i="9"/>
  <c r="G115" i="9"/>
  <c r="F115" i="9"/>
  <c r="G114" i="9"/>
  <c r="F114" i="9"/>
  <c r="G113" i="9"/>
  <c r="F113" i="9"/>
  <c r="G112" i="9"/>
  <c r="F112" i="9"/>
  <c r="G111" i="9"/>
  <c r="F111" i="9"/>
  <c r="G110" i="9"/>
  <c r="F110" i="9"/>
  <c r="G109" i="9"/>
  <c r="F109" i="9"/>
  <c r="G108" i="9"/>
  <c r="F108" i="9"/>
  <c r="G107" i="9"/>
  <c r="F107" i="9"/>
  <c r="G106" i="9"/>
  <c r="F106" i="9"/>
  <c r="G105" i="9"/>
  <c r="F105" i="9"/>
  <c r="G104" i="9"/>
  <c r="F104" i="9"/>
  <c r="G103" i="9"/>
  <c r="F103" i="9"/>
  <c r="G102" i="9"/>
  <c r="F102" i="9"/>
  <c r="G101" i="9"/>
  <c r="F101" i="9"/>
  <c r="G100" i="9"/>
  <c r="F100" i="9"/>
  <c r="G99" i="9"/>
  <c r="F99" i="9"/>
  <c r="G98" i="9"/>
  <c r="F98" i="9"/>
  <c r="G97" i="9"/>
  <c r="F97" i="9"/>
  <c r="G96" i="9"/>
  <c r="F96" i="9"/>
  <c r="G95" i="9"/>
  <c r="F95" i="9"/>
  <c r="G94" i="9"/>
  <c r="F94" i="9"/>
  <c r="G93" i="9"/>
  <c r="F93" i="9"/>
  <c r="G92" i="9"/>
  <c r="F92" i="9"/>
  <c r="G91" i="9"/>
  <c r="F91" i="9"/>
  <c r="G90" i="9"/>
  <c r="F90" i="9"/>
  <c r="G89" i="9"/>
  <c r="F89" i="9"/>
  <c r="G88" i="9"/>
  <c r="F88" i="9"/>
  <c r="G87" i="9"/>
  <c r="F87" i="9"/>
  <c r="G86" i="9"/>
  <c r="F86" i="9"/>
  <c r="G85" i="9"/>
  <c r="F85" i="9"/>
  <c r="G84" i="9"/>
  <c r="F84" i="9"/>
  <c r="G83" i="9"/>
  <c r="F83" i="9"/>
  <c r="G82" i="9"/>
  <c r="F82" i="9"/>
  <c r="G81" i="9"/>
  <c r="F81" i="9"/>
  <c r="G80" i="9"/>
  <c r="F80" i="9"/>
  <c r="G79" i="9"/>
  <c r="F79" i="9"/>
  <c r="G78" i="9"/>
  <c r="F78" i="9"/>
  <c r="G77" i="9"/>
  <c r="F77" i="9"/>
  <c r="G76" i="9"/>
  <c r="F76" i="9"/>
  <c r="G75" i="9"/>
  <c r="F75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G67" i="9"/>
  <c r="F67" i="9"/>
  <c r="G66" i="9"/>
  <c r="F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H36" i="9"/>
  <c r="C36" i="9"/>
  <c r="G34" i="9"/>
  <c r="F34" i="9"/>
  <c r="G33" i="9"/>
  <c r="F33" i="9"/>
  <c r="H30" i="9"/>
  <c r="C30" i="9"/>
  <c r="G22" i="9"/>
  <c r="G28" i="9"/>
  <c r="F28" i="9"/>
  <c r="G27" i="9"/>
  <c r="F27" i="9"/>
  <c r="G26" i="9"/>
  <c r="F26" i="9"/>
  <c r="G25" i="9"/>
  <c r="F25" i="9"/>
  <c r="G24" i="9"/>
  <c r="F24" i="9"/>
  <c r="G23" i="9"/>
  <c r="F23" i="9"/>
  <c r="G21" i="9"/>
  <c r="F21" i="9"/>
  <c r="G20" i="9"/>
  <c r="F20" i="9"/>
  <c r="H16" i="9"/>
  <c r="C16" i="9"/>
  <c r="G14" i="9"/>
  <c r="F14" i="9"/>
  <c r="G13" i="9"/>
  <c r="F13" i="9"/>
  <c r="G12" i="9"/>
  <c r="F12" i="9"/>
  <c r="A2" i="9"/>
  <c r="A3" i="9" s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B1" i="9"/>
  <c r="F16" i="9" l="1"/>
  <c r="F36" i="9"/>
  <c r="G16" i="9"/>
  <c r="G36" i="9"/>
  <c r="C211" i="9"/>
  <c r="C215" i="9" s="1"/>
  <c r="H211" i="9"/>
  <c r="H215" i="9" s="1"/>
  <c r="G224" i="9" s="1"/>
  <c r="F209" i="9"/>
  <c r="G209" i="9"/>
  <c r="G211" i="9" s="1"/>
  <c r="G215" i="9" s="1"/>
  <c r="G221" i="9" s="1"/>
  <c r="G30" i="9"/>
  <c r="F22" i="9"/>
  <c r="F30" i="9" s="1"/>
  <c r="H223" i="9" l="1"/>
  <c r="E24" i="27"/>
  <c r="H226" i="9"/>
  <c r="E29" i="27"/>
  <c r="F211" i="9"/>
  <c r="F215" i="9" s="1"/>
  <c r="F76" i="8"/>
  <c r="G76" i="8" s="1"/>
  <c r="F47" i="8" s="1"/>
  <c r="F74" i="8"/>
  <c r="G74" i="8" s="1"/>
  <c r="F22" i="8" s="1"/>
  <c r="F73" i="8"/>
  <c r="G73" i="8" s="1"/>
  <c r="F21" i="8" s="1"/>
  <c r="F72" i="8"/>
  <c r="G72" i="8" s="1"/>
  <c r="F20" i="8" s="1"/>
  <c r="F69" i="8"/>
  <c r="G69" i="8" s="1"/>
  <c r="F16" i="8" s="1"/>
  <c r="F67" i="8"/>
  <c r="G67" i="8" s="1"/>
  <c r="F13" i="8" s="1"/>
  <c r="H13" i="8" s="1"/>
  <c r="F65" i="8"/>
  <c r="G65" i="8" s="1"/>
  <c r="F11" i="8" s="1"/>
  <c r="H39" i="8"/>
  <c r="H38" i="8"/>
  <c r="H37" i="8"/>
  <c r="H36" i="8"/>
  <c r="H35" i="8"/>
  <c r="D11" i="8"/>
  <c r="G29" i="27" l="1"/>
  <c r="G32" i="27" s="1"/>
  <c r="E32" i="27"/>
  <c r="E27" i="27"/>
  <c r="G24" i="27"/>
  <c r="G27" i="27" s="1"/>
  <c r="H227" i="9"/>
  <c r="F38" i="3" s="1"/>
  <c r="F17" i="8"/>
  <c r="D42" i="5"/>
  <c r="D93" i="5" s="1"/>
  <c r="D41" i="3" s="1"/>
  <c r="D41" i="5"/>
  <c r="D91" i="5" s="1"/>
  <c r="E34" i="27" l="1"/>
  <c r="G34" i="27"/>
  <c r="C28" i="5"/>
  <c r="D94" i="5" l="1"/>
  <c r="E18" i="27" s="1"/>
  <c r="G18" i="27" s="1"/>
  <c r="H38" i="3" s="1"/>
  <c r="D95" i="5"/>
  <c r="E20" i="27" s="1"/>
  <c r="G20" i="27" s="1"/>
  <c r="H50" i="3" s="1"/>
  <c r="D41" i="8" l="1"/>
  <c r="H21" i="8"/>
  <c r="H11" i="8"/>
  <c r="B1" i="8"/>
  <c r="H47" i="8"/>
  <c r="H46" i="8"/>
  <c r="H45" i="8"/>
  <c r="H44" i="8"/>
  <c r="H31" i="8"/>
  <c r="H30" i="8"/>
  <c r="H29" i="8"/>
  <c r="H28" i="8"/>
  <c r="H27" i="8"/>
  <c r="H24" i="8"/>
  <c r="H22" i="8"/>
  <c r="H20" i="8"/>
  <c r="H17" i="8"/>
  <c r="H16" i="8"/>
  <c r="A2" i="8"/>
  <c r="A3" i="8" s="1"/>
  <c r="A4" i="8" s="1"/>
  <c r="A5" i="8" s="1"/>
  <c r="A11" i="8" l="1"/>
  <c r="A12" i="8" s="1"/>
  <c r="A13" i="8" s="1"/>
  <c r="A14" i="8" s="1"/>
  <c r="A15" i="8" s="1"/>
  <c r="A6" i="8"/>
  <c r="A7" i="8" s="1"/>
  <c r="A8" i="8" s="1"/>
  <c r="A9" i="8" s="1"/>
  <c r="A10" i="8" s="1"/>
  <c r="H41" i="8"/>
  <c r="H50" i="8" s="1"/>
  <c r="G41" i="8"/>
  <c r="G50" i="8" s="1"/>
  <c r="D50" i="8"/>
  <c r="H52" i="8" l="1"/>
  <c r="G45" i="3" s="1"/>
  <c r="E39" i="27"/>
  <c r="A16" i="8"/>
  <c r="A17" i="8" s="1"/>
  <c r="A18" i="8" s="1"/>
  <c r="A19" i="8" s="1"/>
  <c r="A20" i="8" s="1"/>
  <c r="D23" i="7"/>
  <c r="F21" i="7"/>
  <c r="F20" i="7"/>
  <c r="F19" i="7"/>
  <c r="F18" i="7"/>
  <c r="F17" i="7"/>
  <c r="F16" i="7"/>
  <c r="F15" i="7"/>
  <c r="F14" i="7"/>
  <c r="F13" i="7"/>
  <c r="F12" i="7"/>
  <c r="F11" i="7"/>
  <c r="F10" i="7"/>
  <c r="A2" i="7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G39" i="27" l="1"/>
  <c r="G41" i="27" s="1"/>
  <c r="H45" i="3" s="1"/>
  <c r="E41" i="27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F23" i="7"/>
  <c r="F30" i="7" s="1"/>
  <c r="E14" i="3" s="1"/>
  <c r="G36" i="5"/>
  <c r="C36" i="5"/>
  <c r="G35" i="5"/>
  <c r="C35" i="5"/>
  <c r="G34" i="5"/>
  <c r="C34" i="5"/>
  <c r="G33" i="5"/>
  <c r="C33" i="5"/>
  <c r="G32" i="5"/>
  <c r="C32" i="5"/>
  <c r="G31" i="5"/>
  <c r="C31" i="5"/>
  <c r="G30" i="5"/>
  <c r="C30" i="5"/>
  <c r="G29" i="5"/>
  <c r="C29" i="5"/>
  <c r="G28" i="5"/>
  <c r="G27" i="5"/>
  <c r="G26" i="5"/>
  <c r="G25" i="5"/>
  <c r="A37" i="8" l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D82" i="5"/>
  <c r="A48" i="8" l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F60" i="5" l="1"/>
  <c r="D79" i="5" s="1"/>
  <c r="E75" i="4"/>
  <c r="E74" i="4"/>
  <c r="E73" i="4"/>
  <c r="E72" i="4"/>
  <c r="E71" i="4"/>
  <c r="E70" i="4"/>
  <c r="E69" i="4"/>
  <c r="E68" i="4"/>
  <c r="E67" i="4"/>
  <c r="E66" i="4"/>
  <c r="E65" i="4"/>
  <c r="E64" i="4"/>
  <c r="E84" i="4"/>
  <c r="D91" i="4" s="1"/>
  <c r="F23" i="6" l="1"/>
  <c r="B1" i="6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D78" i="5"/>
  <c r="F38" i="5"/>
  <c r="D87" i="5" s="1"/>
  <c r="G38" i="5"/>
  <c r="E38" i="5"/>
  <c r="D83" i="5" s="1"/>
  <c r="D84" i="5" s="1"/>
  <c r="D38" i="5"/>
  <c r="D86" i="5" s="1"/>
  <c r="D88" i="5" s="1"/>
  <c r="C38" i="5"/>
  <c r="H36" i="5"/>
  <c r="H35" i="5"/>
  <c r="H34" i="5"/>
  <c r="H33" i="5"/>
  <c r="H32" i="5"/>
  <c r="H31" i="5"/>
  <c r="H30" i="5"/>
  <c r="H29" i="5"/>
  <c r="H28" i="5"/>
  <c r="H27" i="5"/>
  <c r="H26" i="5"/>
  <c r="H25" i="5"/>
  <c r="B1" i="5"/>
  <c r="B1" i="7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l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D80" i="5"/>
  <c r="D13" i="3" s="1"/>
  <c r="D90" i="5"/>
  <c r="D29" i="3"/>
  <c r="D20" i="3"/>
  <c r="H38" i="5"/>
  <c r="C35" i="1"/>
  <c r="C15" i="1"/>
  <c r="F15" i="12" s="1"/>
  <c r="F17" i="12" s="1"/>
  <c r="F21" i="12" s="1"/>
  <c r="F25" i="12" s="1"/>
  <c r="F29" i="12" s="1"/>
  <c r="F33" i="12" s="1"/>
  <c r="AE29" i="3" s="1"/>
  <c r="D92" i="5" l="1"/>
  <c r="D36" i="3" s="1"/>
  <c r="D38" i="3"/>
  <c r="D50" i="3"/>
  <c r="AF50" i="3" s="1"/>
  <c r="D62" i="1" s="1"/>
  <c r="A62" i="5"/>
  <c r="A63" i="5" s="1"/>
  <c r="C29" i="1"/>
  <c r="E55" i="4"/>
  <c r="D93" i="4" s="1"/>
  <c r="C21" i="3" s="1"/>
  <c r="C20" i="3"/>
  <c r="D77" i="4"/>
  <c r="C77" i="4"/>
  <c r="E44" i="4"/>
  <c r="E43" i="4"/>
  <c r="E42" i="4"/>
  <c r="E41" i="4"/>
  <c r="E40" i="4"/>
  <c r="E39" i="4"/>
  <c r="E38" i="4"/>
  <c r="E37" i="4"/>
  <c r="E36" i="4"/>
  <c r="E35" i="4"/>
  <c r="E34" i="4"/>
  <c r="E33" i="4"/>
  <c r="D46" i="4"/>
  <c r="C46" i="4"/>
  <c r="C25" i="4"/>
  <c r="E12" i="4"/>
  <c r="D13" i="4"/>
  <c r="E13" i="4" s="1"/>
  <c r="B1" i="4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D14" i="4" l="1"/>
  <c r="A64" i="5"/>
  <c r="A65" i="5" s="1"/>
  <c r="E77" i="4"/>
  <c r="D94" i="4" s="1"/>
  <c r="C22" i="3" s="1"/>
  <c r="AF22" i="3" s="1"/>
  <c r="D21" i="1" s="1"/>
  <c r="E21" i="1" s="1"/>
  <c r="A62" i="4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E46" i="4"/>
  <c r="D90" i="4" s="1"/>
  <c r="AF48" i="3"/>
  <c r="D53" i="1" s="1"/>
  <c r="AF47" i="3"/>
  <c r="D52" i="1" s="1"/>
  <c r="AF46" i="3"/>
  <c r="D51" i="1" s="1"/>
  <c r="AF45" i="3"/>
  <c r="D50" i="1" s="1"/>
  <c r="AF42" i="3"/>
  <c r="D43" i="1" s="1"/>
  <c r="AF41" i="3"/>
  <c r="D42" i="1" s="1"/>
  <c r="AF40" i="3"/>
  <c r="D41" i="1" s="1"/>
  <c r="AF39" i="3"/>
  <c r="D40" i="1" s="1"/>
  <c r="AF38" i="3"/>
  <c r="D39" i="1" s="1"/>
  <c r="AF37" i="3"/>
  <c r="D38" i="1" s="1"/>
  <c r="AF36" i="3"/>
  <c r="D37" i="1" s="1"/>
  <c r="AF34" i="3"/>
  <c r="D34" i="1" s="1"/>
  <c r="E34" i="1" s="1"/>
  <c r="AF33" i="3"/>
  <c r="D33" i="1" s="1"/>
  <c r="E33" i="1" s="1"/>
  <c r="AF32" i="3"/>
  <c r="D32" i="1" s="1"/>
  <c r="E32" i="1" s="1"/>
  <c r="AF31" i="3"/>
  <c r="D31" i="1" s="1"/>
  <c r="E31" i="1" s="1"/>
  <c r="AF29" i="3"/>
  <c r="D28" i="1" s="1"/>
  <c r="E28" i="1" s="1"/>
  <c r="AF28" i="3"/>
  <c r="D27" i="1" s="1"/>
  <c r="E27" i="1" s="1"/>
  <c r="AF27" i="3"/>
  <c r="D26" i="1" s="1"/>
  <c r="E26" i="1" s="1"/>
  <c r="AF26" i="3"/>
  <c r="D25" i="1" s="1"/>
  <c r="E25" i="1" s="1"/>
  <c r="AF25" i="3"/>
  <c r="D24" i="1" s="1"/>
  <c r="E24" i="1" s="1"/>
  <c r="AF24" i="3"/>
  <c r="D23" i="1" s="1"/>
  <c r="E23" i="1" s="1"/>
  <c r="AF23" i="3"/>
  <c r="D22" i="1" s="1"/>
  <c r="E22" i="1" s="1"/>
  <c r="AF21" i="3"/>
  <c r="D20" i="1" s="1"/>
  <c r="E20" i="1" s="1"/>
  <c r="AF20" i="3"/>
  <c r="D19" i="1" s="1"/>
  <c r="E19" i="1" s="1"/>
  <c r="AF16" i="3"/>
  <c r="D14" i="1" s="1"/>
  <c r="E14" i="1" s="1"/>
  <c r="AF15" i="3"/>
  <c r="D13" i="1" s="1"/>
  <c r="E13" i="1" s="1"/>
  <c r="AF14" i="3"/>
  <c r="D12" i="1" s="1"/>
  <c r="E12" i="1" s="1"/>
  <c r="A66" i="5" l="1"/>
  <c r="A67" i="5" s="1"/>
  <c r="A68" i="5" s="1"/>
  <c r="A69" i="5" s="1"/>
  <c r="A70" i="5" s="1"/>
  <c r="A71" i="5" s="1"/>
  <c r="A72" i="5" s="1"/>
  <c r="A73" i="5" s="1"/>
  <c r="A74" i="5" s="1"/>
  <c r="D15" i="4"/>
  <c r="E14" i="4"/>
  <c r="B1" i="3"/>
  <c r="A2" i="3"/>
  <c r="A3" i="3" s="1"/>
  <c r="A4" i="3" s="1"/>
  <c r="A5" i="3" s="1"/>
  <c r="A6" i="3" s="1"/>
  <c r="A7" i="3" s="1"/>
  <c r="A8" i="3" s="1"/>
  <c r="A9" i="3" s="1"/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D16" i="4"/>
  <c r="E15" i="4"/>
  <c r="A10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E53" i="1"/>
  <c r="G53" i="1" s="1"/>
  <c r="E52" i="1"/>
  <c r="G52" i="1" s="1"/>
  <c r="E51" i="1"/>
  <c r="G51" i="1" s="1"/>
  <c r="E50" i="1"/>
  <c r="F54" i="1"/>
  <c r="D54" i="1"/>
  <c r="C54" i="1"/>
  <c r="E62" i="1"/>
  <c r="E43" i="1"/>
  <c r="G43" i="1" s="1"/>
  <c r="E42" i="1"/>
  <c r="G42" i="1" s="1"/>
  <c r="E41" i="1"/>
  <c r="G41" i="1" s="1"/>
  <c r="E40" i="1"/>
  <c r="G40" i="1" s="1"/>
  <c r="E39" i="1"/>
  <c r="E38" i="1"/>
  <c r="G38" i="1" s="1"/>
  <c r="E37" i="1"/>
  <c r="F44" i="1"/>
  <c r="D44" i="1"/>
  <c r="C44" i="1"/>
  <c r="C45" i="1" s="1"/>
  <c r="C47" i="1" s="1"/>
  <c r="C56" i="1" s="1"/>
  <c r="C63" i="1" s="1"/>
  <c r="G34" i="1"/>
  <c r="G33" i="1"/>
  <c r="G32" i="1"/>
  <c r="G31" i="1"/>
  <c r="F35" i="1"/>
  <c r="D35" i="1"/>
  <c r="G27" i="1"/>
  <c r="G26" i="1"/>
  <c r="G25" i="1"/>
  <c r="G24" i="1"/>
  <c r="G23" i="1"/>
  <c r="G22" i="1"/>
  <c r="G21" i="1"/>
  <c r="G20" i="1"/>
  <c r="G19" i="1"/>
  <c r="D29" i="1"/>
  <c r="G14" i="1"/>
  <c r="G13" i="1"/>
  <c r="G12" i="1"/>
  <c r="G50" i="1" l="1"/>
  <c r="E54" i="1"/>
  <c r="D45" i="1"/>
  <c r="D17" i="4"/>
  <c r="E16" i="4"/>
  <c r="G62" i="1"/>
  <c r="G37" i="1"/>
  <c r="G39" i="1"/>
  <c r="F10" i="6"/>
  <c r="F14" i="6" s="1"/>
  <c r="E44" i="1"/>
  <c r="C58" i="1"/>
  <c r="G54" i="1"/>
  <c r="E35" i="1"/>
  <c r="G35" i="1" s="1"/>
  <c r="E29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E45" i="1" l="1"/>
  <c r="D18" i="4"/>
  <c r="E17" i="4"/>
  <c r="G44" i="1"/>
  <c r="D19" i="4" l="1"/>
  <c r="E18" i="4"/>
  <c r="D20" i="4" l="1"/>
  <c r="E19" i="4"/>
  <c r="D21" i="4" l="1"/>
  <c r="E20" i="4"/>
  <c r="D22" i="4" l="1"/>
  <c r="E21" i="4"/>
  <c r="D23" i="4" l="1"/>
  <c r="E23" i="4" s="1"/>
  <c r="E22" i="4"/>
  <c r="E25" i="4" l="1"/>
  <c r="D89" i="4" s="1"/>
  <c r="D92" i="4" s="1"/>
  <c r="C13" i="3" s="1"/>
  <c r="AF13" i="3" s="1"/>
  <c r="D11" i="1" s="1"/>
  <c r="E11" i="1" l="1"/>
  <c r="D15" i="1"/>
  <c r="D47" i="1" s="1"/>
  <c r="D56" i="1" l="1"/>
  <c r="E15" i="1"/>
  <c r="E47" i="1" s="1"/>
  <c r="E56" i="1" l="1"/>
  <c r="F16" i="6" l="1"/>
  <c r="F18" i="6" s="1"/>
  <c r="E58" i="1"/>
  <c r="E63" i="1"/>
  <c r="F25" i="6" l="1"/>
  <c r="F27" i="6" s="1"/>
  <c r="AG13" i="3" s="1"/>
  <c r="AG29" i="3" l="1"/>
  <c r="F28" i="1" s="1"/>
  <c r="F11" i="1" l="1"/>
  <c r="G11" i="1" s="1"/>
  <c r="G28" i="1"/>
  <c r="F29" i="1"/>
  <c r="F45" i="1" s="1"/>
  <c r="F15" i="1" l="1"/>
  <c r="F47" i="1" s="1"/>
  <c r="G29" i="1"/>
  <c r="G45" i="1" s="1"/>
  <c r="F56" i="1" l="1"/>
  <c r="G15" i="1"/>
  <c r="G47" i="1" s="1"/>
  <c r="G56" i="1" l="1"/>
  <c r="G58" i="1" s="1"/>
  <c r="G63" i="1" l="1"/>
</calcChain>
</file>

<file path=xl/sharedStrings.xml><?xml version="1.0" encoding="utf-8"?>
<sst xmlns="http://schemas.openxmlformats.org/spreadsheetml/2006/main" count="1363" uniqueCount="953">
  <si>
    <t>Test Year</t>
  </si>
  <si>
    <t>Balances</t>
  </si>
  <si>
    <t>Proposed</t>
  </si>
  <si>
    <t>Adjustments</t>
  </si>
  <si>
    <t>Proforma</t>
  </si>
  <si>
    <t>Increase</t>
  </si>
  <si>
    <t>Proposed Test</t>
  </si>
  <si>
    <t>Year Balances</t>
  </si>
  <si>
    <t>East Kentucky Power Cooperative, Inc.</t>
  </si>
  <si>
    <t>Statement of Operations</t>
  </si>
  <si>
    <t>Accounts</t>
  </si>
  <si>
    <t>Operating Revenues:</t>
  </si>
  <si>
    <t xml:space="preserve">  Power Sales to Members</t>
  </si>
  <si>
    <t xml:space="preserve">  Power Sales Off System</t>
  </si>
  <si>
    <t xml:space="preserve">  Income Leased Property - Net</t>
  </si>
  <si>
    <t xml:space="preserve">  Other Operating Revenue</t>
  </si>
  <si>
    <t>Total Operating Revenues</t>
  </si>
  <si>
    <t>Expenses:</t>
  </si>
  <si>
    <t xml:space="preserve">  Operation Expenses -</t>
  </si>
  <si>
    <t xml:space="preserve">    Production Costs Excluding Fuel</t>
  </si>
  <si>
    <t xml:space="preserve">    Fuel Accounts</t>
  </si>
  <si>
    <t xml:space="preserve">    Other Power Supply</t>
  </si>
  <si>
    <t xml:space="preserve">    Transmission</t>
  </si>
  <si>
    <t xml:space="preserve">    Regional Market Expenses</t>
  </si>
  <si>
    <t xml:space="preserve">    Distribution</t>
  </si>
  <si>
    <t xml:space="preserve">    Customer Accounts</t>
  </si>
  <si>
    <t xml:space="preserve">    Customer Service &amp; Information</t>
  </si>
  <si>
    <t xml:space="preserve">    Sales</t>
  </si>
  <si>
    <t xml:space="preserve">    Administration &amp; General</t>
  </si>
  <si>
    <t xml:space="preserve">  Total Operation Expenses</t>
  </si>
  <si>
    <t xml:space="preserve">  Maintenance Expenses -</t>
  </si>
  <si>
    <t xml:space="preserve">    Production  </t>
  </si>
  <si>
    <t xml:space="preserve">    Transmisssion</t>
  </si>
  <si>
    <t xml:space="preserve">    General Plant</t>
  </si>
  <si>
    <t xml:space="preserve">  Total Maintenance Expenses</t>
  </si>
  <si>
    <t xml:space="preserve">  Operating Expenses - </t>
  </si>
  <si>
    <t xml:space="preserve">    Depreciation/Amortization</t>
  </si>
  <si>
    <t xml:space="preserve">    Taxes</t>
  </si>
  <si>
    <t xml:space="preserve">    Interest on Long Term Debt</t>
  </si>
  <si>
    <t xml:space="preserve">    Interest on Construction</t>
  </si>
  <si>
    <t xml:space="preserve">    Other Interest Expense</t>
  </si>
  <si>
    <t xml:space="preserve">    Asset Retirement Obligations</t>
  </si>
  <si>
    <t xml:space="preserve">    Other Deductions</t>
  </si>
  <si>
    <t xml:space="preserve">  Total Operating Expenses</t>
  </si>
  <si>
    <t>Total Cost of Electric Service</t>
  </si>
  <si>
    <t>Operating Margins</t>
  </si>
  <si>
    <t>Non-Operating Items:</t>
  </si>
  <si>
    <t xml:space="preserve">  Interest Income</t>
  </si>
  <si>
    <t xml:space="preserve">  Allowance for Funds Used during Construction</t>
  </si>
  <si>
    <t xml:space="preserve">  Other Non-Operating Income</t>
  </si>
  <si>
    <t xml:space="preserve">  Other Capital Credits/Patronage Dividends</t>
  </si>
  <si>
    <t>Total Non-Operating Items</t>
  </si>
  <si>
    <t>Net Patronage Capital &amp; Margins</t>
  </si>
  <si>
    <t>Times Interest Earned Ratio (TIER)</t>
  </si>
  <si>
    <t xml:space="preserve">  [(Line 38 + Line 55) / Line 38]</t>
  </si>
  <si>
    <t>Debt Service Coverage (DSC)</t>
  </si>
  <si>
    <t xml:space="preserve">  Principal Payments</t>
  </si>
  <si>
    <t xml:space="preserve">  DSC Ratio</t>
  </si>
  <si>
    <t xml:space="preserve">   [(Line 36 + Line 38 + Line 55) / (Line 38 + Line 61)]</t>
  </si>
  <si>
    <t>Schedule 1.00</t>
  </si>
  <si>
    <t>Summary of Proposed Proforma Adjustments</t>
  </si>
  <si>
    <t>and Revenue Increase</t>
  </si>
  <si>
    <t>Sch. 1.01</t>
  </si>
  <si>
    <t>Sch. 1.02</t>
  </si>
  <si>
    <t>Sch. 1.03</t>
  </si>
  <si>
    <t>Sch. 1.04</t>
  </si>
  <si>
    <t>Sch. 1.05</t>
  </si>
  <si>
    <t>Sch. 1.06</t>
  </si>
  <si>
    <t>Sch. 1.07</t>
  </si>
  <si>
    <t>Remove</t>
  </si>
  <si>
    <t>FAC</t>
  </si>
  <si>
    <t>Environmental</t>
  </si>
  <si>
    <t>Surcharge</t>
  </si>
  <si>
    <t>Sales Environ.</t>
  </si>
  <si>
    <t>Advertising</t>
  </si>
  <si>
    <t>807 KAR 5:016</t>
  </si>
  <si>
    <t>Normalize</t>
  </si>
  <si>
    <t>LTD Interest</t>
  </si>
  <si>
    <t>Expense</t>
  </si>
  <si>
    <t>Directors'</t>
  </si>
  <si>
    <t>Expenses</t>
  </si>
  <si>
    <t>Donations</t>
  </si>
  <si>
    <t>Lobbying</t>
  </si>
  <si>
    <t>Sch. 1.09</t>
  </si>
  <si>
    <t>Touchstone</t>
  </si>
  <si>
    <t>Sch. 1.10</t>
  </si>
  <si>
    <t>Miscellaneous</t>
  </si>
  <si>
    <t>Sch. 1.11</t>
  </si>
  <si>
    <t>Depreciation</t>
  </si>
  <si>
    <t>Adjust Off-Sys.</t>
  </si>
  <si>
    <t>Sch. 1.12</t>
  </si>
  <si>
    <t>Smith 1</t>
  </si>
  <si>
    <t>Sch. 1.13</t>
  </si>
  <si>
    <t>Interest</t>
  </si>
  <si>
    <t>Income</t>
  </si>
  <si>
    <t>Sch. 1.14</t>
  </si>
  <si>
    <t>Amortize</t>
  </si>
  <si>
    <t>Reg. Asset</t>
  </si>
  <si>
    <t>Dale ES 5 &amp; 10</t>
  </si>
  <si>
    <t>Sch. 1.15</t>
  </si>
  <si>
    <t>Rate Case</t>
  </si>
  <si>
    <t>Sch. 1.16</t>
  </si>
  <si>
    <t>PSC</t>
  </si>
  <si>
    <t>Assessment</t>
  </si>
  <si>
    <t>Total Proposed</t>
  </si>
  <si>
    <t>Sch. 1.17</t>
  </si>
  <si>
    <t>Revenue</t>
  </si>
  <si>
    <t>Wages/Salaries</t>
  </si>
  <si>
    <t>Payroll</t>
  </si>
  <si>
    <t>Taxes</t>
  </si>
  <si>
    <t>Sch. 1.19</t>
  </si>
  <si>
    <t>Employee</t>
  </si>
  <si>
    <t>Benefits</t>
  </si>
  <si>
    <t>Sch. 1.20</t>
  </si>
  <si>
    <t>Sch. 1.21</t>
  </si>
  <si>
    <t>Sch. 1.22</t>
  </si>
  <si>
    <t>Sch. 1.23</t>
  </si>
  <si>
    <t>Adjust for</t>
  </si>
  <si>
    <t>Forced</t>
  </si>
  <si>
    <t>Outage Costs</t>
  </si>
  <si>
    <t>Sch. 1.24</t>
  </si>
  <si>
    <t>Misc. Employee</t>
  </si>
  <si>
    <t>Benefit Exp.</t>
  </si>
  <si>
    <t>Sch. 1.25</t>
  </si>
  <si>
    <t>Month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</si>
  <si>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</si>
  <si>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</si>
  <si>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</si>
  <si>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</si>
  <si>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</si>
  <si>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</si>
  <si>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</si>
  <si>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</si>
  <si>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</si>
  <si>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</si>
  <si>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Totals</t>
  </si>
  <si>
    <t>Adjustments to Remove FAC from Base Rates</t>
  </si>
  <si>
    <t>Part 1 - Fuel Costs in Base Rates</t>
  </si>
  <si>
    <t>MWH Sales</t>
  </si>
  <si>
    <t>Subject to FAC</t>
  </si>
  <si>
    <t>Fuel Cost in</t>
  </si>
  <si>
    <t>Base Rates</t>
  </si>
  <si>
    <t>FAC Base Rate</t>
  </si>
  <si>
    <t>Revenues</t>
  </si>
  <si>
    <t>Part 2 - Member FAC Billings</t>
  </si>
  <si>
    <t>Member FAC</t>
  </si>
  <si>
    <t>Billings</t>
  </si>
  <si>
    <t>Billings - Steam</t>
  </si>
  <si>
    <t>Total Member</t>
  </si>
  <si>
    <t>Part 3 - Fuel Costs Recoverable through FAC</t>
  </si>
  <si>
    <t>Total Fuel Costs Excluding Handling</t>
  </si>
  <si>
    <t>Less:  Fuel Costs Assigned to Off-System Sales</t>
  </si>
  <si>
    <t>Fuel Costs Recoverable through FAC</t>
  </si>
  <si>
    <t>Part 4 - Adjustment to Remove Purchased Power Expense Recoverable through FAC</t>
  </si>
  <si>
    <t>Total Purchased</t>
  </si>
  <si>
    <t>Power</t>
  </si>
  <si>
    <t>Purch. Power</t>
  </si>
  <si>
    <t>Assigned to</t>
  </si>
  <si>
    <t>Forced Outages</t>
  </si>
  <si>
    <t>Recoverable</t>
  </si>
  <si>
    <t>Through FAC</t>
  </si>
  <si>
    <t>Schedule 1.01</t>
  </si>
  <si>
    <t>Power Sales to Members:</t>
  </si>
  <si>
    <t>Adjustment Recap - To Schedule 1.00</t>
  </si>
  <si>
    <t>Part 1</t>
  </si>
  <si>
    <t>Part 2</t>
  </si>
  <si>
    <t>Total Adjustment</t>
  </si>
  <si>
    <t>Fuel Accounts - Part 3</t>
  </si>
  <si>
    <t>Purchased Power - Part 4</t>
  </si>
  <si>
    <t>Adjustments to Remove Environmental Surcharge from Base Rates</t>
  </si>
  <si>
    <t>Part 1 - Surcharge Revenues</t>
  </si>
  <si>
    <t xml:space="preserve">  Form 3.0 - Monthly Average Revenue Computation of R(m), Column 4, Totals</t>
  </si>
  <si>
    <t>Part 2 - Surcharge Expenses</t>
  </si>
  <si>
    <t>O&amp;M Expenses</t>
  </si>
  <si>
    <t xml:space="preserve">  Form 2.4 - O&amp;M Expenses and Determination of Cash Working Capital Allowance</t>
  </si>
  <si>
    <t xml:space="preserve">  Total 12 Month O&amp;M</t>
  </si>
  <si>
    <t>Other Operating Expenses</t>
  </si>
  <si>
    <t>Insurance</t>
  </si>
  <si>
    <t>Emissions</t>
  </si>
  <si>
    <t>Property Taxes</t>
  </si>
  <si>
    <t>Monthly Totals</t>
  </si>
  <si>
    <t>Depreciation/</t>
  </si>
  <si>
    <t>Amortization</t>
  </si>
  <si>
    <t>Schedule 1.02</t>
  </si>
  <si>
    <t>Interest on Long Term Debt</t>
  </si>
  <si>
    <t>Part 3 - Remove Accrued Surcharge Over/Under Recovery</t>
  </si>
  <si>
    <t>Power Sales to Members</t>
  </si>
  <si>
    <t>Part 3</t>
  </si>
  <si>
    <t>Production Costs Excluding Fuel</t>
  </si>
  <si>
    <t>Emissions Exp.</t>
  </si>
  <si>
    <t>Administrative &amp; General</t>
  </si>
  <si>
    <t>Depreciation/Amortization</t>
  </si>
  <si>
    <t>Proposed Revenue Increase</t>
  </si>
  <si>
    <t>Proforma Interest on Long Term Debt</t>
  </si>
  <si>
    <t>Proposed TIER</t>
  </si>
  <si>
    <t>Authorized Margins</t>
  </si>
  <si>
    <t>Proforma Net Margins</t>
  </si>
  <si>
    <t>Required Increase in Revenues</t>
  </si>
  <si>
    <t>Impact on PSC Assessment -</t>
  </si>
  <si>
    <t xml:space="preserve">  Assessment Rate</t>
  </si>
  <si>
    <t>Additional Assessment due to Required Increase in Revenues</t>
  </si>
  <si>
    <t>Total Proposed Revenue Increase</t>
  </si>
  <si>
    <t>Accrued FAC - Member Sales</t>
  </si>
  <si>
    <t>Accrued FAC - Steam Sales</t>
  </si>
  <si>
    <t xml:space="preserve">  Total Accrued FAC</t>
  </si>
  <si>
    <t>Accrued Environmental Surcharge - Member Sales</t>
  </si>
  <si>
    <t>Accrued Environmental Surcharge - Steam Sales</t>
  </si>
  <si>
    <t xml:space="preserve">  Total Accrued Environmental Surcharge</t>
  </si>
  <si>
    <t>Part 4 - Adjustment to Principal Payment Associated with Environmental Surcharge</t>
  </si>
  <si>
    <t>Principal Payments</t>
  </si>
  <si>
    <t>From Monthly Environmental Surcharge Report - Expense Month Ending December 31, 2019</t>
  </si>
  <si>
    <t xml:space="preserve">  From Monthly Environmental Surcharge Report - Expense Month Ending December 31, 2019</t>
  </si>
  <si>
    <t>January 2019</t>
  </si>
  <si>
    <t>December 2019</t>
  </si>
  <si>
    <t>ARO Amortization</t>
  </si>
  <si>
    <t>Part 5 - Remove Accrued FAC Over/Under Recovery</t>
  </si>
  <si>
    <t>Part 5</t>
  </si>
  <si>
    <t>Schedule 1.03</t>
  </si>
  <si>
    <t>Adjustment to Remove Environmental Surcharge from Off-System Sales</t>
  </si>
  <si>
    <t>Off-System Sales</t>
  </si>
  <si>
    <t>Factor</t>
  </si>
  <si>
    <t>Proposed Adjustment:</t>
  </si>
  <si>
    <t>To remove the impact of the environmental surcharge from off-system</t>
  </si>
  <si>
    <t xml:space="preserve">sales, off-system sales revenues need to be reduced by the </t>
  </si>
  <si>
    <t>calculated level of applicable surcharge.</t>
  </si>
  <si>
    <t>Reduction to Off-System Sales Revenues</t>
  </si>
  <si>
    <t xml:space="preserve">  Acct 447.143</t>
  </si>
  <si>
    <t xml:space="preserve">  Acct 456.043</t>
  </si>
  <si>
    <t xml:space="preserve">  Acct 447.142</t>
  </si>
  <si>
    <t xml:space="preserve">  Acct 456.042</t>
  </si>
  <si>
    <t>Normalize Interest Income</t>
  </si>
  <si>
    <t>Balance as</t>
  </si>
  <si>
    <t>Interest Rate</t>
  </si>
  <si>
    <t>Normalized</t>
  </si>
  <si>
    <t>Investment</t>
  </si>
  <si>
    <t>Interest Income</t>
  </si>
  <si>
    <t xml:space="preserve">  Federated Money Market Funds</t>
  </si>
  <si>
    <t xml:space="preserve">  Fidelity Money Market Funds</t>
  </si>
  <si>
    <t xml:space="preserve">  Money Market Deposit Account</t>
  </si>
  <si>
    <t xml:space="preserve">  PJM Account</t>
  </si>
  <si>
    <t>RUS Cushion of Credit</t>
  </si>
  <si>
    <t>CFC Securities</t>
  </si>
  <si>
    <t xml:space="preserve">  Capital Term Certificates - Gen.</t>
  </si>
  <si>
    <t xml:space="preserve">  Capital Term Certificates - CB/RUS</t>
  </si>
  <si>
    <t xml:space="preserve">  Zero Term Certificates</t>
  </si>
  <si>
    <t xml:space="preserve">  Subordinated Term Certificates</t>
  </si>
  <si>
    <t xml:space="preserve">  Cooper Debt Service Reserve</t>
  </si>
  <si>
    <t>Member Cooperative Marketing</t>
  </si>
  <si>
    <t>Propane Loan Interest</t>
  </si>
  <si>
    <t>Adjustment to normalize interest income</t>
  </si>
  <si>
    <t>of 12/31/2019</t>
  </si>
  <si>
    <t>as of 6/30/2020</t>
  </si>
  <si>
    <t>as of 12/31/2019</t>
  </si>
  <si>
    <t>1.52% - 1.71%</t>
  </si>
  <si>
    <t>Funds Held in Misc. Bank Accounts:</t>
  </si>
  <si>
    <t xml:space="preserve">  Insured Cash Sweep Account</t>
  </si>
  <si>
    <t xml:space="preserve">  Rounding Adjustment</t>
  </si>
  <si>
    <t>Schedule 1.21</t>
  </si>
  <si>
    <t xml:space="preserve">Adjustment based on analysis of total principal payments for long-term debt </t>
  </si>
  <si>
    <t xml:space="preserve">  Determination based on net book value of surcharge projects funded by</t>
  </si>
  <si>
    <t>Total Principal Payments for 2019, all Notes</t>
  </si>
  <si>
    <t>Adjustment to Principal Payments based on Net Book Value</t>
  </si>
  <si>
    <t xml:space="preserve">  long-term debt, by grouping of notes.</t>
  </si>
  <si>
    <t xml:space="preserve">Adjustment based on analysis of total 2019 actual interest expense for long-term debt </t>
  </si>
  <si>
    <t>Total Actual Interest Expense for 2019, all Notes</t>
  </si>
  <si>
    <t>Adjustment to Actual Interest Expense based on Net Book Value</t>
  </si>
  <si>
    <t>Note:  Interest Expense on Debt associated with environmental surcharge projects only.</t>
  </si>
  <si>
    <t>Note:  Principal Payments on Debt associated with environmental surcharge projects only.</t>
  </si>
  <si>
    <t>ARO - 403.8</t>
  </si>
  <si>
    <t>Split of ARO Amortization:</t>
  </si>
  <si>
    <t xml:space="preserve">    Recorded in Account 403.800</t>
  </si>
  <si>
    <t xml:space="preserve">    Recorded in Account 411.100</t>
  </si>
  <si>
    <t>Accretion Expense</t>
  </si>
  <si>
    <t>ARO Accretion Expense - 411.1</t>
  </si>
  <si>
    <t>U.S. Treasury Securities</t>
  </si>
  <si>
    <t>1.65% - 2.50%</t>
  </si>
  <si>
    <t>CFC Commercial Paper</t>
  </si>
  <si>
    <t xml:space="preserve">  Loan Interest:</t>
  </si>
  <si>
    <t xml:space="preserve">    Loan #25</t>
  </si>
  <si>
    <t xml:space="preserve">    Loan #26</t>
  </si>
  <si>
    <t xml:space="preserve">    Loan #27</t>
  </si>
  <si>
    <t xml:space="preserve">    Loan #28</t>
  </si>
  <si>
    <t xml:space="preserve">    Loan #24</t>
  </si>
  <si>
    <t>Notes:</t>
  </si>
  <si>
    <t xml:space="preserve">  (1) These items were a source of interest income during the test year but do not reflect investments.</t>
  </si>
  <si>
    <t xml:space="preserve">  Member Late Power Bill (1)</t>
  </si>
  <si>
    <t xml:space="preserve">  Interest - KY Sales Tax Refund (1)</t>
  </si>
  <si>
    <t xml:space="preserve">  Interest from Investment (1)</t>
  </si>
  <si>
    <t xml:space="preserve">  (2) The interest rates for these investments are established daily or monthly and fluctuate reflecting current market conditions.</t>
  </si>
  <si>
    <t xml:space="preserve">          In order to determine a reasonable current interest rate, EKPC has applied the approach discussed in the Commission's</t>
  </si>
  <si>
    <t xml:space="preserve">          December 5, 2007 Order in Case No. 2006-00472, specifically footnote 36.  The calculation of the applicable interest</t>
  </si>
  <si>
    <t xml:space="preserve">          rates is shown below.</t>
  </si>
  <si>
    <t>U.S. Treasury Securities (2)</t>
  </si>
  <si>
    <t>CFC Commercial Paper (2)</t>
  </si>
  <si>
    <t>Money Market Funds (2):</t>
  </si>
  <si>
    <t>Funds Held in Misc. Bank Accounts: (2)</t>
  </si>
  <si>
    <t xml:space="preserve">  TVA Security Deposit - Cap. Proj. (2)</t>
  </si>
  <si>
    <t>of 06/30/2020</t>
  </si>
  <si>
    <t>for June 2020</t>
  </si>
  <si>
    <t>Blended</t>
  </si>
  <si>
    <t>Annualized</t>
  </si>
  <si>
    <t>Money Market Funds</t>
  </si>
  <si>
    <t xml:space="preserve">  TVA Security Deposit - Cap. Proj. </t>
  </si>
  <si>
    <t>Type of Debt Issue</t>
  </si>
  <si>
    <t>Amount</t>
  </si>
  <si>
    <t>Outstanding</t>
  </si>
  <si>
    <t>as of</t>
  </si>
  <si>
    <t xml:space="preserve">as of  </t>
  </si>
  <si>
    <t>Actual</t>
  </si>
  <si>
    <t>Interest Expense</t>
  </si>
  <si>
    <t>Normalized Interest Expense</t>
  </si>
  <si>
    <t>Adjustment to Normalize Interest Expense on Long-Term Debt</t>
  </si>
  <si>
    <t>Schedule 1.04</t>
  </si>
  <si>
    <t>Bonds:</t>
  </si>
  <si>
    <t xml:space="preserve">  Private Placement Bonds</t>
  </si>
  <si>
    <t xml:space="preserve">  Private Placement Bonds - 2019</t>
  </si>
  <si>
    <t xml:space="preserve">  Cooper Solid Waste Disposal Bonds</t>
  </si>
  <si>
    <t xml:space="preserve">  Total Bonds</t>
  </si>
  <si>
    <t xml:space="preserve">  National Rural Utilities Cooperative Finance Corporation ("CFC") -</t>
  </si>
  <si>
    <t xml:space="preserve">    CFC - Term Loan</t>
  </si>
  <si>
    <t xml:space="preserve">    Clean Renewable Energy Bonds</t>
  </si>
  <si>
    <t xml:space="preserve">    New Clean Renewable Energy Bonds</t>
  </si>
  <si>
    <t xml:space="preserve">    NCSC Unsecured #9061009</t>
  </si>
  <si>
    <t xml:space="preserve">    NCSC Unsecured #9061010</t>
  </si>
  <si>
    <t xml:space="preserve">    NCSC Unsecured #9061011</t>
  </si>
  <si>
    <t xml:space="preserve">    NCSC Unsecured #9061012</t>
  </si>
  <si>
    <t xml:space="preserve">    NCSC Unsecured #9061013</t>
  </si>
  <si>
    <t xml:space="preserve">    NCSC Unsecured #9061014</t>
  </si>
  <si>
    <t xml:space="preserve">  Total CFC</t>
  </si>
  <si>
    <t xml:space="preserve">  Rural Utilities Service ("RUS") Notes -</t>
  </si>
  <si>
    <t xml:space="preserve">    T62-1-B650</t>
  </si>
  <si>
    <t xml:space="preserve">    T62-1-B655</t>
  </si>
  <si>
    <t xml:space="preserve">  Total RUS</t>
  </si>
  <si>
    <t xml:space="preserve">  Federal Financing Bank ("FFB") Notes -</t>
  </si>
  <si>
    <t xml:space="preserve">    H0615</t>
  </si>
  <si>
    <t xml:space="preserve">    H0635</t>
  </si>
  <si>
    <t xml:space="preserve">    H0640</t>
  </si>
  <si>
    <t xml:space="preserve">    H0645</t>
  </si>
  <si>
    <t xml:space="preserve">    H0655</t>
  </si>
  <si>
    <t xml:space="preserve">    H0660</t>
  </si>
  <si>
    <t xml:space="preserve">    H0665</t>
  </si>
  <si>
    <t xml:space="preserve">    H0670</t>
  </si>
  <si>
    <t xml:space="preserve">    H0675</t>
  </si>
  <si>
    <t xml:space="preserve">    H0680</t>
  </si>
  <si>
    <t xml:space="preserve">    H0685</t>
  </si>
  <si>
    <t xml:space="preserve">    H0690</t>
  </si>
  <si>
    <t xml:space="preserve">    H0695</t>
  </si>
  <si>
    <t xml:space="preserve">    H0700</t>
  </si>
  <si>
    <t xml:space="preserve">    H0705</t>
  </si>
  <si>
    <t xml:space="preserve">    H0710</t>
  </si>
  <si>
    <t xml:space="preserve">    H0715</t>
  </si>
  <si>
    <t xml:space="preserve">    H0720</t>
  </si>
  <si>
    <t xml:space="preserve">    H0725</t>
  </si>
  <si>
    <t xml:space="preserve">    H0730</t>
  </si>
  <si>
    <t xml:space="preserve">    H0735</t>
  </si>
  <si>
    <t xml:space="preserve">    H0740</t>
  </si>
  <si>
    <t xml:space="preserve">    H0745</t>
  </si>
  <si>
    <t xml:space="preserve">    H0750</t>
  </si>
  <si>
    <t xml:space="preserve">    H0755</t>
  </si>
  <si>
    <t xml:space="preserve">    H0760</t>
  </si>
  <si>
    <t xml:space="preserve">    H0765</t>
  </si>
  <si>
    <t xml:space="preserve">    H0770</t>
  </si>
  <si>
    <t xml:space="preserve">    H0775</t>
  </si>
  <si>
    <t xml:space="preserve">    H0780</t>
  </si>
  <si>
    <t xml:space="preserve">    H0785</t>
  </si>
  <si>
    <t xml:space="preserve">    H0790</t>
  </si>
  <si>
    <t xml:space="preserve">    H0795</t>
  </si>
  <si>
    <t xml:space="preserve">    H0800</t>
  </si>
  <si>
    <t xml:space="preserve">    H0805</t>
  </si>
  <si>
    <t xml:space="preserve">    H0810</t>
  </si>
  <si>
    <t xml:space="preserve">    H0815</t>
  </si>
  <si>
    <t xml:space="preserve">    H0820</t>
  </si>
  <si>
    <t xml:space="preserve">    H0825</t>
  </si>
  <si>
    <t xml:space="preserve">    H0830</t>
  </si>
  <si>
    <t xml:space="preserve">    H0835</t>
  </si>
  <si>
    <t xml:space="preserve">    H0840</t>
  </si>
  <si>
    <t xml:space="preserve">    H0845</t>
  </si>
  <si>
    <t xml:space="preserve">    H0850</t>
  </si>
  <si>
    <t xml:space="preserve">    H0855</t>
  </si>
  <si>
    <t xml:space="preserve">    H0860</t>
  </si>
  <si>
    <t xml:space="preserve">    H0865</t>
  </si>
  <si>
    <t xml:space="preserve">    H0870</t>
  </si>
  <si>
    <t xml:space="preserve">    H0875</t>
  </si>
  <si>
    <t xml:space="preserve">    H0880</t>
  </si>
  <si>
    <t xml:space="preserve">    H0885</t>
  </si>
  <si>
    <t xml:space="preserve">    H0890</t>
  </si>
  <si>
    <t xml:space="preserve">    H0895</t>
  </si>
  <si>
    <t xml:space="preserve">    H0900</t>
  </si>
  <si>
    <t xml:space="preserve">    H0905</t>
  </si>
  <si>
    <t xml:space="preserve">    H0910</t>
  </si>
  <si>
    <t xml:space="preserve">    H0915</t>
  </si>
  <si>
    <t xml:space="preserve">    H0920</t>
  </si>
  <si>
    <t xml:space="preserve">    H0925</t>
  </si>
  <si>
    <t xml:space="preserve">    H0930</t>
  </si>
  <si>
    <t xml:space="preserve">    H0935</t>
  </si>
  <si>
    <t xml:space="preserve">    H0940</t>
  </si>
  <si>
    <t xml:space="preserve">    H0945</t>
  </si>
  <si>
    <t xml:space="preserve">    H0950</t>
  </si>
  <si>
    <t xml:space="preserve">    H0955</t>
  </si>
  <si>
    <t xml:space="preserve">    H0960</t>
  </si>
  <si>
    <t xml:space="preserve">    H0965</t>
  </si>
  <si>
    <t xml:space="preserve">    H0970</t>
  </si>
  <si>
    <t xml:space="preserve">    H0975</t>
  </si>
  <si>
    <t xml:space="preserve">    H0980</t>
  </si>
  <si>
    <t xml:space="preserve">    H0985</t>
  </si>
  <si>
    <t xml:space="preserve">    H0990</t>
  </si>
  <si>
    <t xml:space="preserve">    H0995</t>
  </si>
  <si>
    <t xml:space="preserve">    H1000</t>
  </si>
  <si>
    <t xml:space="preserve">    H1005</t>
  </si>
  <si>
    <t xml:space="preserve">    H1010</t>
  </si>
  <si>
    <t xml:space="preserve">    H1015</t>
  </si>
  <si>
    <t xml:space="preserve">    H1020</t>
  </si>
  <si>
    <t xml:space="preserve">    H1025</t>
  </si>
  <si>
    <t xml:space="preserve">    H1030</t>
  </si>
  <si>
    <t xml:space="preserve">    H1035</t>
  </si>
  <si>
    <t xml:space="preserve">    H1040</t>
  </si>
  <si>
    <t xml:space="preserve">    H1045</t>
  </si>
  <si>
    <t xml:space="preserve">    H1050</t>
  </si>
  <si>
    <t xml:space="preserve">    H1055</t>
  </si>
  <si>
    <t xml:space="preserve">    H1060</t>
  </si>
  <si>
    <t xml:space="preserve">    H1065</t>
  </si>
  <si>
    <t xml:space="preserve">    H1070</t>
  </si>
  <si>
    <t xml:space="preserve">    H1075</t>
  </si>
  <si>
    <t xml:space="preserve">    H1080</t>
  </si>
  <si>
    <t xml:space="preserve">    H1085</t>
  </si>
  <si>
    <t xml:space="preserve">    H1090</t>
  </si>
  <si>
    <t xml:space="preserve">    H1095</t>
  </si>
  <si>
    <t xml:space="preserve">    H1100</t>
  </si>
  <si>
    <t xml:space="preserve">    H1105</t>
  </si>
  <si>
    <t xml:space="preserve">    H1110</t>
  </si>
  <si>
    <t xml:space="preserve">    H1115</t>
  </si>
  <si>
    <t xml:space="preserve">    H1120</t>
  </si>
  <si>
    <t xml:space="preserve">    H1125</t>
  </si>
  <si>
    <t xml:space="preserve">    H1130</t>
  </si>
  <si>
    <t xml:space="preserve">    H1135</t>
  </si>
  <si>
    <t xml:space="preserve">    H1140</t>
  </si>
  <si>
    <t xml:space="preserve">    H1145</t>
  </si>
  <si>
    <t xml:space="preserve">    H1150</t>
  </si>
  <si>
    <t xml:space="preserve">    H1155</t>
  </si>
  <si>
    <t xml:space="preserve">    H1160</t>
  </si>
  <si>
    <t xml:space="preserve">    H1165</t>
  </si>
  <si>
    <t xml:space="preserve">    H1170</t>
  </si>
  <si>
    <t xml:space="preserve">    H1175</t>
  </si>
  <si>
    <t xml:space="preserve">    H1180</t>
  </si>
  <si>
    <t xml:space="preserve">    H1185</t>
  </si>
  <si>
    <t xml:space="preserve">    H1190</t>
  </si>
  <si>
    <t xml:space="preserve">    H1195</t>
  </si>
  <si>
    <t xml:space="preserve">    H1200</t>
  </si>
  <si>
    <t xml:space="preserve">    H1205</t>
  </si>
  <si>
    <t xml:space="preserve">    H1210</t>
  </si>
  <si>
    <t xml:space="preserve">    H1215</t>
  </si>
  <si>
    <t xml:space="preserve">    H1220</t>
  </si>
  <si>
    <t xml:space="preserve">    H1225</t>
  </si>
  <si>
    <t xml:space="preserve">    H1230</t>
  </si>
  <si>
    <t xml:space="preserve">    H1235</t>
  </si>
  <si>
    <t xml:space="preserve">    H1240</t>
  </si>
  <si>
    <t xml:space="preserve">    H1245</t>
  </si>
  <si>
    <t xml:space="preserve">    H1250</t>
  </si>
  <si>
    <t xml:space="preserve">    H1255</t>
  </si>
  <si>
    <t xml:space="preserve">    H1260</t>
  </si>
  <si>
    <t xml:space="preserve">    H1265</t>
  </si>
  <si>
    <t xml:space="preserve">    H1270</t>
  </si>
  <si>
    <t xml:space="preserve">    H1275</t>
  </si>
  <si>
    <t xml:space="preserve">    H1280</t>
  </si>
  <si>
    <t xml:space="preserve">    H1285</t>
  </si>
  <si>
    <t xml:space="preserve">    H1290</t>
  </si>
  <si>
    <t xml:space="preserve">    H1295</t>
  </si>
  <si>
    <t xml:space="preserve">    H1300</t>
  </si>
  <si>
    <t xml:space="preserve">    H1305</t>
  </si>
  <si>
    <t xml:space="preserve">    H1310</t>
  </si>
  <si>
    <t xml:space="preserve">    H1315</t>
  </si>
  <si>
    <t xml:space="preserve">    H1320</t>
  </si>
  <si>
    <t xml:space="preserve">    H1325</t>
  </si>
  <si>
    <t xml:space="preserve">    H1330</t>
  </si>
  <si>
    <t xml:space="preserve">    H1335</t>
  </si>
  <si>
    <t xml:space="preserve">    H1340</t>
  </si>
  <si>
    <t xml:space="preserve">    H1345</t>
  </si>
  <si>
    <t xml:space="preserve">    H1350</t>
  </si>
  <si>
    <t xml:space="preserve">    H1355</t>
  </si>
  <si>
    <t xml:space="preserve">    H1360</t>
  </si>
  <si>
    <t xml:space="preserve">    H1365</t>
  </si>
  <si>
    <t xml:space="preserve">    FFB-25-1</t>
  </si>
  <si>
    <t xml:space="preserve">    F1380</t>
  </si>
  <si>
    <t xml:space="preserve">    FFB-26-1</t>
  </si>
  <si>
    <t xml:space="preserve">    FFB-25-2</t>
  </si>
  <si>
    <t xml:space="preserve">    F1390</t>
  </si>
  <si>
    <t xml:space="preserve">    FFB-25-3</t>
  </si>
  <si>
    <t xml:space="preserve">    F1400</t>
  </si>
  <si>
    <t xml:space="preserve">    FFB-25-4</t>
  </si>
  <si>
    <t xml:space="preserve">    FFB-24-5</t>
  </si>
  <si>
    <t xml:space="preserve">    FFB-25-5</t>
  </si>
  <si>
    <t xml:space="preserve">    FFB-24-6</t>
  </si>
  <si>
    <t xml:space="preserve">    FFB-25-6</t>
  </si>
  <si>
    <t xml:space="preserve">    FFB-25-7</t>
  </si>
  <si>
    <t xml:space="preserve">    FFB-26-2</t>
  </si>
  <si>
    <t xml:space="preserve">    FFB-27-1</t>
  </si>
  <si>
    <t xml:space="preserve">    FFB-28-1</t>
  </si>
  <si>
    <t xml:space="preserve">    FFB-24-7</t>
  </si>
  <si>
    <t xml:space="preserve">    FFB-25-8</t>
  </si>
  <si>
    <t xml:space="preserve">    FFB-24-8</t>
  </si>
  <si>
    <t xml:space="preserve">    FFB-25-9</t>
  </si>
  <si>
    <t xml:space="preserve">    FFB-24-9</t>
  </si>
  <si>
    <t xml:space="preserve">    FFB-25-10</t>
  </si>
  <si>
    <t xml:space="preserve">  Total FFB</t>
  </si>
  <si>
    <t xml:space="preserve">  Total Long-Term Debt and Interest Expense</t>
  </si>
  <si>
    <t>Sales adjusted to remove sales to TGP and associated with Generator Credit.</t>
  </si>
  <si>
    <t>Unsecured Credit Facility</t>
  </si>
  <si>
    <t>Interest Expense associated with Environmental Surcharge</t>
  </si>
  <si>
    <t>Proposed Adjustment to Interest Expense, exclusive of Interest Expense associated</t>
  </si>
  <si>
    <t xml:space="preserve">    with Environmental Surcharge:</t>
  </si>
  <si>
    <t xml:space="preserve">  Total Test Year Actual Interest Expense</t>
  </si>
  <si>
    <t xml:space="preserve">  Less:  Test Year Interest Expense associated with Environmental Surcharge</t>
  </si>
  <si>
    <t xml:space="preserve">  Net Test Year Actual Interest Expense</t>
  </si>
  <si>
    <t xml:space="preserve">  Less:  Normalized Interest Expense associated with Environmental Surcharge</t>
  </si>
  <si>
    <t xml:space="preserve">  Proposed Adjustment to Interest Expense</t>
  </si>
  <si>
    <t xml:space="preserve">  Total Normalized Interest Expense, based on 6/30/2020 rates</t>
  </si>
  <si>
    <t xml:space="preserve">  Net Normalized Interest Expense, based on 6/30/2020 rates</t>
  </si>
  <si>
    <t>Adjustment for Forced Outage and Highest Purchased Power Costs not Recovered through FAC</t>
  </si>
  <si>
    <t>Highest Cost</t>
  </si>
  <si>
    <t>Disallowed</t>
  </si>
  <si>
    <t>Calendar Year</t>
  </si>
  <si>
    <t>Exclusion</t>
  </si>
  <si>
    <t>2015</t>
  </si>
  <si>
    <t>2016</t>
  </si>
  <si>
    <t>2017</t>
  </si>
  <si>
    <t>Average Annual Amounts</t>
  </si>
  <si>
    <t>Differences</t>
  </si>
  <si>
    <t>Adjustment for Forced Outage &amp; Highest Cost Exclusion</t>
  </si>
  <si>
    <t>2018</t>
  </si>
  <si>
    <t>2019</t>
  </si>
  <si>
    <t>Schedule 1.19</t>
  </si>
  <si>
    <t>Adjustment to Amortize Dale Regulatory Asset for Surcharge Projects 5 and 10</t>
  </si>
  <si>
    <t>At the end of 2015, EKPC fully retired the Dale generating station.  In Case No. 2015-00302 EKPC sought</t>
  </si>
  <si>
    <t>Commission approval to establish a regulatory asset for the Dale retirement so EKPC would not have to</t>
  </si>
  <si>
    <t xml:space="preserve">record the retirement as a loss against current margins.  </t>
  </si>
  <si>
    <t>The retirement of Dale involved assets that were being recovered through base rates.  There were also</t>
  </si>
  <si>
    <t>portions of two environmental compliance plan projects associated with the Dale retirement.</t>
  </si>
  <si>
    <t>In its decision in Case No. 2015-00302, the Commission granted the request to establish a regulatory</t>
  </si>
  <si>
    <t>asset, but required the creation of two regulatory assets - one for those Dale assets recovered through</t>
  </si>
  <si>
    <t>base rates and one for the environmental surcharge projects related to Dale.  The Commission indicated</t>
  </si>
  <si>
    <t>the surcharge-related regulatory asset could be considered for recovery in EKPC's next base rate case.</t>
  </si>
  <si>
    <t>EKPC is proposing that the Dale regulatory asset associated with the environmental compliance plan</t>
  </si>
  <si>
    <t>Regulatory Asset for Surcharge Projects 5 and 10,</t>
  </si>
  <si>
    <t xml:space="preserve">  balance as of test year end</t>
  </si>
  <si>
    <t>Proposed amortization period, in years</t>
  </si>
  <si>
    <t xml:space="preserve">Proposed increase in amortization expense </t>
  </si>
  <si>
    <t>projects should be amortized over a 2 year period.</t>
  </si>
  <si>
    <t xml:space="preserve">  2020 Assessment</t>
  </si>
  <si>
    <t xml:space="preserve">  2019 Gross Operating Revenues</t>
  </si>
  <si>
    <t>Normalize PSC Assessment</t>
  </si>
  <si>
    <t xml:space="preserve">  PSC Assessment rate will be utilized.  For this adjustment, FAC and environmental surcharge revenues</t>
  </si>
  <si>
    <t xml:space="preserve">  must be included, as the PSC Assessment is not reflected as a component in those mechanisms.</t>
  </si>
  <si>
    <t>The effect of any proposed change in revenues will include a "gross up" for the PSC Assessment and will</t>
  </si>
  <si>
    <t xml:space="preserve">  be presented as part of the overall proposed increase in revenues rather than as part of this adjustment.</t>
  </si>
  <si>
    <t>Total Operating Revenues from Operating Statement</t>
  </si>
  <si>
    <t>Add:  Expenses Associated with Leased Property</t>
  </si>
  <si>
    <t xml:space="preserve">  Subtotal</t>
  </si>
  <si>
    <t>Gross Interstate Revenues as Reported</t>
  </si>
  <si>
    <t>Add:  Revenues from Bill Credits Ending</t>
  </si>
  <si>
    <t>Adjusted Gross Interstate Revenues</t>
  </si>
  <si>
    <t>Normalized PSC Assessment</t>
  </si>
  <si>
    <t>Test Year PSC Assessment</t>
  </si>
  <si>
    <t>Adjustment to Normalize PSC Assessment</t>
  </si>
  <si>
    <t>Schedule 1.24</t>
  </si>
  <si>
    <t>PSC Assessment Rate for 2020</t>
  </si>
  <si>
    <t>Certain Bill</t>
  </si>
  <si>
    <t>Credits</t>
  </si>
  <si>
    <t>Sch. 1.26</t>
  </si>
  <si>
    <t>Schedule 1.25</t>
  </si>
  <si>
    <t>Remove Certain Bill Credits</t>
  </si>
  <si>
    <t>Adjustment to Remove Bill Credits</t>
  </si>
  <si>
    <t>Less:  Interstate Revenues - PJM Interconnection</t>
  </si>
  <si>
    <t>Less:  Interstate Revenues - AES Ohio Generation</t>
  </si>
  <si>
    <t>Schedule 1.17</t>
  </si>
  <si>
    <t>Adjustment to Amortize Smith 1 Regulatory Asset</t>
  </si>
  <si>
    <t>Adjustment to book amortization expense for the Smith 1 Regulatory Asset consistent with the</t>
  </si>
  <si>
    <t>Beginning Balance of Regulatory Asset, January 1, 2017</t>
  </si>
  <si>
    <t>Add:  Account Adjustments</t>
  </si>
  <si>
    <t xml:space="preserve">Total Amortization Period </t>
  </si>
  <si>
    <t>months</t>
  </si>
  <si>
    <t>Remaining Months to Amortize</t>
  </si>
  <si>
    <t>Determination of Amortization Expense Adjustment</t>
  </si>
  <si>
    <t>Less Months of Amortization through 2019</t>
  </si>
  <si>
    <t>Less Months of additional Amortization through</t>
  </si>
  <si>
    <t>Adjustment to Monthly Amortization Expense</t>
  </si>
  <si>
    <t>Annualized adjustment to Amortization Expense</t>
  </si>
  <si>
    <t>Premiums</t>
  </si>
  <si>
    <t>Schedule 1.20</t>
  </si>
  <si>
    <t>Normalize Insurance Expense</t>
  </si>
  <si>
    <t>Normalize Insurance Expense to recognize test year premiums and recognize known and measurable</t>
  </si>
  <si>
    <t xml:space="preserve">  changes in premiums occurring post test year through June 30, 2020.</t>
  </si>
  <si>
    <t>2019 Insurance</t>
  </si>
  <si>
    <t>Test-Year</t>
  </si>
  <si>
    <t>Adjustment</t>
  </si>
  <si>
    <t>Excess Workers Comp and Employers Liability</t>
  </si>
  <si>
    <t>Excess General Liability - Tier 1</t>
  </si>
  <si>
    <t>Directors and Officers Liability</t>
  </si>
  <si>
    <t>Marine Program and Cargo</t>
  </si>
  <si>
    <t xml:space="preserve">    Subtotal</t>
  </si>
  <si>
    <t>2020 Insurance</t>
  </si>
  <si>
    <t>Unit Outage Insurance</t>
  </si>
  <si>
    <t>Capacity Performance Insurance</t>
  </si>
  <si>
    <t>Property Insurance</t>
  </si>
  <si>
    <t>Total Proposed Adjustment to Insurance Expense</t>
  </si>
  <si>
    <t>Adjustment to Remove Lobbying Expenses</t>
  </si>
  <si>
    <t>Proposed Adjustment</t>
  </si>
  <si>
    <t>Schedule 1.13</t>
  </si>
  <si>
    <t>Adjustment to remove Lobbying expenses from various accounts.</t>
  </si>
  <si>
    <t xml:space="preserve">  Account 923.001 - Smith-Free Group LLC</t>
  </si>
  <si>
    <t xml:space="preserve">  Account 930.202 - KEC Government Strategies Contribution</t>
  </si>
  <si>
    <t xml:space="preserve">  Account 921.000 - Lobbying expenses reported to KLEC</t>
  </si>
  <si>
    <t xml:space="preserve">  Account 426.400 - Other Lobbying expenses</t>
  </si>
  <si>
    <t>Total Lobbying Expenses to Remove</t>
  </si>
  <si>
    <t>Remove Miscellaneous Employee Benefit Expenses</t>
  </si>
  <si>
    <t>Remove employee benefit expenses not normally allowed for rate-making purposes</t>
  </si>
  <si>
    <t xml:space="preserve">  - Christmas Celebration</t>
  </si>
  <si>
    <t xml:space="preserve">  - Summer employee outing</t>
  </si>
  <si>
    <t xml:space="preserve">  - Employee appreciation lunch</t>
  </si>
  <si>
    <t>Christmas Celebration</t>
  </si>
  <si>
    <t>Summer Employee Outing</t>
  </si>
  <si>
    <t>Employee Appreciation Lunches</t>
  </si>
  <si>
    <t>Kroger Gift Cards - Thanksgiving</t>
  </si>
  <si>
    <t>Total Miscellaneous Employee Benefit Expenses</t>
  </si>
  <si>
    <t>Proposed adjustment for Miscellaneous Employee Benefit Expenses</t>
  </si>
  <si>
    <t>Donation to Employee Association</t>
  </si>
  <si>
    <t>Break Beverages and Other Related Supplies</t>
  </si>
  <si>
    <t>Energy Expenses</t>
  </si>
  <si>
    <t>Schedule 1.15</t>
  </si>
  <si>
    <t>Schedule 1.14</t>
  </si>
  <si>
    <t>Adjustment to Remove Touchstone Energy Dues and Expenses</t>
  </si>
  <si>
    <t>Adjustment to remove Touchstone Energy Dues and Touchstone Energy-related expenses.</t>
  </si>
  <si>
    <t>Touchstone Energy Dues for 2019</t>
  </si>
  <si>
    <t>Touchstone Energy Related Expenses:</t>
  </si>
  <si>
    <t xml:space="preserve">  Acount 908 - Meetings and presentations</t>
  </si>
  <si>
    <t xml:space="preserve">  Acount 930.100 &amp; 930.202 - Advertising expenses</t>
  </si>
  <si>
    <t>Total Touchstone Energy Dues and Related Expenses</t>
  </si>
  <si>
    <t>Schedule 1.26</t>
  </si>
  <si>
    <t>For Account 426:</t>
  </si>
  <si>
    <t xml:space="preserve">  Account 426.100 - Donations</t>
  </si>
  <si>
    <t xml:space="preserve">  Account 426.400 - Expenditures for Certain Civic,</t>
  </si>
  <si>
    <t xml:space="preserve">    Political, and Related Activities</t>
  </si>
  <si>
    <t>Total for Account 426</t>
  </si>
  <si>
    <t xml:space="preserve">  Adjustment to Account 426</t>
  </si>
  <si>
    <t>Schedule 1.12</t>
  </si>
  <si>
    <t>Adjustment to Remove Donations - Account 426</t>
  </si>
  <si>
    <t xml:space="preserve">    (Removed as part of Lobbying Adjustment)</t>
  </si>
  <si>
    <t>Proposed Adjustment -</t>
  </si>
  <si>
    <t xml:space="preserve">  Administrative &amp; General</t>
  </si>
  <si>
    <t xml:space="preserve">  Donations</t>
  </si>
  <si>
    <t>Schedule 1.11</t>
  </si>
  <si>
    <t>Remove Advertising Expenses Pursuant to 807 KAR 5:016</t>
  </si>
  <si>
    <t>Remove advertising expenses not eligible for recovery pursuant to the requirements of 807 KAR 5:016.</t>
  </si>
  <si>
    <t>Advertising that does not provide a "material benefit" includes:</t>
  </si>
  <si>
    <t xml:space="preserve">  - Political advertising - influencing public opinion</t>
  </si>
  <si>
    <t xml:space="preserve">  - Promotional advertising - encouraging the use of a service, appliance, or equipment of the utility</t>
  </si>
  <si>
    <t xml:space="preserve">  - Institutional advertising - enhancement of corporate image of utility</t>
  </si>
  <si>
    <t>Account 913000</t>
  </si>
  <si>
    <t xml:space="preserve">  SOAR STEM related</t>
  </si>
  <si>
    <t xml:space="preserve">  Sponsorships</t>
  </si>
  <si>
    <t xml:space="preserve">  Miscellaneous Advertising</t>
  </si>
  <si>
    <t xml:space="preserve">    Total Account 913000</t>
  </si>
  <si>
    <t>Adjustments to Board of Directors' Expenses</t>
  </si>
  <si>
    <t>Summary of Adjustment:</t>
  </si>
  <si>
    <t>Schedule 1.10</t>
  </si>
  <si>
    <t>Account 908000:</t>
  </si>
  <si>
    <t xml:space="preserve">  Member Support</t>
  </si>
  <si>
    <t>Total Advertising</t>
  </si>
  <si>
    <t xml:space="preserve">  Account 908</t>
  </si>
  <si>
    <t xml:space="preserve">  Account 913</t>
  </si>
  <si>
    <t xml:space="preserve">  Increase in Expenses -</t>
  </si>
  <si>
    <t xml:space="preserve">    Normalization of Directors' Per Diem Fees</t>
  </si>
  <si>
    <t xml:space="preserve">  Decrease in Expenses -</t>
  </si>
  <si>
    <t xml:space="preserve">    Remove overlapping Directors' Per Diem Fees</t>
  </si>
  <si>
    <t xml:space="preserve">    Remove Per Diem Fees for non-EKPC Meetings</t>
  </si>
  <si>
    <t xml:space="preserve">    Remove Fees and Expenses - Legislative Conference</t>
  </si>
  <si>
    <t xml:space="preserve">    Remove Fees and Expenses - Mine Tour</t>
  </si>
  <si>
    <t xml:space="preserve">    Remove Fees and Expenses - Bid Openings</t>
  </si>
  <si>
    <t xml:space="preserve">    Remove Miscellaneous Expenses</t>
  </si>
  <si>
    <t>Net Adjustment</t>
  </si>
  <si>
    <t>Adjustment to remove non-recurring expenses and other expenses not normally included for</t>
  </si>
  <si>
    <t xml:space="preserve">  rate-making purposes.</t>
  </si>
  <si>
    <t>Account 908</t>
  </si>
  <si>
    <t>Account 921</t>
  </si>
  <si>
    <t>Account 923</t>
  </si>
  <si>
    <t>Account 930</t>
  </si>
  <si>
    <t>Non-Recurring Expenses:</t>
  </si>
  <si>
    <t xml:space="preserve">  Discontinued DSM Programs</t>
  </si>
  <si>
    <t xml:space="preserve">  Payments to Member Systems</t>
  </si>
  <si>
    <t xml:space="preserve">    for Discontinued DSM Programs</t>
  </si>
  <si>
    <t>Excluded for Rate-Making Purposes:</t>
  </si>
  <si>
    <t xml:space="preserve">  Sponsorships &amp; Donations</t>
  </si>
  <si>
    <t xml:space="preserve">  Special Olympics</t>
  </si>
  <si>
    <t xml:space="preserve">  Honor Flight</t>
  </si>
  <si>
    <t xml:space="preserve">  Ronald McDonald House</t>
  </si>
  <si>
    <t xml:space="preserve">  SOAR &amp; SOAR Related</t>
  </si>
  <si>
    <t xml:space="preserve">  Gifts, Prizes, Clothing &amp; Misc.</t>
  </si>
  <si>
    <t xml:space="preserve">  Penalties</t>
  </si>
  <si>
    <t xml:space="preserve">  Mine Tour</t>
  </si>
  <si>
    <t xml:space="preserve">  NRECA Legislative Conference</t>
  </si>
  <si>
    <t xml:space="preserve">  Contract Settlement</t>
  </si>
  <si>
    <t xml:space="preserve">  Dale Site Security</t>
  </si>
  <si>
    <t xml:space="preserve">  Employee Celebrations &amp; Meals</t>
  </si>
  <si>
    <t xml:space="preserve">  Legal Services</t>
  </si>
  <si>
    <t>Total Non-Recurring</t>
  </si>
  <si>
    <t>Total Exclusions</t>
  </si>
  <si>
    <t>Total Adjustment to Misc. Exp.</t>
  </si>
  <si>
    <t>Amortize Rate Case Expenses</t>
  </si>
  <si>
    <t xml:space="preserve">  Cost of Service Study Consultant</t>
  </si>
  <si>
    <t xml:space="preserve">  Depreciation Study Consultant</t>
  </si>
  <si>
    <t xml:space="preserve">  Outside Legal Counsel</t>
  </si>
  <si>
    <t xml:space="preserve">  Advertising</t>
  </si>
  <si>
    <t xml:space="preserve">  Supplies, materials, and miscellaneous</t>
  </si>
  <si>
    <t>Total Estimated Rate Case Expenses</t>
  </si>
  <si>
    <t>Proposed Adjustment, one third of estimated expenses</t>
  </si>
  <si>
    <t>Schedule 1.23</t>
  </si>
  <si>
    <t xml:space="preserve">  Consultant for Member Pass-Through Filings</t>
  </si>
  <si>
    <t>Increase/</t>
  </si>
  <si>
    <t>(Decrease)</t>
  </si>
  <si>
    <t>Account Allocation:</t>
  </si>
  <si>
    <t xml:space="preserve">  CWIP (107)</t>
  </si>
  <si>
    <t xml:space="preserve">  RWIP (108.8)</t>
  </si>
  <si>
    <t xml:space="preserve">  Accounts Receivable (143)</t>
  </si>
  <si>
    <t xml:space="preserve">  Expenses Non-Utility Oper. (417.1)</t>
  </si>
  <si>
    <t xml:space="preserve">  Civic &amp; Political (426.4)</t>
  </si>
  <si>
    <t xml:space="preserve">  Misc. Non-Oper. Income (421)</t>
  </si>
  <si>
    <t xml:space="preserve">  Production</t>
  </si>
  <si>
    <t xml:space="preserve">  Transmission</t>
  </si>
  <si>
    <t xml:space="preserve">  Distribution</t>
  </si>
  <si>
    <t xml:space="preserve">  Customer Service &amp; Information</t>
  </si>
  <si>
    <t xml:space="preserve">  Sales</t>
  </si>
  <si>
    <t>Total Allocations</t>
  </si>
  <si>
    <t>Percentage Increase</t>
  </si>
  <si>
    <t>Proposed Expense Adjustment:</t>
  </si>
  <si>
    <t>Adjustment to recognize documented changes in employee medical insurance costs occurring in the first</t>
  </si>
  <si>
    <t>6 months after test-year end.  The adjustment also recognizes changes in employee head count through</t>
  </si>
  <si>
    <t xml:space="preserve">  Fuel Stock Undistributed (152)</t>
  </si>
  <si>
    <t xml:space="preserve">  Miscellaneous Defer Debt (186)</t>
  </si>
  <si>
    <t xml:space="preserve">  Maint. Exp. Plant Lease (413)</t>
  </si>
  <si>
    <t xml:space="preserve">  (Rounding Adjustment)</t>
  </si>
  <si>
    <t>RTEP</t>
  </si>
  <si>
    <t>Normalize RTEP Expenses</t>
  </si>
  <si>
    <t>Total Test Year</t>
  </si>
  <si>
    <t>Code 1108</t>
  </si>
  <si>
    <t>Charges</t>
  </si>
  <si>
    <t>Proposed Increase in Expense</t>
  </si>
  <si>
    <t>Spurlock 2019</t>
  </si>
  <si>
    <t>Major Reg. Asset</t>
  </si>
  <si>
    <t>Schedule 1.22</t>
  </si>
  <si>
    <t>Amortize Spurlock 2019 Regulatory Asset for Major Maintenance</t>
  </si>
  <si>
    <t>At the end of 2019 EKPC established a regulatory asset for major maintenance costs at the Spurlock</t>
  </si>
  <si>
    <t>generating station.  This was consistent with a RUS accounting treatment.  EKPC proposed to RUS</t>
  </si>
  <si>
    <t>to amortize this regulatory asset over a period of 8 years.  This adjustment recognizes the first year</t>
  </si>
  <si>
    <t>of that amortization.</t>
  </si>
  <si>
    <t>Other Regulatory Assets - 2019 Spurlock Major Maintenance and</t>
  </si>
  <si>
    <t xml:space="preserve">  Minor Items of Property</t>
  </si>
  <si>
    <t>Amortization Period</t>
  </si>
  <si>
    <t>years</t>
  </si>
  <si>
    <t>Annual Amortization</t>
  </si>
  <si>
    <t xml:space="preserve">Normalize Regional Transmission Expansion Plan ("RTEP") expenses, PJM Billing Code 1108, and </t>
  </si>
  <si>
    <t>Code 1115</t>
  </si>
  <si>
    <t>Total RTEP</t>
  </si>
  <si>
    <t>January 2020</t>
  </si>
  <si>
    <t>June 2020</t>
  </si>
  <si>
    <t>Total First 6 Mon.</t>
  </si>
  <si>
    <t>Account No. 565000.</t>
  </si>
  <si>
    <t>Transmission Enhancement Settlement expenses, PJM Billing Code 1115, as recorded in</t>
  </si>
  <si>
    <t>Annualize First</t>
  </si>
  <si>
    <t xml:space="preserve">  6 Months 2020</t>
  </si>
  <si>
    <t>Less Total</t>
  </si>
  <si>
    <t xml:space="preserve">  Test Year</t>
  </si>
  <si>
    <t xml:space="preserve">  RTEP Expenses</t>
  </si>
  <si>
    <t>Total Employer Medical Premiums</t>
  </si>
  <si>
    <t xml:space="preserve">  Stipulation Agreement in Case No. 2015-00358.</t>
  </si>
  <si>
    <t>Adjusted Beginning Balance of Regulatory Asset</t>
  </si>
  <si>
    <t>Less:</t>
  </si>
  <si>
    <t xml:space="preserve">  Actual Salvage and Mitigation, 2017-2019</t>
  </si>
  <si>
    <t>Regulatory Asset Balance before Net PJM Capacity Market Benefit</t>
  </si>
  <si>
    <t>Less Net PJM Capacity Market Benefit:</t>
  </si>
  <si>
    <t xml:space="preserve">  2016 PJM Capacity Market Benefits (June-December)</t>
  </si>
  <si>
    <t xml:space="preserve">  2016 Mitigation - Capacity Performance Insurance Premiums</t>
  </si>
  <si>
    <t xml:space="preserve">  2016 Mitigation Insurance Deductibles &amp; Market Penalties</t>
  </si>
  <si>
    <t xml:space="preserve">  2017 PJM Capacity Market Benefits </t>
  </si>
  <si>
    <t xml:space="preserve">  2017 Mitigation - Capacity Performance Insurance Premiums</t>
  </si>
  <si>
    <t xml:space="preserve">  2017 Mitigation Insurance Deductibles &amp; Market Penalties</t>
  </si>
  <si>
    <t xml:space="preserve">  2018 PJM Capacity Market Benefits </t>
  </si>
  <si>
    <t xml:space="preserve">  2018 Mitigation - Capacity Performance Insurance Premiums</t>
  </si>
  <si>
    <t xml:space="preserve">  2018 Mitigation Insurance Deductibles &amp; Market Penalties</t>
  </si>
  <si>
    <t xml:space="preserve">  2019 PJM Capacity Market Benefits </t>
  </si>
  <si>
    <t xml:space="preserve">  2019 Mitigation - Capacity Performance Insurance Premiums</t>
  </si>
  <si>
    <t xml:space="preserve">  2019 Mitigation Insurance Deductibles &amp; Market Penalties</t>
  </si>
  <si>
    <t>Regulatory Asset Balance to be Amortized in Base Rates</t>
  </si>
  <si>
    <t>Monthly Amortization Expense through December 31, 2026</t>
  </si>
  <si>
    <t>Monthly Amortization Expense in 2019 for Accounting Purposes</t>
  </si>
  <si>
    <t>for Cushion</t>
  </si>
  <si>
    <t>of Credit Paydown</t>
  </si>
  <si>
    <t>Schedule 1.27</t>
  </si>
  <si>
    <t>Adjustment for Cushion of Credit Debt Paydown</t>
  </si>
  <si>
    <t>To recognize the impact EKPC's post-test year paydown of long-term debt using its RUS</t>
  </si>
  <si>
    <t xml:space="preserve">  Cushion of Credit account would have on interest expense and interest income.</t>
  </si>
  <si>
    <t>Original</t>
  </si>
  <si>
    <t>Revision Due to</t>
  </si>
  <si>
    <t>Cushion of</t>
  </si>
  <si>
    <t>Credit Adjust.</t>
  </si>
  <si>
    <t>Incremental</t>
  </si>
  <si>
    <t>Change in</t>
  </si>
  <si>
    <t>Schedule 1.02 - Environmental Surcharge</t>
  </si>
  <si>
    <t>Interest Expense on Long-Term Debt associated</t>
  </si>
  <si>
    <t xml:space="preserve">  with Environmental Surcharge</t>
  </si>
  <si>
    <t>Principal Payments associated with Environmental</t>
  </si>
  <si>
    <t xml:space="preserve">  Surcharge</t>
  </si>
  <si>
    <t>Schedule 1.04 - LTD Interest Expense</t>
  </si>
  <si>
    <t>Total Normalized Interest Expense</t>
  </si>
  <si>
    <t>Less:  Normalized Interest Expense associated</t>
  </si>
  <si>
    <t>Net Normalized Interest Expense</t>
  </si>
  <si>
    <t>Total Test Year Actual Interest Expense</t>
  </si>
  <si>
    <t>Less:  Test Year Interest Expense associated</t>
  </si>
  <si>
    <t>Net Test Year Actual Interest Expense</t>
  </si>
  <si>
    <t>Proposed Adjustment to Interest Expense</t>
  </si>
  <si>
    <t>Schedule 1.05 - Interest Income</t>
  </si>
  <si>
    <t>Test Year Interest Income</t>
  </si>
  <si>
    <t>Normalized Interest Income</t>
  </si>
  <si>
    <t>Adjustment to Normalize Interest Income</t>
  </si>
  <si>
    <t>Sch. 1.27</t>
  </si>
  <si>
    <t>Schedule 1.06</t>
  </si>
  <si>
    <t>Adjustment to normalize wages and salaries.  Normalization reflects 2020 Merit increase authorized</t>
  </si>
  <si>
    <t>Adjustment to Normalize Wages and Salaries</t>
  </si>
  <si>
    <t>Total Wages and Salaries</t>
  </si>
  <si>
    <t xml:space="preserve">  RWIP (108)</t>
  </si>
  <si>
    <t xml:space="preserve">  Other Long-Term Debt (224)</t>
  </si>
  <si>
    <t xml:space="preserve">  Misc. Service Revenues (451)</t>
  </si>
  <si>
    <t xml:space="preserve">  Prelim. Survey &amp; Invest. (183)</t>
  </si>
  <si>
    <t>Schedule 1.07</t>
  </si>
  <si>
    <t>Adjustment to Normalize Payroll Taxes</t>
  </si>
  <si>
    <t>Adjustment to normalize payroll taxes.  Normalization reflects 2020 Merit increase authorized</t>
  </si>
  <si>
    <t>2020 Merit</t>
  </si>
  <si>
    <t>Payroll Taxes</t>
  </si>
  <si>
    <t>Total Payroll Taxes</t>
  </si>
  <si>
    <t>Schedule 1.09</t>
  </si>
  <si>
    <t>Expense for 2019</t>
  </si>
  <si>
    <t>Five-Year Totals</t>
  </si>
  <si>
    <t>Note:  Total Wages and Salaries for the test year and annualization have been adjusted to</t>
  </si>
  <si>
    <t>remove amounts recovered through the environmental surcharge.</t>
  </si>
  <si>
    <t>Note:  The test year and annualized payroll taxes have been adjusted to exclude</t>
  </si>
  <si>
    <t>payroll taxes recovered through the environmental surcharge.</t>
  </si>
  <si>
    <t>Note:  The test year and normalized employer medical premiums have been</t>
  </si>
  <si>
    <t>adjusted to exclude a portion recovered through the environmental surcharge.</t>
  </si>
  <si>
    <t xml:space="preserve">  Actual Mitigation 2020 - Reclassify to Inventory</t>
  </si>
  <si>
    <t>Adjustment to Depreciation Expense</t>
  </si>
  <si>
    <t>Schedule 1.16</t>
  </si>
  <si>
    <t>Adjustment to normalize depreciation expense to reflect the results of the proposed depreciation study.  The</t>
  </si>
  <si>
    <t xml:space="preserve">  adjustment also recognizes the exclusion of depreciation expense recovered through the environmental </t>
  </si>
  <si>
    <t xml:space="preserve">  surcharge.</t>
  </si>
  <si>
    <t>Test Year Actual Depreciation Expense</t>
  </si>
  <si>
    <t>Test Year Actual</t>
  </si>
  <si>
    <t>Recovered Thru</t>
  </si>
  <si>
    <t>Net Test Year</t>
  </si>
  <si>
    <t>Actual Expense</t>
  </si>
  <si>
    <t>Depreciation Categories</t>
  </si>
  <si>
    <t>Intangible Plant</t>
  </si>
  <si>
    <t>Steam Plant</t>
  </si>
  <si>
    <t>Other Production Plant</t>
  </si>
  <si>
    <t>Transmission Plant</t>
  </si>
  <si>
    <t>Distribution Plant</t>
  </si>
  <si>
    <t>General Plant</t>
  </si>
  <si>
    <t>Depreciation expense recovered through the environmental surcharge has already been excluded from the</t>
  </si>
  <si>
    <t xml:space="preserve">  test year as part of Schedule 1.02.</t>
  </si>
  <si>
    <t>Normalized Depreciation Expense Reflect Proposed Depreciation Study</t>
  </si>
  <si>
    <t>Depreciation Study</t>
  </si>
  <si>
    <t>Annual</t>
  </si>
  <si>
    <t>Accruals</t>
  </si>
  <si>
    <t>Annual Accruals</t>
  </si>
  <si>
    <t>Net Annual</t>
  </si>
  <si>
    <t>Proposed Adjustment to Depreciation Expense</t>
  </si>
  <si>
    <t xml:space="preserve">  Legal Notices for Members' Pass-Through Cases</t>
  </si>
  <si>
    <t>Adjustment to Employee Benefit Expenses</t>
  </si>
  <si>
    <t>Adjustment to recognize Commission practice to exclude the cost for the Supplemental Executive</t>
  </si>
  <si>
    <t xml:space="preserve">  Retirement Plan and contributions to 401(k) plans for employees covered in the defined benefit plan.</t>
  </si>
  <si>
    <t>Exclude</t>
  </si>
  <si>
    <t>Test Year Costs:</t>
  </si>
  <si>
    <t xml:space="preserve">  Supplemental Executive Retirement Plan 457(f)</t>
  </si>
  <si>
    <t xml:space="preserve">  401(k) Employer 2% Contribution</t>
  </si>
  <si>
    <t xml:space="preserve">    Total Test Year Costs</t>
  </si>
  <si>
    <t>Percentage of</t>
  </si>
  <si>
    <t>Test Year Total</t>
  </si>
  <si>
    <t>Benefit Costs</t>
  </si>
  <si>
    <t>Allocation of</t>
  </si>
  <si>
    <t>Adjustment to Amortize Dale Regulatory Asset for Asbestos ARO</t>
  </si>
  <si>
    <t>In Case No. 2014-00432 EKPC sought Commission approval to establish regulatory assets for certain</t>
  </si>
  <si>
    <t xml:space="preserve">depreciation and accretion expenses associated with Asset Retirement Obligations ("ARO") for </t>
  </si>
  <si>
    <t>asbestos abatement and ash removal costs.  The Dale generating station asbestos abatement AROs</t>
  </si>
  <si>
    <t xml:space="preserve">were recorded on EKPC's books in 2011 and 2012.  The Commission approved EKPC's request to </t>
  </si>
  <si>
    <t>establish the regulatory assets for the depreciation and accretion expenses associated with AROs for</t>
  </si>
  <si>
    <t>asbestos abatement and ash removal costs.</t>
  </si>
  <si>
    <t>At the end of 2015, EKPC fully retired the Dale generating station.  In the years since retirement, EKPC has</t>
  </si>
  <si>
    <t>undertaken various projects in conjunction with the full retirement.  The ARO associated with the Dale</t>
  </si>
  <si>
    <t>asbestos abatement has now been settled.  However, the associated regulatory asset remains on EKPC's</t>
  </si>
  <si>
    <t>books.  EKPC has not previously sought recovery of this regulatory asset.</t>
  </si>
  <si>
    <t>EKPC is proposing that the Dale regulatory asset associated with asbestos abatement ARO should be</t>
  </si>
  <si>
    <t>amortized over a 2 year period.</t>
  </si>
  <si>
    <t>ARO Regulatory Asset for Dale Asbestos Abatement,</t>
  </si>
  <si>
    <t>Proposed increase in amortization expense</t>
  </si>
  <si>
    <t>Dale Asbestos</t>
  </si>
  <si>
    <t>ARO Reg. Asset</t>
  </si>
  <si>
    <t>Adjustment to Normalize Employee Medical Insurance Expense</t>
  </si>
  <si>
    <t>Medical</t>
  </si>
  <si>
    <t>Adjustment to Retiree Medical Insurance Expense</t>
  </si>
  <si>
    <t>Adjustment to recognize savings in moving post-Medicare retirees (those over 65) from a self-funded</t>
  </si>
  <si>
    <t xml:space="preserve">  plan to a Medicare Advantage plan.  This change was effective January 1, 2020.</t>
  </si>
  <si>
    <t xml:space="preserve">  Annual reduction in net periodic benefit cost due to </t>
  </si>
  <si>
    <t xml:space="preserve">  move from self-funded plan to Medicare Advantage plan.</t>
  </si>
  <si>
    <t>for Change in</t>
  </si>
  <si>
    <t>Retiree Insurance</t>
  </si>
  <si>
    <t>Sch. 1.08</t>
  </si>
  <si>
    <t>Sch. 1.18</t>
  </si>
  <si>
    <t>Sch. 1.28</t>
  </si>
  <si>
    <t>Sch. 1.29</t>
  </si>
  <si>
    <t>Sch. 1.30</t>
  </si>
  <si>
    <t>Schedule 1.08</t>
  </si>
  <si>
    <t>Schedule 1.18</t>
  </si>
  <si>
    <t>Schedule 1.28</t>
  </si>
  <si>
    <t>Schedule 1.29</t>
  </si>
  <si>
    <t>Schedule 1.30</t>
  </si>
  <si>
    <t>Pro forma</t>
  </si>
  <si>
    <t>Proposed Pro forma Adjustments and Revenue Increase</t>
  </si>
  <si>
    <t>Adjustment to Remove Non-Recurring and Other Expenses</t>
  </si>
  <si>
    <t>Non-Recurring &amp;</t>
  </si>
  <si>
    <t>Other Expenses</t>
  </si>
  <si>
    <t>Revenue Increase based on TIER:</t>
  </si>
  <si>
    <t xml:space="preserve">  (Normalized interest income as of 6/30/2020 less test year actual interest income.)</t>
  </si>
  <si>
    <t xml:space="preserve">  Other Credits and Reversed Accruals, 2017-2020</t>
  </si>
  <si>
    <t xml:space="preserve">  anticipated effective date of new rates, 10/01/2021</t>
  </si>
  <si>
    <t>Estimated Rate Case Expenses</t>
  </si>
  <si>
    <t>ISS Exhibit 1</t>
  </si>
  <si>
    <t>ISS Exhibit 1 - Schedules 1.00-1.30 FINAL REV 03-08.xlsx</t>
  </si>
  <si>
    <t>Schedule 1.05</t>
  </si>
  <si>
    <t>by the Board of Directors to become effective in June 2020.  The proposed adjustment reflects only</t>
  </si>
  <si>
    <t>the expensed portion of the total normalized wages and salaries.</t>
  </si>
  <si>
    <t>by the Board of Directors to become effective in June 2020.  The proposed adjustment reflects</t>
  </si>
  <si>
    <t>only the expensed portion of the total normalization for payroll taxes.</t>
  </si>
  <si>
    <t>June 30, 2020.  The proposed adjustment reflects only the expensed portion of the total normalized</t>
  </si>
  <si>
    <t>medical insurance premiums.</t>
  </si>
  <si>
    <t xml:space="preserve">  - Kroger gift cards</t>
  </si>
  <si>
    <t>List of appropriate subaccounts of Account No. 426 that need to be removed.</t>
  </si>
  <si>
    <t>Adjustment to list estimated costs associated with the preparation of the rate case and propose amortizing</t>
  </si>
  <si>
    <t xml:space="preserve">  the total over a period of 3 years.  </t>
  </si>
  <si>
    <t xml:space="preserve">To properly normalize test year revenues, remove effect of certain bill credits that expire as of the </t>
  </si>
  <si>
    <t xml:space="preserve">  effective date of new rates from this rate case.</t>
  </si>
  <si>
    <t xml:space="preserve">  of $35,000.</t>
  </si>
  <si>
    <t xml:space="preserve">Nucor Steel Gallatin - Smith 1 Solution, Case No. 2015-00358, monthly credit </t>
  </si>
  <si>
    <t>This adjustment is based on test year revenues after reflecting any adjustments.  The most current</t>
  </si>
  <si>
    <t>See "Workpaper 1.06 Cushion of Credit FINAL.xlsx" for supporting details.</t>
  </si>
  <si>
    <t xml:space="preserve">  associated with surcharge projects; see "Workpaper 1.02 Surcharge Adjustment FINAL.xlsx"</t>
  </si>
  <si>
    <t>Detailed Scheduled of Directors' Expenses is provided in "Workpaper 1.14 Directors Expense FINAL.xlsx".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</si>
</sst>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0.000%"/>
    <numFmt numFmtId="165" formatCode="#,##0.000000_);[Red]\(#,##0.000000\)"/>
    <numFmt numFmtId="166" formatCode="0.0000%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/>
    <xf numFmtId="40" fontId="0" fillId="0" borderId="0" xfId="0" applyNumberFormat="1"/>
    <xf numFmtId="6" fontId="0" fillId="0" borderId="2" xfId="0" applyNumberFormat="1" applyBorder="1"/>
    <xf numFmtId="6" fontId="0" fillId="0" borderId="3" xfId="0" applyNumberFormat="1" applyBorder="1"/>
    <xf numFmtId="6" fontId="0" fillId="0" borderId="4" xfId="0" applyNumberFormat="1" applyBorder="1"/>
    <xf numFmtId="6" fontId="0" fillId="2" borderId="0" xfId="0" applyNumberFormat="1" applyFill="1"/>
    <xf numFmtId="6" fontId="0" fillId="2" borderId="2" xfId="0" applyNumberFormat="1" applyFill="1" applyBorder="1"/>
    <xf numFmtId="0" fontId="1" fillId="0" borderId="0" xfId="0" applyFont="1"/>
    <xf numFmtId="6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49" fontId="0" fillId="0" borderId="0" xfId="0" applyNumberFormat="1"/>
    <xf numFmtId="8" fontId="0" fillId="0" borderId="0" xfId="0" applyNumberFormat="1"/>
    <xf numFmtId="38" fontId="0" fillId="0" borderId="2" xfId="0" applyNumberFormat="1" applyBorder="1"/>
    <xf numFmtId="38" fontId="0" fillId="0" borderId="4" xfId="0" applyNumberFormat="1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/>
    <xf numFmtId="0" fontId="0" fillId="0" borderId="0" xfId="0" applyFont="1"/>
    <xf numFmtId="6" fontId="0" fillId="0" borderId="0" xfId="0" applyNumberFormat="1" applyFill="1"/>
    <xf numFmtId="6" fontId="0" fillId="0" borderId="2" xfId="0" applyNumberFormat="1" applyFill="1" applyBorder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2" xfId="0" applyNumberFormat="1" applyBorder="1"/>
    <xf numFmtId="10" fontId="0" fillId="0" borderId="0" xfId="0" quotePrefix="1" applyNumberFormat="1" applyAlignment="1">
      <alignment horizontal="right"/>
    </xf>
    <xf numFmtId="0" fontId="0" fillId="0" borderId="0" xfId="0" applyFont="1" applyFill="1"/>
    <xf numFmtId="0" fontId="0" fillId="0" borderId="0" xfId="0" applyFill="1"/>
    <xf numFmtId="6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6" fontId="0" fillId="0" borderId="7" xfId="0" applyNumberFormat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Border="1"/>
    <xf numFmtId="0" fontId="0" fillId="0" borderId="1" xfId="0" applyBorder="1" applyAlignment="1">
      <alignment horizontal="center"/>
    </xf>
    <xf numFmtId="38" fontId="0" fillId="0" borderId="7" xfId="0" applyNumberFormat="1" applyBorder="1"/>
    <xf numFmtId="6" fontId="0" fillId="0" borderId="0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8" fontId="0" fillId="0" borderId="2" xfId="0" applyNumberFormat="1" applyBorder="1"/>
    <xf numFmtId="8" fontId="0" fillId="0" borderId="4" xfId="0" applyNumberFormat="1" applyBorder="1"/>
    <xf numFmtId="8" fontId="0" fillId="0" borderId="0" xfId="0" applyNumberFormat="1" applyBorder="1"/>
    <xf numFmtId="8" fontId="0" fillId="0" borderId="3" xfId="0" applyNumberFormat="1" applyBorder="1"/>
    <xf numFmtId="8" fontId="0" fillId="0" borderId="7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quotePrefix="1" applyNumberFormat="1" applyBorder="1" applyAlignment="1">
      <alignment horizontal="center"/>
    </xf>
    <xf numFmtId="0" fontId="0" fillId="0" borderId="0" xfId="0" quotePrefix="1"/>
    <xf numFmtId="0" fontId="0" fillId="0" borderId="0" xfId="0" quotePrefix="1" applyBorder="1"/>
    <xf numFmtId="38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2" fillId="0" borderId="0" xfId="0" applyFont="1" applyBorder="1"/>
    <xf numFmtId="6" fontId="0" fillId="0" borderId="0" xfId="0" applyNumberFormat="1" applyFont="1"/>
    <xf numFmtId="6" fontId="0" fillId="0" borderId="2" xfId="0" applyNumberFormat="1" applyFont="1" applyBorder="1"/>
    <xf numFmtId="6" fontId="0" fillId="0" borderId="3" xfId="0" applyNumberFormat="1" applyFont="1" applyBorder="1"/>
    <xf numFmtId="6" fontId="0" fillId="0" borderId="0" xfId="0" applyNumberFormat="1" applyFont="1" applyBorder="1"/>
    <xf numFmtId="6" fontId="0" fillId="0" borderId="4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6" fontId="0" fillId="0" borderId="0" xfId="0" applyNumberFormat="1" applyAlignment="1">
      <alignment horizontal="center"/>
    </xf>
    <xf numFmtId="166" fontId="0" fillId="0" borderId="0" xfId="0" applyNumberFormat="1"/>
    <xf numFmtId="6" fontId="0" fillId="0" borderId="3" xfId="0" applyNumberFormat="1" applyFill="1" applyBorder="1"/>
    <xf numFmtId="6" fontId="0" fillId="0" borderId="4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icing\Isaac\2018%20Rate%20Case%20Preparation\2017%20Test%20Year\2017%20Adjustments%20and%20Revenue%20Incre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1 Adjust-Rev Inc"/>
      <sheetName val="Sch 1.00 - Summary"/>
      <sheetName val="1.01 - FAC"/>
      <sheetName val="1.02 - ES"/>
      <sheetName val="1.021 - ES"/>
      <sheetName val="1.03 - ES Off-System"/>
      <sheetName val="1.04 - LTD Interest"/>
      <sheetName val="1.05 - Credit Facility Interest"/>
      <sheetName val="1.06 - Wages Salaries"/>
      <sheetName val="1.07 - Payroll Taxes"/>
      <sheetName val="1.08 - Employee Benefits"/>
      <sheetName val="1.09 - Misc Employee Benefits"/>
      <sheetName val="1.10 - Property Taxes"/>
      <sheetName val="1.11 - Advertising"/>
      <sheetName val="1.12 - Directors Expenses"/>
      <sheetName val="1.13 - Donations"/>
      <sheetName val="1.14 - Lobbying"/>
      <sheetName val="1.15 - Touchstone Energy"/>
      <sheetName val="1.16 - Misc. Expenses"/>
      <sheetName val="1.17 - Depreciation Expense"/>
      <sheetName val="1.18 - Smith Amort"/>
      <sheetName val="1.19 - Dale ES Amort"/>
      <sheetName val="1.20 - Forced Outage"/>
      <sheetName val="1.21 - Insurance Prem"/>
      <sheetName val="1.22 - Interest Income"/>
      <sheetName val="1.23 - Affiliate Costs"/>
      <sheetName val="1.24 - Rate Case"/>
      <sheetName val="1.25 - Bill Credits"/>
      <sheetName val="1.26 - Acquisition"/>
      <sheetName val="1.27 - NERC-SERC Fees"/>
      <sheetName val="1.28 - Normalize PSC Assessment"/>
      <sheetName val="1.29 - Rev Inc"/>
      <sheetName val="Ex 2 Adjust-Bal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3">
          <cell r="F23">
            <v>2E-3</v>
          </cell>
        </row>
      </sheetData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80" zoomScaleNormal="80" workbookViewId="0">
      <selection activeCell="B2" sqref="B2"/>
    </sheetView>
  </sheetViews>
  <sheetFormatPr defaultColWidth="15.625" defaultRowHeight="13.5" x14ac:dyDescent="0.35"/>
  <cols>
    <col min="1" max="1" width="4.625" customWidth="1"/>
    <col min="2" max="2" width="45.875" customWidth="1"/>
    <col min="9" max="9" width="16.375" bestFit="1" customWidth="1"/>
  </cols>
  <sheetData>
    <row r="1" spans="1:7" x14ac:dyDescent="0.35">
      <c r="A1" s="1">
        <v>0</v>
      </c>
      <c r="B1" t="s">
        <v>933</v>
      </c>
    </row>
    <row r="2" spans="1:7" ht="13.9" x14ac:dyDescent="0.4">
      <c r="A2" s="1">
        <f>A1+1</f>
        <v>1</v>
      </c>
      <c r="G2" s="4" t="s">
        <v>932</v>
      </c>
    </row>
    <row r="3" spans="1:7" ht="13.9" x14ac:dyDescent="0.4">
      <c r="A3" s="1">
        <f t="shared" ref="A3:A65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9</v>
      </c>
      <c r="C4" s="100"/>
      <c r="D4" s="100"/>
      <c r="E4" s="100"/>
      <c r="F4" s="100"/>
      <c r="G4" s="100"/>
    </row>
    <row r="5" spans="1:7" ht="13.9" x14ac:dyDescent="0.4">
      <c r="A5" s="1">
        <f t="shared" si="0"/>
        <v>4</v>
      </c>
      <c r="B5" s="99" t="s">
        <v>923</v>
      </c>
      <c r="C5" s="99"/>
      <c r="D5" s="99"/>
      <c r="E5" s="99"/>
      <c r="F5" s="99"/>
      <c r="G5" s="99"/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C7" s="2" t="s">
        <v>0</v>
      </c>
      <c r="D7" s="2" t="s">
        <v>922</v>
      </c>
      <c r="E7" s="2" t="s">
        <v>922</v>
      </c>
      <c r="F7" s="2" t="s">
        <v>2</v>
      </c>
      <c r="G7" s="2" t="s">
        <v>6</v>
      </c>
    </row>
    <row r="8" spans="1:7" ht="13.9" thickBot="1" x14ac:dyDescent="0.4">
      <c r="A8" s="1">
        <f t="shared" si="0"/>
        <v>7</v>
      </c>
      <c r="B8" s="3" t="s">
        <v>10</v>
      </c>
      <c r="C8" s="3" t="s">
        <v>1</v>
      </c>
      <c r="D8" s="3" t="s">
        <v>3</v>
      </c>
      <c r="E8" s="3" t="s">
        <v>0</v>
      </c>
      <c r="F8" s="3" t="s">
        <v>5</v>
      </c>
      <c r="G8" s="3" t="s">
        <v>7</v>
      </c>
    </row>
    <row r="9" spans="1:7" x14ac:dyDescent="0.35">
      <c r="A9" s="1">
        <f t="shared" si="0"/>
        <v>8</v>
      </c>
    </row>
    <row r="10" spans="1:7" x14ac:dyDescent="0.35">
      <c r="A10" s="1">
        <f t="shared" si="0"/>
        <v>9</v>
      </c>
      <c r="B10" t="s">
        <v>11</v>
      </c>
      <c r="C10" s="7"/>
      <c r="D10" s="7"/>
      <c r="E10" s="7"/>
      <c r="F10" s="7"/>
      <c r="G10" s="7"/>
    </row>
    <row r="11" spans="1:7" x14ac:dyDescent="0.35">
      <c r="A11" s="1">
        <f t="shared" si="0"/>
        <v>10</v>
      </c>
      <c r="B11" t="s">
        <v>12</v>
      </c>
      <c r="C11" s="12">
        <v>814703575</v>
      </c>
      <c r="D11" s="7">
        <f>'Sch 1.00 - Summary'!AF13</f>
        <v>-414658014</v>
      </c>
      <c r="E11" s="7">
        <f t="shared" ref="E11:E14" si="1">ROUND(C11+D11,0)</f>
        <v>400045561</v>
      </c>
      <c r="F11" s="7">
        <f>'Sch 1.00 - Summary'!AG13</f>
        <v>48983936.769999966</v>
      </c>
      <c r="G11" s="7">
        <f>E11+F11</f>
        <v>449029497.76999998</v>
      </c>
    </row>
    <row r="12" spans="1:7" x14ac:dyDescent="0.35">
      <c r="A12" s="1">
        <f t="shared" si="0"/>
        <v>11</v>
      </c>
      <c r="B12" t="s">
        <v>13</v>
      </c>
      <c r="C12" s="12">
        <v>25909675.390000001</v>
      </c>
      <c r="D12" s="15">
        <f>'Sch 1.00 - Summary'!AF14</f>
        <v>-652665</v>
      </c>
      <c r="E12" s="7">
        <f t="shared" si="1"/>
        <v>25257010</v>
      </c>
      <c r="F12" s="7"/>
      <c r="G12" s="7">
        <f t="shared" ref="G12:G14" si="2">E12+F12</f>
        <v>25257010</v>
      </c>
    </row>
    <row r="13" spans="1:7" x14ac:dyDescent="0.35">
      <c r="A13" s="1">
        <f t="shared" si="0"/>
        <v>12</v>
      </c>
      <c r="B13" t="s">
        <v>14</v>
      </c>
      <c r="C13" s="12">
        <v>2418757.5</v>
      </c>
      <c r="D13" s="15">
        <f>'Sch 1.00 - Summary'!AF15</f>
        <v>0</v>
      </c>
      <c r="E13" s="7">
        <f t="shared" si="1"/>
        <v>2418758</v>
      </c>
      <c r="F13" s="7"/>
      <c r="G13" s="7">
        <f t="shared" si="2"/>
        <v>2418758</v>
      </c>
    </row>
    <row r="14" spans="1:7" x14ac:dyDescent="0.35">
      <c r="A14" s="1">
        <f t="shared" si="0"/>
        <v>13</v>
      </c>
      <c r="B14" t="s">
        <v>15</v>
      </c>
      <c r="C14" s="13">
        <v>15501058.810000001</v>
      </c>
      <c r="D14" s="9">
        <f>'Sch 1.00 - Summary'!AF16</f>
        <v>0</v>
      </c>
      <c r="E14" s="7">
        <f t="shared" si="1"/>
        <v>15501059</v>
      </c>
      <c r="F14" s="7"/>
      <c r="G14" s="9">
        <f t="shared" si="2"/>
        <v>15501059</v>
      </c>
    </row>
    <row r="15" spans="1:7" x14ac:dyDescent="0.35">
      <c r="A15" s="1">
        <f t="shared" si="0"/>
        <v>14</v>
      </c>
      <c r="B15" t="s">
        <v>16</v>
      </c>
      <c r="C15" s="10">
        <f>ROUND(SUM(C11:C14),0)</f>
        <v>858533067</v>
      </c>
      <c r="D15" s="10">
        <f>SUM(D11:D14)</f>
        <v>-415310679</v>
      </c>
      <c r="E15" s="10">
        <f>IF(SUM(E11:E14)=C15+D15,SUM(E11:E14),"Er")</f>
        <v>443222388</v>
      </c>
      <c r="F15" s="10">
        <f>SUM(F11:F14)</f>
        <v>48983936.769999966</v>
      </c>
      <c r="G15" s="10">
        <f>IF(SUM(G11:G14)=E15+F15,SUM(G11:G14),"Er")</f>
        <v>492206324.76999998</v>
      </c>
    </row>
    <row r="16" spans="1:7" x14ac:dyDescent="0.35">
      <c r="A16" s="1">
        <f t="shared" si="0"/>
        <v>15</v>
      </c>
      <c r="C16" s="7"/>
      <c r="D16" s="7"/>
      <c r="E16" s="7"/>
      <c r="F16" s="7"/>
      <c r="G16" s="7"/>
    </row>
    <row r="17" spans="1:7" x14ac:dyDescent="0.35">
      <c r="A17" s="1">
        <f t="shared" si="0"/>
        <v>16</v>
      </c>
      <c r="B17" t="s">
        <v>17</v>
      </c>
      <c r="C17" s="7"/>
      <c r="D17" s="7"/>
      <c r="E17" s="7"/>
      <c r="F17" s="7"/>
      <c r="G17" s="7"/>
    </row>
    <row r="18" spans="1:7" x14ac:dyDescent="0.35">
      <c r="A18" s="1">
        <f t="shared" si="0"/>
        <v>17</v>
      </c>
      <c r="B18" t="s">
        <v>18</v>
      </c>
      <c r="C18" s="7"/>
      <c r="D18" s="7"/>
      <c r="E18" s="7"/>
      <c r="F18" s="7"/>
      <c r="G18" s="7"/>
    </row>
    <row r="19" spans="1:7" x14ac:dyDescent="0.35">
      <c r="A19" s="1">
        <f t="shared" si="0"/>
        <v>18</v>
      </c>
      <c r="B19" t="s">
        <v>19</v>
      </c>
      <c r="C19" s="12">
        <v>67600942.469999999</v>
      </c>
      <c r="D19" s="7">
        <f>'Sch 1.00 - Summary'!AF20</f>
        <v>-30441907</v>
      </c>
      <c r="E19" s="7">
        <f>ROUND(C19+D19,0)</f>
        <v>37159035</v>
      </c>
      <c r="F19" s="7"/>
      <c r="G19" s="7">
        <f t="shared" ref="G19:G28" si="3">E19+F19</f>
        <v>37159035</v>
      </c>
    </row>
    <row r="20" spans="1:7" x14ac:dyDescent="0.35">
      <c r="A20" s="1">
        <f t="shared" si="0"/>
        <v>19</v>
      </c>
      <c r="B20" t="s">
        <v>20</v>
      </c>
      <c r="C20" s="12">
        <v>162606873.06</v>
      </c>
      <c r="D20" s="7">
        <f>'Sch 1.00 - Summary'!AF21</f>
        <v>-149244535</v>
      </c>
      <c r="E20" s="7">
        <f t="shared" ref="E20:E28" si="4">ROUND(C20+D20,0)</f>
        <v>13362338</v>
      </c>
      <c r="F20" s="7"/>
      <c r="G20" s="7">
        <f t="shared" si="3"/>
        <v>13362338</v>
      </c>
    </row>
    <row r="21" spans="1:7" x14ac:dyDescent="0.35">
      <c r="A21" s="1">
        <f t="shared" si="0"/>
        <v>20</v>
      </c>
      <c r="B21" t="s">
        <v>21</v>
      </c>
      <c r="C21" s="12">
        <v>186957369.55000001</v>
      </c>
      <c r="D21" s="7">
        <f>'Sch 1.00 - Summary'!AF22</f>
        <v>-146877262</v>
      </c>
      <c r="E21" s="7">
        <f t="shared" si="4"/>
        <v>40080108</v>
      </c>
      <c r="F21" s="7"/>
      <c r="G21" s="7">
        <f t="shared" si="3"/>
        <v>40080108</v>
      </c>
    </row>
    <row r="22" spans="1:7" x14ac:dyDescent="0.35">
      <c r="A22" s="1">
        <f t="shared" si="0"/>
        <v>21</v>
      </c>
      <c r="B22" t="s">
        <v>22</v>
      </c>
      <c r="C22" s="12">
        <v>33264249.07</v>
      </c>
      <c r="D22" s="7">
        <f>'Sch 1.00 - Summary'!AF23</f>
        <v>10303936</v>
      </c>
      <c r="E22" s="7">
        <f t="shared" si="4"/>
        <v>43568185</v>
      </c>
      <c r="F22" s="7"/>
      <c r="G22" s="7">
        <f t="shared" si="3"/>
        <v>43568185</v>
      </c>
    </row>
    <row r="23" spans="1:7" x14ac:dyDescent="0.35">
      <c r="A23" s="1">
        <f t="shared" si="0"/>
        <v>22</v>
      </c>
      <c r="B23" t="s">
        <v>23</v>
      </c>
      <c r="C23" s="12">
        <v>4746963.93</v>
      </c>
      <c r="D23" s="7">
        <f>'Sch 1.00 - Summary'!AF24</f>
        <v>0</v>
      </c>
      <c r="E23" s="7">
        <f t="shared" si="4"/>
        <v>4746964</v>
      </c>
      <c r="F23" s="7"/>
      <c r="G23" s="7">
        <f t="shared" si="3"/>
        <v>4746964</v>
      </c>
    </row>
    <row r="24" spans="1:7" x14ac:dyDescent="0.35">
      <c r="A24" s="1">
        <f t="shared" si="0"/>
        <v>23</v>
      </c>
      <c r="B24" t="s">
        <v>24</v>
      </c>
      <c r="C24" s="12">
        <v>1738530.81</v>
      </c>
      <c r="D24" s="7">
        <f>'Sch 1.00 - Summary'!AF25</f>
        <v>-59618</v>
      </c>
      <c r="E24" s="7">
        <f t="shared" si="4"/>
        <v>1678913</v>
      </c>
      <c r="F24" s="7"/>
      <c r="G24" s="7">
        <f t="shared" si="3"/>
        <v>1678913</v>
      </c>
    </row>
    <row r="25" spans="1:7" x14ac:dyDescent="0.35">
      <c r="A25" s="1">
        <f t="shared" si="0"/>
        <v>24</v>
      </c>
      <c r="B25" t="s">
        <v>25</v>
      </c>
      <c r="C25" s="12">
        <v>0</v>
      </c>
      <c r="D25" s="7">
        <f>'Sch 1.00 - Summary'!AF26</f>
        <v>0</v>
      </c>
      <c r="E25" s="7">
        <f t="shared" si="4"/>
        <v>0</v>
      </c>
      <c r="F25" s="7"/>
      <c r="G25" s="7">
        <f t="shared" si="3"/>
        <v>0</v>
      </c>
    </row>
    <row r="26" spans="1:7" x14ac:dyDescent="0.35">
      <c r="A26" s="1">
        <f t="shared" si="0"/>
        <v>25</v>
      </c>
      <c r="B26" t="s">
        <v>26</v>
      </c>
      <c r="C26" s="12">
        <v>6291719.2300000004</v>
      </c>
      <c r="D26" s="7">
        <f>'Sch 1.00 - Summary'!AF27</f>
        <v>-999441</v>
      </c>
      <c r="E26" s="7">
        <f t="shared" si="4"/>
        <v>5292278</v>
      </c>
      <c r="F26" s="7"/>
      <c r="G26" s="7">
        <f t="shared" si="3"/>
        <v>5292278</v>
      </c>
    </row>
    <row r="27" spans="1:7" x14ac:dyDescent="0.35">
      <c r="A27" s="1">
        <f t="shared" si="0"/>
        <v>26</v>
      </c>
      <c r="B27" t="s">
        <v>27</v>
      </c>
      <c r="C27" s="12">
        <v>68233.289999999994</v>
      </c>
      <c r="D27" s="7">
        <f>'Sch 1.00 - Summary'!AF28</f>
        <v>-34294</v>
      </c>
      <c r="E27" s="7">
        <f t="shared" si="4"/>
        <v>33939</v>
      </c>
      <c r="F27" s="7"/>
      <c r="G27" s="7">
        <f t="shared" si="3"/>
        <v>33939</v>
      </c>
    </row>
    <row r="28" spans="1:7" x14ac:dyDescent="0.35">
      <c r="A28" s="1">
        <f t="shared" si="0"/>
        <v>27</v>
      </c>
      <c r="B28" t="s">
        <v>28</v>
      </c>
      <c r="C28" s="13">
        <v>39375325.719999999</v>
      </c>
      <c r="D28" s="7">
        <f>'Sch 1.00 - Summary'!AF29</f>
        <v>-2020956</v>
      </c>
      <c r="E28" s="7">
        <f t="shared" si="4"/>
        <v>37354370</v>
      </c>
      <c r="F28" s="7">
        <f>'Sch 1.00 - Summary'!AG29</f>
        <v>97772</v>
      </c>
      <c r="G28" s="9">
        <f t="shared" si="3"/>
        <v>37452142</v>
      </c>
    </row>
    <row r="29" spans="1:7" x14ac:dyDescent="0.35">
      <c r="A29" s="1">
        <f t="shared" si="0"/>
        <v>28</v>
      </c>
      <c r="B29" t="s">
        <v>29</v>
      </c>
      <c r="C29" s="10">
        <f>ROUND(SUM(C19:C28),0)</f>
        <v>502650207</v>
      </c>
      <c r="D29" s="10">
        <f>SUM(D19:D28)</f>
        <v>-319374077</v>
      </c>
      <c r="E29" s="10">
        <f>IF(SUM(E19:E28)=C29+D29,SUM(E19:E28),"Er")</f>
        <v>183276130</v>
      </c>
      <c r="F29" s="10">
        <f>SUM(F19:F28)</f>
        <v>97772</v>
      </c>
      <c r="G29" s="10">
        <f>IF(SUM(G19:G28)=E29+F29,SUM(G19:G28),"Er")</f>
        <v>183373902</v>
      </c>
    </row>
    <row r="30" spans="1:7" x14ac:dyDescent="0.35">
      <c r="A30" s="1">
        <f t="shared" si="0"/>
        <v>29</v>
      </c>
      <c r="B30" t="s">
        <v>30</v>
      </c>
      <c r="C30" s="7"/>
      <c r="D30" s="7"/>
      <c r="E30" s="7"/>
      <c r="F30" s="7"/>
      <c r="G30" s="7"/>
    </row>
    <row r="31" spans="1:7" x14ac:dyDescent="0.35">
      <c r="A31" s="1">
        <f t="shared" si="0"/>
        <v>30</v>
      </c>
      <c r="B31" t="s">
        <v>31</v>
      </c>
      <c r="C31" s="12">
        <v>87416711.739999995</v>
      </c>
      <c r="D31" s="7">
        <f>'Sch 1.00 - Summary'!AF31</f>
        <v>0</v>
      </c>
      <c r="E31" s="7">
        <f t="shared" ref="E31:E34" si="5">C31+D31</f>
        <v>87416711.739999995</v>
      </c>
      <c r="F31" s="7"/>
      <c r="G31" s="7">
        <f t="shared" ref="G31:G34" si="6">E31+F31</f>
        <v>87416711.739999995</v>
      </c>
    </row>
    <row r="32" spans="1:7" x14ac:dyDescent="0.35">
      <c r="A32" s="1">
        <f t="shared" si="0"/>
        <v>31</v>
      </c>
      <c r="B32" t="s">
        <v>32</v>
      </c>
      <c r="C32" s="12">
        <v>9341148.1799999997</v>
      </c>
      <c r="D32" s="7">
        <f>'Sch 1.00 - Summary'!AF32</f>
        <v>0</v>
      </c>
      <c r="E32" s="7">
        <f t="shared" si="5"/>
        <v>9341148.1799999997</v>
      </c>
      <c r="F32" s="7"/>
      <c r="G32" s="7">
        <f t="shared" si="6"/>
        <v>9341148.1799999997</v>
      </c>
    </row>
    <row r="33" spans="1:9" x14ac:dyDescent="0.35">
      <c r="A33" s="1">
        <f t="shared" si="0"/>
        <v>32</v>
      </c>
      <c r="B33" t="s">
        <v>24</v>
      </c>
      <c r="C33" s="12">
        <v>2929641.12</v>
      </c>
      <c r="D33" s="7">
        <f>'Sch 1.00 - Summary'!AF33</f>
        <v>0</v>
      </c>
      <c r="E33" s="7">
        <f t="shared" si="5"/>
        <v>2929641.12</v>
      </c>
      <c r="F33" s="7"/>
      <c r="G33" s="7">
        <f t="shared" si="6"/>
        <v>2929641.12</v>
      </c>
    </row>
    <row r="34" spans="1:9" x14ac:dyDescent="0.35">
      <c r="A34" s="1">
        <f t="shared" si="0"/>
        <v>33</v>
      </c>
      <c r="B34" t="s">
        <v>33</v>
      </c>
      <c r="C34" s="13">
        <v>2732236.33</v>
      </c>
      <c r="D34" s="7">
        <f>'Sch 1.00 - Summary'!AF34</f>
        <v>0</v>
      </c>
      <c r="E34" s="9">
        <f t="shared" si="5"/>
        <v>2732236.33</v>
      </c>
      <c r="F34" s="7"/>
      <c r="G34" s="9">
        <f t="shared" si="6"/>
        <v>2732236.33</v>
      </c>
    </row>
    <row r="35" spans="1:9" x14ac:dyDescent="0.35">
      <c r="A35" s="1">
        <f t="shared" si="0"/>
        <v>34</v>
      </c>
      <c r="B35" t="s">
        <v>34</v>
      </c>
      <c r="C35" s="10">
        <f>SUM(C31:C34)</f>
        <v>102419737.36999999</v>
      </c>
      <c r="D35" s="10">
        <f>SUM(D31:D34)</f>
        <v>0</v>
      </c>
      <c r="E35" s="10">
        <f>IF(SUM(E31:E34)=C35+D35,SUM(E31:E34),"Er")</f>
        <v>102419737.36999999</v>
      </c>
      <c r="F35" s="10">
        <f>SUM(F31:F34)</f>
        <v>0</v>
      </c>
      <c r="G35" s="10">
        <f>IF(SUM(G31:G34)=E35+F35,SUM(G31:G34),"Er")</f>
        <v>102419737.36999999</v>
      </c>
    </row>
    <row r="36" spans="1:9" x14ac:dyDescent="0.35">
      <c r="A36" s="1">
        <f t="shared" si="0"/>
        <v>35</v>
      </c>
      <c r="B36" t="s">
        <v>35</v>
      </c>
      <c r="C36" s="7"/>
      <c r="D36" s="7"/>
      <c r="E36" s="7"/>
      <c r="F36" s="7"/>
      <c r="G36" s="7"/>
    </row>
    <row r="37" spans="1:9" x14ac:dyDescent="0.35">
      <c r="A37" s="1">
        <f t="shared" si="0"/>
        <v>36</v>
      </c>
      <c r="B37" t="s">
        <v>36</v>
      </c>
      <c r="C37" s="12">
        <v>120875227.23999999</v>
      </c>
      <c r="D37" s="7">
        <f>'Sch 1.00 - Summary'!AF36</f>
        <v>-15498005</v>
      </c>
      <c r="E37" s="7">
        <f t="shared" ref="E37:E43" si="7">C37+D37</f>
        <v>105377222.23999999</v>
      </c>
      <c r="F37" s="7"/>
      <c r="G37" s="7">
        <f t="shared" ref="G37:G43" si="8">E37+F37</f>
        <v>105377222.23999999</v>
      </c>
    </row>
    <row r="38" spans="1:9" x14ac:dyDescent="0.35">
      <c r="A38" s="1">
        <f t="shared" si="0"/>
        <v>37</v>
      </c>
      <c r="B38" t="s">
        <v>37</v>
      </c>
      <c r="C38" s="12">
        <v>120195.07</v>
      </c>
      <c r="D38" s="7">
        <f>'Sch 1.00 - Summary'!AF37</f>
        <v>0</v>
      </c>
      <c r="E38" s="7">
        <f t="shared" si="7"/>
        <v>120195.07</v>
      </c>
      <c r="F38" s="7"/>
      <c r="G38" s="7">
        <f t="shared" si="8"/>
        <v>120195.07</v>
      </c>
    </row>
    <row r="39" spans="1:9" x14ac:dyDescent="0.35">
      <c r="A39" s="1">
        <f t="shared" si="0"/>
        <v>38</v>
      </c>
      <c r="B39" t="s">
        <v>38</v>
      </c>
      <c r="C39" s="12">
        <v>112361639.67</v>
      </c>
      <c r="D39" s="7">
        <f>'Sch 1.00 - Summary'!AF38</f>
        <v>-44804313</v>
      </c>
      <c r="E39" s="7">
        <f t="shared" si="7"/>
        <v>67557326.670000002</v>
      </c>
      <c r="F39" s="7"/>
      <c r="G39" s="7">
        <f t="shared" si="8"/>
        <v>67557326.670000002</v>
      </c>
    </row>
    <row r="40" spans="1:9" x14ac:dyDescent="0.35">
      <c r="A40" s="1">
        <f t="shared" si="0"/>
        <v>39</v>
      </c>
      <c r="B40" t="s">
        <v>39</v>
      </c>
      <c r="C40" s="12">
        <v>0</v>
      </c>
      <c r="D40" s="7">
        <f>'Sch 1.00 - Summary'!AF39</f>
        <v>0</v>
      </c>
      <c r="E40" s="7">
        <f t="shared" si="7"/>
        <v>0</v>
      </c>
      <c r="F40" s="7"/>
      <c r="G40" s="7">
        <f t="shared" si="8"/>
        <v>0</v>
      </c>
    </row>
    <row r="41" spans="1:9" x14ac:dyDescent="0.35">
      <c r="A41" s="1">
        <f t="shared" si="0"/>
        <v>40</v>
      </c>
      <c r="B41" t="s">
        <v>40</v>
      </c>
      <c r="C41" s="12">
        <v>1111.8</v>
      </c>
      <c r="D41" s="7">
        <f>'Sch 1.00 - Summary'!AF40</f>
        <v>0</v>
      </c>
      <c r="E41" s="7">
        <f t="shared" si="7"/>
        <v>1111.8</v>
      </c>
      <c r="F41" s="7"/>
      <c r="G41" s="7">
        <f t="shared" si="8"/>
        <v>1111.8</v>
      </c>
    </row>
    <row r="42" spans="1:9" x14ac:dyDescent="0.35">
      <c r="A42" s="1">
        <f t="shared" si="0"/>
        <v>41</v>
      </c>
      <c r="B42" t="s">
        <v>41</v>
      </c>
      <c r="C42" s="12">
        <v>390859.64</v>
      </c>
      <c r="D42" s="7">
        <f>'Sch 1.00 - Summary'!AF41</f>
        <v>-390860</v>
      </c>
      <c r="E42" s="7">
        <f t="shared" si="7"/>
        <v>-0.35999999998603016</v>
      </c>
      <c r="F42" s="7"/>
      <c r="G42" s="7">
        <f t="shared" si="8"/>
        <v>-0.35999999998603016</v>
      </c>
    </row>
    <row r="43" spans="1:9" x14ac:dyDescent="0.35">
      <c r="A43" s="1">
        <f t="shared" si="0"/>
        <v>42</v>
      </c>
      <c r="B43" t="s">
        <v>42</v>
      </c>
      <c r="C43" s="13">
        <v>411376.7</v>
      </c>
      <c r="D43" s="7">
        <f>'Sch 1.00 - Summary'!AF42</f>
        <v>-172907.84</v>
      </c>
      <c r="E43" s="9">
        <f t="shared" si="7"/>
        <v>238468.86000000002</v>
      </c>
      <c r="F43" s="7"/>
      <c r="G43" s="9">
        <f t="shared" si="8"/>
        <v>238468.86000000002</v>
      </c>
      <c r="I43" s="22"/>
    </row>
    <row r="44" spans="1:9" x14ac:dyDescent="0.35">
      <c r="A44" s="1">
        <f t="shared" si="0"/>
        <v>43</v>
      </c>
      <c r="B44" t="s">
        <v>43</v>
      </c>
      <c r="C44" s="10">
        <f>SUM(C37:C43)</f>
        <v>234160410.11999997</v>
      </c>
      <c r="D44" s="10">
        <f>SUM(D37:D43)</f>
        <v>-60866085.840000004</v>
      </c>
      <c r="E44" s="10">
        <f>IF(SUM(E37:E43)=C44+D44,SUM(E37:E43),"Er")</f>
        <v>173294324.28</v>
      </c>
      <c r="F44" s="10">
        <f>SUM(F37:F43)</f>
        <v>0</v>
      </c>
      <c r="G44" s="10">
        <f>IF(SUM(G37:G43)=E44+F44,SUM(G37:G43),"Er")</f>
        <v>173294324.28</v>
      </c>
      <c r="I44" s="22"/>
    </row>
    <row r="45" spans="1:9" x14ac:dyDescent="0.35">
      <c r="A45" s="1">
        <f t="shared" si="0"/>
        <v>44</v>
      </c>
      <c r="B45" t="s">
        <v>44</v>
      </c>
      <c r="C45" s="10">
        <f>C29+C35+C44</f>
        <v>839230354.49000001</v>
      </c>
      <c r="D45" s="10">
        <f>D29+D35+D44</f>
        <v>-380240162.84000003</v>
      </c>
      <c r="E45" s="93">
        <f>IF(E29+E35+E44=C45+D45,E29+E35+E44-0.49,"Er")</f>
        <v>458990191.15999997</v>
      </c>
      <c r="F45" s="10">
        <f>F29+F35+F44</f>
        <v>97772</v>
      </c>
      <c r="G45" s="93">
        <f>IF(G29+G35+G44-0.49=E45+F45,G29+G35+G44,"Er")</f>
        <v>459087963.64999998</v>
      </c>
      <c r="I45" s="22"/>
    </row>
    <row r="46" spans="1:9" x14ac:dyDescent="0.35">
      <c r="A46" s="1">
        <f t="shared" si="0"/>
        <v>45</v>
      </c>
      <c r="C46" s="7"/>
      <c r="D46" s="7"/>
      <c r="E46" s="7"/>
      <c r="F46" s="7"/>
      <c r="G46" s="7"/>
      <c r="I46" s="22"/>
    </row>
    <row r="47" spans="1:9" x14ac:dyDescent="0.35">
      <c r="A47" s="1">
        <f t="shared" si="0"/>
        <v>46</v>
      </c>
      <c r="B47" t="s">
        <v>45</v>
      </c>
      <c r="C47" s="7">
        <f>ROUND(C15-C45,0)</f>
        <v>19302713</v>
      </c>
      <c r="D47" s="7">
        <f>D15-D45</f>
        <v>-35070516.159999967</v>
      </c>
      <c r="E47" s="7">
        <f>IF(ROUND(E15-E45,0)=ROUND(C47+D47,0),E15-E45,"Er")</f>
        <v>-15767803.159999967</v>
      </c>
      <c r="F47" s="7">
        <f>F15-F45</f>
        <v>48886164.769999966</v>
      </c>
      <c r="G47" s="7">
        <f>G15-G45</f>
        <v>33118361.120000005</v>
      </c>
      <c r="I47" s="22"/>
    </row>
    <row r="48" spans="1:9" x14ac:dyDescent="0.35">
      <c r="A48" s="1">
        <f t="shared" si="0"/>
        <v>47</v>
      </c>
      <c r="C48" s="7"/>
      <c r="D48" s="7"/>
      <c r="E48" s="7"/>
      <c r="F48" s="7"/>
      <c r="G48" s="7"/>
      <c r="I48" s="22"/>
    </row>
    <row r="49" spans="1:9" x14ac:dyDescent="0.35">
      <c r="A49" s="1">
        <f t="shared" si="0"/>
        <v>48</v>
      </c>
      <c r="B49" t="s">
        <v>46</v>
      </c>
      <c r="C49" s="7"/>
      <c r="D49" s="7"/>
      <c r="E49" s="7"/>
      <c r="F49" s="7"/>
      <c r="G49" s="7"/>
      <c r="I49" s="22"/>
    </row>
    <row r="50" spans="1:9" x14ac:dyDescent="0.35">
      <c r="A50" s="1">
        <f t="shared" si="0"/>
        <v>49</v>
      </c>
      <c r="B50" t="s">
        <v>47</v>
      </c>
      <c r="C50" s="12">
        <v>25453803.559999999</v>
      </c>
      <c r="D50" s="7">
        <f>'Sch 1.00 - Summary'!AF45</f>
        <v>-24241024</v>
      </c>
      <c r="E50" s="7">
        <f t="shared" ref="E50:E53" si="9">C50+D50</f>
        <v>1212779.5599999987</v>
      </c>
      <c r="F50" s="7"/>
      <c r="G50" s="7">
        <f t="shared" ref="G50:G53" si="10">E50+F50</f>
        <v>1212779.5599999987</v>
      </c>
    </row>
    <row r="51" spans="1:9" x14ac:dyDescent="0.35">
      <c r="A51" s="1">
        <f t="shared" si="0"/>
        <v>50</v>
      </c>
      <c r="B51" t="s">
        <v>48</v>
      </c>
      <c r="C51" s="12">
        <v>0</v>
      </c>
      <c r="D51" s="7">
        <f>'Sch 1.00 - Summary'!AF46</f>
        <v>0</v>
      </c>
      <c r="E51" s="7">
        <f t="shared" si="9"/>
        <v>0</v>
      </c>
      <c r="F51" s="7"/>
      <c r="G51" s="7">
        <f t="shared" si="10"/>
        <v>0</v>
      </c>
    </row>
    <row r="52" spans="1:9" x14ac:dyDescent="0.35">
      <c r="A52" s="1">
        <f t="shared" si="0"/>
        <v>51</v>
      </c>
      <c r="B52" t="s">
        <v>49</v>
      </c>
      <c r="C52" s="12">
        <v>-1187321.17</v>
      </c>
      <c r="D52" s="7">
        <f>'Sch 1.00 - Summary'!AF47</f>
        <v>0</v>
      </c>
      <c r="E52" s="7">
        <f t="shared" si="9"/>
        <v>-1187321.17</v>
      </c>
      <c r="F52" s="7"/>
      <c r="G52" s="7">
        <f t="shared" si="10"/>
        <v>-1187321.17</v>
      </c>
      <c r="I52" s="7"/>
    </row>
    <row r="53" spans="1:9" x14ac:dyDescent="0.35">
      <c r="A53" s="1">
        <f t="shared" si="0"/>
        <v>52</v>
      </c>
      <c r="B53" t="s">
        <v>50</v>
      </c>
      <c r="C53" s="13">
        <v>634843</v>
      </c>
      <c r="D53" s="7">
        <f>'Sch 1.00 - Summary'!AF48</f>
        <v>0</v>
      </c>
      <c r="E53" s="9">
        <f t="shared" si="9"/>
        <v>634843</v>
      </c>
      <c r="F53" s="7"/>
      <c r="G53" s="9">
        <f t="shared" si="10"/>
        <v>634843</v>
      </c>
    </row>
    <row r="54" spans="1:9" x14ac:dyDescent="0.35">
      <c r="A54" s="1">
        <f t="shared" si="0"/>
        <v>53</v>
      </c>
      <c r="B54" t="s">
        <v>51</v>
      </c>
      <c r="C54" s="10">
        <f>SUM(C50:C53)</f>
        <v>24901325.390000001</v>
      </c>
      <c r="D54" s="10">
        <f>SUM(D50:D53)</f>
        <v>-24241024</v>
      </c>
      <c r="E54" s="10">
        <f>SUM(E50:E53)</f>
        <v>660301.38999999873</v>
      </c>
      <c r="F54" s="10">
        <f>SUM(F50:F53)</f>
        <v>0</v>
      </c>
      <c r="G54" s="10">
        <f>IF(SUM(G50:G53)=E54+F54,SUM(G50:G53),"Er")</f>
        <v>660301.38999999873</v>
      </c>
      <c r="I54" s="7"/>
    </row>
    <row r="55" spans="1:9" x14ac:dyDescent="0.35">
      <c r="A55" s="1">
        <f t="shared" si="0"/>
        <v>54</v>
      </c>
      <c r="C55" s="7"/>
      <c r="D55" s="7"/>
      <c r="E55" s="7"/>
      <c r="F55" s="7"/>
      <c r="G55" s="7"/>
    </row>
    <row r="56" spans="1:9" ht="13.9" thickBot="1" x14ac:dyDescent="0.4">
      <c r="A56" s="1">
        <f t="shared" si="0"/>
        <v>55</v>
      </c>
      <c r="B56" t="s">
        <v>52</v>
      </c>
      <c r="C56" s="11">
        <f>C47+C54</f>
        <v>44204038.390000001</v>
      </c>
      <c r="D56" s="11">
        <f>D47+D54</f>
        <v>-59311540.159999967</v>
      </c>
      <c r="E56" s="11">
        <f>IF(ROUND(E47+E54,0)=ROUND(C56+D56,0),E47+E54,"Er")</f>
        <v>-15107501.769999968</v>
      </c>
      <c r="F56" s="11">
        <f>F47+F54</f>
        <v>48886164.769999966</v>
      </c>
      <c r="G56" s="94">
        <f>IF(G47+G54+0.49=E56+F56,G47+G54,"Er")</f>
        <v>33778662.510000005</v>
      </c>
      <c r="I56" s="22"/>
    </row>
    <row r="57" spans="1:9" ht="13.9" thickTop="1" x14ac:dyDescent="0.35">
      <c r="A57" s="1">
        <f t="shared" si="0"/>
        <v>56</v>
      </c>
      <c r="C57" s="7"/>
      <c r="D57" s="7"/>
      <c r="E57" s="7"/>
      <c r="F57" s="7"/>
      <c r="G57" s="7"/>
      <c r="I57" s="22"/>
    </row>
    <row r="58" spans="1:9" x14ac:dyDescent="0.35">
      <c r="A58" s="1">
        <f t="shared" si="0"/>
        <v>57</v>
      </c>
      <c r="B58" t="s">
        <v>53</v>
      </c>
      <c r="C58" s="8">
        <f>ROUND((C39+C56)/C39,2)</f>
        <v>1.39</v>
      </c>
      <c r="D58" s="8"/>
      <c r="E58" s="8">
        <f>ROUND((E39+E56)/E39,2)</f>
        <v>0.78</v>
      </c>
      <c r="F58" s="8"/>
      <c r="G58" s="8">
        <f>ROUND((G39+G56)/G39,2)</f>
        <v>1.5</v>
      </c>
    </row>
    <row r="59" spans="1:9" x14ac:dyDescent="0.35">
      <c r="A59" s="1">
        <f t="shared" si="0"/>
        <v>58</v>
      </c>
      <c r="B59" t="s">
        <v>54</v>
      </c>
      <c r="C59" s="7"/>
      <c r="D59" s="7"/>
      <c r="E59" s="7"/>
      <c r="F59" s="7"/>
      <c r="G59" s="7"/>
    </row>
    <row r="60" spans="1:9" x14ac:dyDescent="0.35">
      <c r="A60" s="1">
        <f t="shared" si="0"/>
        <v>59</v>
      </c>
      <c r="C60" s="7"/>
      <c r="D60" s="7"/>
      <c r="E60" s="7"/>
      <c r="F60" s="7"/>
      <c r="G60" s="7"/>
    </row>
    <row r="61" spans="1:9" x14ac:dyDescent="0.35">
      <c r="A61" s="1">
        <f t="shared" si="0"/>
        <v>60</v>
      </c>
      <c r="B61" t="s">
        <v>55</v>
      </c>
    </row>
    <row r="62" spans="1:9" x14ac:dyDescent="0.35">
      <c r="A62" s="1">
        <f t="shared" si="0"/>
        <v>61</v>
      </c>
      <c r="B62" t="s">
        <v>56</v>
      </c>
      <c r="C62" s="12">
        <v>85839771</v>
      </c>
      <c r="D62" s="7">
        <f>'Sch 1.00 - Summary'!AF50</f>
        <v>-17052027</v>
      </c>
      <c r="E62" s="7">
        <f>C62+D62</f>
        <v>68787744</v>
      </c>
      <c r="F62" s="7"/>
      <c r="G62" s="7">
        <f>E62+F62</f>
        <v>68787744</v>
      </c>
    </row>
    <row r="63" spans="1:9" x14ac:dyDescent="0.35">
      <c r="A63" s="1">
        <f t="shared" si="0"/>
        <v>62</v>
      </c>
      <c r="B63" t="s">
        <v>57</v>
      </c>
      <c r="C63" s="8">
        <f>ROUND((C37+C39+C56)/(C39+C62),2)</f>
        <v>1.4</v>
      </c>
      <c r="D63" s="8"/>
      <c r="E63" s="8">
        <f>ROUND((E37+E39+E56)/(E39+E62),2)</f>
        <v>1.1599999999999999</v>
      </c>
      <c r="F63" s="8"/>
      <c r="G63" s="8">
        <f>ROUND((G37+G39+G56)/(G39+G62),2)</f>
        <v>1.52</v>
      </c>
    </row>
    <row r="64" spans="1:9" x14ac:dyDescent="0.35">
      <c r="A64" s="1">
        <f t="shared" si="0"/>
        <v>63</v>
      </c>
      <c r="B64" t="s">
        <v>58</v>
      </c>
    </row>
    <row r="65" spans="1:1" x14ac:dyDescent="0.35">
      <c r="A65" s="1">
        <f t="shared" si="0"/>
        <v>64</v>
      </c>
    </row>
  </sheetData>
  <mergeCells count="3">
    <mergeCell ref="B3:G3"/>
    <mergeCell ref="B4:G4"/>
    <mergeCell ref="B5:G5"/>
  </mergeCell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4"/>
  <sheetViews>
    <sheetView zoomScale="80" zoomScaleNormal="80" workbookViewId="0">
      <selection activeCell="B48" sqref="B48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917</v>
      </c>
    </row>
    <row r="3" spans="1:7" ht="13.9" x14ac:dyDescent="0.4">
      <c r="A3" s="1">
        <f t="shared" ref="A3:A54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832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833</v>
      </c>
    </row>
    <row r="8" spans="1:7" x14ac:dyDescent="0.35">
      <c r="A8" s="1">
        <f t="shared" si="0"/>
        <v>7</v>
      </c>
      <c r="B8" t="s">
        <v>937</v>
      </c>
    </row>
    <row r="9" spans="1:7" x14ac:dyDescent="0.35">
      <c r="A9" s="1">
        <f t="shared" si="0"/>
        <v>8</v>
      </c>
      <c r="B9" t="s">
        <v>938</v>
      </c>
    </row>
    <row r="10" spans="1:7" x14ac:dyDescent="0.35">
      <c r="A10" s="1">
        <f t="shared" si="0"/>
        <v>9</v>
      </c>
    </row>
    <row r="11" spans="1:7" x14ac:dyDescent="0.35">
      <c r="A11" s="1">
        <f t="shared" si="0"/>
        <v>10</v>
      </c>
    </row>
    <row r="12" spans="1:7" x14ac:dyDescent="0.35">
      <c r="A12" s="1">
        <f t="shared" si="0"/>
        <v>11</v>
      </c>
      <c r="E12" s="75" t="s">
        <v>834</v>
      </c>
    </row>
    <row r="13" spans="1:7" x14ac:dyDescent="0.35">
      <c r="A13" s="1">
        <f t="shared" si="0"/>
        <v>12</v>
      </c>
      <c r="D13" s="20" t="s">
        <v>0</v>
      </c>
      <c r="E13" s="70" t="s">
        <v>835</v>
      </c>
      <c r="F13" s="20" t="s">
        <v>716</v>
      </c>
    </row>
    <row r="14" spans="1:7" ht="13.9" thickBot="1" x14ac:dyDescent="0.4">
      <c r="A14" s="1">
        <f t="shared" si="0"/>
        <v>13</v>
      </c>
      <c r="D14" s="76" t="s">
        <v>308</v>
      </c>
      <c r="E14" s="76" t="s">
        <v>300</v>
      </c>
      <c r="F14" s="76" t="s">
        <v>717</v>
      </c>
    </row>
    <row r="15" spans="1:7" x14ac:dyDescent="0.35">
      <c r="A15" s="1">
        <f t="shared" si="0"/>
        <v>14</v>
      </c>
    </row>
    <row r="16" spans="1:7" ht="13.9" thickBot="1" x14ac:dyDescent="0.4">
      <c r="A16" s="1">
        <f t="shared" si="0"/>
        <v>15</v>
      </c>
      <c r="B16" t="s">
        <v>836</v>
      </c>
      <c r="D16" s="11">
        <v>5125476</v>
      </c>
      <c r="E16" s="11">
        <v>5787444</v>
      </c>
      <c r="F16" s="11">
        <f>E16-D16</f>
        <v>661968</v>
      </c>
    </row>
    <row r="17" spans="1:6" ht="13.9" thickTop="1" x14ac:dyDescent="0.35">
      <c r="A17" s="1">
        <f t="shared" si="0"/>
        <v>16</v>
      </c>
      <c r="D17" s="7"/>
      <c r="E17" s="7"/>
      <c r="F17" s="7"/>
    </row>
    <row r="18" spans="1:6" x14ac:dyDescent="0.35">
      <c r="A18" s="1">
        <f t="shared" si="0"/>
        <v>17</v>
      </c>
      <c r="B18" t="s">
        <v>718</v>
      </c>
      <c r="D18" s="7"/>
      <c r="E18" s="7"/>
      <c r="F18" s="7"/>
    </row>
    <row r="19" spans="1:6" x14ac:dyDescent="0.35">
      <c r="A19" s="1">
        <f t="shared" si="0"/>
        <v>18</v>
      </c>
      <c r="B19" t="s">
        <v>719</v>
      </c>
      <c r="D19" s="7">
        <v>235564</v>
      </c>
      <c r="E19" s="7">
        <v>433400</v>
      </c>
      <c r="F19" s="7">
        <f>E19-D19</f>
        <v>197836</v>
      </c>
    </row>
    <row r="20" spans="1:6" x14ac:dyDescent="0.35">
      <c r="A20" s="1">
        <f t="shared" si="0"/>
        <v>19</v>
      </c>
      <c r="B20" t="s">
        <v>827</v>
      </c>
      <c r="D20" s="7">
        <v>95915</v>
      </c>
      <c r="E20" s="7">
        <v>205</v>
      </c>
      <c r="F20" s="7">
        <f t="shared" ref="F20:F35" si="1">E20-D20</f>
        <v>-95710</v>
      </c>
    </row>
    <row r="21" spans="1:6" x14ac:dyDescent="0.35">
      <c r="A21" s="1">
        <f t="shared" si="0"/>
        <v>20</v>
      </c>
      <c r="B21" t="s">
        <v>721</v>
      </c>
      <c r="D21" s="7">
        <v>1749</v>
      </c>
      <c r="E21" s="7">
        <v>6987</v>
      </c>
      <c r="F21" s="7">
        <f t="shared" si="1"/>
        <v>5238</v>
      </c>
    </row>
    <row r="22" spans="1:6" x14ac:dyDescent="0.35">
      <c r="A22" s="1">
        <f t="shared" si="0"/>
        <v>21</v>
      </c>
      <c r="B22" t="s">
        <v>735</v>
      </c>
      <c r="D22" s="7">
        <v>34822</v>
      </c>
      <c r="E22" s="7">
        <v>207945</v>
      </c>
      <c r="F22" s="7">
        <f t="shared" si="1"/>
        <v>173123</v>
      </c>
    </row>
    <row r="23" spans="1:6" x14ac:dyDescent="0.35">
      <c r="A23" s="1">
        <f t="shared" si="0"/>
        <v>22</v>
      </c>
      <c r="B23" t="s">
        <v>830</v>
      </c>
      <c r="D23" s="7">
        <v>0</v>
      </c>
      <c r="E23" s="7">
        <v>685</v>
      </c>
      <c r="F23" s="7">
        <f t="shared" si="1"/>
        <v>685</v>
      </c>
    </row>
    <row r="24" spans="1:6" x14ac:dyDescent="0.35">
      <c r="A24" s="1">
        <f t="shared" si="0"/>
        <v>23</v>
      </c>
      <c r="B24" t="s">
        <v>736</v>
      </c>
      <c r="D24" s="7">
        <v>1905</v>
      </c>
      <c r="E24" s="7">
        <v>0</v>
      </c>
      <c r="F24" s="7">
        <f t="shared" si="1"/>
        <v>-1905</v>
      </c>
    </row>
    <row r="25" spans="1:6" x14ac:dyDescent="0.35">
      <c r="A25" s="1">
        <f t="shared" si="0"/>
        <v>24</v>
      </c>
      <c r="B25" t="s">
        <v>737</v>
      </c>
      <c r="D25" s="7">
        <v>14159</v>
      </c>
      <c r="E25" s="7">
        <v>0</v>
      </c>
      <c r="F25" s="7">
        <f t="shared" si="1"/>
        <v>-14159</v>
      </c>
    </row>
    <row r="26" spans="1:6" x14ac:dyDescent="0.35">
      <c r="A26" s="1">
        <f t="shared" si="0"/>
        <v>25</v>
      </c>
      <c r="B26" t="s">
        <v>722</v>
      </c>
      <c r="D26" s="7">
        <v>2216</v>
      </c>
      <c r="E26" s="7">
        <v>2487</v>
      </c>
      <c r="F26" s="7">
        <f t="shared" si="1"/>
        <v>271</v>
      </c>
    </row>
    <row r="27" spans="1:6" x14ac:dyDescent="0.35">
      <c r="A27" s="1">
        <f t="shared" si="0"/>
        <v>26</v>
      </c>
      <c r="B27" t="s">
        <v>724</v>
      </c>
      <c r="D27" s="7">
        <v>8314</v>
      </c>
      <c r="E27" s="7">
        <v>0</v>
      </c>
      <c r="F27" s="7">
        <f t="shared" si="1"/>
        <v>-8314</v>
      </c>
    </row>
    <row r="28" spans="1:6" x14ac:dyDescent="0.35">
      <c r="A28" s="1">
        <f t="shared" si="0"/>
        <v>27</v>
      </c>
      <c r="B28" t="s">
        <v>723</v>
      </c>
      <c r="D28" s="7">
        <v>652</v>
      </c>
      <c r="E28" s="7">
        <v>706</v>
      </c>
      <c r="F28" s="7">
        <f t="shared" si="1"/>
        <v>54</v>
      </c>
    </row>
    <row r="29" spans="1:6" x14ac:dyDescent="0.35">
      <c r="A29" s="1">
        <f t="shared" si="0"/>
        <v>28</v>
      </c>
      <c r="B29" t="s">
        <v>725</v>
      </c>
      <c r="D29" s="7">
        <f>2108612+394822+235253</f>
        <v>2738687</v>
      </c>
      <c r="E29" s="7">
        <f>2097331+557769+262429</f>
        <v>2917529</v>
      </c>
      <c r="F29" s="7">
        <f t="shared" si="1"/>
        <v>178842</v>
      </c>
    </row>
    <row r="30" spans="1:6" x14ac:dyDescent="0.35">
      <c r="A30" s="1">
        <f t="shared" si="0"/>
        <v>29</v>
      </c>
      <c r="B30" t="s">
        <v>726</v>
      </c>
      <c r="D30" s="7">
        <v>842685</v>
      </c>
      <c r="E30" s="7">
        <v>940961</v>
      </c>
      <c r="F30" s="7">
        <f t="shared" si="1"/>
        <v>98276</v>
      </c>
    </row>
    <row r="31" spans="1:6" x14ac:dyDescent="0.35">
      <c r="A31" s="1">
        <f t="shared" si="0"/>
        <v>30</v>
      </c>
      <c r="B31" t="s">
        <v>727</v>
      </c>
      <c r="D31" s="7">
        <v>76318</v>
      </c>
      <c r="E31" s="7">
        <v>75401</v>
      </c>
      <c r="F31" s="7">
        <f t="shared" si="1"/>
        <v>-917</v>
      </c>
    </row>
    <row r="32" spans="1:6" x14ac:dyDescent="0.35">
      <c r="A32" s="1">
        <f t="shared" si="0"/>
        <v>31</v>
      </c>
      <c r="B32" t="s">
        <v>728</v>
      </c>
      <c r="D32" s="7">
        <v>108164</v>
      </c>
      <c r="E32" s="7">
        <v>120854</v>
      </c>
      <c r="F32" s="7">
        <f t="shared" si="1"/>
        <v>12690</v>
      </c>
    </row>
    <row r="33" spans="1:6" x14ac:dyDescent="0.35">
      <c r="A33" s="1">
        <f t="shared" si="0"/>
        <v>32</v>
      </c>
      <c r="B33" t="s">
        <v>729</v>
      </c>
      <c r="D33" s="7">
        <v>1426</v>
      </c>
      <c r="E33" s="7">
        <v>1605</v>
      </c>
      <c r="F33" s="7">
        <f t="shared" si="1"/>
        <v>179</v>
      </c>
    </row>
    <row r="34" spans="1:6" x14ac:dyDescent="0.35">
      <c r="A34" s="1">
        <f t="shared" si="0"/>
        <v>33</v>
      </c>
      <c r="B34" t="s">
        <v>647</v>
      </c>
      <c r="D34" s="15">
        <v>962902</v>
      </c>
      <c r="E34" s="15">
        <v>1078680</v>
      </c>
      <c r="F34" s="15">
        <f t="shared" si="1"/>
        <v>115778</v>
      </c>
    </row>
    <row r="35" spans="1:6" x14ac:dyDescent="0.35">
      <c r="A35" s="1">
        <f t="shared" si="0"/>
        <v>34</v>
      </c>
      <c r="B35" t="s">
        <v>738</v>
      </c>
      <c r="D35" s="9">
        <v>-2</v>
      </c>
      <c r="E35" s="9">
        <v>-1</v>
      </c>
      <c r="F35" s="9">
        <f t="shared" si="1"/>
        <v>1</v>
      </c>
    </row>
    <row r="36" spans="1:6" x14ac:dyDescent="0.35">
      <c r="A36" s="1">
        <f t="shared" si="0"/>
        <v>35</v>
      </c>
      <c r="D36" s="7"/>
      <c r="E36" s="7"/>
      <c r="F36" s="7"/>
    </row>
    <row r="37" spans="1:6" ht="13.9" thickBot="1" x14ac:dyDescent="0.4">
      <c r="A37" s="1">
        <f t="shared" si="0"/>
        <v>36</v>
      </c>
      <c r="B37" t="s">
        <v>730</v>
      </c>
      <c r="D37" s="11">
        <f>SUM(D19:D35)</f>
        <v>5125476</v>
      </c>
      <c r="E37" s="11">
        <f>SUM(E19:E35)</f>
        <v>5787444</v>
      </c>
      <c r="F37" s="11">
        <f>SUM(F19:F35)</f>
        <v>661968</v>
      </c>
    </row>
    <row r="38" spans="1:6" ht="13.9" thickTop="1" x14ac:dyDescent="0.35">
      <c r="A38" s="1">
        <f t="shared" si="0"/>
        <v>37</v>
      </c>
      <c r="D38" s="7"/>
      <c r="E38" s="7"/>
      <c r="F38" s="7"/>
    </row>
    <row r="39" spans="1:6" x14ac:dyDescent="0.35">
      <c r="A39" s="1">
        <f t="shared" si="0"/>
        <v>38</v>
      </c>
      <c r="D39" s="7" t="s">
        <v>731</v>
      </c>
      <c r="E39" s="7"/>
      <c r="F39" s="31">
        <f>ROUND(F37/D37,4)</f>
        <v>0.12920000000000001</v>
      </c>
    </row>
    <row r="40" spans="1:6" x14ac:dyDescent="0.35">
      <c r="A40" s="1">
        <f t="shared" si="0"/>
        <v>39</v>
      </c>
      <c r="D40" s="7"/>
      <c r="E40" s="7"/>
      <c r="F40" s="7"/>
    </row>
    <row r="41" spans="1:6" x14ac:dyDescent="0.35">
      <c r="A41" s="1">
        <f t="shared" si="0"/>
        <v>40</v>
      </c>
      <c r="B41" t="s">
        <v>732</v>
      </c>
      <c r="D41" s="7"/>
      <c r="E41" s="7"/>
      <c r="F41" s="7"/>
    </row>
    <row r="42" spans="1:6" x14ac:dyDescent="0.35">
      <c r="A42" s="1">
        <f t="shared" si="0"/>
        <v>41</v>
      </c>
      <c r="D42" s="7"/>
      <c r="E42" s="7"/>
      <c r="F42" s="7"/>
    </row>
    <row r="43" spans="1:6" x14ac:dyDescent="0.35">
      <c r="A43" s="1">
        <f t="shared" si="0"/>
        <v>42</v>
      </c>
      <c r="C43" t="s">
        <v>725</v>
      </c>
      <c r="E43" s="7">
        <f>F29</f>
        <v>178842</v>
      </c>
    </row>
    <row r="44" spans="1:6" x14ac:dyDescent="0.35">
      <c r="A44" s="1">
        <f t="shared" si="0"/>
        <v>43</v>
      </c>
      <c r="C44" t="s">
        <v>726</v>
      </c>
      <c r="E44" s="7">
        <f t="shared" ref="E44:E48" si="2">F30</f>
        <v>98276</v>
      </c>
    </row>
    <row r="45" spans="1:6" x14ac:dyDescent="0.35">
      <c r="A45" s="1">
        <f t="shared" si="0"/>
        <v>44</v>
      </c>
      <c r="C45" t="s">
        <v>727</v>
      </c>
      <c r="E45" s="7">
        <f t="shared" si="2"/>
        <v>-917</v>
      </c>
    </row>
    <row r="46" spans="1:6" x14ac:dyDescent="0.35">
      <c r="A46" s="1">
        <f t="shared" si="0"/>
        <v>45</v>
      </c>
      <c r="C46" t="s">
        <v>728</v>
      </c>
      <c r="E46" s="7">
        <f t="shared" si="2"/>
        <v>12690</v>
      </c>
    </row>
    <row r="47" spans="1:6" x14ac:dyDescent="0.35">
      <c r="A47" s="1">
        <f t="shared" si="0"/>
        <v>46</v>
      </c>
      <c r="C47" t="s">
        <v>729</v>
      </c>
      <c r="E47" s="7">
        <f t="shared" si="2"/>
        <v>179</v>
      </c>
    </row>
    <row r="48" spans="1:6" x14ac:dyDescent="0.35">
      <c r="A48" s="1">
        <f t="shared" si="0"/>
        <v>47</v>
      </c>
      <c r="C48" t="s">
        <v>647</v>
      </c>
      <c r="E48" s="9">
        <f t="shared" si="2"/>
        <v>115778</v>
      </c>
    </row>
    <row r="49" spans="1:5" x14ac:dyDescent="0.35">
      <c r="A49" s="1">
        <f t="shared" si="0"/>
        <v>48</v>
      </c>
    </row>
    <row r="50" spans="1:5" ht="13.9" thickBot="1" x14ac:dyDescent="0.4">
      <c r="A50" s="1">
        <f t="shared" si="0"/>
        <v>49</v>
      </c>
      <c r="E50" s="11">
        <f>SUM(E43:E48)</f>
        <v>404848</v>
      </c>
    </row>
    <row r="51" spans="1:5" ht="13.9" thickTop="1" x14ac:dyDescent="0.35">
      <c r="A51" s="1">
        <f t="shared" si="0"/>
        <v>50</v>
      </c>
    </row>
    <row r="52" spans="1:5" x14ac:dyDescent="0.35">
      <c r="A52" s="1">
        <f t="shared" si="0"/>
        <v>51</v>
      </c>
      <c r="B52" t="s">
        <v>842</v>
      </c>
    </row>
    <row r="53" spans="1:5" x14ac:dyDescent="0.35">
      <c r="A53" s="1">
        <f t="shared" si="0"/>
        <v>52</v>
      </c>
      <c r="B53" t="s">
        <v>843</v>
      </c>
    </row>
    <row r="54" spans="1:5" x14ac:dyDescent="0.35">
      <c r="A54" s="1">
        <f t="shared" si="0"/>
        <v>53</v>
      </c>
    </row>
  </sheetData>
  <mergeCells count="2">
    <mergeCell ref="B3:G3"/>
    <mergeCell ref="B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zoomScale="80" zoomScaleNormal="80" workbookViewId="0">
      <selection activeCell="A51" sqref="A51:A53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837</v>
      </c>
    </row>
    <row r="3" spans="1:7" ht="13.9" x14ac:dyDescent="0.4">
      <c r="A3" s="1">
        <f t="shared" ref="A3:A53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903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733</v>
      </c>
    </row>
    <row r="8" spans="1:7" x14ac:dyDescent="0.35">
      <c r="A8" s="1">
        <f t="shared" si="0"/>
        <v>7</v>
      </c>
      <c r="B8" t="s">
        <v>734</v>
      </c>
    </row>
    <row r="9" spans="1:7" x14ac:dyDescent="0.35">
      <c r="A9" s="1">
        <f t="shared" si="0"/>
        <v>8</v>
      </c>
      <c r="B9" t="s">
        <v>939</v>
      </c>
    </row>
    <row r="10" spans="1:7" x14ac:dyDescent="0.35">
      <c r="A10" s="1">
        <f t="shared" si="0"/>
        <v>9</v>
      </c>
      <c r="B10" t="s">
        <v>940</v>
      </c>
    </row>
    <row r="11" spans="1:7" x14ac:dyDescent="0.35">
      <c r="A11" s="1">
        <f t="shared" si="0"/>
        <v>10</v>
      </c>
    </row>
    <row r="12" spans="1:7" x14ac:dyDescent="0.35">
      <c r="A12" s="1">
        <f t="shared" si="0"/>
        <v>11</v>
      </c>
    </row>
    <row r="13" spans="1:7" x14ac:dyDescent="0.35">
      <c r="A13" s="1">
        <f t="shared" si="0"/>
        <v>12</v>
      </c>
      <c r="D13" s="20" t="s">
        <v>0</v>
      </c>
      <c r="E13" s="70" t="s">
        <v>762</v>
      </c>
      <c r="F13" s="20" t="s">
        <v>716</v>
      </c>
    </row>
    <row r="14" spans="1:7" ht="13.9" thickBot="1" x14ac:dyDescent="0.4">
      <c r="A14" s="1">
        <f t="shared" si="0"/>
        <v>13</v>
      </c>
      <c r="D14" s="67" t="s">
        <v>308</v>
      </c>
      <c r="E14" s="67" t="s">
        <v>300</v>
      </c>
      <c r="F14" s="67" t="s">
        <v>717</v>
      </c>
    </row>
    <row r="15" spans="1:7" x14ac:dyDescent="0.35">
      <c r="A15" s="1">
        <f t="shared" si="0"/>
        <v>14</v>
      </c>
    </row>
    <row r="16" spans="1:7" ht="13.9" thickBot="1" x14ac:dyDescent="0.4">
      <c r="A16" s="1">
        <f t="shared" si="0"/>
        <v>15</v>
      </c>
      <c r="B16" t="s">
        <v>771</v>
      </c>
      <c r="D16" s="11">
        <v>7407454</v>
      </c>
      <c r="E16" s="11">
        <v>7912453</v>
      </c>
      <c r="F16" s="11">
        <f>E16-D16</f>
        <v>504999</v>
      </c>
    </row>
    <row r="17" spans="1:6" ht="13.9" thickTop="1" x14ac:dyDescent="0.35">
      <c r="A17" s="1">
        <f t="shared" si="0"/>
        <v>16</v>
      </c>
      <c r="D17" s="7"/>
      <c r="E17" s="7"/>
      <c r="F17" s="7"/>
    </row>
    <row r="18" spans="1:6" x14ac:dyDescent="0.35">
      <c r="A18" s="1">
        <f t="shared" si="0"/>
        <v>17</v>
      </c>
      <c r="B18" t="s">
        <v>718</v>
      </c>
      <c r="D18" s="7"/>
      <c r="E18" s="7"/>
      <c r="F18" s="7"/>
    </row>
    <row r="19" spans="1:6" x14ac:dyDescent="0.35">
      <c r="A19" s="1">
        <f t="shared" si="0"/>
        <v>18</v>
      </c>
      <c r="B19" t="s">
        <v>719</v>
      </c>
      <c r="D19" s="7">
        <v>274915</v>
      </c>
      <c r="E19" s="7">
        <v>293657</v>
      </c>
      <c r="F19" s="7">
        <f>E19-D19</f>
        <v>18742</v>
      </c>
    </row>
    <row r="20" spans="1:6" x14ac:dyDescent="0.35">
      <c r="A20" s="1">
        <f t="shared" si="0"/>
        <v>19</v>
      </c>
      <c r="B20" t="s">
        <v>720</v>
      </c>
      <c r="D20" s="7">
        <v>110398</v>
      </c>
      <c r="E20" s="7">
        <v>117924</v>
      </c>
      <c r="F20" s="7">
        <f t="shared" ref="F20:F34" si="1">E20-D20</f>
        <v>7526</v>
      </c>
    </row>
    <row r="21" spans="1:6" x14ac:dyDescent="0.35">
      <c r="A21" s="1">
        <f t="shared" si="0"/>
        <v>20</v>
      </c>
      <c r="B21" t="s">
        <v>721</v>
      </c>
      <c r="D21" s="7">
        <v>1414</v>
      </c>
      <c r="E21" s="7">
        <v>1511</v>
      </c>
      <c r="F21" s="7">
        <f t="shared" si="1"/>
        <v>97</v>
      </c>
    </row>
    <row r="22" spans="1:6" x14ac:dyDescent="0.35">
      <c r="A22" s="1">
        <f t="shared" si="0"/>
        <v>21</v>
      </c>
      <c r="B22" t="s">
        <v>735</v>
      </c>
      <c r="D22" s="7">
        <v>40112</v>
      </c>
      <c r="E22" s="7">
        <v>42847</v>
      </c>
      <c r="F22" s="7">
        <f t="shared" si="1"/>
        <v>2735</v>
      </c>
    </row>
    <row r="23" spans="1:6" x14ac:dyDescent="0.35">
      <c r="A23" s="1">
        <f t="shared" si="0"/>
        <v>22</v>
      </c>
      <c r="B23" t="s">
        <v>736</v>
      </c>
      <c r="D23" s="7">
        <v>2204</v>
      </c>
      <c r="E23" s="7">
        <v>2354</v>
      </c>
      <c r="F23" s="7">
        <f t="shared" si="1"/>
        <v>150</v>
      </c>
    </row>
    <row r="24" spans="1:6" x14ac:dyDescent="0.35">
      <c r="A24" s="1">
        <f t="shared" si="0"/>
        <v>23</v>
      </c>
      <c r="B24" t="s">
        <v>737</v>
      </c>
      <c r="D24" s="7">
        <v>21549</v>
      </c>
      <c r="E24" s="7">
        <v>23018</v>
      </c>
      <c r="F24" s="7">
        <f t="shared" si="1"/>
        <v>1469</v>
      </c>
    </row>
    <row r="25" spans="1:6" x14ac:dyDescent="0.35">
      <c r="A25" s="1">
        <f t="shared" si="0"/>
        <v>24</v>
      </c>
      <c r="B25" t="s">
        <v>722</v>
      </c>
      <c r="D25" s="7">
        <v>2844</v>
      </c>
      <c r="E25" s="7">
        <v>3038</v>
      </c>
      <c r="F25" s="7">
        <f t="shared" si="1"/>
        <v>194</v>
      </c>
    </row>
    <row r="26" spans="1:6" x14ac:dyDescent="0.35">
      <c r="A26" s="1">
        <f t="shared" si="0"/>
        <v>25</v>
      </c>
      <c r="B26" t="s">
        <v>724</v>
      </c>
      <c r="D26" s="7">
        <v>12033</v>
      </c>
      <c r="E26" s="7">
        <v>12853</v>
      </c>
      <c r="F26" s="7">
        <f t="shared" si="1"/>
        <v>820</v>
      </c>
    </row>
    <row r="27" spans="1:6" x14ac:dyDescent="0.35">
      <c r="A27" s="1">
        <f t="shared" si="0"/>
        <v>26</v>
      </c>
      <c r="B27" t="s">
        <v>723</v>
      </c>
      <c r="D27" s="7">
        <v>707</v>
      </c>
      <c r="E27" s="7">
        <v>755</v>
      </c>
      <c r="F27" s="7">
        <f t="shared" si="1"/>
        <v>48</v>
      </c>
    </row>
    <row r="28" spans="1:6" x14ac:dyDescent="0.35">
      <c r="A28" s="1">
        <f t="shared" si="0"/>
        <v>27</v>
      </c>
      <c r="B28" t="s">
        <v>725</v>
      </c>
      <c r="D28" s="7">
        <f>2742057+507223+298795-38792</f>
        <v>3509283</v>
      </c>
      <c r="E28" s="7">
        <f>2928996+541803+319165-41436</f>
        <v>3748528</v>
      </c>
      <c r="F28" s="7">
        <f t="shared" si="1"/>
        <v>239245</v>
      </c>
    </row>
    <row r="29" spans="1:6" x14ac:dyDescent="0.35">
      <c r="A29" s="1">
        <f t="shared" si="0"/>
        <v>28</v>
      </c>
      <c r="B29" t="s">
        <v>726</v>
      </c>
      <c r="D29" s="7">
        <v>1053219</v>
      </c>
      <c r="E29" s="7">
        <v>1125022</v>
      </c>
      <c r="F29" s="7">
        <f t="shared" si="1"/>
        <v>71803</v>
      </c>
    </row>
    <row r="30" spans="1:6" x14ac:dyDescent="0.35">
      <c r="A30" s="1">
        <f t="shared" si="0"/>
        <v>29</v>
      </c>
      <c r="B30" t="s">
        <v>727</v>
      </c>
      <c r="D30" s="7">
        <v>89287</v>
      </c>
      <c r="E30" s="7">
        <v>95375</v>
      </c>
      <c r="F30" s="7">
        <f t="shared" si="1"/>
        <v>6088</v>
      </c>
    </row>
    <row r="31" spans="1:6" x14ac:dyDescent="0.35">
      <c r="A31" s="1">
        <f t="shared" si="0"/>
        <v>30</v>
      </c>
      <c r="B31" t="s">
        <v>728</v>
      </c>
      <c r="D31" s="7">
        <v>137211</v>
      </c>
      <c r="E31" s="7">
        <v>146566</v>
      </c>
      <c r="F31" s="7">
        <f t="shared" si="1"/>
        <v>9355</v>
      </c>
    </row>
    <row r="32" spans="1:6" x14ac:dyDescent="0.35">
      <c r="A32" s="1">
        <f t="shared" si="0"/>
        <v>31</v>
      </c>
      <c r="B32" t="s">
        <v>729</v>
      </c>
      <c r="D32" s="7">
        <v>1734</v>
      </c>
      <c r="E32" s="7">
        <v>1853</v>
      </c>
      <c r="F32" s="7">
        <f t="shared" si="1"/>
        <v>119</v>
      </c>
    </row>
    <row r="33" spans="1:6" x14ac:dyDescent="0.35">
      <c r="A33" s="1">
        <f t="shared" si="0"/>
        <v>32</v>
      </c>
      <c r="B33" t="s">
        <v>647</v>
      </c>
      <c r="D33" s="15">
        <v>2150550</v>
      </c>
      <c r="E33" s="15">
        <v>2297162</v>
      </c>
      <c r="F33" s="15">
        <f t="shared" si="1"/>
        <v>146612</v>
      </c>
    </row>
    <row r="34" spans="1:6" x14ac:dyDescent="0.35">
      <c r="A34" s="1">
        <f t="shared" si="0"/>
        <v>33</v>
      </c>
      <c r="B34" t="s">
        <v>738</v>
      </c>
      <c r="D34" s="9">
        <v>-6</v>
      </c>
      <c r="E34" s="9">
        <v>-10</v>
      </c>
      <c r="F34" s="9">
        <f t="shared" si="1"/>
        <v>-4</v>
      </c>
    </row>
    <row r="35" spans="1:6" x14ac:dyDescent="0.35">
      <c r="A35" s="1">
        <f t="shared" si="0"/>
        <v>34</v>
      </c>
      <c r="D35" s="7"/>
      <c r="E35" s="7"/>
      <c r="F35" s="7"/>
    </row>
    <row r="36" spans="1:6" ht="13.9" thickBot="1" x14ac:dyDescent="0.4">
      <c r="A36" s="1">
        <f t="shared" si="0"/>
        <v>35</v>
      </c>
      <c r="B36" t="s">
        <v>730</v>
      </c>
      <c r="D36" s="11">
        <f>SUM(D19:D34)</f>
        <v>7407454</v>
      </c>
      <c r="E36" s="11">
        <f>SUM(E19:E34)</f>
        <v>7912453</v>
      </c>
      <c r="F36" s="11">
        <f>SUM(F19:F34)</f>
        <v>504999</v>
      </c>
    </row>
    <row r="37" spans="1:6" ht="13.9" thickTop="1" x14ac:dyDescent="0.35">
      <c r="A37" s="1">
        <f t="shared" si="0"/>
        <v>36</v>
      </c>
      <c r="D37" s="7"/>
      <c r="E37" s="7"/>
      <c r="F37" s="7"/>
    </row>
    <row r="38" spans="1:6" x14ac:dyDescent="0.35">
      <c r="A38" s="1">
        <f t="shared" si="0"/>
        <v>37</v>
      </c>
      <c r="D38" s="7" t="s">
        <v>731</v>
      </c>
      <c r="E38" s="7"/>
      <c r="F38" s="31">
        <f>ROUND(F36/D36,4)</f>
        <v>6.8199999999999997E-2</v>
      </c>
    </row>
    <row r="39" spans="1:6" x14ac:dyDescent="0.35">
      <c r="A39" s="1">
        <f t="shared" si="0"/>
        <v>38</v>
      </c>
      <c r="D39" s="7"/>
      <c r="E39" s="7"/>
      <c r="F39" s="7"/>
    </row>
    <row r="40" spans="1:6" x14ac:dyDescent="0.35">
      <c r="A40" s="1">
        <f t="shared" si="0"/>
        <v>39</v>
      </c>
      <c r="B40" t="s">
        <v>732</v>
      </c>
      <c r="D40" s="7"/>
      <c r="E40" s="7"/>
      <c r="F40" s="7"/>
    </row>
    <row r="41" spans="1:6" x14ac:dyDescent="0.35">
      <c r="A41" s="1">
        <f t="shared" si="0"/>
        <v>40</v>
      </c>
      <c r="D41" s="7"/>
      <c r="E41" s="7"/>
      <c r="F41" s="7"/>
    </row>
    <row r="42" spans="1:6" x14ac:dyDescent="0.35">
      <c r="A42" s="1">
        <f t="shared" si="0"/>
        <v>41</v>
      </c>
      <c r="C42" t="s">
        <v>725</v>
      </c>
      <c r="E42" s="7">
        <f>F28</f>
        <v>239245</v>
      </c>
    </row>
    <row r="43" spans="1:6" x14ac:dyDescent="0.35">
      <c r="A43" s="1">
        <f t="shared" si="0"/>
        <v>42</v>
      </c>
      <c r="C43" t="s">
        <v>726</v>
      </c>
      <c r="E43" s="7">
        <f t="shared" ref="E43:E47" si="2">F29</f>
        <v>71803</v>
      </c>
    </row>
    <row r="44" spans="1:6" x14ac:dyDescent="0.35">
      <c r="A44" s="1">
        <f t="shared" si="0"/>
        <v>43</v>
      </c>
      <c r="C44" t="s">
        <v>727</v>
      </c>
      <c r="E44" s="7">
        <f t="shared" si="2"/>
        <v>6088</v>
      </c>
    </row>
    <row r="45" spans="1:6" x14ac:dyDescent="0.35">
      <c r="A45" s="1">
        <f t="shared" si="0"/>
        <v>44</v>
      </c>
      <c r="C45" t="s">
        <v>728</v>
      </c>
      <c r="E45" s="7">
        <f t="shared" si="2"/>
        <v>9355</v>
      </c>
    </row>
    <row r="46" spans="1:6" x14ac:dyDescent="0.35">
      <c r="A46" s="1">
        <f t="shared" si="0"/>
        <v>45</v>
      </c>
      <c r="C46" t="s">
        <v>729</v>
      </c>
      <c r="E46" s="7">
        <f t="shared" si="2"/>
        <v>119</v>
      </c>
    </row>
    <row r="47" spans="1:6" x14ac:dyDescent="0.35">
      <c r="A47" s="1">
        <f t="shared" si="0"/>
        <v>46</v>
      </c>
      <c r="C47" t="s">
        <v>647</v>
      </c>
      <c r="E47" s="9">
        <f t="shared" si="2"/>
        <v>146612</v>
      </c>
    </row>
    <row r="48" spans="1:6" x14ac:dyDescent="0.35">
      <c r="A48" s="1">
        <f t="shared" si="0"/>
        <v>47</v>
      </c>
    </row>
    <row r="49" spans="1:5" ht="13.9" thickBot="1" x14ac:dyDescent="0.4">
      <c r="A49" s="1">
        <f t="shared" si="0"/>
        <v>48</v>
      </c>
      <c r="E49" s="11">
        <f>SUM(E42:E47)</f>
        <v>473222</v>
      </c>
    </row>
    <row r="50" spans="1:5" ht="13.9" thickTop="1" x14ac:dyDescent="0.35">
      <c r="A50" s="1">
        <f t="shared" si="0"/>
        <v>49</v>
      </c>
    </row>
    <row r="51" spans="1:5" x14ac:dyDescent="0.35">
      <c r="A51" s="1">
        <f t="shared" si="0"/>
        <v>50</v>
      </c>
      <c r="B51" t="s">
        <v>844</v>
      </c>
    </row>
    <row r="52" spans="1:5" x14ac:dyDescent="0.35">
      <c r="A52" s="1">
        <f t="shared" si="0"/>
        <v>51</v>
      </c>
      <c r="B52" t="s">
        <v>845</v>
      </c>
    </row>
    <row r="53" spans="1:5" x14ac:dyDescent="0.35">
      <c r="A53" s="1">
        <f t="shared" si="0"/>
        <v>52</v>
      </c>
    </row>
  </sheetData>
  <mergeCells count="2">
    <mergeCell ref="B3:G3"/>
    <mergeCell ref="B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1"/>
  <sheetViews>
    <sheetView zoomScale="80" zoomScaleNormal="80" workbookViewId="0">
      <selection activeCell="E33" sqref="E33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663</v>
      </c>
    </row>
    <row r="3" spans="1:7" ht="13.9" x14ac:dyDescent="0.4">
      <c r="A3" s="1">
        <f t="shared" ref="A3:A51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874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875</v>
      </c>
    </row>
    <row r="8" spans="1:7" x14ac:dyDescent="0.35">
      <c r="A8" s="1">
        <f t="shared" si="0"/>
        <v>7</v>
      </c>
      <c r="B8" t="s">
        <v>876</v>
      </c>
    </row>
    <row r="9" spans="1:7" x14ac:dyDescent="0.35">
      <c r="A9" s="1">
        <f t="shared" si="0"/>
        <v>8</v>
      </c>
    </row>
    <row r="10" spans="1:7" x14ac:dyDescent="0.35">
      <c r="A10" s="1">
        <f t="shared" si="0"/>
        <v>9</v>
      </c>
      <c r="B10" t="s">
        <v>878</v>
      </c>
    </row>
    <row r="11" spans="1:7" x14ac:dyDescent="0.35">
      <c r="A11" s="1">
        <f t="shared" si="0"/>
        <v>10</v>
      </c>
      <c r="B11" t="s">
        <v>879</v>
      </c>
      <c r="F11" s="7">
        <f>531658+29963</f>
        <v>561621</v>
      </c>
    </row>
    <row r="12" spans="1:7" x14ac:dyDescent="0.35">
      <c r="A12" s="1">
        <f t="shared" si="0"/>
        <v>11</v>
      </c>
      <c r="B12" t="s">
        <v>880</v>
      </c>
      <c r="F12" s="9">
        <v>501984</v>
      </c>
    </row>
    <row r="13" spans="1:7" ht="13.9" thickBot="1" x14ac:dyDescent="0.4">
      <c r="A13" s="1">
        <f t="shared" si="0"/>
        <v>12</v>
      </c>
      <c r="B13" t="s">
        <v>881</v>
      </c>
      <c r="F13" s="49">
        <f>F11+F12</f>
        <v>1063605</v>
      </c>
    </row>
    <row r="14" spans="1:7" ht="13.9" thickTop="1" x14ac:dyDescent="0.35">
      <c r="A14" s="1">
        <f t="shared" si="0"/>
        <v>13</v>
      </c>
      <c r="F14" s="7"/>
    </row>
    <row r="15" spans="1:7" x14ac:dyDescent="0.35">
      <c r="A15" s="1">
        <f t="shared" si="0"/>
        <v>14</v>
      </c>
      <c r="B15" t="s">
        <v>718</v>
      </c>
      <c r="F15" s="7"/>
    </row>
    <row r="16" spans="1:7" x14ac:dyDescent="0.35">
      <c r="A16" s="1">
        <f t="shared" si="0"/>
        <v>15</v>
      </c>
      <c r="D16" s="87" t="s">
        <v>882</v>
      </c>
      <c r="F16" s="7"/>
    </row>
    <row r="17" spans="1:6" x14ac:dyDescent="0.35">
      <c r="A17" s="1">
        <f t="shared" si="0"/>
        <v>16</v>
      </c>
      <c r="D17" s="87" t="s">
        <v>883</v>
      </c>
      <c r="F17" s="91" t="s">
        <v>885</v>
      </c>
    </row>
    <row r="18" spans="1:6" ht="13.9" thickBot="1" x14ac:dyDescent="0.4">
      <c r="A18" s="1">
        <f t="shared" si="0"/>
        <v>17</v>
      </c>
      <c r="D18" s="88" t="s">
        <v>884</v>
      </c>
      <c r="F18" s="57" t="s">
        <v>521</v>
      </c>
    </row>
    <row r="19" spans="1:6" x14ac:dyDescent="0.35">
      <c r="A19" s="1">
        <f t="shared" si="0"/>
        <v>18</v>
      </c>
      <c r="D19" s="20"/>
      <c r="F19" s="56"/>
    </row>
    <row r="20" spans="1:6" x14ac:dyDescent="0.35">
      <c r="A20" s="1">
        <f t="shared" si="0"/>
        <v>19</v>
      </c>
      <c r="B20" t="s">
        <v>719</v>
      </c>
      <c r="D20" s="92">
        <v>3.6920000000000001E-2</v>
      </c>
      <c r="F20" s="7">
        <f>ROUND(F$13*D20,0)</f>
        <v>39268</v>
      </c>
    </row>
    <row r="21" spans="1:6" x14ac:dyDescent="0.35">
      <c r="A21" s="1">
        <f t="shared" si="0"/>
        <v>20</v>
      </c>
      <c r="B21" t="s">
        <v>720</v>
      </c>
      <c r="D21" s="92">
        <v>1.4826000000000001E-2</v>
      </c>
      <c r="F21" s="7">
        <f t="shared" ref="F21:F34" si="1">ROUND(F$13*D21,0)</f>
        <v>15769</v>
      </c>
    </row>
    <row r="22" spans="1:6" x14ac:dyDescent="0.35">
      <c r="A22" s="1">
        <f t="shared" si="0"/>
        <v>21</v>
      </c>
      <c r="B22" t="s">
        <v>721</v>
      </c>
      <c r="D22" s="92">
        <v>1.9000000000000001E-4</v>
      </c>
      <c r="F22" s="7">
        <f t="shared" si="1"/>
        <v>202</v>
      </c>
    </row>
    <row r="23" spans="1:6" x14ac:dyDescent="0.35">
      <c r="A23" s="1">
        <f t="shared" si="0"/>
        <v>22</v>
      </c>
      <c r="B23" t="s">
        <v>735</v>
      </c>
      <c r="D23" s="92">
        <v>5.3870000000000003E-3</v>
      </c>
      <c r="F23" s="7">
        <f t="shared" si="1"/>
        <v>5730</v>
      </c>
    </row>
    <row r="24" spans="1:6" x14ac:dyDescent="0.35">
      <c r="A24" s="1">
        <f t="shared" si="0"/>
        <v>23</v>
      </c>
      <c r="B24" t="s">
        <v>736</v>
      </c>
      <c r="D24" s="92">
        <v>2.9599999999999998E-4</v>
      </c>
      <c r="F24" s="7">
        <f t="shared" si="1"/>
        <v>315</v>
      </c>
    </row>
    <row r="25" spans="1:6" x14ac:dyDescent="0.35">
      <c r="A25" s="1">
        <f t="shared" si="0"/>
        <v>24</v>
      </c>
      <c r="B25" t="s">
        <v>737</v>
      </c>
      <c r="D25" s="92">
        <v>2.8939999999999999E-3</v>
      </c>
      <c r="F25" s="7">
        <f t="shared" si="1"/>
        <v>3078</v>
      </c>
    </row>
    <row r="26" spans="1:6" x14ac:dyDescent="0.35">
      <c r="A26" s="1">
        <f t="shared" si="0"/>
        <v>25</v>
      </c>
      <c r="B26" t="s">
        <v>722</v>
      </c>
      <c r="D26" s="92">
        <v>3.8200000000000002E-4</v>
      </c>
      <c r="F26" s="7">
        <f t="shared" si="1"/>
        <v>406</v>
      </c>
    </row>
    <row r="27" spans="1:6" x14ac:dyDescent="0.35">
      <c r="A27" s="1">
        <f t="shared" si="0"/>
        <v>26</v>
      </c>
      <c r="B27" t="s">
        <v>724</v>
      </c>
      <c r="D27" s="92">
        <v>1.616E-3</v>
      </c>
      <c r="F27" s="7">
        <f t="shared" si="1"/>
        <v>1719</v>
      </c>
    </row>
    <row r="28" spans="1:6" x14ac:dyDescent="0.35">
      <c r="A28" s="1">
        <f t="shared" si="0"/>
        <v>27</v>
      </c>
      <c r="B28" t="s">
        <v>723</v>
      </c>
      <c r="D28" s="92">
        <v>9.5000000000000005E-5</v>
      </c>
      <c r="F28" s="7">
        <f t="shared" si="1"/>
        <v>101</v>
      </c>
    </row>
    <row r="29" spans="1:6" x14ac:dyDescent="0.35">
      <c r="A29" s="1">
        <f t="shared" si="0"/>
        <v>28</v>
      </c>
      <c r="B29" t="s">
        <v>725</v>
      </c>
      <c r="D29" s="92">
        <f>0.368247+0.068118+0.040127</f>
        <v>0.47649200000000003</v>
      </c>
      <c r="F29" s="7">
        <f t="shared" si="1"/>
        <v>506799</v>
      </c>
    </row>
    <row r="30" spans="1:6" x14ac:dyDescent="0.35">
      <c r="A30" s="1">
        <f t="shared" si="0"/>
        <v>29</v>
      </c>
      <c r="B30" t="s">
        <v>726</v>
      </c>
      <c r="D30" s="92">
        <v>0.14144300000000001</v>
      </c>
      <c r="F30" s="7">
        <f t="shared" si="1"/>
        <v>150439</v>
      </c>
    </row>
    <row r="31" spans="1:6" x14ac:dyDescent="0.35">
      <c r="A31" s="1">
        <f t="shared" si="0"/>
        <v>30</v>
      </c>
      <c r="B31" t="s">
        <v>727</v>
      </c>
      <c r="D31" s="92">
        <v>1.1991E-2</v>
      </c>
      <c r="F31" s="7">
        <f t="shared" si="1"/>
        <v>12754</v>
      </c>
    </row>
    <row r="32" spans="1:6" x14ac:dyDescent="0.35">
      <c r="A32" s="1">
        <f t="shared" si="0"/>
        <v>31</v>
      </c>
      <c r="B32" t="s">
        <v>728</v>
      </c>
      <c r="D32" s="92">
        <v>1.8426999999999999E-2</v>
      </c>
      <c r="F32" s="7">
        <f t="shared" si="1"/>
        <v>19599</v>
      </c>
    </row>
    <row r="33" spans="1:6" x14ac:dyDescent="0.35">
      <c r="A33" s="1">
        <f t="shared" si="0"/>
        <v>32</v>
      </c>
      <c r="B33" t="s">
        <v>729</v>
      </c>
      <c r="D33" s="92">
        <v>2.33E-4</v>
      </c>
      <c r="F33" s="7">
        <f t="shared" si="1"/>
        <v>248</v>
      </c>
    </row>
    <row r="34" spans="1:6" x14ac:dyDescent="0.35">
      <c r="A34" s="1">
        <f t="shared" si="0"/>
        <v>33</v>
      </c>
      <c r="B34" t="s">
        <v>647</v>
      </c>
      <c r="D34" s="92">
        <v>0.28881000000000001</v>
      </c>
      <c r="F34" s="15">
        <f t="shared" si="1"/>
        <v>307180</v>
      </c>
    </row>
    <row r="35" spans="1:6" x14ac:dyDescent="0.35">
      <c r="A35" s="1">
        <f t="shared" si="0"/>
        <v>34</v>
      </c>
      <c r="B35" t="s">
        <v>738</v>
      </c>
      <c r="D35" s="92"/>
      <c r="F35" s="9">
        <v>-2</v>
      </c>
    </row>
    <row r="36" spans="1:6" x14ac:dyDescent="0.35">
      <c r="A36" s="1">
        <f t="shared" si="0"/>
        <v>35</v>
      </c>
      <c r="F36" s="7"/>
    </row>
    <row r="37" spans="1:6" ht="13.9" thickBot="1" x14ac:dyDescent="0.4">
      <c r="A37" s="1">
        <f t="shared" si="0"/>
        <v>36</v>
      </c>
      <c r="B37" t="s">
        <v>730</v>
      </c>
      <c r="F37" s="11">
        <f>SUM(F20:F35)</f>
        <v>1063605</v>
      </c>
    </row>
    <row r="38" spans="1:6" ht="13.9" thickTop="1" x14ac:dyDescent="0.35">
      <c r="A38" s="1">
        <f t="shared" si="0"/>
        <v>37</v>
      </c>
      <c r="F38" s="7"/>
    </row>
    <row r="39" spans="1:6" x14ac:dyDescent="0.35">
      <c r="A39" s="1">
        <f t="shared" si="0"/>
        <v>38</v>
      </c>
      <c r="B39" t="s">
        <v>732</v>
      </c>
      <c r="D39" s="7"/>
      <c r="E39" s="7"/>
      <c r="F39" s="7"/>
    </row>
    <row r="40" spans="1:6" x14ac:dyDescent="0.35">
      <c r="A40" s="1">
        <f t="shared" si="0"/>
        <v>39</v>
      </c>
      <c r="D40" s="7"/>
      <c r="E40" s="7"/>
      <c r="F40" s="7"/>
    </row>
    <row r="41" spans="1:6" x14ac:dyDescent="0.35">
      <c r="A41" s="1">
        <f t="shared" si="0"/>
        <v>40</v>
      </c>
      <c r="C41" t="s">
        <v>725</v>
      </c>
      <c r="E41" s="7">
        <f>-F29</f>
        <v>-506799</v>
      </c>
      <c r="F41" s="7"/>
    </row>
    <row r="42" spans="1:6" x14ac:dyDescent="0.35">
      <c r="A42" s="1">
        <f t="shared" si="0"/>
        <v>41</v>
      </c>
      <c r="C42" t="s">
        <v>726</v>
      </c>
      <c r="E42" s="15">
        <f t="shared" ref="E42:E46" si="2">-F30</f>
        <v>-150439</v>
      </c>
    </row>
    <row r="43" spans="1:6" x14ac:dyDescent="0.35">
      <c r="A43" s="1">
        <f t="shared" si="0"/>
        <v>42</v>
      </c>
      <c r="C43" t="s">
        <v>727</v>
      </c>
      <c r="E43" s="15">
        <f t="shared" si="2"/>
        <v>-12754</v>
      </c>
    </row>
    <row r="44" spans="1:6" x14ac:dyDescent="0.35">
      <c r="A44" s="1">
        <f t="shared" si="0"/>
        <v>43</v>
      </c>
      <c r="C44" t="s">
        <v>728</v>
      </c>
      <c r="E44" s="15">
        <f t="shared" si="2"/>
        <v>-19599</v>
      </c>
    </row>
    <row r="45" spans="1:6" x14ac:dyDescent="0.35">
      <c r="A45" s="1">
        <f t="shared" si="0"/>
        <v>44</v>
      </c>
      <c r="C45" t="s">
        <v>729</v>
      </c>
      <c r="E45" s="15">
        <f t="shared" si="2"/>
        <v>-248</v>
      </c>
    </row>
    <row r="46" spans="1:6" x14ac:dyDescent="0.35">
      <c r="A46" s="1">
        <f t="shared" si="0"/>
        <v>45</v>
      </c>
      <c r="C46" t="s">
        <v>647</v>
      </c>
      <c r="E46" s="9">
        <f t="shared" si="2"/>
        <v>-307180</v>
      </c>
    </row>
    <row r="47" spans="1:6" x14ac:dyDescent="0.35">
      <c r="A47" s="1">
        <f t="shared" si="0"/>
        <v>46</v>
      </c>
    </row>
    <row r="48" spans="1:6" ht="13.9" thickBot="1" x14ac:dyDescent="0.4">
      <c r="A48" s="1">
        <f t="shared" si="0"/>
        <v>47</v>
      </c>
      <c r="E48" s="11">
        <f>SUM(E41:E46)</f>
        <v>-997019</v>
      </c>
    </row>
    <row r="49" spans="1:1" ht="13.9" thickTop="1" x14ac:dyDescent="0.35">
      <c r="A49" s="1">
        <f t="shared" si="0"/>
        <v>48</v>
      </c>
    </row>
    <row r="50" spans="1:1" x14ac:dyDescent="0.35">
      <c r="A50" s="1">
        <f t="shared" si="0"/>
        <v>49</v>
      </c>
    </row>
    <row r="51" spans="1:1" x14ac:dyDescent="0.35">
      <c r="A51" s="1">
        <f t="shared" si="0"/>
        <v>50</v>
      </c>
    </row>
  </sheetData>
  <mergeCells count="2">
    <mergeCell ref="B3:G3"/>
    <mergeCell ref="B4:G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9"/>
  <sheetViews>
    <sheetView zoomScale="80" zoomScaleNormal="80" workbookViewId="0">
      <selection activeCell="B3" sqref="B3:G3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649</v>
      </c>
    </row>
    <row r="3" spans="1:7" ht="13.9" x14ac:dyDescent="0.4">
      <c r="A3" s="1">
        <f t="shared" ref="A3:A49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905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906</v>
      </c>
    </row>
    <row r="8" spans="1:7" x14ac:dyDescent="0.35">
      <c r="A8" s="1">
        <f t="shared" si="0"/>
        <v>7</v>
      </c>
      <c r="B8" t="s">
        <v>907</v>
      </c>
    </row>
    <row r="9" spans="1:7" x14ac:dyDescent="0.35">
      <c r="A9" s="1">
        <f t="shared" si="0"/>
        <v>8</v>
      </c>
    </row>
    <row r="10" spans="1:7" x14ac:dyDescent="0.35">
      <c r="A10" s="1">
        <f t="shared" si="0"/>
        <v>9</v>
      </c>
      <c r="B10" t="s">
        <v>908</v>
      </c>
    </row>
    <row r="11" spans="1:7" ht="13.9" thickBot="1" x14ac:dyDescent="0.4">
      <c r="A11" s="1">
        <f t="shared" si="0"/>
        <v>10</v>
      </c>
      <c r="B11" t="s">
        <v>909</v>
      </c>
      <c r="F11" s="11">
        <v>1269668</v>
      </c>
    </row>
    <row r="12" spans="1:7" ht="13.9" thickTop="1" x14ac:dyDescent="0.35">
      <c r="A12" s="1">
        <f t="shared" si="0"/>
        <v>11</v>
      </c>
      <c r="F12" s="7"/>
    </row>
    <row r="13" spans="1:7" x14ac:dyDescent="0.35">
      <c r="A13" s="1">
        <f t="shared" si="0"/>
        <v>12</v>
      </c>
      <c r="B13" t="s">
        <v>718</v>
      </c>
      <c r="F13" s="7"/>
    </row>
    <row r="14" spans="1:7" x14ac:dyDescent="0.35">
      <c r="A14" s="1">
        <f t="shared" si="0"/>
        <v>13</v>
      </c>
      <c r="D14" s="89" t="s">
        <v>882</v>
      </c>
      <c r="F14" s="7"/>
    </row>
    <row r="15" spans="1:7" x14ac:dyDescent="0.35">
      <c r="A15" s="1">
        <f t="shared" si="0"/>
        <v>14</v>
      </c>
      <c r="D15" s="89" t="s">
        <v>883</v>
      </c>
      <c r="F15" s="91" t="s">
        <v>885</v>
      </c>
    </row>
    <row r="16" spans="1:7" ht="13.9" thickBot="1" x14ac:dyDescent="0.4">
      <c r="A16" s="1">
        <f t="shared" si="0"/>
        <v>15</v>
      </c>
      <c r="D16" s="90" t="s">
        <v>884</v>
      </c>
      <c r="F16" s="57" t="s">
        <v>521</v>
      </c>
    </row>
    <row r="17" spans="1:6" x14ac:dyDescent="0.35">
      <c r="A17" s="1">
        <f t="shared" si="0"/>
        <v>16</v>
      </c>
      <c r="D17" s="20"/>
      <c r="F17" s="56"/>
    </row>
    <row r="18" spans="1:6" x14ac:dyDescent="0.35">
      <c r="A18" s="1">
        <f t="shared" si="0"/>
        <v>17</v>
      </c>
      <c r="B18" t="s">
        <v>719</v>
      </c>
      <c r="D18" s="92">
        <v>3.6920000000000001E-2</v>
      </c>
      <c r="F18" s="7">
        <f>ROUND($F$11*D18,0)</f>
        <v>46876</v>
      </c>
    </row>
    <row r="19" spans="1:6" x14ac:dyDescent="0.35">
      <c r="A19" s="1">
        <f t="shared" si="0"/>
        <v>18</v>
      </c>
      <c r="B19" t="s">
        <v>720</v>
      </c>
      <c r="D19" s="92">
        <v>1.4826000000000001E-2</v>
      </c>
      <c r="F19" s="7">
        <f t="shared" ref="F19:F32" si="1">ROUND($F$11*D19,0)</f>
        <v>18824</v>
      </c>
    </row>
    <row r="20" spans="1:6" x14ac:dyDescent="0.35">
      <c r="A20" s="1">
        <f t="shared" si="0"/>
        <v>19</v>
      </c>
      <c r="B20" t="s">
        <v>721</v>
      </c>
      <c r="D20" s="92">
        <v>1.9000000000000001E-4</v>
      </c>
      <c r="F20" s="7">
        <f t="shared" si="1"/>
        <v>241</v>
      </c>
    </row>
    <row r="21" spans="1:6" x14ac:dyDescent="0.35">
      <c r="A21" s="1">
        <f t="shared" si="0"/>
        <v>20</v>
      </c>
      <c r="B21" t="s">
        <v>735</v>
      </c>
      <c r="D21" s="92">
        <v>5.3870000000000003E-3</v>
      </c>
      <c r="F21" s="7">
        <f t="shared" si="1"/>
        <v>6840</v>
      </c>
    </row>
    <row r="22" spans="1:6" x14ac:dyDescent="0.35">
      <c r="A22" s="1">
        <f t="shared" si="0"/>
        <v>21</v>
      </c>
      <c r="B22" t="s">
        <v>736</v>
      </c>
      <c r="D22" s="92">
        <v>2.9599999999999998E-4</v>
      </c>
      <c r="F22" s="7">
        <f t="shared" si="1"/>
        <v>376</v>
      </c>
    </row>
    <row r="23" spans="1:6" x14ac:dyDescent="0.35">
      <c r="A23" s="1">
        <f t="shared" si="0"/>
        <v>22</v>
      </c>
      <c r="B23" t="s">
        <v>737</v>
      </c>
      <c r="D23" s="92">
        <v>2.8939999999999999E-3</v>
      </c>
      <c r="F23" s="7">
        <f t="shared" si="1"/>
        <v>3674</v>
      </c>
    </row>
    <row r="24" spans="1:6" x14ac:dyDescent="0.35">
      <c r="A24" s="1">
        <f t="shared" si="0"/>
        <v>23</v>
      </c>
      <c r="B24" t="s">
        <v>722</v>
      </c>
      <c r="D24" s="92">
        <v>3.8200000000000002E-4</v>
      </c>
      <c r="F24" s="7">
        <f t="shared" si="1"/>
        <v>485</v>
      </c>
    </row>
    <row r="25" spans="1:6" x14ac:dyDescent="0.35">
      <c r="A25" s="1">
        <f t="shared" si="0"/>
        <v>24</v>
      </c>
      <c r="B25" t="s">
        <v>724</v>
      </c>
      <c r="D25" s="92">
        <v>1.616E-3</v>
      </c>
      <c r="F25" s="7">
        <f t="shared" si="1"/>
        <v>2052</v>
      </c>
    </row>
    <row r="26" spans="1:6" x14ac:dyDescent="0.35">
      <c r="A26" s="1">
        <f t="shared" si="0"/>
        <v>25</v>
      </c>
      <c r="B26" t="s">
        <v>723</v>
      </c>
      <c r="D26" s="92">
        <v>9.5000000000000005E-5</v>
      </c>
      <c r="F26" s="7">
        <f t="shared" si="1"/>
        <v>121</v>
      </c>
    </row>
    <row r="27" spans="1:6" x14ac:dyDescent="0.35">
      <c r="A27" s="1">
        <f t="shared" si="0"/>
        <v>26</v>
      </c>
      <c r="B27" t="s">
        <v>725</v>
      </c>
      <c r="D27" s="92">
        <f>0.368247+0.068118+0.040127</f>
        <v>0.47649200000000003</v>
      </c>
      <c r="F27" s="7">
        <f t="shared" si="1"/>
        <v>604987</v>
      </c>
    </row>
    <row r="28" spans="1:6" x14ac:dyDescent="0.35">
      <c r="A28" s="1">
        <f t="shared" si="0"/>
        <v>27</v>
      </c>
      <c r="B28" t="s">
        <v>726</v>
      </c>
      <c r="D28" s="92">
        <v>0.14144300000000001</v>
      </c>
      <c r="F28" s="7">
        <f t="shared" si="1"/>
        <v>179586</v>
      </c>
    </row>
    <row r="29" spans="1:6" x14ac:dyDescent="0.35">
      <c r="A29" s="1">
        <f t="shared" si="0"/>
        <v>28</v>
      </c>
      <c r="B29" t="s">
        <v>727</v>
      </c>
      <c r="D29" s="92">
        <v>1.1991E-2</v>
      </c>
      <c r="F29" s="7">
        <f t="shared" si="1"/>
        <v>15225</v>
      </c>
    </row>
    <row r="30" spans="1:6" x14ac:dyDescent="0.35">
      <c r="A30" s="1">
        <f t="shared" si="0"/>
        <v>29</v>
      </c>
      <c r="B30" t="s">
        <v>728</v>
      </c>
      <c r="D30" s="92">
        <v>1.8426999999999999E-2</v>
      </c>
      <c r="F30" s="7">
        <f t="shared" si="1"/>
        <v>23396</v>
      </c>
    </row>
    <row r="31" spans="1:6" x14ac:dyDescent="0.35">
      <c r="A31" s="1">
        <f t="shared" si="0"/>
        <v>30</v>
      </c>
      <c r="B31" t="s">
        <v>729</v>
      </c>
      <c r="D31" s="92">
        <v>2.33E-4</v>
      </c>
      <c r="F31" s="7">
        <f t="shared" si="1"/>
        <v>296</v>
      </c>
    </row>
    <row r="32" spans="1:6" x14ac:dyDescent="0.35">
      <c r="A32" s="1">
        <f t="shared" si="0"/>
        <v>31</v>
      </c>
      <c r="B32" t="s">
        <v>647</v>
      </c>
      <c r="D32" s="92">
        <v>0.28881000000000001</v>
      </c>
      <c r="F32" s="7">
        <f t="shared" si="1"/>
        <v>366693</v>
      </c>
    </row>
    <row r="33" spans="1:6" x14ac:dyDescent="0.35">
      <c r="A33" s="1">
        <f t="shared" si="0"/>
        <v>32</v>
      </c>
      <c r="B33" t="s">
        <v>738</v>
      </c>
      <c r="D33" s="92"/>
      <c r="F33" s="9">
        <v>-4</v>
      </c>
    </row>
    <row r="34" spans="1:6" x14ac:dyDescent="0.35">
      <c r="A34" s="1">
        <f t="shared" si="0"/>
        <v>33</v>
      </c>
      <c r="F34" s="7"/>
    </row>
    <row r="35" spans="1:6" ht="13.9" thickBot="1" x14ac:dyDescent="0.4">
      <c r="A35" s="1">
        <f t="shared" si="0"/>
        <v>34</v>
      </c>
      <c r="B35" t="s">
        <v>730</v>
      </c>
      <c r="F35" s="11">
        <f>SUM(F18:F33)</f>
        <v>1269668</v>
      </c>
    </row>
    <row r="36" spans="1:6" ht="13.9" thickTop="1" x14ac:dyDescent="0.35">
      <c r="A36" s="1">
        <f t="shared" si="0"/>
        <v>35</v>
      </c>
      <c r="F36" s="7"/>
    </row>
    <row r="37" spans="1:6" x14ac:dyDescent="0.35">
      <c r="A37" s="1">
        <f t="shared" si="0"/>
        <v>36</v>
      </c>
      <c r="B37" t="s">
        <v>732</v>
      </c>
      <c r="D37" s="7"/>
      <c r="E37" s="7"/>
      <c r="F37" s="7"/>
    </row>
    <row r="38" spans="1:6" x14ac:dyDescent="0.35">
      <c r="A38" s="1">
        <f t="shared" si="0"/>
        <v>37</v>
      </c>
      <c r="D38" s="7"/>
      <c r="E38" s="7"/>
      <c r="F38" s="7"/>
    </row>
    <row r="39" spans="1:6" x14ac:dyDescent="0.35">
      <c r="A39" s="1">
        <f t="shared" si="0"/>
        <v>38</v>
      </c>
      <c r="C39" t="s">
        <v>725</v>
      </c>
      <c r="E39" s="7">
        <f>-F27</f>
        <v>-604987</v>
      </c>
      <c r="F39" s="7"/>
    </row>
    <row r="40" spans="1:6" x14ac:dyDescent="0.35">
      <c r="A40" s="1">
        <f t="shared" si="0"/>
        <v>39</v>
      </c>
      <c r="C40" t="s">
        <v>726</v>
      </c>
      <c r="E40" s="15">
        <f t="shared" ref="E40:E44" si="2">-F28</f>
        <v>-179586</v>
      </c>
    </row>
    <row r="41" spans="1:6" x14ac:dyDescent="0.35">
      <c r="A41" s="1">
        <f t="shared" si="0"/>
        <v>40</v>
      </c>
      <c r="C41" t="s">
        <v>727</v>
      </c>
      <c r="E41" s="15">
        <f t="shared" si="2"/>
        <v>-15225</v>
      </c>
    </row>
    <row r="42" spans="1:6" x14ac:dyDescent="0.35">
      <c r="A42" s="1">
        <f t="shared" si="0"/>
        <v>41</v>
      </c>
      <c r="C42" t="s">
        <v>728</v>
      </c>
      <c r="E42" s="15">
        <f t="shared" si="2"/>
        <v>-23396</v>
      </c>
    </row>
    <row r="43" spans="1:6" x14ac:dyDescent="0.35">
      <c r="A43" s="1">
        <f t="shared" si="0"/>
        <v>42</v>
      </c>
      <c r="C43" t="s">
        <v>729</v>
      </c>
      <c r="E43" s="15">
        <f t="shared" si="2"/>
        <v>-296</v>
      </c>
    </row>
    <row r="44" spans="1:6" x14ac:dyDescent="0.35">
      <c r="A44" s="1">
        <f t="shared" si="0"/>
        <v>43</v>
      </c>
      <c r="C44" t="s">
        <v>647</v>
      </c>
      <c r="E44" s="9">
        <f t="shared" si="2"/>
        <v>-366693</v>
      </c>
    </row>
    <row r="45" spans="1:6" x14ac:dyDescent="0.35">
      <c r="A45" s="1">
        <f t="shared" si="0"/>
        <v>44</v>
      </c>
    </row>
    <row r="46" spans="1:6" ht="13.9" thickBot="1" x14ac:dyDescent="0.4">
      <c r="A46" s="1">
        <f t="shared" si="0"/>
        <v>45</v>
      </c>
      <c r="E46" s="11">
        <f>SUM(E39:E44)</f>
        <v>-1190183</v>
      </c>
    </row>
    <row r="47" spans="1:6" ht="13.9" thickTop="1" x14ac:dyDescent="0.35">
      <c r="A47" s="1">
        <f t="shared" si="0"/>
        <v>46</v>
      </c>
    </row>
    <row r="48" spans="1:6" x14ac:dyDescent="0.35">
      <c r="A48" s="1">
        <f t="shared" si="0"/>
        <v>47</v>
      </c>
    </row>
    <row r="49" spans="1:1" x14ac:dyDescent="0.35">
      <c r="A49" s="1">
        <f t="shared" si="0"/>
        <v>48</v>
      </c>
    </row>
  </sheetData>
  <mergeCells count="2">
    <mergeCell ref="B3:G3"/>
    <mergeCell ref="B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5"/>
  <sheetViews>
    <sheetView zoomScale="80" zoomScaleNormal="80" workbookViewId="0">
      <selection activeCell="B2" sqref="B2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643</v>
      </c>
    </row>
    <row r="3" spans="1:7" ht="13.9" x14ac:dyDescent="0.4">
      <c r="A3" s="1">
        <f t="shared" ref="A3:A25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613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614</v>
      </c>
    </row>
    <row r="8" spans="1:7" x14ac:dyDescent="0.35">
      <c r="A8" s="1">
        <f t="shared" si="0"/>
        <v>7</v>
      </c>
      <c r="B8" t="s">
        <v>615</v>
      </c>
    </row>
    <row r="9" spans="1:7" x14ac:dyDescent="0.35">
      <c r="A9" s="1">
        <f t="shared" si="0"/>
        <v>8</v>
      </c>
      <c r="B9" t="s">
        <v>616</v>
      </c>
    </row>
    <row r="10" spans="1:7" x14ac:dyDescent="0.35">
      <c r="A10" s="1">
        <f t="shared" si="0"/>
        <v>9</v>
      </c>
      <c r="B10" t="s">
        <v>617</v>
      </c>
    </row>
    <row r="11" spans="1:7" x14ac:dyDescent="0.35">
      <c r="A11" s="1">
        <f t="shared" si="0"/>
        <v>10</v>
      </c>
      <c r="B11" t="s">
        <v>941</v>
      </c>
    </row>
    <row r="12" spans="1:7" x14ac:dyDescent="0.35">
      <c r="A12" s="1">
        <f t="shared" si="0"/>
        <v>11</v>
      </c>
    </row>
    <row r="13" spans="1:7" x14ac:dyDescent="0.35">
      <c r="A13" s="1">
        <f t="shared" si="0"/>
        <v>12</v>
      </c>
    </row>
    <row r="14" spans="1:7" x14ac:dyDescent="0.35">
      <c r="A14" s="1">
        <f t="shared" si="0"/>
        <v>13</v>
      </c>
      <c r="B14" t="s">
        <v>618</v>
      </c>
      <c r="F14" s="22">
        <v>71472</v>
      </c>
    </row>
    <row r="15" spans="1:7" x14ac:dyDescent="0.35">
      <c r="A15" s="1">
        <f t="shared" si="0"/>
        <v>14</v>
      </c>
      <c r="B15" t="s">
        <v>619</v>
      </c>
      <c r="F15" s="22">
        <v>30000</v>
      </c>
    </row>
    <row r="16" spans="1:7" x14ac:dyDescent="0.35">
      <c r="A16" s="1">
        <f t="shared" si="0"/>
        <v>15</v>
      </c>
      <c r="B16" t="s">
        <v>624</v>
      </c>
      <c r="F16" s="22">
        <v>25000</v>
      </c>
    </row>
    <row r="17" spans="1:6" x14ac:dyDescent="0.35">
      <c r="A17" s="1">
        <f t="shared" si="0"/>
        <v>16</v>
      </c>
      <c r="B17" t="s">
        <v>620</v>
      </c>
      <c r="F17" s="22">
        <f>24992+11786.29</f>
        <v>36778.29</v>
      </c>
    </row>
    <row r="18" spans="1:6" x14ac:dyDescent="0.35">
      <c r="A18" s="1">
        <f t="shared" si="0"/>
        <v>17</v>
      </c>
      <c r="B18" t="s">
        <v>621</v>
      </c>
      <c r="F18" s="61">
        <v>37588</v>
      </c>
    </row>
    <row r="19" spans="1:6" x14ac:dyDescent="0.35">
      <c r="A19" s="1">
        <f t="shared" si="0"/>
        <v>18</v>
      </c>
      <c r="B19" t="s">
        <v>625</v>
      </c>
      <c r="F19" s="61">
        <v>78623</v>
      </c>
    </row>
    <row r="20" spans="1:6" x14ac:dyDescent="0.35">
      <c r="A20" s="1">
        <f t="shared" si="0"/>
        <v>19</v>
      </c>
      <c r="F20" s="22"/>
    </row>
    <row r="21" spans="1:6" ht="13.9" thickBot="1" x14ac:dyDescent="0.4">
      <c r="A21" s="1">
        <f t="shared" si="0"/>
        <v>20</v>
      </c>
      <c r="B21" t="s">
        <v>622</v>
      </c>
      <c r="F21" s="60">
        <f>SUM(F14:F19)</f>
        <v>279461.29000000004</v>
      </c>
    </row>
    <row r="22" spans="1:6" ht="13.9" thickTop="1" x14ac:dyDescent="0.35">
      <c r="A22" s="1">
        <f t="shared" si="0"/>
        <v>21</v>
      </c>
      <c r="F22" s="22"/>
    </row>
    <row r="23" spans="1:6" ht="13.9" thickBot="1" x14ac:dyDescent="0.4">
      <c r="A23" s="1">
        <f t="shared" si="0"/>
        <v>22</v>
      </c>
      <c r="B23" t="s">
        <v>623</v>
      </c>
      <c r="F23" s="60">
        <f>-ROUND(F21,0)</f>
        <v>-279461</v>
      </c>
    </row>
    <row r="24" spans="1:6" ht="13.9" thickTop="1" x14ac:dyDescent="0.35">
      <c r="A24" s="1">
        <f t="shared" si="0"/>
        <v>23</v>
      </c>
      <c r="F24" s="22"/>
    </row>
    <row r="25" spans="1:6" x14ac:dyDescent="0.35">
      <c r="A25" s="1">
        <f t="shared" si="0"/>
        <v>24</v>
      </c>
      <c r="F25" s="22"/>
    </row>
  </sheetData>
  <mergeCells count="2">
    <mergeCell ref="B3:G3"/>
    <mergeCell ref="B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6"/>
  <sheetViews>
    <sheetView zoomScale="80" zoomScaleNormal="80" workbookViewId="0">
      <selection activeCell="B2" sqref="B2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606</v>
      </c>
    </row>
    <row r="3" spans="1:7" ht="13.9" x14ac:dyDescent="0.4">
      <c r="A3" s="1">
        <f t="shared" ref="A3:A26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650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651</v>
      </c>
    </row>
    <row r="8" spans="1:7" x14ac:dyDescent="0.35">
      <c r="A8" s="1">
        <f t="shared" si="0"/>
        <v>7</v>
      </c>
      <c r="B8" t="s">
        <v>652</v>
      </c>
    </row>
    <row r="9" spans="1:7" x14ac:dyDescent="0.35">
      <c r="A9" s="1">
        <f t="shared" si="0"/>
        <v>8</v>
      </c>
      <c r="B9" t="s">
        <v>653</v>
      </c>
    </row>
    <row r="10" spans="1:7" x14ac:dyDescent="0.35">
      <c r="A10" s="1">
        <f t="shared" si="0"/>
        <v>9</v>
      </c>
      <c r="B10" t="s">
        <v>654</v>
      </c>
    </row>
    <row r="11" spans="1:7" x14ac:dyDescent="0.35">
      <c r="A11" s="1">
        <f t="shared" si="0"/>
        <v>10</v>
      </c>
      <c r="B11" t="s">
        <v>655</v>
      </c>
    </row>
    <row r="12" spans="1:7" x14ac:dyDescent="0.35">
      <c r="A12" s="1">
        <f t="shared" si="0"/>
        <v>11</v>
      </c>
    </row>
    <row r="13" spans="1:7" x14ac:dyDescent="0.35">
      <c r="A13" s="1">
        <f t="shared" si="0"/>
        <v>12</v>
      </c>
      <c r="B13" t="s">
        <v>664</v>
      </c>
    </row>
    <row r="14" spans="1:7" x14ac:dyDescent="0.35">
      <c r="A14" s="1">
        <f t="shared" si="0"/>
        <v>13</v>
      </c>
      <c r="B14" t="s">
        <v>659</v>
      </c>
      <c r="E14" s="59">
        <v>29990.7</v>
      </c>
    </row>
    <row r="15" spans="1:7" x14ac:dyDescent="0.35">
      <c r="A15" s="1">
        <f t="shared" si="0"/>
        <v>14</v>
      </c>
      <c r="B15" t="s">
        <v>656</v>
      </c>
    </row>
    <row r="16" spans="1:7" x14ac:dyDescent="0.35">
      <c r="A16" s="1">
        <f t="shared" si="0"/>
        <v>15</v>
      </c>
      <c r="B16" t="s">
        <v>665</v>
      </c>
      <c r="E16" s="22">
        <v>6837.51</v>
      </c>
    </row>
    <row r="17" spans="1:5" x14ac:dyDescent="0.35">
      <c r="A17" s="1">
        <f t="shared" si="0"/>
        <v>16</v>
      </c>
      <c r="B17" t="s">
        <v>657</v>
      </c>
      <c r="E17" s="22">
        <v>745.62</v>
      </c>
    </row>
    <row r="18" spans="1:5" x14ac:dyDescent="0.35">
      <c r="A18" s="1">
        <f t="shared" si="0"/>
        <v>17</v>
      </c>
      <c r="B18" t="s">
        <v>658</v>
      </c>
      <c r="E18" s="22">
        <v>10100</v>
      </c>
    </row>
    <row r="19" spans="1:5" x14ac:dyDescent="0.35">
      <c r="A19" s="1">
        <f t="shared" si="0"/>
        <v>18</v>
      </c>
      <c r="B19" t="s">
        <v>659</v>
      </c>
      <c r="E19" s="59">
        <v>18500</v>
      </c>
    </row>
    <row r="20" spans="1:5" x14ac:dyDescent="0.35">
      <c r="A20" s="1">
        <f t="shared" si="0"/>
        <v>19</v>
      </c>
      <c r="B20" t="s">
        <v>660</v>
      </c>
      <c r="E20" s="62">
        <f>SUM(E16:E19)</f>
        <v>36183.130000000005</v>
      </c>
    </row>
    <row r="21" spans="1:5" x14ac:dyDescent="0.35">
      <c r="A21" s="1">
        <f t="shared" si="0"/>
        <v>20</v>
      </c>
      <c r="E21" s="22"/>
    </row>
    <row r="22" spans="1:5" ht="13.9" thickBot="1" x14ac:dyDescent="0.4">
      <c r="A22" s="1">
        <f t="shared" si="0"/>
        <v>21</v>
      </c>
      <c r="B22" t="s">
        <v>666</v>
      </c>
      <c r="E22" s="60">
        <f>E14+E20</f>
        <v>66173.83</v>
      </c>
    </row>
    <row r="23" spans="1:5" ht="13.9" thickTop="1" x14ac:dyDescent="0.35">
      <c r="A23" s="1">
        <f t="shared" si="0"/>
        <v>22</v>
      </c>
      <c r="E23" s="22"/>
    </row>
    <row r="24" spans="1:5" x14ac:dyDescent="0.35">
      <c r="A24" s="1">
        <f t="shared" si="0"/>
        <v>23</v>
      </c>
      <c r="B24" t="s">
        <v>605</v>
      </c>
      <c r="E24" s="61"/>
    </row>
    <row r="25" spans="1:5" x14ac:dyDescent="0.35">
      <c r="A25" s="1">
        <f t="shared" si="0"/>
        <v>24</v>
      </c>
      <c r="B25" t="s">
        <v>667</v>
      </c>
      <c r="E25" s="22">
        <f>ROUND(-E14,0)</f>
        <v>-29991</v>
      </c>
    </row>
    <row r="26" spans="1:5" x14ac:dyDescent="0.35">
      <c r="A26" s="1">
        <f t="shared" si="0"/>
        <v>25</v>
      </c>
      <c r="B26" t="s">
        <v>668</v>
      </c>
      <c r="E26" s="22">
        <f>ROUND(-E20,0)</f>
        <v>-36183</v>
      </c>
    </row>
  </sheetData>
  <mergeCells count="2">
    <mergeCell ref="B3:G3"/>
    <mergeCell ref="B4:G4"/>
  </mergeCells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2"/>
  <sheetViews>
    <sheetView zoomScale="80" zoomScaleNormal="80" workbookViewId="0">
      <selection activeCell="B23" sqref="B23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628</v>
      </c>
    </row>
    <row r="3" spans="1:7" ht="13.9" x14ac:dyDescent="0.4">
      <c r="A3" s="1">
        <f t="shared" ref="A3:A22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661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662</v>
      </c>
    </row>
    <row r="8" spans="1:7" x14ac:dyDescent="0.35">
      <c r="A8" s="1">
        <f t="shared" si="0"/>
        <v>7</v>
      </c>
      <c r="B8" t="s">
        <v>669</v>
      </c>
    </row>
    <row r="9" spans="1:7" x14ac:dyDescent="0.35">
      <c r="A9" s="1">
        <f t="shared" si="0"/>
        <v>8</v>
      </c>
      <c r="B9" t="s">
        <v>670</v>
      </c>
      <c r="F9" s="22"/>
      <c r="G9" s="22">
        <v>4800</v>
      </c>
    </row>
    <row r="10" spans="1:7" x14ac:dyDescent="0.35">
      <c r="A10" s="1">
        <f t="shared" si="0"/>
        <v>9</v>
      </c>
      <c r="B10" t="s">
        <v>671</v>
      </c>
      <c r="F10" s="22"/>
      <c r="G10" s="22"/>
    </row>
    <row r="11" spans="1:7" x14ac:dyDescent="0.35">
      <c r="A11" s="1">
        <f t="shared" si="0"/>
        <v>10</v>
      </c>
      <c r="B11" t="s">
        <v>672</v>
      </c>
      <c r="F11" s="22">
        <v>867.74</v>
      </c>
      <c r="G11" s="22"/>
    </row>
    <row r="12" spans="1:7" x14ac:dyDescent="0.35">
      <c r="A12" s="1">
        <f t="shared" si="0"/>
        <v>11</v>
      </c>
      <c r="B12" t="s">
        <v>673</v>
      </c>
      <c r="F12" s="22">
        <v>54700</v>
      </c>
      <c r="G12" s="22"/>
    </row>
    <row r="13" spans="1:7" x14ac:dyDescent="0.35">
      <c r="A13" s="1">
        <f t="shared" si="0"/>
        <v>12</v>
      </c>
      <c r="B13" t="s">
        <v>674</v>
      </c>
      <c r="F13" s="22">
        <v>4909.8</v>
      </c>
      <c r="G13" s="22"/>
    </row>
    <row r="14" spans="1:7" x14ac:dyDescent="0.35">
      <c r="A14" s="1">
        <f t="shared" si="0"/>
        <v>13</v>
      </c>
      <c r="B14" t="s">
        <v>675</v>
      </c>
      <c r="F14" s="22">
        <v>6308.18</v>
      </c>
      <c r="G14" s="22"/>
    </row>
    <row r="15" spans="1:7" x14ac:dyDescent="0.35">
      <c r="A15" s="1">
        <f t="shared" si="0"/>
        <v>14</v>
      </c>
      <c r="B15" t="s">
        <v>676</v>
      </c>
      <c r="F15" s="22">
        <v>4152.96</v>
      </c>
      <c r="G15" s="22"/>
    </row>
    <row r="16" spans="1:7" x14ac:dyDescent="0.35">
      <c r="A16" s="1">
        <f t="shared" si="0"/>
        <v>15</v>
      </c>
      <c r="B16" t="s">
        <v>677</v>
      </c>
      <c r="F16" s="59">
        <v>1698</v>
      </c>
      <c r="G16" s="59">
        <f>SUM(F11:F16)</f>
        <v>72636.680000000008</v>
      </c>
    </row>
    <row r="17" spans="1:7" x14ac:dyDescent="0.35">
      <c r="A17" s="1">
        <f t="shared" si="0"/>
        <v>16</v>
      </c>
      <c r="F17" s="22"/>
      <c r="G17" s="22"/>
    </row>
    <row r="18" spans="1:7" ht="13.9" thickBot="1" x14ac:dyDescent="0.4">
      <c r="A18" s="1">
        <f t="shared" si="0"/>
        <v>17</v>
      </c>
      <c r="B18" t="s">
        <v>678</v>
      </c>
      <c r="F18" s="22"/>
      <c r="G18" s="60">
        <f>G16-G9</f>
        <v>67836.680000000008</v>
      </c>
    </row>
    <row r="19" spans="1:7" ht="13.9" thickTop="1" x14ac:dyDescent="0.35">
      <c r="A19" s="1">
        <f t="shared" si="0"/>
        <v>18</v>
      </c>
      <c r="F19" s="22"/>
    </row>
    <row r="20" spans="1:7" ht="13.9" thickBot="1" x14ac:dyDescent="0.4">
      <c r="A20" s="1">
        <f t="shared" si="0"/>
        <v>19</v>
      </c>
      <c r="B20" t="s">
        <v>605</v>
      </c>
      <c r="F20" s="22"/>
      <c r="G20" s="60">
        <f>ROUND(-G18,0)</f>
        <v>-67837</v>
      </c>
    </row>
    <row r="21" spans="1:7" ht="13.9" thickTop="1" x14ac:dyDescent="0.35">
      <c r="A21" s="1">
        <f t="shared" si="0"/>
        <v>20</v>
      </c>
    </row>
    <row r="22" spans="1:7" x14ac:dyDescent="0.35">
      <c r="A22" s="1">
        <f t="shared" si="0"/>
        <v>21</v>
      </c>
      <c r="B22" t="s">
        <v>952</v>
      </c>
    </row>
  </sheetData>
  <mergeCells count="2">
    <mergeCell ref="B3:G3"/>
    <mergeCell ref="B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0"/>
  <sheetViews>
    <sheetView zoomScale="80" zoomScaleNormal="80" workbookViewId="0">
      <selection activeCell="B8" sqref="B8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627</v>
      </c>
    </row>
    <row r="3" spans="1:7" ht="13.9" x14ac:dyDescent="0.4">
      <c r="A3" s="1">
        <f t="shared" ref="A3:A20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644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942</v>
      </c>
    </row>
    <row r="8" spans="1:7" x14ac:dyDescent="0.35">
      <c r="A8" s="1">
        <f t="shared" si="0"/>
        <v>7</v>
      </c>
    </row>
    <row r="9" spans="1:7" x14ac:dyDescent="0.35">
      <c r="A9" s="1">
        <f t="shared" si="0"/>
        <v>8</v>
      </c>
    </row>
    <row r="10" spans="1:7" x14ac:dyDescent="0.35">
      <c r="A10" s="1">
        <f t="shared" si="0"/>
        <v>9</v>
      </c>
      <c r="B10" t="s">
        <v>637</v>
      </c>
    </row>
    <row r="11" spans="1:7" x14ac:dyDescent="0.35">
      <c r="A11" s="1">
        <f t="shared" si="0"/>
        <v>10</v>
      </c>
      <c r="B11" t="s">
        <v>638</v>
      </c>
      <c r="E11" s="7">
        <v>160655.84</v>
      </c>
    </row>
    <row r="12" spans="1:7" x14ac:dyDescent="0.35">
      <c r="A12" s="1">
        <f t="shared" si="0"/>
        <v>11</v>
      </c>
      <c r="B12" t="s">
        <v>639</v>
      </c>
      <c r="E12" s="7"/>
    </row>
    <row r="13" spans="1:7" x14ac:dyDescent="0.35">
      <c r="A13" s="1">
        <f t="shared" si="0"/>
        <v>12</v>
      </c>
      <c r="B13" t="s">
        <v>640</v>
      </c>
      <c r="E13" s="7"/>
    </row>
    <row r="14" spans="1:7" x14ac:dyDescent="0.35">
      <c r="A14" s="1">
        <f t="shared" si="0"/>
        <v>13</v>
      </c>
      <c r="B14" t="s">
        <v>645</v>
      </c>
      <c r="E14" s="9">
        <v>0</v>
      </c>
    </row>
    <row r="15" spans="1:7" x14ac:dyDescent="0.35">
      <c r="A15" s="1">
        <f t="shared" si="0"/>
        <v>14</v>
      </c>
      <c r="E15" s="7"/>
    </row>
    <row r="16" spans="1:7" ht="13.9" thickBot="1" x14ac:dyDescent="0.4">
      <c r="A16" s="1">
        <f t="shared" si="0"/>
        <v>15</v>
      </c>
      <c r="B16" t="s">
        <v>641</v>
      </c>
      <c r="E16" s="11">
        <f>SUM(E11:E14)</f>
        <v>160655.84</v>
      </c>
    </row>
    <row r="17" spans="1:5" ht="13.9" thickTop="1" x14ac:dyDescent="0.35">
      <c r="A17" s="1">
        <f t="shared" si="0"/>
        <v>16</v>
      </c>
      <c r="E17" s="15"/>
    </row>
    <row r="18" spans="1:5" ht="13.9" thickBot="1" x14ac:dyDescent="0.4">
      <c r="A18" s="1">
        <f t="shared" si="0"/>
        <v>17</v>
      </c>
      <c r="B18" t="s">
        <v>642</v>
      </c>
      <c r="E18" s="11">
        <f>-E16</f>
        <v>-160655.84</v>
      </c>
    </row>
    <row r="19" spans="1:5" ht="13.9" thickTop="1" x14ac:dyDescent="0.35">
      <c r="A19" s="1">
        <f t="shared" si="0"/>
        <v>18</v>
      </c>
    </row>
    <row r="20" spans="1:5" x14ac:dyDescent="0.35">
      <c r="A20" s="1">
        <f t="shared" si="0"/>
        <v>19</v>
      </c>
    </row>
  </sheetData>
  <mergeCells count="2">
    <mergeCell ref="B3:G3"/>
    <mergeCell ref="B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0"/>
  <sheetViews>
    <sheetView zoomScale="80" zoomScaleNormal="80" workbookViewId="0">
      <selection activeCell="B2" sqref="B2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848</v>
      </c>
    </row>
    <row r="3" spans="1:7" ht="13.9" x14ac:dyDescent="0.4">
      <c r="A3" s="1">
        <f t="shared" ref="A3:A18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604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607</v>
      </c>
    </row>
    <row r="8" spans="1:7" x14ac:dyDescent="0.35">
      <c r="A8" s="1">
        <f t="shared" si="0"/>
        <v>7</v>
      </c>
    </row>
    <row r="9" spans="1:7" x14ac:dyDescent="0.35">
      <c r="A9" s="1">
        <f t="shared" si="0"/>
        <v>8</v>
      </c>
      <c r="B9" t="s">
        <v>608</v>
      </c>
      <c r="F9" s="22">
        <v>91465.02</v>
      </c>
    </row>
    <row r="10" spans="1:7" x14ac:dyDescent="0.35">
      <c r="A10" s="1">
        <f t="shared" si="0"/>
        <v>9</v>
      </c>
      <c r="B10" t="s">
        <v>609</v>
      </c>
      <c r="F10" s="22">
        <v>50000.01</v>
      </c>
    </row>
    <row r="11" spans="1:7" x14ac:dyDescent="0.35">
      <c r="A11" s="1">
        <f t="shared" si="0"/>
        <v>10</v>
      </c>
      <c r="B11" t="s">
        <v>610</v>
      </c>
      <c r="F11" s="22">
        <v>5523.49</v>
      </c>
    </row>
    <row r="12" spans="1:7" x14ac:dyDescent="0.35">
      <c r="A12" s="1">
        <f t="shared" si="0"/>
        <v>11</v>
      </c>
      <c r="B12" t="s">
        <v>611</v>
      </c>
      <c r="F12" s="59">
        <v>12251.71</v>
      </c>
    </row>
    <row r="13" spans="1:7" x14ac:dyDescent="0.35">
      <c r="A13" s="1">
        <f t="shared" si="0"/>
        <v>12</v>
      </c>
      <c r="F13" s="22"/>
    </row>
    <row r="14" spans="1:7" ht="13.9" thickBot="1" x14ac:dyDescent="0.4">
      <c r="A14" s="1">
        <f t="shared" si="0"/>
        <v>13</v>
      </c>
      <c r="B14" t="s">
        <v>612</v>
      </c>
      <c r="F14" s="60">
        <f>SUM(F9:F12)</f>
        <v>159240.22999999998</v>
      </c>
    </row>
    <row r="15" spans="1:7" ht="13.9" thickTop="1" x14ac:dyDescent="0.35">
      <c r="A15" s="1">
        <f t="shared" si="0"/>
        <v>14</v>
      </c>
      <c r="F15" s="22"/>
    </row>
    <row r="16" spans="1:7" x14ac:dyDescent="0.35">
      <c r="A16" s="1">
        <f t="shared" si="0"/>
        <v>15</v>
      </c>
      <c r="B16" t="s">
        <v>646</v>
      </c>
      <c r="F16" s="61"/>
    </row>
    <row r="17" spans="1:6" x14ac:dyDescent="0.35">
      <c r="A17" s="1">
        <f t="shared" si="0"/>
        <v>16</v>
      </c>
      <c r="B17" t="s">
        <v>647</v>
      </c>
      <c r="F17" s="22">
        <f>ROUND(-SUM(F9:F11),0)</f>
        <v>-146989</v>
      </c>
    </row>
    <row r="18" spans="1:6" x14ac:dyDescent="0.35">
      <c r="A18" s="1">
        <f t="shared" si="0"/>
        <v>17</v>
      </c>
      <c r="B18" t="s">
        <v>648</v>
      </c>
      <c r="F18" s="59">
        <f>ROUND(-F12,0)</f>
        <v>-12252</v>
      </c>
    </row>
    <row r="19" spans="1:6" ht="13.9" thickBot="1" x14ac:dyDescent="0.4">
      <c r="F19" s="63">
        <f>F17+F18</f>
        <v>-159241</v>
      </c>
    </row>
    <row r="20" spans="1:6" ht="13.9" thickTop="1" x14ac:dyDescent="0.35"/>
  </sheetData>
  <mergeCells count="2">
    <mergeCell ref="B3:G3"/>
    <mergeCell ref="B4:G4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0"/>
  <sheetViews>
    <sheetView zoomScale="80" zoomScaleNormal="80" workbookViewId="0">
      <selection activeCell="B3" sqref="B3:G3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573</v>
      </c>
    </row>
    <row r="3" spans="1:7" ht="13.9" x14ac:dyDescent="0.4">
      <c r="A3" s="1">
        <f t="shared" ref="A3:A20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629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630</v>
      </c>
    </row>
    <row r="8" spans="1:7" x14ac:dyDescent="0.35">
      <c r="A8" s="1">
        <f t="shared" si="0"/>
        <v>7</v>
      </c>
    </row>
    <row r="9" spans="1:7" x14ac:dyDescent="0.35">
      <c r="A9" s="1">
        <f t="shared" si="0"/>
        <v>8</v>
      </c>
      <c r="B9" t="s">
        <v>631</v>
      </c>
      <c r="F9" s="59">
        <v>416400</v>
      </c>
    </row>
    <row r="10" spans="1:7" x14ac:dyDescent="0.35">
      <c r="A10" s="1">
        <f t="shared" si="0"/>
        <v>9</v>
      </c>
      <c r="F10" s="22"/>
    </row>
    <row r="11" spans="1:7" x14ac:dyDescent="0.35">
      <c r="A11" s="1">
        <f t="shared" si="0"/>
        <v>10</v>
      </c>
      <c r="B11" t="s">
        <v>632</v>
      </c>
      <c r="F11" s="22"/>
    </row>
    <row r="12" spans="1:7" x14ac:dyDescent="0.35">
      <c r="A12" s="1">
        <f t="shared" si="0"/>
        <v>11</v>
      </c>
      <c r="B12" t="s">
        <v>633</v>
      </c>
      <c r="F12" s="22">
        <v>10341.129999999999</v>
      </c>
    </row>
    <row r="13" spans="1:7" x14ac:dyDescent="0.35">
      <c r="A13" s="1">
        <f t="shared" si="0"/>
        <v>12</v>
      </c>
      <c r="B13" t="s">
        <v>634</v>
      </c>
      <c r="F13" s="59">
        <v>21421.759999999998</v>
      </c>
    </row>
    <row r="14" spans="1:7" x14ac:dyDescent="0.35">
      <c r="A14" s="1">
        <f t="shared" si="0"/>
        <v>13</v>
      </c>
      <c r="F14" s="62">
        <f>F12+F13</f>
        <v>31762.89</v>
      </c>
    </row>
    <row r="15" spans="1:7" x14ac:dyDescent="0.35">
      <c r="A15" s="1">
        <f t="shared" si="0"/>
        <v>14</v>
      </c>
      <c r="F15" s="22"/>
    </row>
    <row r="16" spans="1:7" ht="13.9" thickBot="1" x14ac:dyDescent="0.4">
      <c r="A16" s="1">
        <f t="shared" si="0"/>
        <v>15</v>
      </c>
      <c r="B16" t="s">
        <v>635</v>
      </c>
      <c r="F16" s="60">
        <f>F9+F14</f>
        <v>448162.89</v>
      </c>
    </row>
    <row r="17" spans="1:6" ht="13.9" thickTop="1" x14ac:dyDescent="0.35">
      <c r="A17" s="1">
        <f t="shared" si="0"/>
        <v>16</v>
      </c>
      <c r="F17" s="22"/>
    </row>
    <row r="18" spans="1:6" ht="13.9" thickBot="1" x14ac:dyDescent="0.4">
      <c r="A18" s="1">
        <f t="shared" si="0"/>
        <v>17</v>
      </c>
      <c r="B18" t="s">
        <v>605</v>
      </c>
      <c r="F18" s="60">
        <f>ROUND(-F16,0)</f>
        <v>-448163</v>
      </c>
    </row>
    <row r="19" spans="1:6" ht="13.9" thickTop="1" x14ac:dyDescent="0.35">
      <c r="A19" s="1">
        <f t="shared" si="0"/>
        <v>18</v>
      </c>
      <c r="F19" s="22"/>
    </row>
    <row r="20" spans="1:6" x14ac:dyDescent="0.35">
      <c r="A20" s="1">
        <f t="shared" si="0"/>
        <v>19</v>
      </c>
    </row>
  </sheetData>
  <mergeCells count="2">
    <mergeCell ref="B3:G3"/>
    <mergeCell ref="B4:G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9"/>
  <sheetViews>
    <sheetView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defaultColWidth="15.625" defaultRowHeight="13.5" x14ac:dyDescent="0.35"/>
  <cols>
    <col min="1" max="1" width="4.625" customWidth="1"/>
    <col min="2" max="2" width="46" customWidth="1"/>
  </cols>
  <sheetData>
    <row r="1" spans="1:33" x14ac:dyDescent="0.35">
      <c r="A1" s="1">
        <v>0</v>
      </c>
      <c r="B1" t="str">
        <f>'Ex 1 Adjust-Rev Inc'!B1</f>
        <v>ISS Exhibit 1 - Schedules 1.00-1.30 FINAL REV 03-08.xlsx</v>
      </c>
    </row>
    <row r="2" spans="1:33" ht="13.9" x14ac:dyDescent="0.4">
      <c r="A2" s="1">
        <f>A1+1</f>
        <v>1</v>
      </c>
      <c r="D2" s="4" t="s">
        <v>59</v>
      </c>
    </row>
    <row r="3" spans="1:33" ht="13.9" x14ac:dyDescent="0.4">
      <c r="A3" s="1">
        <f t="shared" ref="A3:A51" si="0">A2+1</f>
        <v>2</v>
      </c>
      <c r="B3" s="6" t="s">
        <v>8</v>
      </c>
    </row>
    <row r="4" spans="1:33" ht="13.9" x14ac:dyDescent="0.4">
      <c r="A4" s="1">
        <f t="shared" si="0"/>
        <v>3</v>
      </c>
      <c r="B4" s="6" t="s">
        <v>60</v>
      </c>
    </row>
    <row r="5" spans="1:33" ht="13.9" x14ac:dyDescent="0.4">
      <c r="A5" s="1">
        <f t="shared" si="0"/>
        <v>4</v>
      </c>
      <c r="B5" s="6" t="s">
        <v>61</v>
      </c>
    </row>
    <row r="6" spans="1:33" x14ac:dyDescent="0.35">
      <c r="A6" s="1">
        <f t="shared" si="0"/>
        <v>5</v>
      </c>
    </row>
    <row r="7" spans="1:33" x14ac:dyDescent="0.35">
      <c r="A7" s="1">
        <f t="shared" si="0"/>
        <v>6</v>
      </c>
      <c r="C7" s="5" t="s">
        <v>62</v>
      </c>
      <c r="D7" s="5" t="s">
        <v>63</v>
      </c>
      <c r="E7" s="5" t="s">
        <v>64</v>
      </c>
      <c r="F7" s="5" t="s">
        <v>65</v>
      </c>
      <c r="G7" s="64" t="s">
        <v>66</v>
      </c>
      <c r="H7" s="95" t="s">
        <v>67</v>
      </c>
      <c r="I7" s="16" t="s">
        <v>68</v>
      </c>
      <c r="J7" s="16" t="s">
        <v>912</v>
      </c>
      <c r="K7" s="16" t="s">
        <v>83</v>
      </c>
      <c r="L7" s="87" t="s">
        <v>85</v>
      </c>
      <c r="M7" s="89" t="s">
        <v>87</v>
      </c>
      <c r="N7" s="16" t="s">
        <v>90</v>
      </c>
      <c r="O7" s="5" t="s">
        <v>92</v>
      </c>
      <c r="P7" s="5" t="s">
        <v>95</v>
      </c>
      <c r="Q7" s="5" t="s">
        <v>99</v>
      </c>
      <c r="R7" s="5" t="s">
        <v>101</v>
      </c>
      <c r="S7" s="5" t="s">
        <v>105</v>
      </c>
      <c r="T7" s="5" t="s">
        <v>913</v>
      </c>
      <c r="U7" s="5" t="s">
        <v>110</v>
      </c>
      <c r="V7" s="5" t="s">
        <v>113</v>
      </c>
      <c r="W7" s="16" t="s">
        <v>114</v>
      </c>
      <c r="X7" s="89" t="s">
        <v>115</v>
      </c>
      <c r="Y7" s="16" t="s">
        <v>116</v>
      </c>
      <c r="Z7" s="16" t="s">
        <v>120</v>
      </c>
      <c r="AA7" s="5" t="s">
        <v>123</v>
      </c>
      <c r="AB7" s="16" t="s">
        <v>567</v>
      </c>
      <c r="AC7" s="5" t="s">
        <v>822</v>
      </c>
      <c r="AD7" s="51" t="s">
        <v>914</v>
      </c>
      <c r="AE7" s="5" t="s">
        <v>915</v>
      </c>
      <c r="AG7" s="16" t="s">
        <v>916</v>
      </c>
    </row>
    <row r="8" spans="1:33" x14ac:dyDescent="0.35">
      <c r="A8" s="1">
        <f t="shared" si="0"/>
        <v>7</v>
      </c>
      <c r="C8" s="5"/>
      <c r="D8" s="5" t="s">
        <v>69</v>
      </c>
      <c r="E8" s="5" t="s">
        <v>89</v>
      </c>
      <c r="F8" s="5" t="s">
        <v>76</v>
      </c>
      <c r="G8" s="64" t="s">
        <v>76</v>
      </c>
      <c r="H8" s="95" t="s">
        <v>593</v>
      </c>
      <c r="I8" s="16" t="s">
        <v>76</v>
      </c>
      <c r="J8" s="16" t="s">
        <v>76</v>
      </c>
      <c r="K8" s="16" t="s">
        <v>76</v>
      </c>
      <c r="L8" s="87" t="s">
        <v>877</v>
      </c>
      <c r="M8" s="89" t="s">
        <v>593</v>
      </c>
      <c r="N8" s="16" t="s">
        <v>69</v>
      </c>
      <c r="O8" s="5" t="s">
        <v>69</v>
      </c>
      <c r="P8" s="5" t="s">
        <v>69</v>
      </c>
      <c r="Q8" s="5"/>
      <c r="R8" s="5" t="s">
        <v>69</v>
      </c>
      <c r="S8" s="5" t="s">
        <v>69</v>
      </c>
      <c r="T8" s="5" t="s">
        <v>69</v>
      </c>
      <c r="U8" s="5" t="s">
        <v>76</v>
      </c>
      <c r="V8" s="5" t="s">
        <v>96</v>
      </c>
      <c r="W8" s="16" t="s">
        <v>96</v>
      </c>
      <c r="X8" s="89" t="s">
        <v>96</v>
      </c>
      <c r="Y8" s="16" t="s">
        <v>117</v>
      </c>
      <c r="Z8" s="16" t="s">
        <v>76</v>
      </c>
      <c r="AA8" s="5" t="s">
        <v>76</v>
      </c>
      <c r="AB8" s="16" t="s">
        <v>96</v>
      </c>
      <c r="AC8" s="5" t="s">
        <v>96</v>
      </c>
      <c r="AD8" s="51" t="s">
        <v>69</v>
      </c>
      <c r="AE8" s="5" t="s">
        <v>76</v>
      </c>
      <c r="AF8" s="16" t="s">
        <v>104</v>
      </c>
      <c r="AG8" s="16" t="s">
        <v>2</v>
      </c>
    </row>
    <row r="9" spans="1:33" x14ac:dyDescent="0.35">
      <c r="A9" s="1">
        <f t="shared" si="0"/>
        <v>8</v>
      </c>
      <c r="C9" s="5" t="s">
        <v>69</v>
      </c>
      <c r="D9" s="5" t="s">
        <v>71</v>
      </c>
      <c r="E9" s="5" t="s">
        <v>73</v>
      </c>
      <c r="F9" s="5" t="s">
        <v>77</v>
      </c>
      <c r="G9" s="64" t="s">
        <v>93</v>
      </c>
      <c r="H9" s="95" t="s">
        <v>793</v>
      </c>
      <c r="I9" s="16" t="s">
        <v>107</v>
      </c>
      <c r="J9" s="16" t="s">
        <v>108</v>
      </c>
      <c r="K9" s="16" t="s">
        <v>904</v>
      </c>
      <c r="L9" s="87" t="s">
        <v>111</v>
      </c>
      <c r="M9" s="89" t="s">
        <v>910</v>
      </c>
      <c r="N9" s="16" t="s">
        <v>121</v>
      </c>
      <c r="O9" s="5" t="s">
        <v>74</v>
      </c>
      <c r="P9" s="5" t="s">
        <v>79</v>
      </c>
      <c r="Q9" s="5" t="s">
        <v>69</v>
      </c>
      <c r="R9" s="5" t="s">
        <v>82</v>
      </c>
      <c r="S9" s="5" t="s">
        <v>84</v>
      </c>
      <c r="T9" s="5" t="s">
        <v>925</v>
      </c>
      <c r="U9" s="5" t="s">
        <v>88</v>
      </c>
      <c r="V9" s="5" t="s">
        <v>91</v>
      </c>
      <c r="W9" s="16" t="s">
        <v>98</v>
      </c>
      <c r="X9" s="89" t="s">
        <v>901</v>
      </c>
      <c r="Y9" s="16" t="s">
        <v>118</v>
      </c>
      <c r="Z9" s="16" t="s">
        <v>177</v>
      </c>
      <c r="AA9" s="5" t="s">
        <v>739</v>
      </c>
      <c r="AB9" s="16" t="s">
        <v>745</v>
      </c>
      <c r="AC9" s="5" t="s">
        <v>100</v>
      </c>
      <c r="AD9" s="51" t="s">
        <v>565</v>
      </c>
      <c r="AE9" s="5" t="s">
        <v>102</v>
      </c>
      <c r="AF9" s="16" t="s">
        <v>4</v>
      </c>
      <c r="AG9" s="16" t="s">
        <v>106</v>
      </c>
    </row>
    <row r="10" spans="1:33" ht="13.9" thickBot="1" x14ac:dyDescent="0.4">
      <c r="A10" s="1">
        <f t="shared" si="0"/>
        <v>9</v>
      </c>
      <c r="B10" s="3" t="s">
        <v>10</v>
      </c>
      <c r="C10" s="3" t="s">
        <v>70</v>
      </c>
      <c r="D10" s="3" t="s">
        <v>72</v>
      </c>
      <c r="E10" s="3" t="s">
        <v>72</v>
      </c>
      <c r="F10" s="3" t="s">
        <v>78</v>
      </c>
      <c r="G10" s="65" t="s">
        <v>94</v>
      </c>
      <c r="H10" s="96" t="s">
        <v>794</v>
      </c>
      <c r="I10" s="3" t="s">
        <v>78</v>
      </c>
      <c r="J10" s="3" t="s">
        <v>109</v>
      </c>
      <c r="K10" s="3" t="s">
        <v>177</v>
      </c>
      <c r="L10" s="88" t="s">
        <v>112</v>
      </c>
      <c r="M10" s="90" t="s">
        <v>911</v>
      </c>
      <c r="N10" s="3" t="s">
        <v>122</v>
      </c>
      <c r="O10" s="3" t="s">
        <v>75</v>
      </c>
      <c r="P10" s="3" t="s">
        <v>80</v>
      </c>
      <c r="Q10" s="3" t="s">
        <v>81</v>
      </c>
      <c r="R10" s="3" t="s">
        <v>80</v>
      </c>
      <c r="S10" s="3" t="s">
        <v>626</v>
      </c>
      <c r="T10" s="3" t="s">
        <v>926</v>
      </c>
      <c r="U10" s="3" t="s">
        <v>78</v>
      </c>
      <c r="V10" s="3" t="s">
        <v>97</v>
      </c>
      <c r="W10" s="3" t="s">
        <v>97</v>
      </c>
      <c r="X10" s="90" t="s">
        <v>902</v>
      </c>
      <c r="Y10" s="3" t="s">
        <v>119</v>
      </c>
      <c r="Z10" s="3" t="s">
        <v>80</v>
      </c>
      <c r="AA10" s="3" t="s">
        <v>80</v>
      </c>
      <c r="AB10" s="3" t="s">
        <v>746</v>
      </c>
      <c r="AC10" s="3" t="s">
        <v>80</v>
      </c>
      <c r="AD10" s="52" t="s">
        <v>566</v>
      </c>
      <c r="AE10" s="3" t="s">
        <v>103</v>
      </c>
      <c r="AF10" s="18" t="s">
        <v>3</v>
      </c>
      <c r="AG10" s="3" t="s">
        <v>5</v>
      </c>
    </row>
    <row r="11" spans="1:33" x14ac:dyDescent="0.35">
      <c r="A11" s="1">
        <f t="shared" si="0"/>
        <v>10</v>
      </c>
    </row>
    <row r="12" spans="1:33" x14ac:dyDescent="0.35">
      <c r="A12" s="1">
        <f t="shared" si="0"/>
        <v>11</v>
      </c>
      <c r="B12" t="s">
        <v>11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G12" s="7"/>
    </row>
    <row r="13" spans="1:33" x14ac:dyDescent="0.35">
      <c r="A13" s="1">
        <f t="shared" si="0"/>
        <v>12</v>
      </c>
      <c r="B13" t="s">
        <v>12</v>
      </c>
      <c r="C13" s="7">
        <f>'1.01 - FAC'!D92</f>
        <v>-300140808</v>
      </c>
      <c r="D13" s="7">
        <f>'1.02 - ES'!D80</f>
        <v>-114937206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f>'1.28 - Remove Bill Credits'!G14</f>
        <v>420000</v>
      </c>
      <c r="AE13" s="7"/>
      <c r="AF13" s="7">
        <f>SUM(C13:AE13)</f>
        <v>-414658014</v>
      </c>
      <c r="AG13" s="7">
        <f>'1.30 - Revenue Increase'!F27</f>
        <v>48983936.769999966</v>
      </c>
    </row>
    <row r="14" spans="1:33" x14ac:dyDescent="0.35">
      <c r="A14" s="1">
        <f t="shared" si="0"/>
        <v>13</v>
      </c>
      <c r="B14" t="s">
        <v>13</v>
      </c>
      <c r="C14" s="7"/>
      <c r="D14" s="7"/>
      <c r="E14" s="7">
        <f>'1.03 - ES Off-System'!F30</f>
        <v>-652665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>SUM(C14:AE14)</f>
        <v>-652665</v>
      </c>
      <c r="AG14" s="7"/>
    </row>
    <row r="15" spans="1:33" x14ac:dyDescent="0.35">
      <c r="A15" s="1">
        <f t="shared" si="0"/>
        <v>14</v>
      </c>
      <c r="B15" t="s">
        <v>14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>SUM(C15:AE15)</f>
        <v>0</v>
      </c>
      <c r="AG15" s="7"/>
    </row>
    <row r="16" spans="1:33" x14ac:dyDescent="0.35">
      <c r="A16" s="1">
        <f t="shared" si="0"/>
        <v>15</v>
      </c>
      <c r="B16" t="s">
        <v>15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>SUM(C16:AE16)</f>
        <v>0</v>
      </c>
      <c r="AG16" s="7"/>
    </row>
    <row r="17" spans="1:33" x14ac:dyDescent="0.35">
      <c r="A17" s="1">
        <f t="shared" si="0"/>
        <v>16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G17" s="7"/>
    </row>
    <row r="18" spans="1:33" x14ac:dyDescent="0.35">
      <c r="A18" s="1">
        <f t="shared" si="0"/>
        <v>17</v>
      </c>
      <c r="B18" t="s">
        <v>17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G18" s="7"/>
    </row>
    <row r="19" spans="1:33" x14ac:dyDescent="0.35">
      <c r="A19" s="1">
        <f t="shared" si="0"/>
        <v>18</v>
      </c>
      <c r="B19" t="s">
        <v>18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G19" s="7"/>
    </row>
    <row r="20" spans="1:33" x14ac:dyDescent="0.35">
      <c r="A20" s="1">
        <f t="shared" si="0"/>
        <v>19</v>
      </c>
      <c r="B20" t="s">
        <v>19</v>
      </c>
      <c r="C20" s="7">
        <f>'1.01 - FAC'!D95</f>
        <v>0</v>
      </c>
      <c r="D20" s="7">
        <f>'1.02 - ES'!D84</f>
        <v>-31248765</v>
      </c>
      <c r="E20" s="7"/>
      <c r="F20" s="7"/>
      <c r="G20" s="7"/>
      <c r="H20" s="7"/>
      <c r="I20" s="7">
        <f>'1.07 - Wages Salaries'!E45</f>
        <v>1500557</v>
      </c>
      <c r="J20" s="7">
        <f>'1.08 - Payroll Taxes'!E43</f>
        <v>178842</v>
      </c>
      <c r="K20" s="7">
        <f>'1.09 - Med Ins'!E42</f>
        <v>239245</v>
      </c>
      <c r="L20" s="7">
        <f>'1.10 - Benefits'!E41</f>
        <v>-506799</v>
      </c>
      <c r="M20" s="7">
        <f>'1.11 - Retiree Med Ins'!E39</f>
        <v>-604987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 t="shared" ref="AF20:AF29" si="1">SUM(C20:AE20)</f>
        <v>-30441907</v>
      </c>
      <c r="AG20" s="7"/>
    </row>
    <row r="21" spans="1:33" x14ac:dyDescent="0.35">
      <c r="A21" s="1">
        <f t="shared" si="0"/>
        <v>20</v>
      </c>
      <c r="B21" t="s">
        <v>20</v>
      </c>
      <c r="C21" s="7">
        <f>'1.01 - FAC'!D93</f>
        <v>-149244535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 t="shared" si="1"/>
        <v>-149244535</v>
      </c>
      <c r="AG21" s="7"/>
    </row>
    <row r="22" spans="1:33" x14ac:dyDescent="0.35">
      <c r="A22" s="1">
        <f t="shared" si="0"/>
        <v>21</v>
      </c>
      <c r="B22" t="s">
        <v>21</v>
      </c>
      <c r="C22" s="7">
        <f>'1.01 - FAC'!D94</f>
        <v>-150321787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f>'1.23 - Forced Outage High PP'!F29</f>
        <v>3444525</v>
      </c>
      <c r="Z22" s="7"/>
      <c r="AA22" s="7"/>
      <c r="AB22" s="7"/>
      <c r="AC22" s="7"/>
      <c r="AD22" s="7"/>
      <c r="AE22" s="7"/>
      <c r="AF22" s="7">
        <f t="shared" si="1"/>
        <v>-146877262</v>
      </c>
      <c r="AG22" s="7"/>
    </row>
    <row r="23" spans="1:33" x14ac:dyDescent="0.35">
      <c r="A23" s="1">
        <f t="shared" si="0"/>
        <v>22</v>
      </c>
      <c r="B23" t="s">
        <v>22</v>
      </c>
      <c r="C23" s="7"/>
      <c r="D23" s="7"/>
      <c r="E23" s="7"/>
      <c r="F23" s="7"/>
      <c r="G23" s="7"/>
      <c r="H23" s="7"/>
      <c r="I23" s="7">
        <f>'1.07 - Wages Salaries'!E46</f>
        <v>1120081</v>
      </c>
      <c r="J23" s="7">
        <f>'1.08 - Payroll Taxes'!E44</f>
        <v>98276</v>
      </c>
      <c r="K23" s="7">
        <f>'1.09 - Med Ins'!E43</f>
        <v>71803</v>
      </c>
      <c r="L23" s="7">
        <f>'1.10 - Benefits'!E42</f>
        <v>-150439</v>
      </c>
      <c r="M23" s="7">
        <f>'1.11 - Retiree Med Ins'!E40</f>
        <v>-179586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>
        <f>'1.25 - RTEP'!E44</f>
        <v>9343801</v>
      </c>
      <c r="AB23" s="7"/>
      <c r="AC23" s="7"/>
      <c r="AD23" s="7"/>
      <c r="AE23" s="7"/>
      <c r="AF23" s="7">
        <f t="shared" si="1"/>
        <v>10303936</v>
      </c>
      <c r="AG23" s="7"/>
    </row>
    <row r="24" spans="1:33" x14ac:dyDescent="0.35">
      <c r="A24" s="1">
        <f t="shared" si="0"/>
        <v>23</v>
      </c>
      <c r="B24" t="s">
        <v>23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f t="shared" si="1"/>
        <v>0</v>
      </c>
      <c r="AG24" s="7"/>
    </row>
    <row r="25" spans="1:33" x14ac:dyDescent="0.35">
      <c r="A25" s="1">
        <f t="shared" si="0"/>
        <v>24</v>
      </c>
      <c r="B25" t="s">
        <v>24</v>
      </c>
      <c r="C25" s="7"/>
      <c r="D25" s="7"/>
      <c r="E25" s="7"/>
      <c r="F25" s="7"/>
      <c r="G25" s="7"/>
      <c r="H25" s="7"/>
      <c r="I25" s="7">
        <f>'1.07 - Wages Salaries'!E47</f>
        <v>-36810</v>
      </c>
      <c r="J25" s="7">
        <f>'1.08 - Payroll Taxes'!E45</f>
        <v>-917</v>
      </c>
      <c r="K25" s="7">
        <f>'1.09 - Med Ins'!E44</f>
        <v>6088</v>
      </c>
      <c r="L25" s="7">
        <f>'1.10 - Benefits'!E43</f>
        <v>-12754</v>
      </c>
      <c r="M25" s="7">
        <f>'1.11 - Retiree Med Ins'!E41</f>
        <v>-15225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>
        <f t="shared" si="1"/>
        <v>-59618</v>
      </c>
      <c r="AG25" s="7"/>
    </row>
    <row r="26" spans="1:33" x14ac:dyDescent="0.35">
      <c r="A26" s="1">
        <f t="shared" si="0"/>
        <v>25</v>
      </c>
      <c r="B26" t="s">
        <v>25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 t="shared" si="1"/>
        <v>0</v>
      </c>
      <c r="AG26" s="7"/>
    </row>
    <row r="27" spans="1:33" x14ac:dyDescent="0.35">
      <c r="A27" s="1">
        <f t="shared" si="0"/>
        <v>26</v>
      </c>
      <c r="B27" t="s">
        <v>26</v>
      </c>
      <c r="C27" s="7"/>
      <c r="D27" s="7"/>
      <c r="E27" s="7"/>
      <c r="F27" s="7"/>
      <c r="G27" s="7"/>
      <c r="H27" s="7"/>
      <c r="I27" s="7">
        <f>'1.07 - Wages Salaries'!E48</f>
        <v>142796</v>
      </c>
      <c r="J27" s="7">
        <f>'1.08 - Payroll Taxes'!E46</f>
        <v>12690</v>
      </c>
      <c r="K27" s="7">
        <f>'1.09 - Med Ins'!E45</f>
        <v>9355</v>
      </c>
      <c r="L27" s="7">
        <f>'1.10 - Benefits'!E44</f>
        <v>-19599</v>
      </c>
      <c r="M27" s="7">
        <f>'1.11 - Retiree Med Ins'!E42</f>
        <v>-23396</v>
      </c>
      <c r="N27" s="7"/>
      <c r="O27" s="7">
        <f>'1.13 - Advertising'!E25</f>
        <v>-29991</v>
      </c>
      <c r="P27" s="7"/>
      <c r="Q27" s="7"/>
      <c r="R27" s="7"/>
      <c r="S27" s="7">
        <f>'1.17 - Touchstone'!F18</f>
        <v>-448163</v>
      </c>
      <c r="T27" s="7">
        <f>'1.18 - Non-Recur &amp; Other'!D35</f>
        <v>-643133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 t="shared" si="1"/>
        <v>-999441</v>
      </c>
      <c r="AG27" s="7"/>
    </row>
    <row r="28" spans="1:33" x14ac:dyDescent="0.35">
      <c r="A28" s="1">
        <f t="shared" si="0"/>
        <v>27</v>
      </c>
      <c r="B28" t="s">
        <v>27</v>
      </c>
      <c r="C28" s="7"/>
      <c r="D28" s="7"/>
      <c r="E28" s="7"/>
      <c r="F28" s="7"/>
      <c r="G28" s="7"/>
      <c r="H28" s="7"/>
      <c r="I28" s="7">
        <f>'1.07 - Wages Salaries'!E49</f>
        <v>2135</v>
      </c>
      <c r="J28" s="7">
        <f>'1.08 - Payroll Taxes'!E47</f>
        <v>179</v>
      </c>
      <c r="K28" s="7">
        <f>'1.09 - Med Ins'!E46</f>
        <v>119</v>
      </c>
      <c r="L28" s="7">
        <f>'1.10 - Benefits'!E45</f>
        <v>-248</v>
      </c>
      <c r="M28" s="7">
        <f>'1.11 - Retiree Med Ins'!E43</f>
        <v>-296</v>
      </c>
      <c r="N28" s="7"/>
      <c r="O28" s="7">
        <f>'1.13 - Advertising'!E26</f>
        <v>-36183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 t="shared" si="1"/>
        <v>-34294</v>
      </c>
      <c r="AG28" s="7"/>
    </row>
    <row r="29" spans="1:33" x14ac:dyDescent="0.35">
      <c r="A29" s="1">
        <f t="shared" si="0"/>
        <v>28</v>
      </c>
      <c r="B29" t="s">
        <v>28</v>
      </c>
      <c r="C29" s="7"/>
      <c r="D29" s="7">
        <f>'1.02 - ES'!D88</f>
        <v>-2753419</v>
      </c>
      <c r="E29" s="7"/>
      <c r="F29" s="7"/>
      <c r="G29" s="7"/>
      <c r="H29" s="7"/>
      <c r="I29" s="7">
        <f>'1.07 - Wages Salaries'!E50</f>
        <v>1533147</v>
      </c>
      <c r="J29" s="7">
        <f>'1.08 - Payroll Taxes'!E48</f>
        <v>115778</v>
      </c>
      <c r="K29" s="7">
        <f>'1.09 - Med Ins'!E47</f>
        <v>146612</v>
      </c>
      <c r="L29" s="7">
        <f>'1.10 - Benefits'!E46</f>
        <v>-307180</v>
      </c>
      <c r="M29" s="7">
        <f>'1.11 - Retiree Med Ins'!E44</f>
        <v>-366693</v>
      </c>
      <c r="N29" s="7">
        <f>'1.12 - Misc. Employee Benefits'!F23</f>
        <v>-279461</v>
      </c>
      <c r="O29" s="7"/>
      <c r="P29" s="7">
        <f>'1.14 - Directors Expenses'!G20</f>
        <v>-67837</v>
      </c>
      <c r="Q29" s="7"/>
      <c r="R29" s="7">
        <f>'1.16 - Lobbying'!F17</f>
        <v>-146989</v>
      </c>
      <c r="S29" s="7"/>
      <c r="T29" s="7">
        <f>'1.18 - Non-Recur &amp; Other'!E35+'1.18 - Non-Recur &amp; Other'!F35+'1.18 - Non-Recur &amp; Other'!G35</f>
        <v>-507185</v>
      </c>
      <c r="U29" s="7"/>
      <c r="V29" s="7"/>
      <c r="W29" s="7"/>
      <c r="X29" s="7"/>
      <c r="Y29" s="7"/>
      <c r="Z29" s="7">
        <f>'1.24 - Insurance Expense'!G28</f>
        <v>321812</v>
      </c>
      <c r="AA29" s="7"/>
      <c r="AB29" s="7"/>
      <c r="AC29" s="7">
        <f>'1.27 - Rate Case Expense'!F23</f>
        <v>320000</v>
      </c>
      <c r="AD29" s="7"/>
      <c r="AE29" s="7">
        <f>'1.29 - PSC Assessment'!F33</f>
        <v>-29541</v>
      </c>
      <c r="AF29" s="7">
        <f t="shared" si="1"/>
        <v>-2020956</v>
      </c>
      <c r="AG29" s="7">
        <f>'1.30 - Revenue Increase'!F25</f>
        <v>97772</v>
      </c>
    </row>
    <row r="30" spans="1:33" x14ac:dyDescent="0.35">
      <c r="A30" s="1">
        <f t="shared" si="0"/>
        <v>29</v>
      </c>
      <c r="B30" t="s">
        <v>30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G30" s="7"/>
    </row>
    <row r="31" spans="1:33" x14ac:dyDescent="0.35">
      <c r="A31" s="1">
        <f t="shared" si="0"/>
        <v>30</v>
      </c>
      <c r="B31" t="s">
        <v>31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>SUM(C31:AE31)</f>
        <v>0</v>
      </c>
      <c r="AG31" s="7"/>
    </row>
    <row r="32" spans="1:33" x14ac:dyDescent="0.35">
      <c r="A32" s="1">
        <f t="shared" si="0"/>
        <v>31</v>
      </c>
      <c r="B32" t="s">
        <v>32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>SUM(C32:AE32)</f>
        <v>0</v>
      </c>
      <c r="AG32" s="7"/>
    </row>
    <row r="33" spans="1:33" x14ac:dyDescent="0.35">
      <c r="A33" s="1">
        <f t="shared" si="0"/>
        <v>32</v>
      </c>
      <c r="B33" t="s">
        <v>24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>SUM(C33:AE33)</f>
        <v>0</v>
      </c>
      <c r="AG33" s="7"/>
    </row>
    <row r="34" spans="1:33" x14ac:dyDescent="0.35">
      <c r="A34" s="1">
        <f t="shared" si="0"/>
        <v>33</v>
      </c>
      <c r="B34" t="s">
        <v>33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>SUM(C34:AE34)</f>
        <v>0</v>
      </c>
      <c r="AG34" s="7"/>
    </row>
    <row r="35" spans="1:33" x14ac:dyDescent="0.35">
      <c r="A35" s="1">
        <f t="shared" si="0"/>
        <v>34</v>
      </c>
      <c r="B35" t="s">
        <v>35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G35" s="7"/>
    </row>
    <row r="36" spans="1:33" x14ac:dyDescent="0.35">
      <c r="A36" s="1">
        <f t="shared" si="0"/>
        <v>35</v>
      </c>
      <c r="B36" t="s">
        <v>36</v>
      </c>
      <c r="C36" s="7"/>
      <c r="D36" s="7">
        <f>'1.02 - ES'!D92</f>
        <v>-35793111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>
        <f>'1.19 - Depreciation'!F56</f>
        <v>16423289</v>
      </c>
      <c r="V36" s="7">
        <f>'1.20 - Amort Smith 1'!G54</f>
        <v>1911276</v>
      </c>
      <c r="W36" s="7">
        <f>'1.21 - Amort Dale ES RegA'!F27</f>
        <v>374742</v>
      </c>
      <c r="X36" s="7">
        <f>'1.22 - Amort Dale Asbestos'!F27</f>
        <v>680276</v>
      </c>
      <c r="Y36" s="7"/>
      <c r="Z36" s="7"/>
      <c r="AA36" s="7"/>
      <c r="AB36" s="7">
        <f>'1.26 - Spurlock Reg Asset'!F20</f>
        <v>905523</v>
      </c>
      <c r="AC36" s="7"/>
      <c r="AD36" s="7"/>
      <c r="AE36" s="7"/>
      <c r="AF36" s="7">
        <f t="shared" ref="AF36:AF42" si="2">SUM(C36:AE36)</f>
        <v>-15498005</v>
      </c>
      <c r="AG36" s="7"/>
    </row>
    <row r="37" spans="1:33" x14ac:dyDescent="0.35">
      <c r="A37" s="1">
        <f t="shared" si="0"/>
        <v>36</v>
      </c>
      <c r="B37" t="s">
        <v>37</v>
      </c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 t="shared" si="2"/>
        <v>0</v>
      </c>
      <c r="AG37" s="7"/>
    </row>
    <row r="38" spans="1:33" x14ac:dyDescent="0.35">
      <c r="A38" s="1">
        <f t="shared" si="0"/>
        <v>37</v>
      </c>
      <c r="B38" t="s">
        <v>38</v>
      </c>
      <c r="C38" s="7"/>
      <c r="D38" s="7">
        <f>'1.02 - ES'!D94</f>
        <v>-24450841</v>
      </c>
      <c r="E38" s="7"/>
      <c r="F38" s="7">
        <f>'1.04 - LTD Interest Expense'!H227</f>
        <v>-6518222.7399999797</v>
      </c>
      <c r="G38" s="7"/>
      <c r="H38" s="7">
        <f>'1.06 - Cushion of Credit'!G18+'1.06 - Cushion of Credit'!G34</f>
        <v>-13835249.26000002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f t="shared" si="2"/>
        <v>-44804313</v>
      </c>
      <c r="AG38" s="7"/>
    </row>
    <row r="39" spans="1:33" x14ac:dyDescent="0.35">
      <c r="A39" s="1">
        <f t="shared" si="0"/>
        <v>38</v>
      </c>
      <c r="B39" t="s">
        <v>39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f t="shared" si="2"/>
        <v>0</v>
      </c>
      <c r="AG39" s="7"/>
    </row>
    <row r="40" spans="1:33" x14ac:dyDescent="0.35">
      <c r="A40" s="1">
        <f t="shared" si="0"/>
        <v>39</v>
      </c>
      <c r="B40" t="s">
        <v>40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 t="shared" si="2"/>
        <v>0</v>
      </c>
      <c r="AG40" s="7"/>
    </row>
    <row r="41" spans="1:33" x14ac:dyDescent="0.35">
      <c r="A41" s="1">
        <f t="shared" si="0"/>
        <v>40</v>
      </c>
      <c r="B41" t="s">
        <v>41</v>
      </c>
      <c r="C41" s="7"/>
      <c r="D41" s="7">
        <f>'1.02 - ES'!D93</f>
        <v>-390860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f t="shared" si="2"/>
        <v>-390860</v>
      </c>
      <c r="AG41" s="7"/>
    </row>
    <row r="42" spans="1:33" x14ac:dyDescent="0.35">
      <c r="A42" s="1">
        <f t="shared" si="0"/>
        <v>41</v>
      </c>
      <c r="B42" t="s">
        <v>42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>'1.15 - 426 Donations'!E18</f>
        <v>-160655.84</v>
      </c>
      <c r="R42" s="7">
        <f>'1.16 - Lobbying'!F18</f>
        <v>-12252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f t="shared" si="2"/>
        <v>-172907.84</v>
      </c>
      <c r="AG42" s="7"/>
    </row>
    <row r="43" spans="1:33" x14ac:dyDescent="0.35">
      <c r="A43" s="1">
        <f t="shared" si="0"/>
        <v>42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7"/>
    </row>
    <row r="44" spans="1:33" x14ac:dyDescent="0.35">
      <c r="A44" s="1">
        <f t="shared" si="0"/>
        <v>43</v>
      </c>
      <c r="B44" t="s">
        <v>46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7"/>
    </row>
    <row r="45" spans="1:33" x14ac:dyDescent="0.35">
      <c r="A45" s="1">
        <f t="shared" si="0"/>
        <v>44</v>
      </c>
      <c r="B45" t="s">
        <v>47</v>
      </c>
      <c r="C45" s="7"/>
      <c r="D45" s="7"/>
      <c r="E45" s="7"/>
      <c r="F45" s="7"/>
      <c r="G45" s="7">
        <f>'1.05 - Interest Income'!H52</f>
        <v>-6789269</v>
      </c>
      <c r="H45" s="7">
        <f>'1.06 - Cushion of Credit'!G41</f>
        <v>-17451755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>
        <f>SUM(C45:AE45)</f>
        <v>-24241024</v>
      </c>
      <c r="AG45" s="7"/>
    </row>
    <row r="46" spans="1:33" x14ac:dyDescent="0.35">
      <c r="A46" s="1">
        <f t="shared" si="0"/>
        <v>45</v>
      </c>
      <c r="B46" t="s">
        <v>48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f>SUM(C46:AE46)</f>
        <v>0</v>
      </c>
      <c r="AG46" s="7"/>
    </row>
    <row r="47" spans="1:33" x14ac:dyDescent="0.35">
      <c r="A47" s="1">
        <f t="shared" si="0"/>
        <v>46</v>
      </c>
      <c r="B47" t="s">
        <v>49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>
        <f>SUM(C47:AE47)</f>
        <v>0</v>
      </c>
      <c r="AG47" s="7"/>
    </row>
    <row r="48" spans="1:33" x14ac:dyDescent="0.35">
      <c r="A48" s="1">
        <f t="shared" si="0"/>
        <v>47</v>
      </c>
      <c r="B48" t="s">
        <v>50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>
        <f>SUM(C48:AE48)</f>
        <v>0</v>
      </c>
      <c r="AG48" s="7"/>
    </row>
    <row r="49" spans="1:33" x14ac:dyDescent="0.35">
      <c r="A49" s="1">
        <f t="shared" si="0"/>
        <v>48</v>
      </c>
      <c r="G49" s="7"/>
      <c r="H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G49" s="7"/>
    </row>
    <row r="50" spans="1:33" x14ac:dyDescent="0.35">
      <c r="A50" s="1">
        <f t="shared" si="0"/>
        <v>49</v>
      </c>
      <c r="B50" t="s">
        <v>209</v>
      </c>
      <c r="D50" s="7">
        <f>'1.02 - ES'!D95</f>
        <v>-18919643</v>
      </c>
      <c r="H50" s="7">
        <f>'1.06 - Cushion of Credit'!G20</f>
        <v>1867616</v>
      </c>
      <c r="AF50" s="7">
        <f>SUM(C50:AE50)</f>
        <v>-17052027</v>
      </c>
      <c r="AG50" s="7"/>
    </row>
    <row r="51" spans="1:33" x14ac:dyDescent="0.35">
      <c r="A51" s="1">
        <f t="shared" si="0"/>
        <v>50</v>
      </c>
    </row>
    <row r="52" spans="1:33" x14ac:dyDescent="0.35">
      <c r="A52" s="1"/>
    </row>
    <row r="53" spans="1:33" x14ac:dyDescent="0.35">
      <c r="A53" s="1"/>
    </row>
    <row r="54" spans="1:33" x14ac:dyDescent="0.35">
      <c r="A54" s="1"/>
    </row>
    <row r="55" spans="1:33" x14ac:dyDescent="0.35">
      <c r="A55" s="1"/>
    </row>
    <row r="56" spans="1:33" x14ac:dyDescent="0.35">
      <c r="A56" s="1"/>
    </row>
    <row r="57" spans="1:33" x14ac:dyDescent="0.35">
      <c r="A57" s="1"/>
    </row>
    <row r="58" spans="1:33" x14ac:dyDescent="0.35">
      <c r="A58" s="1"/>
    </row>
    <row r="59" spans="1:33" x14ac:dyDescent="0.35">
      <c r="A59" s="1"/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7"/>
  <sheetViews>
    <sheetView zoomScale="80" zoomScaleNormal="80" workbookViewId="0">
      <selection activeCell="B3" sqref="B3:G3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918</v>
      </c>
    </row>
    <row r="3" spans="1:7" ht="13.9" x14ac:dyDescent="0.4">
      <c r="A3" s="1">
        <f t="shared" ref="A3:A37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924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679</v>
      </c>
    </row>
    <row r="8" spans="1:7" x14ac:dyDescent="0.35">
      <c r="A8" s="1">
        <f t="shared" si="0"/>
        <v>7</v>
      </c>
      <c r="B8" t="s">
        <v>680</v>
      </c>
    </row>
    <row r="9" spans="1:7" x14ac:dyDescent="0.35">
      <c r="A9" s="1">
        <f t="shared" si="0"/>
        <v>8</v>
      </c>
    </row>
    <row r="10" spans="1:7" ht="13.9" thickBot="1" x14ac:dyDescent="0.4">
      <c r="A10" s="1">
        <f t="shared" si="0"/>
        <v>9</v>
      </c>
      <c r="D10" s="58" t="s">
        <v>681</v>
      </c>
      <c r="E10" s="58" t="s">
        <v>682</v>
      </c>
      <c r="F10" s="58" t="s">
        <v>683</v>
      </c>
      <c r="G10" s="58" t="s">
        <v>684</v>
      </c>
    </row>
    <row r="11" spans="1:7" x14ac:dyDescent="0.35">
      <c r="A11" s="1">
        <f t="shared" si="0"/>
        <v>10</v>
      </c>
      <c r="B11" t="s">
        <v>685</v>
      </c>
    </row>
    <row r="12" spans="1:7" x14ac:dyDescent="0.35">
      <c r="A12" s="1">
        <f t="shared" si="0"/>
        <v>11</v>
      </c>
      <c r="B12" t="s">
        <v>686</v>
      </c>
      <c r="D12" s="22">
        <v>410872</v>
      </c>
      <c r="E12" s="22">
        <v>0</v>
      </c>
      <c r="F12" s="22">
        <v>0</v>
      </c>
      <c r="G12" s="22">
        <v>0</v>
      </c>
    </row>
    <row r="13" spans="1:7" x14ac:dyDescent="0.35">
      <c r="A13" s="1">
        <f t="shared" si="0"/>
        <v>12</v>
      </c>
      <c r="B13" t="s">
        <v>687</v>
      </c>
      <c r="D13" s="22"/>
      <c r="E13" s="22"/>
      <c r="F13" s="22"/>
      <c r="G13" s="22"/>
    </row>
    <row r="14" spans="1:7" x14ac:dyDescent="0.35">
      <c r="A14" s="1">
        <f t="shared" si="0"/>
        <v>13</v>
      </c>
      <c r="B14" t="s">
        <v>688</v>
      </c>
      <c r="D14" s="22">
        <v>131238.85999999999</v>
      </c>
      <c r="E14" s="22">
        <v>0</v>
      </c>
      <c r="F14" s="22">
        <v>0</v>
      </c>
      <c r="G14" s="22">
        <v>0</v>
      </c>
    </row>
    <row r="15" spans="1:7" x14ac:dyDescent="0.35">
      <c r="A15" s="1">
        <f t="shared" si="0"/>
        <v>14</v>
      </c>
      <c r="B15" t="s">
        <v>696</v>
      </c>
      <c r="D15" s="22">
        <v>0</v>
      </c>
      <c r="E15" s="22">
        <v>7500</v>
      </c>
      <c r="F15" s="22">
        <v>0</v>
      </c>
      <c r="G15" s="22">
        <v>0</v>
      </c>
    </row>
    <row r="16" spans="1:7" x14ac:dyDescent="0.35">
      <c r="A16" s="1">
        <f t="shared" si="0"/>
        <v>15</v>
      </c>
      <c r="B16" t="s">
        <v>699</v>
      </c>
      <c r="D16" s="22">
        <v>0</v>
      </c>
      <c r="E16" s="22">
        <v>5000</v>
      </c>
      <c r="F16" s="22">
        <v>0</v>
      </c>
      <c r="G16" s="22">
        <v>0</v>
      </c>
    </row>
    <row r="17" spans="1:7" x14ac:dyDescent="0.35">
      <c r="A17" s="1">
        <f t="shared" si="0"/>
        <v>16</v>
      </c>
      <c r="B17" t="s">
        <v>700</v>
      </c>
      <c r="D17" s="22">
        <v>0</v>
      </c>
      <c r="E17" s="22">
        <v>241762.89</v>
      </c>
      <c r="F17" s="22">
        <v>0</v>
      </c>
      <c r="G17" s="22">
        <v>0</v>
      </c>
    </row>
    <row r="18" spans="1:7" x14ac:dyDescent="0.35">
      <c r="A18" s="1">
        <f t="shared" si="0"/>
        <v>17</v>
      </c>
      <c r="B18" t="s">
        <v>702</v>
      </c>
      <c r="D18" s="59">
        <v>0</v>
      </c>
      <c r="E18" s="59">
        <v>0</v>
      </c>
      <c r="F18" s="59">
        <v>1630.7</v>
      </c>
      <c r="G18" s="59">
        <v>0</v>
      </c>
    </row>
    <row r="19" spans="1:7" x14ac:dyDescent="0.35">
      <c r="A19" s="1">
        <f t="shared" si="0"/>
        <v>18</v>
      </c>
      <c r="B19" t="s">
        <v>703</v>
      </c>
      <c r="D19" s="22">
        <f>SUM(D12:D18)</f>
        <v>542110.86</v>
      </c>
      <c r="E19" s="22">
        <f t="shared" ref="E19:G19" si="1">SUM(E12:E18)</f>
        <v>254262.89</v>
      </c>
      <c r="F19" s="22">
        <f t="shared" si="1"/>
        <v>1630.7</v>
      </c>
      <c r="G19" s="22">
        <f t="shared" si="1"/>
        <v>0</v>
      </c>
    </row>
    <row r="20" spans="1:7" x14ac:dyDescent="0.35">
      <c r="A20" s="1">
        <f t="shared" si="0"/>
        <v>19</v>
      </c>
      <c r="D20" s="22"/>
      <c r="E20" s="22"/>
      <c r="F20" s="22"/>
      <c r="G20" s="22"/>
    </row>
    <row r="21" spans="1:7" x14ac:dyDescent="0.35">
      <c r="A21" s="1">
        <f t="shared" si="0"/>
        <v>20</v>
      </c>
      <c r="B21" t="s">
        <v>689</v>
      </c>
      <c r="D21" s="22"/>
      <c r="E21" s="22"/>
      <c r="F21" s="22"/>
      <c r="G21" s="22"/>
    </row>
    <row r="22" spans="1:7" x14ac:dyDescent="0.35">
      <c r="A22" s="1">
        <f t="shared" si="0"/>
        <v>21</v>
      </c>
      <c r="B22" t="s">
        <v>690</v>
      </c>
      <c r="D22" s="22">
        <v>68656.479999999996</v>
      </c>
      <c r="E22" s="22">
        <f>4073.44+1309.93+1050+18.63+225.37</f>
        <v>6677.37</v>
      </c>
      <c r="F22" s="22">
        <v>0</v>
      </c>
      <c r="G22" s="22">
        <v>20855.830000000002</v>
      </c>
    </row>
    <row r="23" spans="1:7" x14ac:dyDescent="0.35">
      <c r="A23" s="1">
        <f t="shared" si="0"/>
        <v>22</v>
      </c>
      <c r="B23" t="s">
        <v>691</v>
      </c>
      <c r="D23" s="22">
        <v>2421.54</v>
      </c>
      <c r="E23" s="22">
        <v>13.3</v>
      </c>
      <c r="F23" s="22">
        <v>0</v>
      </c>
      <c r="G23" s="22">
        <v>3895.72</v>
      </c>
    </row>
    <row r="24" spans="1:7" x14ac:dyDescent="0.35">
      <c r="A24" s="1">
        <f t="shared" si="0"/>
        <v>23</v>
      </c>
      <c r="B24" t="s">
        <v>692</v>
      </c>
      <c r="D24" s="22">
        <v>6971.89</v>
      </c>
      <c r="E24" s="22">
        <v>29.24</v>
      </c>
      <c r="F24" s="22">
        <v>0</v>
      </c>
      <c r="G24" s="22">
        <v>43743</v>
      </c>
    </row>
    <row r="25" spans="1:7" x14ac:dyDescent="0.35">
      <c r="A25" s="1">
        <f t="shared" si="0"/>
        <v>24</v>
      </c>
      <c r="B25" t="s">
        <v>693</v>
      </c>
      <c r="D25" s="22">
        <v>1728.8</v>
      </c>
      <c r="E25" s="22">
        <v>14.84</v>
      </c>
      <c r="F25" s="22">
        <v>0</v>
      </c>
      <c r="G25" s="22">
        <v>36000</v>
      </c>
    </row>
    <row r="26" spans="1:7" x14ac:dyDescent="0.35">
      <c r="A26" s="1">
        <f t="shared" si="0"/>
        <v>25</v>
      </c>
      <c r="B26" t="s">
        <v>694</v>
      </c>
      <c r="D26" s="22">
        <v>2745.73</v>
      </c>
      <c r="E26" s="22">
        <v>135.16999999999999</v>
      </c>
      <c r="F26" s="22">
        <v>0</v>
      </c>
      <c r="G26" s="22">
        <v>10000</v>
      </c>
    </row>
    <row r="27" spans="1:7" x14ac:dyDescent="0.35">
      <c r="A27" s="1">
        <f t="shared" si="0"/>
        <v>26</v>
      </c>
      <c r="B27" t="s">
        <v>695</v>
      </c>
      <c r="D27" s="22">
        <v>18497.810000000001</v>
      </c>
      <c r="E27" s="22">
        <v>55882.04</v>
      </c>
      <c r="F27" s="22">
        <v>0</v>
      </c>
      <c r="G27" s="22">
        <v>60067.24</v>
      </c>
    </row>
    <row r="28" spans="1:7" x14ac:dyDescent="0.35">
      <c r="A28" s="1">
        <f t="shared" si="0"/>
        <v>27</v>
      </c>
      <c r="B28" t="s">
        <v>697</v>
      </c>
      <c r="D28" s="22">
        <v>0</v>
      </c>
      <c r="E28" s="22">
        <v>718.85</v>
      </c>
      <c r="F28" s="22">
        <v>0</v>
      </c>
      <c r="G28" s="22">
        <v>0</v>
      </c>
    </row>
    <row r="29" spans="1:7" x14ac:dyDescent="0.35">
      <c r="A29" s="1">
        <f t="shared" si="0"/>
        <v>28</v>
      </c>
      <c r="B29" t="s">
        <v>698</v>
      </c>
      <c r="D29" s="22">
        <v>0</v>
      </c>
      <c r="E29" s="22">
        <v>1472.34</v>
      </c>
      <c r="F29" s="22">
        <v>0</v>
      </c>
      <c r="G29" s="22">
        <v>0</v>
      </c>
    </row>
    <row r="30" spans="1:7" x14ac:dyDescent="0.35">
      <c r="A30" s="1">
        <f t="shared" si="0"/>
        <v>29</v>
      </c>
      <c r="B30" t="s">
        <v>701</v>
      </c>
      <c r="D30" s="59">
        <v>0</v>
      </c>
      <c r="E30" s="59">
        <v>11786.29</v>
      </c>
      <c r="F30" s="59">
        <v>0</v>
      </c>
      <c r="G30" s="59">
        <v>0</v>
      </c>
    </row>
    <row r="31" spans="1:7" x14ac:dyDescent="0.35">
      <c r="A31" s="1">
        <f t="shared" si="0"/>
        <v>30</v>
      </c>
      <c r="B31" t="s">
        <v>704</v>
      </c>
      <c r="D31" s="22">
        <f>SUM(D22:D30)</f>
        <v>101022.24999999999</v>
      </c>
      <c r="E31" s="22">
        <f t="shared" ref="E31:G31" si="2">SUM(E22:E30)</f>
        <v>76729.440000000002</v>
      </c>
      <c r="F31" s="22">
        <f t="shared" si="2"/>
        <v>0</v>
      </c>
      <c r="G31" s="22">
        <f t="shared" si="2"/>
        <v>174561.79</v>
      </c>
    </row>
    <row r="32" spans="1:7" x14ac:dyDescent="0.35">
      <c r="A32" s="1">
        <f t="shared" si="0"/>
        <v>31</v>
      </c>
      <c r="D32" s="22"/>
      <c r="E32" s="22"/>
      <c r="F32" s="22"/>
      <c r="G32" s="22"/>
    </row>
    <row r="33" spans="1:7" ht="13.9" thickBot="1" x14ac:dyDescent="0.4">
      <c r="A33" s="1">
        <f t="shared" si="0"/>
        <v>32</v>
      </c>
      <c r="B33" t="s">
        <v>705</v>
      </c>
      <c r="D33" s="60">
        <f>D19+D31</f>
        <v>643133.11</v>
      </c>
      <c r="E33" s="60">
        <f t="shared" ref="E33:G33" si="3">E19+E31</f>
        <v>330992.33</v>
      </c>
      <c r="F33" s="60">
        <f t="shared" si="3"/>
        <v>1630.7</v>
      </c>
      <c r="G33" s="60">
        <f t="shared" si="3"/>
        <v>174561.79</v>
      </c>
    </row>
    <row r="34" spans="1:7" ht="13.9" thickTop="1" x14ac:dyDescent="0.35">
      <c r="A34" s="1">
        <f t="shared" si="0"/>
        <v>33</v>
      </c>
      <c r="D34" s="22"/>
      <c r="E34" s="22"/>
      <c r="F34" s="22"/>
      <c r="G34" s="22"/>
    </row>
    <row r="35" spans="1:7" ht="13.9" thickBot="1" x14ac:dyDescent="0.4">
      <c r="A35" s="1">
        <f t="shared" si="0"/>
        <v>34</v>
      </c>
      <c r="B35" t="s">
        <v>605</v>
      </c>
      <c r="D35" s="60">
        <f>ROUND(-D33,0)</f>
        <v>-643133</v>
      </c>
      <c r="E35" s="60">
        <f t="shared" ref="E35:G35" si="4">ROUND(-E33,0)</f>
        <v>-330992</v>
      </c>
      <c r="F35" s="60">
        <f t="shared" si="4"/>
        <v>-1631</v>
      </c>
      <c r="G35" s="60">
        <f t="shared" si="4"/>
        <v>-174562</v>
      </c>
    </row>
    <row r="36" spans="1:7" ht="13.9" thickTop="1" x14ac:dyDescent="0.35">
      <c r="A36" s="1">
        <f t="shared" si="0"/>
        <v>35</v>
      </c>
      <c r="D36" s="22"/>
      <c r="E36" s="22"/>
      <c r="F36" s="22"/>
      <c r="G36" s="22"/>
    </row>
    <row r="37" spans="1:7" x14ac:dyDescent="0.35">
      <c r="A37" s="1">
        <f t="shared" si="0"/>
        <v>36</v>
      </c>
    </row>
  </sheetData>
  <mergeCells count="2">
    <mergeCell ref="B3:G3"/>
    <mergeCell ref="B4:G4"/>
  </mergeCells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61"/>
  <sheetViews>
    <sheetView zoomScale="80" zoomScaleNormal="80" workbookViewId="0">
      <selection activeCell="B3" sqref="B3:G3"/>
    </sheetView>
  </sheetViews>
  <sheetFormatPr defaultColWidth="17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530</v>
      </c>
    </row>
    <row r="3" spans="1:7" ht="13.9" x14ac:dyDescent="0.4">
      <c r="A3" s="1">
        <f t="shared" ref="A3:A61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847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849</v>
      </c>
    </row>
    <row r="8" spans="1:7" x14ac:dyDescent="0.35">
      <c r="A8" s="1">
        <f t="shared" si="0"/>
        <v>7</v>
      </c>
      <c r="B8" t="s">
        <v>850</v>
      </c>
    </row>
    <row r="9" spans="1:7" x14ac:dyDescent="0.35">
      <c r="A9" s="1">
        <f t="shared" si="0"/>
        <v>8</v>
      </c>
      <c r="B9" t="s">
        <v>851</v>
      </c>
    </row>
    <row r="10" spans="1:7" x14ac:dyDescent="0.35">
      <c r="A10" s="1">
        <f t="shared" si="0"/>
        <v>9</v>
      </c>
    </row>
    <row r="11" spans="1:7" x14ac:dyDescent="0.35">
      <c r="A11" s="1">
        <f t="shared" si="0"/>
        <v>10</v>
      </c>
      <c r="B11" s="19" t="s">
        <v>852</v>
      </c>
    </row>
    <row r="12" spans="1:7" x14ac:dyDescent="0.35">
      <c r="A12" s="1">
        <f t="shared" si="0"/>
        <v>11</v>
      </c>
      <c r="D12" s="85"/>
      <c r="E12" s="85" t="s">
        <v>78</v>
      </c>
      <c r="F12" s="85"/>
    </row>
    <row r="13" spans="1:7" x14ac:dyDescent="0.35">
      <c r="A13" s="1">
        <f t="shared" si="0"/>
        <v>12</v>
      </c>
      <c r="D13" s="85" t="s">
        <v>853</v>
      </c>
      <c r="E13" s="85" t="s">
        <v>854</v>
      </c>
      <c r="F13" s="85" t="s">
        <v>855</v>
      </c>
    </row>
    <row r="14" spans="1:7" ht="13.9" thickBot="1" x14ac:dyDescent="0.4">
      <c r="A14" s="1">
        <f t="shared" si="0"/>
        <v>13</v>
      </c>
      <c r="B14" s="103" t="s">
        <v>857</v>
      </c>
      <c r="C14" s="103"/>
      <c r="D14" s="86" t="s">
        <v>78</v>
      </c>
      <c r="E14" s="86" t="s">
        <v>72</v>
      </c>
      <c r="F14" s="86" t="s">
        <v>856</v>
      </c>
    </row>
    <row r="15" spans="1:7" x14ac:dyDescent="0.35">
      <c r="A15" s="1">
        <f t="shared" si="0"/>
        <v>14</v>
      </c>
    </row>
    <row r="16" spans="1:7" x14ac:dyDescent="0.35">
      <c r="A16" s="1">
        <f t="shared" si="0"/>
        <v>15</v>
      </c>
      <c r="B16" t="s">
        <v>858</v>
      </c>
      <c r="D16" s="7">
        <f>ROUND(52016.55,0)</f>
        <v>52017</v>
      </c>
      <c r="E16" s="7">
        <v>0</v>
      </c>
      <c r="F16" s="7">
        <f>D16-E16</f>
        <v>52017</v>
      </c>
    </row>
    <row r="17" spans="1:7" x14ac:dyDescent="0.35">
      <c r="A17" s="1">
        <f t="shared" si="0"/>
        <v>16</v>
      </c>
      <c r="B17" t="s">
        <v>859</v>
      </c>
      <c r="D17" s="7">
        <f>ROUND(65596902.1,0)</f>
        <v>65596902</v>
      </c>
      <c r="E17" s="7">
        <f>32833814+605040</f>
        <v>33438854</v>
      </c>
      <c r="F17" s="7">
        <f t="shared" ref="F17:F21" si="1">D17-E17</f>
        <v>32158048</v>
      </c>
    </row>
    <row r="18" spans="1:7" x14ac:dyDescent="0.35">
      <c r="A18" s="1">
        <f t="shared" si="0"/>
        <v>17</v>
      </c>
      <c r="B18" t="s">
        <v>860</v>
      </c>
      <c r="D18" s="7">
        <f>ROUND(14425071.37+697589.69+80156.09+681548.99,0)</f>
        <v>15884366</v>
      </c>
      <c r="E18" s="7">
        <v>0</v>
      </c>
      <c r="F18" s="7">
        <f t="shared" si="1"/>
        <v>15884366</v>
      </c>
    </row>
    <row r="19" spans="1:7" x14ac:dyDescent="0.35">
      <c r="A19" s="1">
        <f t="shared" si="0"/>
        <v>18</v>
      </c>
      <c r="B19" t="s">
        <v>861</v>
      </c>
      <c r="D19" s="7">
        <f>ROUND(9697504.32,0)</f>
        <v>9697504</v>
      </c>
      <c r="E19" s="7">
        <v>328500</v>
      </c>
      <c r="F19" s="7">
        <f t="shared" si="1"/>
        <v>9369004</v>
      </c>
    </row>
    <row r="20" spans="1:7" x14ac:dyDescent="0.35">
      <c r="A20" s="1">
        <f t="shared" si="0"/>
        <v>19</v>
      </c>
      <c r="B20" t="s">
        <v>862</v>
      </c>
      <c r="D20" s="7">
        <f>ROUND(7512194.35,0)</f>
        <v>7512194</v>
      </c>
      <c r="E20" s="7">
        <v>0</v>
      </c>
      <c r="F20" s="7">
        <f t="shared" si="1"/>
        <v>7512194</v>
      </c>
    </row>
    <row r="21" spans="1:7" x14ac:dyDescent="0.35">
      <c r="A21" s="1">
        <f t="shared" si="0"/>
        <v>20</v>
      </c>
      <c r="B21" t="s">
        <v>863</v>
      </c>
      <c r="D21" s="9">
        <f>ROUND(7930028.51,0)</f>
        <v>7930029</v>
      </c>
      <c r="E21" s="9">
        <v>0</v>
      </c>
      <c r="F21" s="9">
        <f t="shared" si="1"/>
        <v>7930029</v>
      </c>
    </row>
    <row r="22" spans="1:7" x14ac:dyDescent="0.35">
      <c r="A22" s="1">
        <f t="shared" si="0"/>
        <v>21</v>
      </c>
      <c r="D22" s="7"/>
      <c r="E22" s="7"/>
      <c r="F22" s="7"/>
    </row>
    <row r="23" spans="1:7" ht="13.9" thickBot="1" x14ac:dyDescent="0.4">
      <c r="A23" s="1">
        <f t="shared" si="0"/>
        <v>22</v>
      </c>
      <c r="B23" t="s">
        <v>135</v>
      </c>
      <c r="D23" s="11">
        <f>SUM(D16:D21)</f>
        <v>106673012</v>
      </c>
      <c r="E23" s="11">
        <f>SUM(E16:E21)</f>
        <v>33767354</v>
      </c>
      <c r="F23" s="11">
        <f>SUM(F16:F21)</f>
        <v>72905658</v>
      </c>
      <c r="G23" s="7"/>
    </row>
    <row r="24" spans="1:7" ht="13.9" thickTop="1" x14ac:dyDescent="0.35">
      <c r="A24" s="1">
        <f t="shared" si="0"/>
        <v>23</v>
      </c>
      <c r="D24" s="7"/>
      <c r="E24" s="7"/>
      <c r="F24" s="7"/>
    </row>
    <row r="25" spans="1:7" x14ac:dyDescent="0.35">
      <c r="A25" s="1">
        <f t="shared" si="0"/>
        <v>24</v>
      </c>
      <c r="B25" t="s">
        <v>864</v>
      </c>
    </row>
    <row r="26" spans="1:7" x14ac:dyDescent="0.35">
      <c r="A26" s="1">
        <f t="shared" si="0"/>
        <v>25</v>
      </c>
      <c r="B26" t="s">
        <v>865</v>
      </c>
    </row>
    <row r="27" spans="1:7" x14ac:dyDescent="0.35">
      <c r="A27" s="1">
        <f t="shared" si="0"/>
        <v>26</v>
      </c>
    </row>
    <row r="28" spans="1:7" x14ac:dyDescent="0.35">
      <c r="A28" s="1">
        <f t="shared" si="0"/>
        <v>27</v>
      </c>
      <c r="B28" s="19" t="s">
        <v>866</v>
      </c>
    </row>
    <row r="29" spans="1:7" x14ac:dyDescent="0.35">
      <c r="A29" s="1">
        <f t="shared" si="0"/>
        <v>28</v>
      </c>
      <c r="D29" s="85" t="s">
        <v>867</v>
      </c>
      <c r="E29" s="85" t="s">
        <v>870</v>
      </c>
      <c r="F29" s="85" t="s">
        <v>867</v>
      </c>
    </row>
    <row r="30" spans="1:7" x14ac:dyDescent="0.35">
      <c r="A30" s="1">
        <f t="shared" si="0"/>
        <v>29</v>
      </c>
      <c r="D30" s="85" t="s">
        <v>868</v>
      </c>
      <c r="E30" s="85" t="s">
        <v>854</v>
      </c>
      <c r="F30" s="85" t="s">
        <v>871</v>
      </c>
    </row>
    <row r="31" spans="1:7" ht="13.9" thickBot="1" x14ac:dyDescent="0.4">
      <c r="A31" s="1">
        <f t="shared" si="0"/>
        <v>30</v>
      </c>
      <c r="B31" s="103" t="s">
        <v>857</v>
      </c>
      <c r="C31" s="103"/>
      <c r="D31" s="86" t="s">
        <v>869</v>
      </c>
      <c r="E31" s="86" t="s">
        <v>72</v>
      </c>
      <c r="F31" s="86" t="s">
        <v>869</v>
      </c>
    </row>
    <row r="32" spans="1:7" x14ac:dyDescent="0.35">
      <c r="A32" s="1">
        <f t="shared" si="0"/>
        <v>31</v>
      </c>
    </row>
    <row r="33" spans="1:6" x14ac:dyDescent="0.35">
      <c r="A33" s="1">
        <f t="shared" si="0"/>
        <v>32</v>
      </c>
      <c r="B33" t="s">
        <v>858</v>
      </c>
      <c r="D33" s="7">
        <v>266398</v>
      </c>
      <c r="E33" s="7">
        <v>0</v>
      </c>
      <c r="F33" s="7">
        <f>D33-E33</f>
        <v>266398</v>
      </c>
    </row>
    <row r="34" spans="1:6" x14ac:dyDescent="0.35">
      <c r="A34" s="1">
        <f t="shared" si="0"/>
        <v>33</v>
      </c>
      <c r="B34" t="s">
        <v>859</v>
      </c>
      <c r="D34" s="7">
        <v>86108150</v>
      </c>
      <c r="E34" s="7">
        <v>39355250</v>
      </c>
      <c r="F34" s="7">
        <f t="shared" ref="F34:F38" si="2">D34-E34</f>
        <v>46752900</v>
      </c>
    </row>
    <row r="35" spans="1:6" x14ac:dyDescent="0.35">
      <c r="A35" s="1">
        <f t="shared" si="0"/>
        <v>34</v>
      </c>
      <c r="B35" t="s">
        <v>860</v>
      </c>
      <c r="D35" s="7">
        <v>18378213</v>
      </c>
      <c r="E35" s="7">
        <v>0</v>
      </c>
      <c r="F35" s="7">
        <f t="shared" si="2"/>
        <v>18378213</v>
      </c>
    </row>
    <row r="36" spans="1:6" x14ac:dyDescent="0.35">
      <c r="A36" s="1">
        <f t="shared" si="0"/>
        <v>35</v>
      </c>
      <c r="B36" t="s">
        <v>861</v>
      </c>
      <c r="D36" s="7">
        <v>15271844</v>
      </c>
      <c r="E36" s="7">
        <v>400066</v>
      </c>
      <c r="F36" s="7">
        <f t="shared" si="2"/>
        <v>14871778</v>
      </c>
    </row>
    <row r="37" spans="1:6" x14ac:dyDescent="0.35">
      <c r="A37" s="1">
        <f t="shared" si="0"/>
        <v>36</v>
      </c>
      <c r="B37" t="s">
        <v>862</v>
      </c>
      <c r="D37" s="7">
        <v>5983284</v>
      </c>
      <c r="E37" s="7">
        <v>0</v>
      </c>
      <c r="F37" s="7">
        <f t="shared" si="2"/>
        <v>5983284</v>
      </c>
    </row>
    <row r="38" spans="1:6" x14ac:dyDescent="0.35">
      <c r="A38" s="1">
        <f t="shared" si="0"/>
        <v>37</v>
      </c>
      <c r="B38" t="s">
        <v>863</v>
      </c>
      <c r="D38" s="9">
        <f>4986678-1910304</f>
        <v>3076374</v>
      </c>
      <c r="E38" s="9">
        <v>0</v>
      </c>
      <c r="F38" s="9">
        <f t="shared" si="2"/>
        <v>3076374</v>
      </c>
    </row>
    <row r="39" spans="1:6" x14ac:dyDescent="0.35">
      <c r="A39" s="1">
        <f t="shared" si="0"/>
        <v>38</v>
      </c>
      <c r="D39" s="7"/>
      <c r="E39" s="7"/>
      <c r="F39" s="7"/>
    </row>
    <row r="40" spans="1:6" ht="13.9" thickBot="1" x14ac:dyDescent="0.4">
      <c r="A40" s="1">
        <f t="shared" si="0"/>
        <v>39</v>
      </c>
      <c r="B40" t="s">
        <v>135</v>
      </c>
      <c r="D40" s="11">
        <f>SUM(D33:D38)</f>
        <v>129084263</v>
      </c>
      <c r="E40" s="11">
        <f>SUM(E33:E38)</f>
        <v>39755316</v>
      </c>
      <c r="F40" s="11">
        <f>SUM(F33:F38)</f>
        <v>89328947</v>
      </c>
    </row>
    <row r="41" spans="1:6" ht="13.9" thickTop="1" x14ac:dyDescent="0.35">
      <c r="A41" s="1">
        <f t="shared" si="0"/>
        <v>40</v>
      </c>
      <c r="D41" s="7"/>
      <c r="E41" s="7"/>
      <c r="F41" s="7"/>
    </row>
    <row r="42" spans="1:6" x14ac:dyDescent="0.35">
      <c r="A42" s="1">
        <f t="shared" si="0"/>
        <v>41</v>
      </c>
      <c r="B42" s="19" t="s">
        <v>872</v>
      </c>
    </row>
    <row r="43" spans="1:6" x14ac:dyDescent="0.35">
      <c r="A43" s="1">
        <f t="shared" si="0"/>
        <v>42</v>
      </c>
      <c r="D43" s="85"/>
      <c r="E43" s="85" t="s">
        <v>867</v>
      </c>
      <c r="F43" s="85"/>
    </row>
    <row r="44" spans="1:6" x14ac:dyDescent="0.35">
      <c r="A44" s="1">
        <f t="shared" si="0"/>
        <v>43</v>
      </c>
      <c r="D44" s="85" t="s">
        <v>855</v>
      </c>
      <c r="E44" s="85" t="s">
        <v>871</v>
      </c>
      <c r="F44" s="85" t="s">
        <v>804</v>
      </c>
    </row>
    <row r="45" spans="1:6" ht="13.9" thickBot="1" x14ac:dyDescent="0.4">
      <c r="A45" s="1">
        <f t="shared" si="0"/>
        <v>44</v>
      </c>
      <c r="B45" s="103" t="s">
        <v>857</v>
      </c>
      <c r="C45" s="103"/>
      <c r="D45" s="86" t="s">
        <v>856</v>
      </c>
      <c r="E45" s="86" t="s">
        <v>869</v>
      </c>
      <c r="F45" s="86" t="s">
        <v>78</v>
      </c>
    </row>
    <row r="46" spans="1:6" x14ac:dyDescent="0.35">
      <c r="A46" s="1">
        <f t="shared" si="0"/>
        <v>45</v>
      </c>
    </row>
    <row r="47" spans="1:6" x14ac:dyDescent="0.35">
      <c r="A47" s="1">
        <f t="shared" si="0"/>
        <v>46</v>
      </c>
      <c r="B47" t="s">
        <v>858</v>
      </c>
      <c r="D47" s="7">
        <f>F16</f>
        <v>52017</v>
      </c>
      <c r="E47" s="7">
        <f>F33</f>
        <v>266398</v>
      </c>
      <c r="F47" s="7">
        <f>E47-D47</f>
        <v>214381</v>
      </c>
    </row>
    <row r="48" spans="1:6" x14ac:dyDescent="0.35">
      <c r="A48" s="1">
        <f t="shared" si="0"/>
        <v>47</v>
      </c>
      <c r="B48" t="s">
        <v>859</v>
      </c>
      <c r="D48" s="7">
        <f t="shared" ref="D48:D52" si="3">F17</f>
        <v>32158048</v>
      </c>
      <c r="E48" s="7">
        <f t="shared" ref="E48:E52" si="4">F34</f>
        <v>46752900</v>
      </c>
      <c r="F48" s="7">
        <f t="shared" ref="F48:F52" si="5">E48-D48</f>
        <v>14594852</v>
      </c>
    </row>
    <row r="49" spans="1:6" x14ac:dyDescent="0.35">
      <c r="A49" s="1">
        <f t="shared" si="0"/>
        <v>48</v>
      </c>
      <c r="B49" t="s">
        <v>860</v>
      </c>
      <c r="D49" s="7">
        <f t="shared" si="3"/>
        <v>15884366</v>
      </c>
      <c r="E49" s="7">
        <f t="shared" si="4"/>
        <v>18378213</v>
      </c>
      <c r="F49" s="7">
        <f t="shared" si="5"/>
        <v>2493847</v>
      </c>
    </row>
    <row r="50" spans="1:6" x14ac:dyDescent="0.35">
      <c r="A50" s="1">
        <f t="shared" si="0"/>
        <v>49</v>
      </c>
      <c r="B50" t="s">
        <v>861</v>
      </c>
      <c r="D50" s="7">
        <f t="shared" si="3"/>
        <v>9369004</v>
      </c>
      <c r="E50" s="7">
        <f t="shared" si="4"/>
        <v>14871778</v>
      </c>
      <c r="F50" s="7">
        <f t="shared" si="5"/>
        <v>5502774</v>
      </c>
    </row>
    <row r="51" spans="1:6" x14ac:dyDescent="0.35">
      <c r="A51" s="1">
        <f t="shared" si="0"/>
        <v>50</v>
      </c>
      <c r="B51" t="s">
        <v>862</v>
      </c>
      <c r="D51" s="7">
        <f t="shared" si="3"/>
        <v>7512194</v>
      </c>
      <c r="E51" s="7">
        <f t="shared" si="4"/>
        <v>5983284</v>
      </c>
      <c r="F51" s="7">
        <f t="shared" si="5"/>
        <v>-1528910</v>
      </c>
    </row>
    <row r="52" spans="1:6" x14ac:dyDescent="0.35">
      <c r="A52" s="1">
        <f t="shared" si="0"/>
        <v>51</v>
      </c>
      <c r="B52" t="s">
        <v>863</v>
      </c>
      <c r="D52" s="9">
        <f t="shared" si="3"/>
        <v>7930029</v>
      </c>
      <c r="E52" s="9">
        <f t="shared" si="4"/>
        <v>3076374</v>
      </c>
      <c r="F52" s="9">
        <f t="shared" si="5"/>
        <v>-4853655</v>
      </c>
    </row>
    <row r="53" spans="1:6" x14ac:dyDescent="0.35">
      <c r="A53" s="1">
        <f t="shared" si="0"/>
        <v>52</v>
      </c>
      <c r="D53" s="7"/>
      <c r="E53" s="7"/>
      <c r="F53" s="7"/>
    </row>
    <row r="54" spans="1:6" ht="13.9" thickBot="1" x14ac:dyDescent="0.4">
      <c r="A54" s="1">
        <f t="shared" si="0"/>
        <v>53</v>
      </c>
      <c r="B54" t="s">
        <v>135</v>
      </c>
      <c r="D54" s="11">
        <f>SUM(D47:D52)</f>
        <v>72905658</v>
      </c>
      <c r="E54" s="11">
        <f>SUM(E47:E52)</f>
        <v>89328947</v>
      </c>
      <c r="F54" s="11">
        <f>SUM(F47:F52)</f>
        <v>16423289</v>
      </c>
    </row>
    <row r="55" spans="1:6" ht="13.9" thickTop="1" x14ac:dyDescent="0.35">
      <c r="A55" s="1">
        <f t="shared" si="0"/>
        <v>54</v>
      </c>
    </row>
    <row r="56" spans="1:6" ht="13.9" thickBot="1" x14ac:dyDescent="0.4">
      <c r="A56" s="1">
        <f t="shared" si="0"/>
        <v>55</v>
      </c>
      <c r="D56" t="s">
        <v>605</v>
      </c>
      <c r="F56" s="11">
        <f>F54</f>
        <v>16423289</v>
      </c>
    </row>
    <row r="57" spans="1:6" ht="13.9" thickTop="1" x14ac:dyDescent="0.35">
      <c r="A57" s="1">
        <f t="shared" si="0"/>
        <v>56</v>
      </c>
    </row>
    <row r="58" spans="1:6" x14ac:dyDescent="0.35">
      <c r="A58" s="1">
        <f t="shared" si="0"/>
        <v>57</v>
      </c>
    </row>
    <row r="59" spans="1:6" x14ac:dyDescent="0.35">
      <c r="A59" s="1">
        <f t="shared" si="0"/>
        <v>58</v>
      </c>
    </row>
    <row r="60" spans="1:6" x14ac:dyDescent="0.35">
      <c r="A60" s="1">
        <f t="shared" si="0"/>
        <v>59</v>
      </c>
    </row>
    <row r="61" spans="1:6" x14ac:dyDescent="0.35">
      <c r="A61" s="1">
        <f t="shared" si="0"/>
        <v>60</v>
      </c>
    </row>
  </sheetData>
  <mergeCells count="5">
    <mergeCell ref="B3:G3"/>
    <mergeCell ref="B4:G4"/>
    <mergeCell ref="B14:C14"/>
    <mergeCell ref="B31:C31"/>
    <mergeCell ref="B45:C45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90"/>
  <sheetViews>
    <sheetView zoomScale="80" zoomScaleNormal="80" workbookViewId="0">
      <selection activeCell="G5" sqref="G5"/>
    </sheetView>
  </sheetViews>
  <sheetFormatPr defaultColWidth="15.625" defaultRowHeight="13.5" x14ac:dyDescent="0.35"/>
  <cols>
    <col min="1" max="1" width="4.625" customWidth="1"/>
  </cols>
  <sheetData>
    <row r="1" spans="1:8" x14ac:dyDescent="0.35">
      <c r="A1" s="1">
        <v>0</v>
      </c>
      <c r="B1" t="str">
        <f>'Ex 1 Adjust-Rev Inc'!B1</f>
        <v>ISS Exhibit 1 - Schedules 1.00-1.30 FINAL REV 03-08.xlsx</v>
      </c>
    </row>
    <row r="2" spans="1:8" ht="13.9" x14ac:dyDescent="0.4">
      <c r="A2" s="1">
        <f>A1+1</f>
        <v>1</v>
      </c>
      <c r="G2" s="4" t="s">
        <v>587</v>
      </c>
    </row>
    <row r="3" spans="1:8" ht="13.9" x14ac:dyDescent="0.4">
      <c r="A3" s="1">
        <f t="shared" ref="A3:A55" si="0">A2+1</f>
        <v>2</v>
      </c>
      <c r="B3" s="99" t="s">
        <v>8</v>
      </c>
      <c r="C3" s="99"/>
      <c r="D3" s="99"/>
      <c r="E3" s="99"/>
      <c r="F3" s="99"/>
      <c r="G3" s="99"/>
    </row>
    <row r="4" spans="1:8" ht="13.9" x14ac:dyDescent="0.4">
      <c r="A4" s="1">
        <f t="shared" si="0"/>
        <v>3</v>
      </c>
      <c r="B4" s="99" t="s">
        <v>574</v>
      </c>
      <c r="C4" s="99"/>
      <c r="D4" s="99"/>
      <c r="E4" s="99"/>
      <c r="F4" s="99"/>
      <c r="G4" s="99"/>
    </row>
    <row r="5" spans="1:8" x14ac:dyDescent="0.35">
      <c r="A5" s="1">
        <f t="shared" si="0"/>
        <v>4</v>
      </c>
    </row>
    <row r="6" spans="1:8" x14ac:dyDescent="0.35">
      <c r="A6" s="1">
        <f t="shared" si="0"/>
        <v>5</v>
      </c>
      <c r="E6" s="77"/>
    </row>
    <row r="7" spans="1:8" x14ac:dyDescent="0.35">
      <c r="A7" s="1">
        <f t="shared" si="0"/>
        <v>6</v>
      </c>
      <c r="B7" t="s">
        <v>575</v>
      </c>
    </row>
    <row r="8" spans="1:8" x14ac:dyDescent="0.35">
      <c r="A8" s="1">
        <f t="shared" si="0"/>
        <v>7</v>
      </c>
      <c r="B8" t="s">
        <v>772</v>
      </c>
    </row>
    <row r="9" spans="1:8" x14ac:dyDescent="0.35">
      <c r="A9" s="1">
        <f t="shared" si="0"/>
        <v>8</v>
      </c>
    </row>
    <row r="10" spans="1:8" x14ac:dyDescent="0.35">
      <c r="A10" s="1">
        <f t="shared" si="0"/>
        <v>9</v>
      </c>
      <c r="B10" s="28"/>
    </row>
    <row r="11" spans="1:8" x14ac:dyDescent="0.35">
      <c r="A11" s="1">
        <f t="shared" si="0"/>
        <v>10</v>
      </c>
      <c r="B11" t="s">
        <v>576</v>
      </c>
      <c r="F11" s="7"/>
      <c r="G11" s="7">
        <v>148833975</v>
      </c>
    </row>
    <row r="12" spans="1:8" x14ac:dyDescent="0.35">
      <c r="A12" s="1">
        <f t="shared" si="0"/>
        <v>11</v>
      </c>
      <c r="B12" t="s">
        <v>577</v>
      </c>
      <c r="F12" s="7"/>
      <c r="G12" s="9">
        <v>139756</v>
      </c>
    </row>
    <row r="13" spans="1:8" x14ac:dyDescent="0.35">
      <c r="A13" s="1">
        <f t="shared" si="0"/>
        <v>12</v>
      </c>
      <c r="B13" t="s">
        <v>773</v>
      </c>
      <c r="F13" s="7"/>
      <c r="G13" s="7">
        <f>G11+G12</f>
        <v>148973731</v>
      </c>
    </row>
    <row r="14" spans="1:8" x14ac:dyDescent="0.35">
      <c r="A14" s="1">
        <f t="shared" si="0"/>
        <v>13</v>
      </c>
      <c r="B14" t="s">
        <v>774</v>
      </c>
      <c r="F14" s="7"/>
      <c r="G14" s="7"/>
    </row>
    <row r="15" spans="1:8" x14ac:dyDescent="0.35">
      <c r="A15" s="1">
        <f t="shared" si="0"/>
        <v>14</v>
      </c>
      <c r="B15" t="s">
        <v>775</v>
      </c>
      <c r="F15" s="7"/>
      <c r="G15" s="7">
        <f>-86255-22368356</f>
        <v>-22454611</v>
      </c>
      <c r="H15" s="7"/>
    </row>
    <row r="16" spans="1:8" x14ac:dyDescent="0.35">
      <c r="A16" s="1">
        <f t="shared" si="0"/>
        <v>15</v>
      </c>
      <c r="B16" t="s">
        <v>846</v>
      </c>
      <c r="F16" s="7"/>
      <c r="G16" s="7">
        <v>-11982486</v>
      </c>
      <c r="H16" s="7"/>
    </row>
    <row r="17" spans="1:8" x14ac:dyDescent="0.35">
      <c r="A17" s="1">
        <f t="shared" si="0"/>
        <v>16</v>
      </c>
      <c r="B17" t="s">
        <v>929</v>
      </c>
      <c r="F17" s="7"/>
      <c r="G17" s="9">
        <f>-1329738-254923-32680</f>
        <v>-1617341</v>
      </c>
      <c r="H17" s="7"/>
    </row>
    <row r="18" spans="1:8" x14ac:dyDescent="0.35">
      <c r="A18" s="1">
        <f t="shared" si="0"/>
        <v>17</v>
      </c>
      <c r="B18" t="s">
        <v>776</v>
      </c>
      <c r="F18" s="7"/>
      <c r="G18" s="7">
        <f>SUM(G13:G17)</f>
        <v>112919293</v>
      </c>
    </row>
    <row r="19" spans="1:8" x14ac:dyDescent="0.35">
      <c r="A19" s="1">
        <f t="shared" si="0"/>
        <v>18</v>
      </c>
      <c r="B19" t="s">
        <v>777</v>
      </c>
      <c r="F19" s="7"/>
      <c r="G19" s="7"/>
    </row>
    <row r="20" spans="1:8" x14ac:dyDescent="0.35">
      <c r="A20" s="1">
        <f t="shared" si="0"/>
        <v>19</v>
      </c>
      <c r="B20" t="s">
        <v>778</v>
      </c>
      <c r="F20" s="7">
        <v>-22774334</v>
      </c>
      <c r="G20" s="7"/>
    </row>
    <row r="21" spans="1:8" x14ac:dyDescent="0.35">
      <c r="A21" s="1">
        <f t="shared" si="0"/>
        <v>20</v>
      </c>
      <c r="B21" t="s">
        <v>779</v>
      </c>
      <c r="F21" s="7">
        <f>355985+118662</f>
        <v>474647</v>
      </c>
      <c r="G21" s="7"/>
    </row>
    <row r="22" spans="1:8" x14ac:dyDescent="0.35">
      <c r="A22" s="1">
        <f t="shared" si="0"/>
        <v>21</v>
      </c>
      <c r="B22" t="s">
        <v>780</v>
      </c>
      <c r="F22" s="9">
        <v>0</v>
      </c>
      <c r="G22" s="7">
        <f>SUM(F20:F22)</f>
        <v>-22299687</v>
      </c>
    </row>
    <row r="23" spans="1:8" x14ac:dyDescent="0.35">
      <c r="A23" s="1">
        <f t="shared" si="0"/>
        <v>22</v>
      </c>
      <c r="F23" s="15"/>
      <c r="G23" s="7"/>
    </row>
    <row r="24" spans="1:8" x14ac:dyDescent="0.35">
      <c r="A24" s="1">
        <f t="shared" si="0"/>
        <v>23</v>
      </c>
      <c r="B24" t="s">
        <v>781</v>
      </c>
      <c r="F24" s="7">
        <v>-20744725</v>
      </c>
      <c r="G24" s="7"/>
    </row>
    <row r="25" spans="1:8" x14ac:dyDescent="0.35">
      <c r="A25" s="1">
        <f t="shared" si="0"/>
        <v>24</v>
      </c>
      <c r="B25" t="s">
        <v>782</v>
      </c>
      <c r="F25" s="7">
        <f>739537+246512</f>
        <v>986049</v>
      </c>
      <c r="G25" s="7"/>
    </row>
    <row r="26" spans="1:8" x14ac:dyDescent="0.35">
      <c r="A26" s="1">
        <f t="shared" si="0"/>
        <v>25</v>
      </c>
      <c r="B26" t="s">
        <v>783</v>
      </c>
      <c r="F26" s="9">
        <v>0</v>
      </c>
      <c r="G26" s="7">
        <f>SUM(F24:F26)</f>
        <v>-19758676</v>
      </c>
    </row>
    <row r="27" spans="1:8" x14ac:dyDescent="0.35">
      <c r="A27" s="1">
        <f t="shared" si="0"/>
        <v>26</v>
      </c>
      <c r="F27" s="15"/>
      <c r="G27" s="7"/>
    </row>
    <row r="28" spans="1:8" x14ac:dyDescent="0.35">
      <c r="A28" s="1">
        <f t="shared" si="0"/>
        <v>27</v>
      </c>
      <c r="B28" t="s">
        <v>784</v>
      </c>
      <c r="F28" s="7">
        <v>-1603871</v>
      </c>
      <c r="G28" s="7"/>
    </row>
    <row r="29" spans="1:8" x14ac:dyDescent="0.35">
      <c r="A29" s="1">
        <f t="shared" si="0"/>
        <v>28</v>
      </c>
      <c r="B29" t="s">
        <v>785</v>
      </c>
      <c r="F29" s="7">
        <f>795986+265329</f>
        <v>1061315</v>
      </c>
      <c r="G29" s="7"/>
    </row>
    <row r="30" spans="1:8" x14ac:dyDescent="0.35">
      <c r="A30" s="1">
        <f t="shared" si="0"/>
        <v>29</v>
      </c>
      <c r="B30" t="s">
        <v>786</v>
      </c>
      <c r="F30" s="9">
        <v>0</v>
      </c>
      <c r="G30" s="7">
        <f>SUM(F28:F30)</f>
        <v>-542556</v>
      </c>
    </row>
    <row r="31" spans="1:8" x14ac:dyDescent="0.35">
      <c r="A31" s="1">
        <f t="shared" si="0"/>
        <v>30</v>
      </c>
      <c r="F31" s="7"/>
      <c r="G31" s="7"/>
    </row>
    <row r="32" spans="1:8" x14ac:dyDescent="0.35">
      <c r="A32" s="1">
        <f t="shared" si="0"/>
        <v>31</v>
      </c>
      <c r="B32" t="s">
        <v>787</v>
      </c>
      <c r="F32" s="7">
        <v>1661625</v>
      </c>
      <c r="G32" s="7"/>
    </row>
    <row r="33" spans="1:7" x14ac:dyDescent="0.35">
      <c r="A33" s="1">
        <f t="shared" si="0"/>
        <v>32</v>
      </c>
      <c r="B33" t="s">
        <v>788</v>
      </c>
      <c r="F33" s="7">
        <f>786712+453982</f>
        <v>1240694</v>
      </c>
      <c r="G33" s="7"/>
    </row>
    <row r="34" spans="1:7" x14ac:dyDescent="0.35">
      <c r="A34" s="1">
        <f t="shared" si="0"/>
        <v>33</v>
      </c>
      <c r="B34" t="s">
        <v>789</v>
      </c>
      <c r="F34" s="9">
        <v>0</v>
      </c>
      <c r="G34" s="9">
        <f>SUM(F32:F34)</f>
        <v>2902319</v>
      </c>
    </row>
    <row r="35" spans="1:7" x14ac:dyDescent="0.35">
      <c r="A35" s="1">
        <f t="shared" si="0"/>
        <v>34</v>
      </c>
      <c r="F35" s="7"/>
      <c r="G35" s="7"/>
    </row>
    <row r="36" spans="1:7" ht="13.9" thickBot="1" x14ac:dyDescent="0.4">
      <c r="A36" s="1">
        <f t="shared" si="0"/>
        <v>35</v>
      </c>
      <c r="B36" t="s">
        <v>790</v>
      </c>
      <c r="F36" s="15"/>
      <c r="G36" s="11">
        <f>G18+G22+G26+G30+G34</f>
        <v>73220693</v>
      </c>
    </row>
    <row r="37" spans="1:7" ht="13.9" thickTop="1" x14ac:dyDescent="0.35">
      <c r="A37" s="1">
        <f t="shared" si="0"/>
        <v>36</v>
      </c>
      <c r="F37" s="7"/>
      <c r="G37" s="7"/>
    </row>
    <row r="38" spans="1:7" x14ac:dyDescent="0.35">
      <c r="A38" s="1">
        <f t="shared" si="0"/>
        <v>37</v>
      </c>
      <c r="B38" s="19" t="s">
        <v>581</v>
      </c>
      <c r="F38" s="7"/>
      <c r="G38" s="7"/>
    </row>
    <row r="39" spans="1:7" x14ac:dyDescent="0.35">
      <c r="A39" s="1">
        <f t="shared" si="0"/>
        <v>38</v>
      </c>
      <c r="F39" s="7"/>
      <c r="G39" s="7"/>
    </row>
    <row r="40" spans="1:7" x14ac:dyDescent="0.35">
      <c r="A40" s="1">
        <f t="shared" si="0"/>
        <v>39</v>
      </c>
      <c r="B40" t="s">
        <v>578</v>
      </c>
      <c r="E40" s="1">
        <v>120</v>
      </c>
      <c r="F40" s="7" t="s">
        <v>579</v>
      </c>
      <c r="G40" s="7"/>
    </row>
    <row r="41" spans="1:7" x14ac:dyDescent="0.35">
      <c r="A41" s="1">
        <f t="shared" si="0"/>
        <v>40</v>
      </c>
      <c r="B41" t="s">
        <v>582</v>
      </c>
      <c r="E41" s="1">
        <v>36</v>
      </c>
      <c r="F41" s="7" t="s">
        <v>579</v>
      </c>
      <c r="G41" s="7"/>
    </row>
    <row r="42" spans="1:7" x14ac:dyDescent="0.35">
      <c r="A42" s="1">
        <f t="shared" si="0"/>
        <v>41</v>
      </c>
      <c r="B42" t="s">
        <v>583</v>
      </c>
      <c r="G42" s="7"/>
    </row>
    <row r="43" spans="1:7" x14ac:dyDescent="0.35">
      <c r="A43" s="1">
        <f t="shared" si="0"/>
        <v>42</v>
      </c>
      <c r="B43" t="s">
        <v>930</v>
      </c>
      <c r="E43" s="23">
        <v>21</v>
      </c>
      <c r="F43" s="7" t="s">
        <v>579</v>
      </c>
      <c r="G43" s="7"/>
    </row>
    <row r="44" spans="1:7" ht="13.9" thickBot="1" x14ac:dyDescent="0.4">
      <c r="A44" s="1">
        <f t="shared" si="0"/>
        <v>43</v>
      </c>
      <c r="B44" t="s">
        <v>580</v>
      </c>
      <c r="E44" s="55">
        <f>E40-E41-E43</f>
        <v>63</v>
      </c>
      <c r="F44" s="7" t="s">
        <v>579</v>
      </c>
      <c r="G44" s="7"/>
    </row>
    <row r="45" spans="1:7" ht="13.9" thickTop="1" x14ac:dyDescent="0.35">
      <c r="A45" s="1">
        <f t="shared" si="0"/>
        <v>44</v>
      </c>
      <c r="E45" s="1"/>
      <c r="F45" s="7"/>
      <c r="G45" s="7"/>
    </row>
    <row r="46" spans="1:7" x14ac:dyDescent="0.35">
      <c r="A46" s="1">
        <f t="shared" si="0"/>
        <v>45</v>
      </c>
      <c r="B46" t="s">
        <v>790</v>
      </c>
      <c r="C46" s="25"/>
      <c r="D46" s="25"/>
      <c r="E46" s="25"/>
      <c r="F46" s="15"/>
      <c r="G46" s="15">
        <f>G36</f>
        <v>73220693</v>
      </c>
    </row>
    <row r="47" spans="1:7" x14ac:dyDescent="0.35">
      <c r="A47" s="1">
        <f t="shared" si="0"/>
        <v>46</v>
      </c>
      <c r="B47" t="s">
        <v>580</v>
      </c>
      <c r="C47" s="25"/>
      <c r="D47" s="25"/>
      <c r="E47" s="25"/>
      <c r="F47" s="15"/>
      <c r="G47" s="23">
        <f>E44</f>
        <v>63</v>
      </c>
    </row>
    <row r="48" spans="1:7" x14ac:dyDescent="0.35">
      <c r="A48" s="1">
        <f t="shared" si="0"/>
        <v>47</v>
      </c>
      <c r="B48" s="25"/>
      <c r="C48" s="25"/>
      <c r="D48" s="25"/>
      <c r="E48" s="73"/>
      <c r="F48" s="15"/>
      <c r="G48" s="15"/>
    </row>
    <row r="49" spans="1:8" x14ac:dyDescent="0.35">
      <c r="A49" s="1">
        <f t="shared" si="0"/>
        <v>48</v>
      </c>
      <c r="B49" s="78" t="s">
        <v>791</v>
      </c>
      <c r="C49" s="25"/>
      <c r="D49" s="25"/>
      <c r="E49" s="73"/>
      <c r="F49" s="15"/>
      <c r="G49" s="15">
        <f>ROUND(G46/G47,0)</f>
        <v>1162233</v>
      </c>
    </row>
    <row r="50" spans="1:8" x14ac:dyDescent="0.35">
      <c r="A50" s="1">
        <f t="shared" si="0"/>
        <v>49</v>
      </c>
      <c r="B50" s="78" t="s">
        <v>792</v>
      </c>
      <c r="C50" s="25"/>
      <c r="D50" s="25"/>
      <c r="E50" s="73"/>
      <c r="F50" s="15"/>
      <c r="G50" s="9">
        <v>1002960</v>
      </c>
    </row>
    <row r="51" spans="1:8" x14ac:dyDescent="0.35">
      <c r="A51" s="1">
        <f t="shared" si="0"/>
        <v>50</v>
      </c>
      <c r="B51" s="25"/>
      <c r="C51" s="25"/>
      <c r="D51" s="25"/>
      <c r="E51" s="73"/>
      <c r="F51" s="15"/>
      <c r="G51" s="15"/>
    </row>
    <row r="52" spans="1:8" ht="13.9" thickBot="1" x14ac:dyDescent="0.4">
      <c r="A52" s="1">
        <f t="shared" si="0"/>
        <v>51</v>
      </c>
      <c r="B52" s="78" t="s">
        <v>584</v>
      </c>
      <c r="C52" s="25"/>
      <c r="D52" s="25"/>
      <c r="E52" s="73"/>
      <c r="F52" s="15"/>
      <c r="G52" s="11">
        <f>G49-G50</f>
        <v>159273</v>
      </c>
    </row>
    <row r="53" spans="1:8" ht="13.9" thickTop="1" x14ac:dyDescent="0.35">
      <c r="A53" s="1">
        <f t="shared" si="0"/>
        <v>52</v>
      </c>
      <c r="B53" s="25"/>
      <c r="C53" s="25"/>
      <c r="D53" s="25"/>
      <c r="E53" s="25"/>
      <c r="F53" s="15"/>
      <c r="G53" s="15"/>
    </row>
    <row r="54" spans="1:8" ht="13.9" thickBot="1" x14ac:dyDescent="0.4">
      <c r="A54" s="1">
        <f t="shared" si="0"/>
        <v>53</v>
      </c>
      <c r="B54" s="78" t="s">
        <v>585</v>
      </c>
      <c r="C54" s="25"/>
      <c r="D54" s="25"/>
      <c r="E54" s="25"/>
      <c r="F54" s="15"/>
      <c r="G54" s="11">
        <f>ROUND(G52*12,0)</f>
        <v>1911276</v>
      </c>
    </row>
    <row r="55" spans="1:8" ht="13.9" thickTop="1" x14ac:dyDescent="0.35">
      <c r="A55" s="1">
        <f t="shared" si="0"/>
        <v>54</v>
      </c>
      <c r="B55" s="79"/>
      <c r="C55" s="25"/>
      <c r="D55" s="25"/>
      <c r="E55" s="25"/>
      <c r="F55" s="15"/>
      <c r="G55" s="15"/>
      <c r="H55" s="25"/>
    </row>
    <row r="56" spans="1:8" x14ac:dyDescent="0.35">
      <c r="A56" s="73"/>
      <c r="B56" s="25"/>
      <c r="C56" s="25"/>
      <c r="D56" s="25"/>
      <c r="E56" s="25"/>
      <c r="F56" s="15"/>
      <c r="G56" s="15"/>
      <c r="H56" s="25"/>
    </row>
    <row r="57" spans="1:8" x14ac:dyDescent="0.35">
      <c r="A57" s="73"/>
      <c r="B57" s="25"/>
      <c r="C57" s="25"/>
      <c r="D57" s="25"/>
      <c r="E57" s="25"/>
      <c r="F57" s="15"/>
      <c r="G57" s="15"/>
      <c r="H57" s="25"/>
    </row>
    <row r="58" spans="1:8" x14ac:dyDescent="0.35">
      <c r="A58" s="73"/>
      <c r="B58" s="25"/>
      <c r="C58" s="25"/>
      <c r="D58" s="25"/>
      <c r="E58" s="25"/>
      <c r="F58" s="15"/>
      <c r="G58" s="15"/>
      <c r="H58" s="25"/>
    </row>
    <row r="59" spans="1:8" x14ac:dyDescent="0.35">
      <c r="A59" s="73"/>
      <c r="B59" s="25"/>
      <c r="C59" s="25"/>
      <c r="D59" s="25"/>
      <c r="E59" s="25"/>
      <c r="F59" s="15"/>
      <c r="G59" s="15"/>
      <c r="H59" s="25"/>
    </row>
    <row r="60" spans="1:8" x14ac:dyDescent="0.35">
      <c r="A60" s="73"/>
      <c r="B60" s="25"/>
      <c r="C60" s="25"/>
      <c r="D60" s="25"/>
      <c r="E60" s="25"/>
      <c r="F60" s="15"/>
      <c r="G60" s="15"/>
      <c r="H60" s="25"/>
    </row>
    <row r="61" spans="1:8" x14ac:dyDescent="0.35">
      <c r="A61" s="73"/>
      <c r="B61" s="25"/>
      <c r="C61" s="25"/>
      <c r="D61" s="25"/>
      <c r="E61" s="25"/>
      <c r="F61" s="15"/>
      <c r="G61" s="15"/>
      <c r="H61" s="25"/>
    </row>
    <row r="62" spans="1:8" x14ac:dyDescent="0.35">
      <c r="A62" s="73"/>
      <c r="B62" s="25"/>
      <c r="C62" s="25"/>
      <c r="D62" s="25"/>
      <c r="E62" s="25"/>
      <c r="F62" s="15"/>
      <c r="G62" s="15"/>
      <c r="H62" s="25"/>
    </row>
    <row r="63" spans="1:8" x14ac:dyDescent="0.35">
      <c r="A63" s="73"/>
      <c r="B63" s="25"/>
      <c r="C63" s="25"/>
      <c r="D63" s="25"/>
      <c r="E63" s="25"/>
      <c r="F63" s="15"/>
      <c r="G63" s="15"/>
      <c r="H63" s="25"/>
    </row>
    <row r="64" spans="1:8" x14ac:dyDescent="0.35">
      <c r="A64" s="73"/>
      <c r="B64" s="25"/>
      <c r="C64" s="25"/>
      <c r="D64" s="25"/>
      <c r="E64" s="25"/>
      <c r="F64" s="15"/>
      <c r="G64" s="15"/>
      <c r="H64" s="25"/>
    </row>
    <row r="65" spans="1:8" x14ac:dyDescent="0.35">
      <c r="A65" s="73"/>
      <c r="B65" s="25"/>
      <c r="C65" s="25"/>
      <c r="D65" s="25"/>
      <c r="E65" s="25"/>
      <c r="F65" s="15"/>
      <c r="G65" s="15"/>
      <c r="H65" s="25"/>
    </row>
    <row r="66" spans="1:8" x14ac:dyDescent="0.35">
      <c r="A66" s="73"/>
      <c r="B66" s="25"/>
      <c r="C66" s="25"/>
      <c r="D66" s="25"/>
      <c r="E66" s="25"/>
      <c r="F66" s="15"/>
      <c r="G66" s="15"/>
      <c r="H66" s="25"/>
    </row>
    <row r="67" spans="1:8" x14ac:dyDescent="0.35">
      <c r="A67" s="73"/>
      <c r="B67" s="25"/>
      <c r="C67" s="25"/>
      <c r="D67" s="25"/>
      <c r="E67" s="25"/>
      <c r="F67" s="15"/>
      <c r="G67" s="15"/>
      <c r="H67" s="25"/>
    </row>
    <row r="68" spans="1:8" x14ac:dyDescent="0.35">
      <c r="A68" s="73"/>
      <c r="B68" s="25"/>
      <c r="C68" s="25"/>
      <c r="D68" s="25"/>
      <c r="E68" s="25"/>
      <c r="F68" s="15"/>
      <c r="G68" s="15"/>
      <c r="H68" s="25"/>
    </row>
    <row r="69" spans="1:8" x14ac:dyDescent="0.35">
      <c r="A69" s="73"/>
      <c r="B69" s="79"/>
      <c r="C69" s="25"/>
      <c r="D69" s="25"/>
      <c r="E69" s="25"/>
      <c r="F69" s="15"/>
      <c r="G69" s="15"/>
      <c r="H69" s="25"/>
    </row>
    <row r="70" spans="1:8" x14ac:dyDescent="0.35">
      <c r="A70" s="73"/>
      <c r="B70" s="25"/>
      <c r="C70" s="25"/>
      <c r="D70" s="25"/>
      <c r="E70" s="25"/>
      <c r="F70" s="15"/>
      <c r="G70" s="15"/>
      <c r="H70" s="25"/>
    </row>
    <row r="71" spans="1:8" x14ac:dyDescent="0.35">
      <c r="A71" s="73"/>
      <c r="B71" s="25"/>
      <c r="C71" s="25"/>
      <c r="D71" s="25"/>
      <c r="E71" s="73"/>
      <c r="F71" s="15"/>
      <c r="G71" s="15"/>
      <c r="H71" s="25"/>
    </row>
    <row r="72" spans="1:8" x14ac:dyDescent="0.35">
      <c r="A72" s="73"/>
      <c r="B72" s="25"/>
      <c r="C72" s="25"/>
      <c r="D72" s="25"/>
      <c r="E72" s="73"/>
      <c r="F72" s="15"/>
      <c r="G72" s="15"/>
      <c r="H72" s="25"/>
    </row>
    <row r="73" spans="1:8" x14ac:dyDescent="0.35">
      <c r="A73" s="73"/>
      <c r="B73" s="25"/>
      <c r="C73" s="25"/>
      <c r="D73" s="25"/>
      <c r="E73" s="25"/>
      <c r="F73" s="25"/>
      <c r="G73" s="15"/>
      <c r="H73" s="25"/>
    </row>
    <row r="74" spans="1:8" x14ac:dyDescent="0.35">
      <c r="A74" s="73"/>
      <c r="B74" s="25"/>
      <c r="C74" s="25"/>
      <c r="D74" s="25"/>
      <c r="E74" s="73"/>
      <c r="F74" s="15"/>
      <c r="G74" s="15"/>
      <c r="H74" s="25"/>
    </row>
    <row r="75" spans="1:8" x14ac:dyDescent="0.35">
      <c r="A75" s="73"/>
      <c r="B75" s="25"/>
      <c r="C75" s="25"/>
      <c r="D75" s="25"/>
      <c r="E75" s="73"/>
      <c r="F75" s="15"/>
      <c r="G75" s="15"/>
      <c r="H75" s="25"/>
    </row>
    <row r="76" spans="1:8" x14ac:dyDescent="0.35">
      <c r="A76" s="73"/>
      <c r="B76" s="25"/>
      <c r="C76" s="25"/>
      <c r="D76" s="25"/>
      <c r="E76" s="73"/>
      <c r="F76" s="15"/>
      <c r="G76" s="15"/>
      <c r="H76" s="25"/>
    </row>
    <row r="77" spans="1:8" x14ac:dyDescent="0.35">
      <c r="A77" s="73"/>
      <c r="B77" s="25"/>
      <c r="C77" s="25"/>
      <c r="D77" s="25"/>
      <c r="E77" s="25"/>
      <c r="F77" s="15"/>
      <c r="G77" s="15"/>
      <c r="H77" s="25"/>
    </row>
    <row r="78" spans="1:8" x14ac:dyDescent="0.35">
      <c r="A78" s="73"/>
      <c r="B78" s="25"/>
      <c r="C78" s="25"/>
      <c r="D78" s="25"/>
      <c r="E78" s="25"/>
      <c r="F78" s="15"/>
      <c r="G78" s="15"/>
      <c r="H78" s="25"/>
    </row>
    <row r="79" spans="1:8" x14ac:dyDescent="0.35">
      <c r="A79" s="73"/>
      <c r="B79" s="25"/>
      <c r="C79" s="25"/>
      <c r="D79" s="25"/>
      <c r="E79" s="25"/>
      <c r="F79" s="15"/>
      <c r="G79" s="15"/>
      <c r="H79" s="25"/>
    </row>
    <row r="80" spans="1:8" x14ac:dyDescent="0.35">
      <c r="A80" s="73"/>
      <c r="B80" s="25"/>
      <c r="C80" s="25"/>
      <c r="D80" s="25"/>
      <c r="E80" s="25"/>
      <c r="F80" s="15"/>
      <c r="G80" s="15"/>
      <c r="H80" s="25"/>
    </row>
    <row r="81" spans="1:8" x14ac:dyDescent="0.35">
      <c r="A81" s="73"/>
      <c r="B81" s="25"/>
      <c r="C81" s="25"/>
      <c r="D81" s="25"/>
      <c r="E81" s="25"/>
      <c r="F81" s="15"/>
      <c r="G81" s="73"/>
      <c r="H81" s="25"/>
    </row>
    <row r="82" spans="1:8" x14ac:dyDescent="0.35">
      <c r="A82" s="73"/>
      <c r="B82" s="25"/>
      <c r="C82" s="25"/>
      <c r="D82" s="25"/>
      <c r="E82" s="25"/>
      <c r="F82" s="15"/>
      <c r="G82" s="15"/>
      <c r="H82" s="25"/>
    </row>
    <row r="83" spans="1:8" x14ac:dyDescent="0.35">
      <c r="A83" s="73"/>
      <c r="B83" s="25"/>
      <c r="C83" s="25"/>
      <c r="D83" s="25"/>
      <c r="E83" s="25"/>
      <c r="F83" s="15"/>
      <c r="G83" s="15"/>
      <c r="H83" s="25"/>
    </row>
    <row r="84" spans="1:8" x14ac:dyDescent="0.35">
      <c r="A84" s="73"/>
      <c r="B84" s="25"/>
      <c r="C84" s="25"/>
      <c r="D84" s="25"/>
      <c r="E84" s="25"/>
      <c r="F84" s="15"/>
      <c r="G84" s="15"/>
      <c r="H84" s="25"/>
    </row>
    <row r="85" spans="1:8" x14ac:dyDescent="0.35">
      <c r="A85" s="73"/>
      <c r="B85" s="25"/>
      <c r="C85" s="25"/>
      <c r="D85" s="25"/>
      <c r="E85" s="25"/>
      <c r="F85" s="15"/>
      <c r="G85" s="15"/>
      <c r="H85" s="25"/>
    </row>
    <row r="86" spans="1:8" x14ac:dyDescent="0.35">
      <c r="A86" s="73"/>
      <c r="B86" s="25"/>
      <c r="C86" s="25"/>
      <c r="D86" s="25"/>
      <c r="E86" s="25"/>
      <c r="F86" s="15"/>
      <c r="G86" s="15"/>
      <c r="H86" s="25"/>
    </row>
    <row r="87" spans="1:8" x14ac:dyDescent="0.35">
      <c r="A87" s="73"/>
      <c r="B87" s="25"/>
      <c r="C87" s="25"/>
      <c r="D87" s="25"/>
      <c r="E87" s="25"/>
      <c r="F87" s="15"/>
      <c r="G87" s="15"/>
      <c r="H87" s="25"/>
    </row>
    <row r="88" spans="1:8" x14ac:dyDescent="0.35">
      <c r="A88" s="73"/>
      <c r="B88" s="25"/>
      <c r="C88" s="25"/>
      <c r="D88" s="25"/>
      <c r="E88" s="25"/>
      <c r="F88" s="15"/>
      <c r="G88" s="15"/>
      <c r="H88" s="25"/>
    </row>
    <row r="89" spans="1:8" x14ac:dyDescent="0.35">
      <c r="A89" s="73"/>
      <c r="B89" s="25"/>
      <c r="C89" s="25"/>
      <c r="D89" s="25"/>
      <c r="E89" s="25"/>
      <c r="F89" s="15"/>
      <c r="G89" s="15"/>
      <c r="H89" s="25"/>
    </row>
    <row r="90" spans="1:8" x14ac:dyDescent="0.35">
      <c r="A90" s="25"/>
      <c r="B90" s="25"/>
      <c r="C90" s="25"/>
      <c r="D90" s="25"/>
      <c r="E90" s="25"/>
      <c r="F90" s="25"/>
      <c r="G90" s="25"/>
      <c r="H90" s="25"/>
    </row>
  </sheetData>
  <mergeCells count="2">
    <mergeCell ref="B3:G3"/>
    <mergeCell ref="B4:G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0"/>
  <sheetViews>
    <sheetView zoomScale="80" zoomScaleNormal="80" workbookViewId="0">
      <selection activeCell="B3" sqref="B3:G3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257</v>
      </c>
    </row>
    <row r="3" spans="1:7" ht="13.9" x14ac:dyDescent="0.4">
      <c r="A3" s="1">
        <f t="shared" ref="A3:A30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531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</row>
    <row r="8" spans="1:7" x14ac:dyDescent="0.35">
      <c r="A8" s="1">
        <f t="shared" si="0"/>
        <v>7</v>
      </c>
      <c r="B8" t="s">
        <v>532</v>
      </c>
    </row>
    <row r="9" spans="1:7" x14ac:dyDescent="0.35">
      <c r="A9" s="1">
        <f t="shared" si="0"/>
        <v>8</v>
      </c>
      <c r="B9" t="s">
        <v>533</v>
      </c>
    </row>
    <row r="10" spans="1:7" x14ac:dyDescent="0.35">
      <c r="A10" s="1">
        <f t="shared" si="0"/>
        <v>9</v>
      </c>
      <c r="B10" t="s">
        <v>534</v>
      </c>
    </row>
    <row r="11" spans="1:7" x14ac:dyDescent="0.35">
      <c r="A11" s="1">
        <f t="shared" si="0"/>
        <v>10</v>
      </c>
    </row>
    <row r="12" spans="1:7" x14ac:dyDescent="0.35">
      <c r="A12" s="1">
        <f t="shared" si="0"/>
        <v>11</v>
      </c>
      <c r="B12" t="s">
        <v>535</v>
      </c>
    </row>
    <row r="13" spans="1:7" x14ac:dyDescent="0.35">
      <c r="A13" s="1">
        <f t="shared" si="0"/>
        <v>12</v>
      </c>
      <c r="B13" t="s">
        <v>536</v>
      </c>
    </row>
    <row r="14" spans="1:7" x14ac:dyDescent="0.35">
      <c r="A14" s="1">
        <f t="shared" si="0"/>
        <v>13</v>
      </c>
    </row>
    <row r="15" spans="1:7" x14ac:dyDescent="0.35">
      <c r="A15" s="1">
        <f t="shared" si="0"/>
        <v>14</v>
      </c>
      <c r="B15" t="s">
        <v>537</v>
      </c>
    </row>
    <row r="16" spans="1:7" x14ac:dyDescent="0.35">
      <c r="A16" s="1">
        <f t="shared" si="0"/>
        <v>15</v>
      </c>
      <c r="B16" t="s">
        <v>538</v>
      </c>
    </row>
    <row r="17" spans="1:7" x14ac:dyDescent="0.35">
      <c r="A17" s="1">
        <f t="shared" si="0"/>
        <v>16</v>
      </c>
      <c r="B17" t="s">
        <v>539</v>
      </c>
    </row>
    <row r="18" spans="1:7" x14ac:dyDescent="0.35">
      <c r="A18" s="1">
        <f t="shared" si="0"/>
        <v>17</v>
      </c>
      <c r="B18" t="s">
        <v>540</v>
      </c>
    </row>
    <row r="19" spans="1:7" x14ac:dyDescent="0.35">
      <c r="A19" s="1">
        <f t="shared" si="0"/>
        <v>18</v>
      </c>
    </row>
    <row r="20" spans="1:7" x14ac:dyDescent="0.35">
      <c r="A20" s="1">
        <f t="shared" si="0"/>
        <v>19</v>
      </c>
      <c r="B20" t="s">
        <v>541</v>
      </c>
    </row>
    <row r="21" spans="1:7" x14ac:dyDescent="0.35">
      <c r="A21" s="1">
        <f t="shared" si="0"/>
        <v>20</v>
      </c>
      <c r="B21" t="s">
        <v>546</v>
      </c>
    </row>
    <row r="22" spans="1:7" x14ac:dyDescent="0.35">
      <c r="A22" s="1">
        <f t="shared" si="0"/>
        <v>21</v>
      </c>
    </row>
    <row r="23" spans="1:7" x14ac:dyDescent="0.35">
      <c r="A23" s="1">
        <f t="shared" si="0"/>
        <v>22</v>
      </c>
      <c r="C23" t="s">
        <v>542</v>
      </c>
    </row>
    <row r="24" spans="1:7" x14ac:dyDescent="0.35">
      <c r="A24" s="1">
        <f t="shared" si="0"/>
        <v>23</v>
      </c>
      <c r="C24" t="s">
        <v>543</v>
      </c>
      <c r="F24" s="7">
        <v>749484</v>
      </c>
    </row>
    <row r="25" spans="1:7" x14ac:dyDescent="0.35">
      <c r="A25" s="1">
        <f t="shared" si="0"/>
        <v>24</v>
      </c>
      <c r="C25" t="s">
        <v>544</v>
      </c>
      <c r="F25" s="23">
        <v>2</v>
      </c>
    </row>
    <row r="26" spans="1:7" x14ac:dyDescent="0.35">
      <c r="A26" s="1">
        <f t="shared" si="0"/>
        <v>25</v>
      </c>
    </row>
    <row r="27" spans="1:7" ht="13.9" thickBot="1" x14ac:dyDescent="0.4">
      <c r="A27" s="1">
        <f t="shared" si="0"/>
        <v>26</v>
      </c>
      <c r="C27" t="s">
        <v>545</v>
      </c>
      <c r="F27" s="11">
        <f>ROUND(F24/F25,0)</f>
        <v>374742</v>
      </c>
      <c r="G27" s="15"/>
    </row>
    <row r="28" spans="1:7" ht="13.9" thickTop="1" x14ac:dyDescent="0.35">
      <c r="A28" s="1">
        <f t="shared" si="0"/>
        <v>27</v>
      </c>
    </row>
    <row r="29" spans="1:7" x14ac:dyDescent="0.35">
      <c r="A29" s="1">
        <f t="shared" si="0"/>
        <v>28</v>
      </c>
    </row>
    <row r="30" spans="1:7" x14ac:dyDescent="0.35">
      <c r="A30" s="1">
        <f t="shared" si="0"/>
        <v>29</v>
      </c>
    </row>
  </sheetData>
  <mergeCells count="2">
    <mergeCell ref="B3:G3"/>
    <mergeCell ref="B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9"/>
  <sheetViews>
    <sheetView zoomScale="80" zoomScaleNormal="80" workbookViewId="0">
      <selection activeCell="B3" sqref="B3:G3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747</v>
      </c>
    </row>
    <row r="3" spans="1:7" ht="13.9" x14ac:dyDescent="0.4">
      <c r="A3" s="1">
        <f t="shared" ref="A3:A29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886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</row>
    <row r="8" spans="1:7" x14ac:dyDescent="0.35">
      <c r="A8" s="1">
        <f t="shared" si="0"/>
        <v>7</v>
      </c>
      <c r="B8" t="s">
        <v>887</v>
      </c>
    </row>
    <row r="9" spans="1:7" x14ac:dyDescent="0.35">
      <c r="A9" s="1">
        <f t="shared" si="0"/>
        <v>8</v>
      </c>
      <c r="B9" t="s">
        <v>888</v>
      </c>
    </row>
    <row r="10" spans="1:7" x14ac:dyDescent="0.35">
      <c r="A10" s="1">
        <f t="shared" si="0"/>
        <v>9</v>
      </c>
      <c r="B10" t="s">
        <v>889</v>
      </c>
    </row>
    <row r="11" spans="1:7" x14ac:dyDescent="0.35">
      <c r="A11" s="1">
        <f t="shared" si="0"/>
        <v>10</v>
      </c>
      <c r="B11" t="s">
        <v>890</v>
      </c>
    </row>
    <row r="12" spans="1:7" x14ac:dyDescent="0.35">
      <c r="A12" s="1">
        <f t="shared" si="0"/>
        <v>11</v>
      </c>
      <c r="B12" t="s">
        <v>891</v>
      </c>
    </row>
    <row r="13" spans="1:7" x14ac:dyDescent="0.35">
      <c r="A13" s="1">
        <f t="shared" si="0"/>
        <v>12</v>
      </c>
      <c r="B13" t="s">
        <v>892</v>
      </c>
    </row>
    <row r="14" spans="1:7" x14ac:dyDescent="0.35">
      <c r="A14" s="1">
        <f t="shared" si="0"/>
        <v>13</v>
      </c>
    </row>
    <row r="15" spans="1:7" x14ac:dyDescent="0.35">
      <c r="A15" s="1">
        <f t="shared" si="0"/>
        <v>14</v>
      </c>
      <c r="B15" t="s">
        <v>893</v>
      </c>
    </row>
    <row r="16" spans="1:7" x14ac:dyDescent="0.35">
      <c r="A16" s="1">
        <f t="shared" si="0"/>
        <v>15</v>
      </c>
      <c r="B16" t="s">
        <v>894</v>
      </c>
    </row>
    <row r="17" spans="1:6" x14ac:dyDescent="0.35">
      <c r="A17" s="1">
        <f t="shared" si="0"/>
        <v>16</v>
      </c>
      <c r="B17" t="s">
        <v>895</v>
      </c>
    </row>
    <row r="18" spans="1:6" x14ac:dyDescent="0.35">
      <c r="A18" s="1">
        <f t="shared" si="0"/>
        <v>17</v>
      </c>
      <c r="B18" t="s">
        <v>896</v>
      </c>
    </row>
    <row r="19" spans="1:6" x14ac:dyDescent="0.35">
      <c r="A19" s="1">
        <f t="shared" si="0"/>
        <v>18</v>
      </c>
    </row>
    <row r="20" spans="1:6" x14ac:dyDescent="0.35">
      <c r="A20" s="1">
        <f t="shared" si="0"/>
        <v>19</v>
      </c>
      <c r="B20" t="s">
        <v>897</v>
      </c>
    </row>
    <row r="21" spans="1:6" x14ac:dyDescent="0.35">
      <c r="A21" s="1">
        <f t="shared" si="0"/>
        <v>20</v>
      </c>
      <c r="B21" t="s">
        <v>898</v>
      </c>
    </row>
    <row r="22" spans="1:6" x14ac:dyDescent="0.35">
      <c r="A22" s="1">
        <f t="shared" si="0"/>
        <v>21</v>
      </c>
    </row>
    <row r="23" spans="1:6" x14ac:dyDescent="0.35">
      <c r="A23" s="1">
        <f t="shared" si="0"/>
        <v>22</v>
      </c>
      <c r="C23" t="s">
        <v>899</v>
      </c>
    </row>
    <row r="24" spans="1:6" x14ac:dyDescent="0.35">
      <c r="A24" s="1">
        <f t="shared" si="0"/>
        <v>23</v>
      </c>
      <c r="C24" t="s">
        <v>543</v>
      </c>
      <c r="F24" s="7">
        <f>ROUND(325657.58+1034892.92,0)</f>
        <v>1360551</v>
      </c>
    </row>
    <row r="25" spans="1:6" x14ac:dyDescent="0.35">
      <c r="A25" s="1">
        <f t="shared" si="0"/>
        <v>24</v>
      </c>
      <c r="C25" t="s">
        <v>544</v>
      </c>
      <c r="F25" s="23">
        <v>2</v>
      </c>
    </row>
    <row r="26" spans="1:6" x14ac:dyDescent="0.35">
      <c r="A26" s="1">
        <f t="shared" si="0"/>
        <v>25</v>
      </c>
    </row>
    <row r="27" spans="1:6" ht="13.9" thickBot="1" x14ac:dyDescent="0.4">
      <c r="A27" s="1">
        <f t="shared" si="0"/>
        <v>26</v>
      </c>
      <c r="C27" t="s">
        <v>900</v>
      </c>
      <c r="F27" s="11">
        <f>ROUND(F24/F25,0)</f>
        <v>680276</v>
      </c>
    </row>
    <row r="28" spans="1:6" ht="13.9" thickTop="1" x14ac:dyDescent="0.35">
      <c r="A28" s="1">
        <f t="shared" si="0"/>
        <v>27</v>
      </c>
    </row>
    <row r="29" spans="1:6" x14ac:dyDescent="0.35">
      <c r="A29" s="1">
        <f t="shared" si="0"/>
        <v>28</v>
      </c>
    </row>
  </sheetData>
  <mergeCells count="2">
    <mergeCell ref="B3:G3"/>
    <mergeCell ref="B4:G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0"/>
  <sheetViews>
    <sheetView zoomScale="80" zoomScaleNormal="80" workbookViewId="0">
      <selection activeCell="A6" sqref="A6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714</v>
      </c>
    </row>
    <row r="3" spans="1:7" ht="13.9" x14ac:dyDescent="0.4">
      <c r="A3" s="1">
        <f t="shared" ref="A3:A30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517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</row>
    <row r="8" spans="1:7" x14ac:dyDescent="0.35">
      <c r="A8" s="1">
        <f t="shared" si="0"/>
        <v>7</v>
      </c>
      <c r="B8" s="20"/>
      <c r="C8" s="20"/>
      <c r="D8" s="20" t="s">
        <v>518</v>
      </c>
      <c r="E8" s="20"/>
      <c r="F8" s="20" t="s">
        <v>519</v>
      </c>
    </row>
    <row r="9" spans="1:7" ht="13.9" thickBot="1" x14ac:dyDescent="0.4">
      <c r="A9" s="1">
        <f t="shared" si="0"/>
        <v>8</v>
      </c>
      <c r="B9" s="46" t="s">
        <v>520</v>
      </c>
      <c r="C9" s="46"/>
      <c r="D9" s="46" t="s">
        <v>521</v>
      </c>
      <c r="E9" s="46"/>
      <c r="F9" s="46" t="s">
        <v>158</v>
      </c>
    </row>
    <row r="10" spans="1:7" x14ac:dyDescent="0.35">
      <c r="A10" s="1">
        <f t="shared" si="0"/>
        <v>9</v>
      </c>
    </row>
    <row r="11" spans="1:7" x14ac:dyDescent="0.35">
      <c r="A11" s="1">
        <f t="shared" si="0"/>
        <v>10</v>
      </c>
      <c r="B11" s="50" t="s">
        <v>522</v>
      </c>
      <c r="D11" s="7">
        <v>6757298</v>
      </c>
      <c r="E11" s="7"/>
      <c r="F11" s="7">
        <v>441598</v>
      </c>
    </row>
    <row r="12" spans="1:7" x14ac:dyDescent="0.35">
      <c r="A12" s="1">
        <f t="shared" si="0"/>
        <v>11</v>
      </c>
      <c r="B12" s="50"/>
      <c r="D12" s="7"/>
      <c r="E12" s="7"/>
      <c r="F12" s="7"/>
    </row>
    <row r="13" spans="1:7" x14ac:dyDescent="0.35">
      <c r="A13" s="1">
        <f t="shared" si="0"/>
        <v>12</v>
      </c>
      <c r="B13" s="50" t="s">
        <v>523</v>
      </c>
      <c r="D13" s="7">
        <v>3494376</v>
      </c>
      <c r="E13" s="7"/>
      <c r="F13" s="7">
        <v>445000</v>
      </c>
    </row>
    <row r="14" spans="1:7" x14ac:dyDescent="0.35">
      <c r="A14" s="1">
        <f t="shared" si="0"/>
        <v>13</v>
      </c>
      <c r="B14" s="50"/>
      <c r="D14" s="7"/>
      <c r="E14" s="7"/>
      <c r="F14" s="7"/>
    </row>
    <row r="15" spans="1:7" x14ac:dyDescent="0.35">
      <c r="A15" s="1">
        <f t="shared" si="0"/>
        <v>14</v>
      </c>
      <c r="B15" s="50" t="s">
        <v>524</v>
      </c>
      <c r="D15" s="15">
        <v>1720480</v>
      </c>
      <c r="E15" s="15"/>
      <c r="F15" s="15">
        <v>5004309</v>
      </c>
    </row>
    <row r="16" spans="1:7" x14ac:dyDescent="0.35">
      <c r="A16" s="1">
        <f t="shared" si="0"/>
        <v>15</v>
      </c>
      <c r="B16" s="50"/>
      <c r="D16" s="7"/>
      <c r="E16" s="7"/>
      <c r="F16" s="7"/>
    </row>
    <row r="17" spans="1:6" x14ac:dyDescent="0.35">
      <c r="A17" s="1">
        <f t="shared" si="0"/>
        <v>16</v>
      </c>
      <c r="B17" s="50" t="s">
        <v>528</v>
      </c>
      <c r="D17" s="7">
        <v>3610893</v>
      </c>
      <c r="E17" s="7"/>
      <c r="F17" s="7">
        <v>2664484</v>
      </c>
    </row>
    <row r="18" spans="1:6" x14ac:dyDescent="0.35">
      <c r="A18" s="1">
        <f t="shared" si="0"/>
        <v>17</v>
      </c>
      <c r="B18" s="50"/>
      <c r="D18" s="7"/>
      <c r="E18" s="7"/>
      <c r="F18" s="7"/>
    </row>
    <row r="19" spans="1:6" x14ac:dyDescent="0.35">
      <c r="A19" s="1">
        <f t="shared" si="0"/>
        <v>18</v>
      </c>
      <c r="B19" s="50" t="s">
        <v>529</v>
      </c>
      <c r="D19" s="9">
        <v>492122</v>
      </c>
      <c r="E19" s="7"/>
      <c r="F19" s="9">
        <v>1236831</v>
      </c>
    </row>
    <row r="20" spans="1:6" x14ac:dyDescent="0.35">
      <c r="A20" s="1">
        <f t="shared" si="0"/>
        <v>19</v>
      </c>
      <c r="D20" s="7"/>
      <c r="E20" s="7"/>
      <c r="F20" s="7"/>
    </row>
    <row r="21" spans="1:6" ht="13.9" thickBot="1" x14ac:dyDescent="0.4">
      <c r="A21" s="1">
        <f t="shared" si="0"/>
        <v>20</v>
      </c>
      <c r="B21" t="s">
        <v>839</v>
      </c>
      <c r="D21" s="11">
        <f>SUM(D11:D19)</f>
        <v>16075169</v>
      </c>
      <c r="E21" s="7"/>
      <c r="F21" s="11">
        <f>SUM(F11:F19)</f>
        <v>9792222</v>
      </c>
    </row>
    <row r="22" spans="1:6" ht="13.9" thickTop="1" x14ac:dyDescent="0.35">
      <c r="A22" s="1">
        <f t="shared" si="0"/>
        <v>21</v>
      </c>
      <c r="D22" s="7"/>
      <c r="E22" s="7"/>
      <c r="F22" s="7"/>
    </row>
    <row r="23" spans="1:6" x14ac:dyDescent="0.35">
      <c r="A23" s="1">
        <f t="shared" si="0"/>
        <v>22</v>
      </c>
      <c r="B23" t="s">
        <v>525</v>
      </c>
      <c r="D23" s="7">
        <f>ROUND(D21/5,0)</f>
        <v>3215034</v>
      </c>
      <c r="E23" s="7"/>
      <c r="F23" s="7">
        <f>ROUND(F21/5,0)</f>
        <v>1958444</v>
      </c>
    </row>
    <row r="24" spans="1:6" x14ac:dyDescent="0.35">
      <c r="A24" s="1">
        <f t="shared" si="0"/>
        <v>23</v>
      </c>
      <c r="D24" s="7"/>
      <c r="E24" s="7"/>
      <c r="F24" s="7"/>
    </row>
    <row r="25" spans="1:6" x14ac:dyDescent="0.35">
      <c r="A25" s="1">
        <f t="shared" si="0"/>
        <v>24</v>
      </c>
      <c r="B25" t="s">
        <v>838</v>
      </c>
      <c r="D25" s="9">
        <f>D19</f>
        <v>492122</v>
      </c>
      <c r="E25" s="7"/>
      <c r="F25" s="9">
        <f>F19</f>
        <v>1236831</v>
      </c>
    </row>
    <row r="26" spans="1:6" x14ac:dyDescent="0.35">
      <c r="A26" s="1">
        <f t="shared" si="0"/>
        <v>25</v>
      </c>
    </row>
    <row r="27" spans="1:6" ht="13.9" thickBot="1" x14ac:dyDescent="0.4">
      <c r="A27" s="1">
        <f t="shared" si="0"/>
        <v>26</v>
      </c>
      <c r="B27" t="s">
        <v>526</v>
      </c>
      <c r="D27" s="11">
        <f>D23-D25</f>
        <v>2722912</v>
      </c>
      <c r="F27" s="11">
        <f>F23-F25</f>
        <v>721613</v>
      </c>
    </row>
    <row r="28" spans="1:6" ht="13.9" thickTop="1" x14ac:dyDescent="0.35">
      <c r="A28" s="1">
        <f t="shared" si="0"/>
        <v>27</v>
      </c>
    </row>
    <row r="29" spans="1:6" ht="13.9" thickBot="1" x14ac:dyDescent="0.4">
      <c r="A29" s="1">
        <f t="shared" si="0"/>
        <v>28</v>
      </c>
      <c r="B29" t="s">
        <v>527</v>
      </c>
      <c r="F29" s="11">
        <f>D27+F27</f>
        <v>3444525</v>
      </c>
    </row>
    <row r="30" spans="1:6" ht="13.9" thickTop="1" x14ac:dyDescent="0.35">
      <c r="A30" s="1">
        <f t="shared" si="0"/>
        <v>29</v>
      </c>
    </row>
  </sheetData>
  <mergeCells count="2">
    <mergeCell ref="B3:G3"/>
    <mergeCell ref="B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="80" zoomScaleNormal="80" workbookViewId="0">
      <selection activeCell="B3" sqref="B3:G3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563</v>
      </c>
    </row>
    <row r="3" spans="1:7" ht="13.9" x14ac:dyDescent="0.4">
      <c r="A3" s="1">
        <f t="shared" ref="A3:A34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588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</row>
    <row r="8" spans="1:7" x14ac:dyDescent="0.35">
      <c r="A8" s="1">
        <f t="shared" si="0"/>
        <v>7</v>
      </c>
      <c r="B8" t="s">
        <v>589</v>
      </c>
    </row>
    <row r="9" spans="1:7" x14ac:dyDescent="0.35">
      <c r="A9" s="1">
        <f t="shared" si="0"/>
        <v>8</v>
      </c>
      <c r="B9" t="s">
        <v>590</v>
      </c>
    </row>
    <row r="10" spans="1:7" x14ac:dyDescent="0.35">
      <c r="A10" s="1">
        <f t="shared" si="0"/>
        <v>9</v>
      </c>
    </row>
    <row r="11" spans="1:7" x14ac:dyDescent="0.35">
      <c r="A11" s="1">
        <f t="shared" si="0"/>
        <v>10</v>
      </c>
      <c r="E11" s="20" t="s">
        <v>591</v>
      </c>
      <c r="F11" s="20" t="s">
        <v>592</v>
      </c>
      <c r="G11" s="20"/>
    </row>
    <row r="12" spans="1:7" ht="13.9" thickBot="1" x14ac:dyDescent="0.4">
      <c r="A12" s="1">
        <f t="shared" si="0"/>
        <v>11</v>
      </c>
      <c r="E12" s="54" t="s">
        <v>586</v>
      </c>
      <c r="F12" s="54" t="s">
        <v>78</v>
      </c>
      <c r="G12" s="54" t="s">
        <v>593</v>
      </c>
    </row>
    <row r="13" spans="1:7" x14ac:dyDescent="0.35">
      <c r="A13" s="1">
        <f t="shared" si="0"/>
        <v>12</v>
      </c>
    </row>
    <row r="14" spans="1:7" x14ac:dyDescent="0.35">
      <c r="A14" s="1">
        <f t="shared" si="0"/>
        <v>13</v>
      </c>
      <c r="B14" t="s">
        <v>594</v>
      </c>
      <c r="E14" s="7">
        <v>360430</v>
      </c>
      <c r="F14" s="7">
        <v>348835</v>
      </c>
      <c r="G14" s="7">
        <f>E14-F14</f>
        <v>11595</v>
      </c>
    </row>
    <row r="15" spans="1:7" x14ac:dyDescent="0.35">
      <c r="A15" s="1">
        <f t="shared" si="0"/>
        <v>14</v>
      </c>
      <c r="B15" t="s">
        <v>595</v>
      </c>
      <c r="E15" s="7">
        <v>720293</v>
      </c>
      <c r="F15" s="7">
        <v>706220</v>
      </c>
      <c r="G15" s="7">
        <f t="shared" ref="G15:G17" si="1">E15-F15</f>
        <v>14073</v>
      </c>
    </row>
    <row r="16" spans="1:7" x14ac:dyDescent="0.35">
      <c r="A16" s="1">
        <f t="shared" si="0"/>
        <v>15</v>
      </c>
      <c r="B16" t="s">
        <v>596</v>
      </c>
      <c r="E16" s="7">
        <v>149530</v>
      </c>
      <c r="F16" s="7">
        <v>147110</v>
      </c>
      <c r="G16" s="7">
        <f t="shared" si="1"/>
        <v>2420</v>
      </c>
    </row>
    <row r="17" spans="1:7" x14ac:dyDescent="0.35">
      <c r="A17" s="1">
        <f t="shared" si="0"/>
        <v>16</v>
      </c>
      <c r="B17" t="s">
        <v>597</v>
      </c>
      <c r="E17" s="7">
        <v>22726</v>
      </c>
      <c r="F17" s="7">
        <v>23476</v>
      </c>
      <c r="G17" s="9">
        <f t="shared" si="1"/>
        <v>-750</v>
      </c>
    </row>
    <row r="18" spans="1:7" x14ac:dyDescent="0.35">
      <c r="A18" s="1">
        <f t="shared" si="0"/>
        <v>17</v>
      </c>
      <c r="B18" t="s">
        <v>598</v>
      </c>
      <c r="E18" s="7"/>
      <c r="F18" s="7"/>
      <c r="G18" s="10">
        <f>SUM(G14:G17)</f>
        <v>27338</v>
      </c>
    </row>
    <row r="19" spans="1:7" x14ac:dyDescent="0.35">
      <c r="A19" s="1">
        <f t="shared" si="0"/>
        <v>18</v>
      </c>
      <c r="E19" s="7"/>
      <c r="F19" s="7"/>
      <c r="G19" s="7"/>
    </row>
    <row r="20" spans="1:7" x14ac:dyDescent="0.35">
      <c r="A20" s="1">
        <f t="shared" si="0"/>
        <v>19</v>
      </c>
      <c r="E20" s="56" t="s">
        <v>599</v>
      </c>
      <c r="F20" s="20" t="s">
        <v>592</v>
      </c>
      <c r="G20" s="20"/>
    </row>
    <row r="21" spans="1:7" ht="13.9" thickBot="1" x14ac:dyDescent="0.4">
      <c r="A21" s="1">
        <f t="shared" si="0"/>
        <v>20</v>
      </c>
      <c r="E21" s="57" t="s">
        <v>586</v>
      </c>
      <c r="F21" s="54" t="s">
        <v>78</v>
      </c>
      <c r="G21" s="54" t="s">
        <v>593</v>
      </c>
    </row>
    <row r="22" spans="1:7" x14ac:dyDescent="0.35">
      <c r="A22" s="1">
        <f t="shared" si="0"/>
        <v>21</v>
      </c>
      <c r="E22" s="7"/>
      <c r="F22" s="7"/>
      <c r="G22" s="7"/>
    </row>
    <row r="23" spans="1:7" x14ac:dyDescent="0.35">
      <c r="A23" s="1">
        <f t="shared" si="0"/>
        <v>22</v>
      </c>
      <c r="B23" t="s">
        <v>600</v>
      </c>
      <c r="E23" s="7">
        <v>595042</v>
      </c>
      <c r="F23" s="7">
        <v>542230</v>
      </c>
      <c r="G23" s="7">
        <f>E23-F23</f>
        <v>52812</v>
      </c>
    </row>
    <row r="24" spans="1:7" x14ac:dyDescent="0.35">
      <c r="A24" s="1">
        <f t="shared" si="0"/>
        <v>23</v>
      </c>
      <c r="B24" t="s">
        <v>601</v>
      </c>
      <c r="E24" s="7">
        <v>1172840</v>
      </c>
      <c r="F24" s="7">
        <v>1275710</v>
      </c>
      <c r="G24" s="7">
        <f>E24-F24</f>
        <v>-102870</v>
      </c>
    </row>
    <row r="25" spans="1:7" x14ac:dyDescent="0.35">
      <c r="A25" s="1">
        <f t="shared" si="0"/>
        <v>24</v>
      </c>
      <c r="B25" t="s">
        <v>602</v>
      </c>
      <c r="E25" s="7">
        <v>3900708</v>
      </c>
      <c r="F25" s="7">
        <v>3556176</v>
      </c>
      <c r="G25" s="9">
        <f>E25-F25</f>
        <v>344532</v>
      </c>
    </row>
    <row r="26" spans="1:7" x14ac:dyDescent="0.35">
      <c r="A26" s="1">
        <f t="shared" si="0"/>
        <v>25</v>
      </c>
      <c r="B26" t="s">
        <v>598</v>
      </c>
      <c r="E26" s="7"/>
      <c r="F26" s="7"/>
      <c r="G26" s="10">
        <f>SUM(G23:G25)</f>
        <v>294474</v>
      </c>
    </row>
    <row r="27" spans="1:7" x14ac:dyDescent="0.35">
      <c r="A27" s="1">
        <f t="shared" si="0"/>
        <v>26</v>
      </c>
      <c r="E27" s="7"/>
      <c r="F27" s="7"/>
      <c r="G27" s="7"/>
    </row>
    <row r="28" spans="1:7" ht="13.9" thickBot="1" x14ac:dyDescent="0.4">
      <c r="A28" s="1">
        <f t="shared" si="0"/>
        <v>27</v>
      </c>
      <c r="B28" t="s">
        <v>603</v>
      </c>
      <c r="E28" s="7"/>
      <c r="F28" s="7"/>
      <c r="G28" s="11">
        <f>G18+G26</f>
        <v>321812</v>
      </c>
    </row>
    <row r="29" spans="1:7" ht="13.9" thickTop="1" x14ac:dyDescent="0.35">
      <c r="A29" s="1">
        <f t="shared" si="0"/>
        <v>28</v>
      </c>
      <c r="E29" s="7"/>
      <c r="F29" s="7"/>
      <c r="G29" s="7"/>
    </row>
    <row r="30" spans="1:7" x14ac:dyDescent="0.35">
      <c r="A30" s="1">
        <f t="shared" si="0"/>
        <v>29</v>
      </c>
      <c r="E30" s="7"/>
      <c r="F30" s="7"/>
      <c r="G30" s="7"/>
    </row>
    <row r="31" spans="1:7" x14ac:dyDescent="0.35">
      <c r="A31" s="1">
        <f t="shared" si="0"/>
        <v>30</v>
      </c>
      <c r="E31" s="7"/>
      <c r="F31" s="7"/>
      <c r="G31" s="7"/>
    </row>
    <row r="32" spans="1:7" x14ac:dyDescent="0.35">
      <c r="A32" s="1">
        <f t="shared" si="0"/>
        <v>31</v>
      </c>
      <c r="E32" s="7"/>
      <c r="F32" s="7"/>
      <c r="G32" s="7"/>
    </row>
    <row r="33" spans="1:7" x14ac:dyDescent="0.35">
      <c r="A33" s="1">
        <f t="shared" si="0"/>
        <v>32</v>
      </c>
      <c r="E33" s="7"/>
      <c r="F33" s="7"/>
      <c r="G33" s="7"/>
    </row>
    <row r="34" spans="1:7" x14ac:dyDescent="0.35">
      <c r="A34" s="1">
        <f t="shared" si="0"/>
        <v>33</v>
      </c>
      <c r="E34" s="7"/>
      <c r="F34" s="7"/>
      <c r="G34" s="7"/>
    </row>
  </sheetData>
  <mergeCells count="2">
    <mergeCell ref="B3:G3"/>
    <mergeCell ref="B4:G4"/>
  </mergeCells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47"/>
  <sheetViews>
    <sheetView zoomScale="80" zoomScaleNormal="80" workbookViewId="0">
      <selection activeCell="F36" sqref="F36"/>
    </sheetView>
  </sheetViews>
  <sheetFormatPr defaultColWidth="15.625" defaultRowHeight="13.5" x14ac:dyDescent="0.35"/>
  <cols>
    <col min="1" max="1" width="4.625" customWidth="1"/>
  </cols>
  <sheetData>
    <row r="1" spans="1:12" x14ac:dyDescent="0.35">
      <c r="A1" s="1">
        <v>0</v>
      </c>
      <c r="B1" t="str">
        <f>'Ex 1 Adjust-Rev Inc'!B1</f>
        <v>ISS Exhibit 1 - Schedules 1.00-1.30 FINAL REV 03-08.xlsx</v>
      </c>
    </row>
    <row r="2" spans="1:12" ht="13.9" x14ac:dyDescent="0.4">
      <c r="A2" s="1">
        <f>A1+1</f>
        <v>1</v>
      </c>
      <c r="G2" s="4" t="s">
        <v>568</v>
      </c>
    </row>
    <row r="3" spans="1:12" ht="13.9" x14ac:dyDescent="0.4">
      <c r="A3" s="1">
        <f t="shared" ref="A3:A45" si="0">A2+1</f>
        <v>2</v>
      </c>
      <c r="B3" s="99" t="s">
        <v>8</v>
      </c>
      <c r="C3" s="99"/>
      <c r="D3" s="99"/>
      <c r="E3" s="99"/>
      <c r="F3" s="99"/>
      <c r="G3" s="99"/>
    </row>
    <row r="4" spans="1:12" ht="13.9" x14ac:dyDescent="0.4">
      <c r="A4" s="1">
        <f t="shared" si="0"/>
        <v>3</v>
      </c>
      <c r="B4" s="99" t="s">
        <v>740</v>
      </c>
      <c r="C4" s="99"/>
      <c r="D4" s="99"/>
      <c r="E4" s="99"/>
      <c r="F4" s="99"/>
      <c r="G4" s="99"/>
    </row>
    <row r="5" spans="1:12" x14ac:dyDescent="0.35">
      <c r="A5" s="1">
        <f t="shared" si="0"/>
        <v>4</v>
      </c>
    </row>
    <row r="6" spans="1:12" x14ac:dyDescent="0.35">
      <c r="A6" s="1">
        <f t="shared" si="0"/>
        <v>5</v>
      </c>
    </row>
    <row r="7" spans="1:12" x14ac:dyDescent="0.35">
      <c r="A7" s="1">
        <f t="shared" si="0"/>
        <v>6</v>
      </c>
    </row>
    <row r="8" spans="1:12" x14ac:dyDescent="0.35">
      <c r="A8" s="1">
        <f t="shared" si="0"/>
        <v>7</v>
      </c>
      <c r="B8" t="s">
        <v>758</v>
      </c>
    </row>
    <row r="9" spans="1:12" x14ac:dyDescent="0.35">
      <c r="A9" s="1">
        <f t="shared" si="0"/>
        <v>8</v>
      </c>
      <c r="B9" t="s">
        <v>765</v>
      </c>
    </row>
    <row r="10" spans="1:12" x14ac:dyDescent="0.35">
      <c r="A10" s="1">
        <f t="shared" si="0"/>
        <v>9</v>
      </c>
      <c r="B10" t="s">
        <v>764</v>
      </c>
    </row>
    <row r="11" spans="1:12" x14ac:dyDescent="0.35">
      <c r="A11" s="1">
        <f t="shared" si="0"/>
        <v>10</v>
      </c>
    </row>
    <row r="12" spans="1:12" x14ac:dyDescent="0.35">
      <c r="A12" s="1">
        <f t="shared" si="0"/>
        <v>11</v>
      </c>
      <c r="D12" s="66" t="s">
        <v>742</v>
      </c>
      <c r="E12" s="68" t="s">
        <v>759</v>
      </c>
      <c r="F12" s="20" t="s">
        <v>760</v>
      </c>
    </row>
    <row r="13" spans="1:12" ht="13.9" thickBot="1" x14ac:dyDescent="0.4">
      <c r="A13" s="1">
        <f t="shared" si="0"/>
        <v>12</v>
      </c>
      <c r="C13" s="67" t="s">
        <v>124</v>
      </c>
      <c r="D13" s="67" t="s">
        <v>743</v>
      </c>
      <c r="E13" s="69" t="s">
        <v>743</v>
      </c>
      <c r="F13" s="67" t="s">
        <v>743</v>
      </c>
    </row>
    <row r="14" spans="1:12" x14ac:dyDescent="0.35">
      <c r="A14" s="1">
        <f t="shared" si="0"/>
        <v>13</v>
      </c>
      <c r="E14" s="25"/>
      <c r="I14" s="25"/>
      <c r="J14" s="15"/>
      <c r="K14" s="15"/>
      <c r="L14" s="15"/>
    </row>
    <row r="15" spans="1:12" x14ac:dyDescent="0.35">
      <c r="A15" s="1">
        <f t="shared" si="0"/>
        <v>14</v>
      </c>
      <c r="C15" s="71" t="s">
        <v>212</v>
      </c>
      <c r="D15" s="7">
        <v>-754441</v>
      </c>
      <c r="E15" s="15">
        <v>-346811</v>
      </c>
      <c r="F15" s="7">
        <f>D15+E15</f>
        <v>-1101252</v>
      </c>
      <c r="I15" s="25"/>
      <c r="J15" s="15"/>
      <c r="K15" s="15"/>
      <c r="L15" s="15"/>
    </row>
    <row r="16" spans="1:12" x14ac:dyDescent="0.35">
      <c r="A16" s="1">
        <f t="shared" si="0"/>
        <v>15</v>
      </c>
      <c r="C16" t="s">
        <v>125</v>
      </c>
      <c r="D16" s="7">
        <v>-741592</v>
      </c>
      <c r="E16" s="15">
        <v>-344367</v>
      </c>
      <c r="F16" s="7">
        <f t="shared" ref="F16:F34" si="1">D16+E16</f>
        <v>-1085959</v>
      </c>
      <c r="I16" s="25"/>
      <c r="J16" s="15"/>
      <c r="K16" s="15"/>
      <c r="L16" s="15"/>
    </row>
    <row r="17" spans="1:12" x14ac:dyDescent="0.35">
      <c r="A17" s="1">
        <f t="shared" si="0"/>
        <v>16</v>
      </c>
      <c r="C17" t="s">
        <v>126</v>
      </c>
      <c r="D17" s="7">
        <v>-736452</v>
      </c>
      <c r="E17" s="15">
        <v>-343390</v>
      </c>
      <c r="F17" s="7">
        <f t="shared" si="1"/>
        <v>-1079842</v>
      </c>
      <c r="I17" s="25"/>
      <c r="J17" s="15"/>
      <c r="K17" s="15"/>
      <c r="L17" s="15"/>
    </row>
    <row r="18" spans="1:12" x14ac:dyDescent="0.35">
      <c r="A18" s="1">
        <f t="shared" si="0"/>
        <v>17</v>
      </c>
      <c r="C18" t="s">
        <v>127</v>
      </c>
      <c r="D18" s="7">
        <v>-732117</v>
      </c>
      <c r="E18" s="15">
        <v>-342565</v>
      </c>
      <c r="F18" s="7">
        <f t="shared" si="1"/>
        <v>-1074682</v>
      </c>
      <c r="I18" s="25"/>
      <c r="J18" s="15"/>
      <c r="K18" s="15"/>
      <c r="L18" s="15"/>
    </row>
    <row r="19" spans="1:12" x14ac:dyDescent="0.35">
      <c r="A19" s="1">
        <f t="shared" si="0"/>
        <v>18</v>
      </c>
      <c r="C19" t="s">
        <v>128</v>
      </c>
      <c r="D19" s="7">
        <v>-725949</v>
      </c>
      <c r="E19" s="15">
        <v>-341184</v>
      </c>
      <c r="F19" s="7">
        <f t="shared" si="1"/>
        <v>-1067133</v>
      </c>
      <c r="I19" s="72"/>
      <c r="J19" s="15"/>
      <c r="K19" s="15"/>
      <c r="L19" s="15"/>
    </row>
    <row r="20" spans="1:12" x14ac:dyDescent="0.35">
      <c r="A20" s="1">
        <f t="shared" si="0"/>
        <v>19</v>
      </c>
      <c r="C20" t="s">
        <v>129</v>
      </c>
      <c r="D20" s="7">
        <v>-705678</v>
      </c>
      <c r="E20" s="15">
        <v>-340413</v>
      </c>
      <c r="F20" s="7">
        <f t="shared" si="1"/>
        <v>-1046091</v>
      </c>
      <c r="I20" s="72"/>
      <c r="J20" s="15"/>
      <c r="K20" s="15"/>
      <c r="L20" s="15"/>
    </row>
    <row r="21" spans="1:12" x14ac:dyDescent="0.35">
      <c r="A21" s="1">
        <f t="shared" si="0"/>
        <v>20</v>
      </c>
      <c r="C21" t="s">
        <v>130</v>
      </c>
      <c r="D21" s="7">
        <v>593136</v>
      </c>
      <c r="E21" s="15">
        <v>-93383</v>
      </c>
      <c r="F21" s="7">
        <f t="shared" si="1"/>
        <v>499753</v>
      </c>
      <c r="I21" s="25"/>
      <c r="J21" s="15"/>
      <c r="K21" s="15"/>
      <c r="L21" s="15"/>
    </row>
    <row r="22" spans="1:12" x14ac:dyDescent="0.35">
      <c r="A22" s="1">
        <f t="shared" si="0"/>
        <v>21</v>
      </c>
      <c r="C22" t="s">
        <v>131</v>
      </c>
      <c r="D22" s="7">
        <v>593136</v>
      </c>
      <c r="E22" s="15">
        <v>-93383</v>
      </c>
      <c r="F22" s="7">
        <f t="shared" si="1"/>
        <v>499753</v>
      </c>
      <c r="I22" s="25"/>
      <c r="J22" s="15"/>
      <c r="K22" s="15"/>
      <c r="L22" s="15"/>
    </row>
    <row r="23" spans="1:12" x14ac:dyDescent="0.35">
      <c r="A23" s="1">
        <f t="shared" si="0"/>
        <v>22</v>
      </c>
      <c r="C23" t="s">
        <v>132</v>
      </c>
      <c r="D23" s="7">
        <v>593136</v>
      </c>
      <c r="E23" s="15">
        <v>-93383</v>
      </c>
      <c r="F23" s="7">
        <f t="shared" si="1"/>
        <v>499753</v>
      </c>
      <c r="I23" s="25"/>
      <c r="J23" s="15"/>
      <c r="K23" s="15"/>
      <c r="L23" s="15"/>
    </row>
    <row r="24" spans="1:12" x14ac:dyDescent="0.35">
      <c r="A24" s="1">
        <f t="shared" si="0"/>
        <v>23</v>
      </c>
      <c r="C24" t="s">
        <v>133</v>
      </c>
      <c r="D24" s="7">
        <v>597878</v>
      </c>
      <c r="E24" s="15">
        <v>-93383</v>
      </c>
      <c r="F24" s="7">
        <f t="shared" si="1"/>
        <v>504495</v>
      </c>
      <c r="I24" s="25"/>
      <c r="J24" s="15"/>
      <c r="K24" s="15"/>
      <c r="L24" s="15"/>
    </row>
    <row r="25" spans="1:12" x14ac:dyDescent="0.35">
      <c r="A25" s="1">
        <f t="shared" si="0"/>
        <v>24</v>
      </c>
      <c r="C25" t="s">
        <v>134</v>
      </c>
      <c r="D25" s="7">
        <v>593610</v>
      </c>
      <c r="E25" s="15">
        <v>-93383</v>
      </c>
      <c r="F25" s="7">
        <f t="shared" si="1"/>
        <v>500227</v>
      </c>
      <c r="I25" s="72"/>
      <c r="J25" s="15"/>
      <c r="K25" s="15"/>
      <c r="L25" s="15"/>
    </row>
    <row r="26" spans="1:12" x14ac:dyDescent="0.35">
      <c r="A26" s="1">
        <f t="shared" si="0"/>
        <v>25</v>
      </c>
      <c r="C26" s="71" t="s">
        <v>213</v>
      </c>
      <c r="D26" s="9">
        <v>593610</v>
      </c>
      <c r="E26" s="9">
        <v>-93383</v>
      </c>
      <c r="F26" s="9">
        <f t="shared" si="1"/>
        <v>500227</v>
      </c>
      <c r="I26" s="25"/>
      <c r="J26" s="15"/>
      <c r="K26" s="15"/>
      <c r="L26" s="15"/>
    </row>
    <row r="27" spans="1:12" ht="13.9" thickBot="1" x14ac:dyDescent="0.4">
      <c r="A27" s="1">
        <f t="shared" si="0"/>
        <v>26</v>
      </c>
      <c r="C27" t="s">
        <v>741</v>
      </c>
      <c r="D27" s="49">
        <f>SUM(D15:D26)</f>
        <v>-831723</v>
      </c>
      <c r="E27" s="49">
        <f>SUM(E15:E26)</f>
        <v>-2619028</v>
      </c>
      <c r="F27" s="49">
        <f>SUM(F15:F26)</f>
        <v>-3450751</v>
      </c>
      <c r="I27" s="25"/>
      <c r="J27" s="25"/>
      <c r="K27" s="25"/>
      <c r="L27" s="15"/>
    </row>
    <row r="28" spans="1:12" ht="13.9" thickTop="1" x14ac:dyDescent="0.35">
      <c r="A28" s="1">
        <f t="shared" si="0"/>
        <v>27</v>
      </c>
      <c r="D28" s="15"/>
      <c r="E28" s="15"/>
      <c r="F28" s="15"/>
      <c r="I28" s="25"/>
      <c r="J28" s="25"/>
      <c r="K28" s="25"/>
      <c r="L28" s="15"/>
    </row>
    <row r="29" spans="1:12" x14ac:dyDescent="0.35">
      <c r="A29" s="1">
        <f t="shared" si="0"/>
        <v>28</v>
      </c>
      <c r="C29" s="71" t="s">
        <v>761</v>
      </c>
      <c r="D29" s="15">
        <v>530543</v>
      </c>
      <c r="E29" s="7">
        <v>-39064</v>
      </c>
      <c r="F29" s="7">
        <f t="shared" si="1"/>
        <v>491479</v>
      </c>
      <c r="I29" s="25"/>
      <c r="J29" s="25"/>
      <c r="K29" s="25"/>
      <c r="L29" s="25"/>
    </row>
    <row r="30" spans="1:12" x14ac:dyDescent="0.35">
      <c r="A30" s="1">
        <f t="shared" si="0"/>
        <v>29</v>
      </c>
      <c r="C30" t="s">
        <v>125</v>
      </c>
      <c r="D30" s="15">
        <v>530212</v>
      </c>
      <c r="E30" s="7">
        <v>-39064</v>
      </c>
      <c r="F30" s="7">
        <f t="shared" si="1"/>
        <v>491148</v>
      </c>
      <c r="I30" s="72"/>
      <c r="J30" s="15"/>
      <c r="K30" s="15"/>
      <c r="L30" s="15"/>
    </row>
    <row r="31" spans="1:12" x14ac:dyDescent="0.35">
      <c r="A31" s="1">
        <f t="shared" si="0"/>
        <v>30</v>
      </c>
      <c r="C31" t="s">
        <v>126</v>
      </c>
      <c r="D31" s="15">
        <v>530212</v>
      </c>
      <c r="E31" s="7">
        <v>-39064</v>
      </c>
      <c r="F31" s="7">
        <f t="shared" si="1"/>
        <v>491148</v>
      </c>
      <c r="I31" s="25"/>
      <c r="J31" s="15"/>
      <c r="K31" s="15"/>
      <c r="L31" s="15"/>
    </row>
    <row r="32" spans="1:12" x14ac:dyDescent="0.35">
      <c r="A32" s="1">
        <f t="shared" si="0"/>
        <v>31</v>
      </c>
      <c r="C32" t="s">
        <v>127</v>
      </c>
      <c r="D32" s="15">
        <v>530212</v>
      </c>
      <c r="E32" s="7">
        <v>-39064</v>
      </c>
      <c r="F32" s="7">
        <f t="shared" si="1"/>
        <v>491148</v>
      </c>
      <c r="I32" s="25"/>
      <c r="J32" s="15"/>
      <c r="K32" s="15"/>
      <c r="L32" s="15"/>
    </row>
    <row r="33" spans="1:12" x14ac:dyDescent="0.35">
      <c r="A33" s="1">
        <f t="shared" si="0"/>
        <v>32</v>
      </c>
      <c r="C33" t="s">
        <v>128</v>
      </c>
      <c r="D33" s="15">
        <v>530212</v>
      </c>
      <c r="E33" s="7">
        <v>-39064</v>
      </c>
      <c r="F33" s="7">
        <f t="shared" si="1"/>
        <v>491148</v>
      </c>
      <c r="I33" s="25"/>
      <c r="J33" s="15"/>
      <c r="K33" s="15"/>
      <c r="L33" s="15"/>
    </row>
    <row r="34" spans="1:12" x14ac:dyDescent="0.35">
      <c r="A34" s="1">
        <f t="shared" si="0"/>
        <v>33</v>
      </c>
      <c r="C34" s="71" t="s">
        <v>762</v>
      </c>
      <c r="D34" s="9">
        <v>529518</v>
      </c>
      <c r="E34" s="9">
        <v>-39064</v>
      </c>
      <c r="F34" s="9">
        <f t="shared" si="1"/>
        <v>490454</v>
      </c>
      <c r="I34" s="25"/>
      <c r="J34" s="15"/>
      <c r="K34" s="15"/>
      <c r="L34" s="15"/>
    </row>
    <row r="35" spans="1:12" ht="13.9" thickBot="1" x14ac:dyDescent="0.4">
      <c r="A35" s="1">
        <f t="shared" si="0"/>
        <v>34</v>
      </c>
      <c r="C35" t="s">
        <v>763</v>
      </c>
      <c r="D35" s="49">
        <f>SUM(D29:D34)</f>
        <v>3180909</v>
      </c>
      <c r="E35" s="49">
        <f t="shared" ref="E35:F35" si="2">SUM(E29:E34)</f>
        <v>-234384</v>
      </c>
      <c r="F35" s="49">
        <f t="shared" si="2"/>
        <v>2946525</v>
      </c>
      <c r="I35" s="72"/>
      <c r="J35" s="15"/>
      <c r="K35" s="15"/>
      <c r="L35" s="15"/>
    </row>
    <row r="36" spans="1:12" ht="13.9" thickTop="1" x14ac:dyDescent="0.35">
      <c r="A36" s="1">
        <f t="shared" si="0"/>
        <v>35</v>
      </c>
      <c r="D36" s="15"/>
      <c r="E36" s="7"/>
      <c r="F36" s="15"/>
      <c r="I36" s="25"/>
      <c r="J36" s="15"/>
      <c r="K36" s="15"/>
      <c r="L36" s="15"/>
    </row>
    <row r="37" spans="1:12" x14ac:dyDescent="0.35">
      <c r="A37" s="1">
        <f t="shared" si="0"/>
        <v>36</v>
      </c>
      <c r="C37" t="s">
        <v>766</v>
      </c>
      <c r="D37" s="15"/>
      <c r="E37" s="7"/>
      <c r="F37" s="15"/>
      <c r="I37" s="25"/>
      <c r="J37" s="73"/>
      <c r="K37" s="73"/>
      <c r="L37" s="73"/>
    </row>
    <row r="38" spans="1:12" x14ac:dyDescent="0.35">
      <c r="A38" s="1">
        <f t="shared" si="0"/>
        <v>37</v>
      </c>
      <c r="C38" t="s">
        <v>767</v>
      </c>
      <c r="D38" s="15">
        <f>ROUND(D35*2,0)</f>
        <v>6361818</v>
      </c>
      <c r="E38" s="15">
        <f t="shared" ref="E38:F38" si="3">ROUND(E35*2,0)</f>
        <v>-468768</v>
      </c>
      <c r="F38" s="15">
        <f t="shared" si="3"/>
        <v>5893050</v>
      </c>
      <c r="I38" s="25"/>
      <c r="J38" s="73"/>
      <c r="K38" s="73"/>
      <c r="L38" s="73"/>
    </row>
    <row r="39" spans="1:12" x14ac:dyDescent="0.35">
      <c r="A39" s="1">
        <f t="shared" si="0"/>
        <v>38</v>
      </c>
      <c r="C39" t="s">
        <v>768</v>
      </c>
      <c r="D39" s="15"/>
      <c r="E39" s="7"/>
      <c r="F39" s="15"/>
      <c r="I39" s="25"/>
      <c r="J39" s="73"/>
      <c r="K39" s="73"/>
      <c r="L39" s="73"/>
    </row>
    <row r="40" spans="1:12" x14ac:dyDescent="0.35">
      <c r="A40" s="1">
        <f t="shared" si="0"/>
        <v>39</v>
      </c>
      <c r="C40" t="s">
        <v>769</v>
      </c>
      <c r="D40" s="9">
        <f>D27</f>
        <v>-831723</v>
      </c>
      <c r="E40" s="9">
        <f>E27</f>
        <v>-2619028</v>
      </c>
      <c r="F40" s="9">
        <f>F27</f>
        <v>-3450751</v>
      </c>
      <c r="I40" s="25"/>
      <c r="J40" s="73"/>
      <c r="K40" s="73"/>
      <c r="L40" s="73"/>
    </row>
    <row r="41" spans="1:12" x14ac:dyDescent="0.35">
      <c r="A41" s="1">
        <f t="shared" si="0"/>
        <v>40</v>
      </c>
      <c r="C41" t="s">
        <v>233</v>
      </c>
      <c r="D41" s="15"/>
      <c r="E41" s="7"/>
      <c r="F41" s="15"/>
      <c r="I41" s="25"/>
      <c r="J41" s="73"/>
      <c r="K41" s="73"/>
      <c r="L41" s="73"/>
    </row>
    <row r="42" spans="1:12" ht="13.9" thickBot="1" x14ac:dyDescent="0.4">
      <c r="A42" s="1">
        <f t="shared" si="0"/>
        <v>41</v>
      </c>
      <c r="C42" t="s">
        <v>770</v>
      </c>
      <c r="D42" s="11">
        <f>D38-D40</f>
        <v>7193541</v>
      </c>
      <c r="E42" s="11">
        <f t="shared" ref="E42:F42" si="4">E38-E40</f>
        <v>2150260</v>
      </c>
      <c r="F42" s="11">
        <f t="shared" si="4"/>
        <v>9343801</v>
      </c>
      <c r="I42" s="25"/>
      <c r="J42" s="73"/>
      <c r="K42" s="73"/>
      <c r="L42" s="73"/>
    </row>
    <row r="43" spans="1:12" ht="13.9" thickTop="1" x14ac:dyDescent="0.35">
      <c r="A43" s="1">
        <f t="shared" si="0"/>
        <v>42</v>
      </c>
      <c r="D43" s="15"/>
      <c r="E43" s="7"/>
      <c r="F43" s="15"/>
      <c r="I43" s="25"/>
      <c r="J43" s="73"/>
      <c r="K43" s="73"/>
      <c r="L43" s="73"/>
    </row>
    <row r="44" spans="1:12" ht="13.9" thickBot="1" x14ac:dyDescent="0.4">
      <c r="A44" s="1">
        <f t="shared" si="0"/>
        <v>43</v>
      </c>
      <c r="C44" t="s">
        <v>744</v>
      </c>
      <c r="E44" s="11">
        <f>F42</f>
        <v>9343801</v>
      </c>
      <c r="I44" s="25"/>
      <c r="J44" s="25"/>
      <c r="K44" s="25"/>
      <c r="L44" s="15"/>
    </row>
    <row r="45" spans="1:12" ht="13.9" thickTop="1" x14ac:dyDescent="0.35">
      <c r="A45" s="1">
        <f t="shared" si="0"/>
        <v>44</v>
      </c>
      <c r="I45" s="25"/>
      <c r="J45" s="25"/>
      <c r="K45" s="25"/>
      <c r="L45" s="15"/>
    </row>
    <row r="46" spans="1:12" x14ac:dyDescent="0.35">
      <c r="A46" s="1"/>
      <c r="C46" s="7"/>
      <c r="D46" s="1"/>
      <c r="E46" s="7"/>
      <c r="I46" s="25"/>
      <c r="J46" s="25"/>
      <c r="K46" s="25"/>
      <c r="L46" s="25"/>
    </row>
    <row r="47" spans="1:12" x14ac:dyDescent="0.35">
      <c r="A47" s="1"/>
      <c r="I47" s="25"/>
      <c r="J47" s="25"/>
      <c r="K47" s="25"/>
      <c r="L47" s="25"/>
    </row>
  </sheetData>
  <mergeCells count="2">
    <mergeCell ref="B3:G3"/>
    <mergeCell ref="B4:G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22"/>
  <sheetViews>
    <sheetView zoomScale="80" zoomScaleNormal="80" workbookViewId="0">
      <selection activeCell="B3" sqref="B3:G3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636</v>
      </c>
    </row>
    <row r="3" spans="1:7" ht="13.9" x14ac:dyDescent="0.4">
      <c r="A3" s="1">
        <f t="shared" ref="A3:A22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748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</row>
    <row r="8" spans="1:7" x14ac:dyDescent="0.35">
      <c r="A8" s="1">
        <f t="shared" si="0"/>
        <v>7</v>
      </c>
      <c r="B8" t="s">
        <v>749</v>
      </c>
    </row>
    <row r="9" spans="1:7" x14ac:dyDescent="0.35">
      <c r="A9" s="1">
        <f t="shared" si="0"/>
        <v>8</v>
      </c>
      <c r="B9" t="s">
        <v>750</v>
      </c>
    </row>
    <row r="10" spans="1:7" x14ac:dyDescent="0.35">
      <c r="A10" s="1">
        <f t="shared" si="0"/>
        <v>9</v>
      </c>
      <c r="B10" t="s">
        <v>751</v>
      </c>
    </row>
    <row r="11" spans="1:7" x14ac:dyDescent="0.35">
      <c r="A11" s="1">
        <f t="shared" si="0"/>
        <v>10</v>
      </c>
      <c r="B11" t="s">
        <v>752</v>
      </c>
    </row>
    <row r="12" spans="1:7" x14ac:dyDescent="0.35">
      <c r="A12" s="1">
        <f t="shared" si="0"/>
        <v>11</v>
      </c>
    </row>
    <row r="13" spans="1:7" x14ac:dyDescent="0.35">
      <c r="A13" s="1">
        <f t="shared" si="0"/>
        <v>12</v>
      </c>
      <c r="B13" t="s">
        <v>753</v>
      </c>
    </row>
    <row r="14" spans="1:7" x14ac:dyDescent="0.35">
      <c r="A14" s="1">
        <f t="shared" si="0"/>
        <v>13</v>
      </c>
      <c r="B14" t="s">
        <v>754</v>
      </c>
      <c r="F14" s="7">
        <v>7244184</v>
      </c>
    </row>
    <row r="15" spans="1:7" x14ac:dyDescent="0.35">
      <c r="A15" s="1">
        <f t="shared" si="0"/>
        <v>14</v>
      </c>
    </row>
    <row r="16" spans="1:7" x14ac:dyDescent="0.35">
      <c r="A16" s="1">
        <f t="shared" si="0"/>
        <v>15</v>
      </c>
      <c r="B16" t="s">
        <v>755</v>
      </c>
      <c r="F16" s="1">
        <v>8</v>
      </c>
      <c r="G16" t="s">
        <v>756</v>
      </c>
    </row>
    <row r="17" spans="1:6" x14ac:dyDescent="0.35">
      <c r="A17" s="1">
        <f t="shared" si="0"/>
        <v>16</v>
      </c>
    </row>
    <row r="18" spans="1:6" ht="13.9" thickBot="1" x14ac:dyDescent="0.4">
      <c r="A18" s="1">
        <f t="shared" si="0"/>
        <v>17</v>
      </c>
      <c r="B18" t="s">
        <v>757</v>
      </c>
      <c r="F18" s="11">
        <f>ROUND(F14/F16,0)</f>
        <v>905523</v>
      </c>
    </row>
    <row r="19" spans="1:6" ht="13.9" thickTop="1" x14ac:dyDescent="0.35">
      <c r="A19" s="1">
        <f t="shared" si="0"/>
        <v>18</v>
      </c>
    </row>
    <row r="20" spans="1:6" ht="13.9" thickBot="1" x14ac:dyDescent="0.4">
      <c r="A20" s="1">
        <f t="shared" si="0"/>
        <v>19</v>
      </c>
      <c r="B20" t="s">
        <v>605</v>
      </c>
      <c r="F20" s="11">
        <f>F18</f>
        <v>905523</v>
      </c>
    </row>
    <row r="21" spans="1:6" ht="13.9" thickTop="1" x14ac:dyDescent="0.35">
      <c r="A21" s="1">
        <f t="shared" si="0"/>
        <v>20</v>
      </c>
    </row>
    <row r="22" spans="1:6" x14ac:dyDescent="0.35">
      <c r="A22" s="1">
        <f t="shared" si="0"/>
        <v>21</v>
      </c>
    </row>
  </sheetData>
  <mergeCells count="2">
    <mergeCell ref="B3:G3"/>
    <mergeCell ref="B4:G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25"/>
  <sheetViews>
    <sheetView zoomScale="80" zoomScaleNormal="80" workbookViewId="0">
      <selection activeCell="B5" sqref="B5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795</v>
      </c>
    </row>
    <row r="3" spans="1:7" ht="13.9" x14ac:dyDescent="0.4">
      <c r="A3" s="1">
        <f t="shared" ref="A3:A25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706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</row>
    <row r="8" spans="1:7" x14ac:dyDescent="0.35">
      <c r="A8" s="1">
        <f t="shared" si="0"/>
        <v>7</v>
      </c>
      <c r="B8" t="s">
        <v>943</v>
      </c>
    </row>
    <row r="9" spans="1:7" x14ac:dyDescent="0.35">
      <c r="A9" s="1">
        <f t="shared" si="0"/>
        <v>8</v>
      </c>
      <c r="B9" t="s">
        <v>944</v>
      </c>
    </row>
    <row r="10" spans="1:7" x14ac:dyDescent="0.35">
      <c r="A10" s="1">
        <f t="shared" si="0"/>
        <v>9</v>
      </c>
    </row>
    <row r="11" spans="1:7" x14ac:dyDescent="0.35">
      <c r="A11" s="1">
        <f t="shared" si="0"/>
        <v>10</v>
      </c>
    </row>
    <row r="12" spans="1:7" x14ac:dyDescent="0.35">
      <c r="A12" s="1">
        <f t="shared" si="0"/>
        <v>11</v>
      </c>
      <c r="B12" t="s">
        <v>931</v>
      </c>
    </row>
    <row r="13" spans="1:7" x14ac:dyDescent="0.35">
      <c r="A13" s="1">
        <f t="shared" si="0"/>
        <v>12</v>
      </c>
      <c r="B13" t="s">
        <v>707</v>
      </c>
      <c r="F13" s="7">
        <v>125000</v>
      </c>
    </row>
    <row r="14" spans="1:7" x14ac:dyDescent="0.35">
      <c r="A14" s="1">
        <f t="shared" si="0"/>
        <v>13</v>
      </c>
      <c r="B14" t="s">
        <v>708</v>
      </c>
      <c r="F14" s="7">
        <v>100000</v>
      </c>
    </row>
    <row r="15" spans="1:7" x14ac:dyDescent="0.35">
      <c r="A15" s="1">
        <f t="shared" si="0"/>
        <v>14</v>
      </c>
      <c r="B15" t="s">
        <v>715</v>
      </c>
      <c r="F15" s="7">
        <f>ROUND(20000*16,0)</f>
        <v>320000</v>
      </c>
    </row>
    <row r="16" spans="1:7" x14ac:dyDescent="0.35">
      <c r="A16" s="1">
        <f t="shared" si="0"/>
        <v>15</v>
      </c>
      <c r="B16" t="s">
        <v>709</v>
      </c>
      <c r="F16" s="7">
        <v>215000</v>
      </c>
    </row>
    <row r="17" spans="1:6" x14ac:dyDescent="0.35">
      <c r="A17" s="1">
        <f t="shared" si="0"/>
        <v>16</v>
      </c>
      <c r="B17" t="s">
        <v>710</v>
      </c>
      <c r="F17" s="7">
        <v>30000</v>
      </c>
    </row>
    <row r="18" spans="1:6" x14ac:dyDescent="0.35">
      <c r="A18" s="1">
        <f t="shared" si="0"/>
        <v>17</v>
      </c>
      <c r="B18" t="s">
        <v>873</v>
      </c>
      <c r="F18" s="7">
        <f>ROUND(10000*16,0)</f>
        <v>160000</v>
      </c>
    </row>
    <row r="19" spans="1:6" x14ac:dyDescent="0.35">
      <c r="A19" s="1">
        <f t="shared" si="0"/>
        <v>18</v>
      </c>
      <c r="B19" t="s">
        <v>711</v>
      </c>
      <c r="F19" s="9">
        <v>10000</v>
      </c>
    </row>
    <row r="20" spans="1:6" x14ac:dyDescent="0.35">
      <c r="A20" s="1">
        <f t="shared" si="0"/>
        <v>19</v>
      </c>
      <c r="F20" s="7"/>
    </row>
    <row r="21" spans="1:6" ht="13.9" thickBot="1" x14ac:dyDescent="0.4">
      <c r="A21" s="1">
        <f t="shared" si="0"/>
        <v>20</v>
      </c>
      <c r="B21" t="s">
        <v>712</v>
      </c>
      <c r="F21" s="11">
        <f>SUM(F13:F19)</f>
        <v>960000</v>
      </c>
    </row>
    <row r="22" spans="1:6" ht="13.9" thickTop="1" x14ac:dyDescent="0.35">
      <c r="A22" s="1">
        <f t="shared" si="0"/>
        <v>21</v>
      </c>
      <c r="F22" s="7"/>
    </row>
    <row r="23" spans="1:6" ht="13.9" thickBot="1" x14ac:dyDescent="0.4">
      <c r="A23" s="1">
        <f t="shared" si="0"/>
        <v>22</v>
      </c>
      <c r="B23" t="s">
        <v>713</v>
      </c>
      <c r="F23" s="11">
        <f>ROUND(F21/3,0)</f>
        <v>320000</v>
      </c>
    </row>
    <row r="24" spans="1:6" ht="13.9" thickTop="1" x14ac:dyDescent="0.35">
      <c r="A24" s="1">
        <f t="shared" si="0"/>
        <v>23</v>
      </c>
    </row>
    <row r="25" spans="1:6" x14ac:dyDescent="0.35">
      <c r="A25" s="1">
        <f t="shared" si="0"/>
        <v>24</v>
      </c>
    </row>
  </sheetData>
  <mergeCells count="2">
    <mergeCell ref="B3:G3"/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"/>
  <sheetViews>
    <sheetView zoomScale="80" zoomScaleNormal="80" workbookViewId="0">
      <selection activeCell="B1" sqref="B1"/>
    </sheetView>
  </sheetViews>
  <sheetFormatPr defaultColWidth="15.625" defaultRowHeight="13.5" x14ac:dyDescent="0.35"/>
  <cols>
    <col min="1" max="1" width="4.625" customWidth="1"/>
    <col min="2" max="2" width="20.625" customWidth="1"/>
  </cols>
  <sheetData>
    <row r="1" spans="1:6" x14ac:dyDescent="0.35">
      <c r="A1" s="1">
        <v>0</v>
      </c>
      <c r="B1" t="str">
        <f>'Ex 1 Adjust-Rev Inc'!B1</f>
        <v>ISS Exhibit 1 - Schedules 1.00-1.30 FINAL REV 03-08.xlsx</v>
      </c>
    </row>
    <row r="2" spans="1:6" ht="13.9" x14ac:dyDescent="0.4">
      <c r="A2" s="1">
        <f>A1+1</f>
        <v>1</v>
      </c>
      <c r="F2" s="4" t="s">
        <v>161</v>
      </c>
    </row>
    <row r="3" spans="1:6" ht="13.9" x14ac:dyDescent="0.4">
      <c r="A3" s="1">
        <f t="shared" ref="A3:A67" si="0">A2+1</f>
        <v>2</v>
      </c>
      <c r="B3" s="99" t="s">
        <v>8</v>
      </c>
      <c r="C3" s="99"/>
      <c r="D3" s="99"/>
      <c r="E3" s="99"/>
      <c r="F3" s="99"/>
    </row>
    <row r="4" spans="1:6" ht="13.9" x14ac:dyDescent="0.4">
      <c r="A4" s="1">
        <f t="shared" si="0"/>
        <v>3</v>
      </c>
      <c r="B4" s="99" t="s">
        <v>136</v>
      </c>
      <c r="C4" s="99"/>
      <c r="D4" s="99"/>
      <c r="E4" s="99"/>
      <c r="F4" s="99"/>
    </row>
    <row r="5" spans="1:6" x14ac:dyDescent="0.35">
      <c r="A5" s="1">
        <f t="shared" si="0"/>
        <v>4</v>
      </c>
    </row>
    <row r="6" spans="1:6" x14ac:dyDescent="0.35">
      <c r="A6" s="1">
        <f t="shared" si="0"/>
        <v>5</v>
      </c>
    </row>
    <row r="7" spans="1:6" x14ac:dyDescent="0.35">
      <c r="A7" s="1">
        <f t="shared" si="0"/>
        <v>6</v>
      </c>
      <c r="B7" s="19" t="s">
        <v>137</v>
      </c>
    </row>
    <row r="8" spans="1:6" x14ac:dyDescent="0.35">
      <c r="A8" s="1">
        <f t="shared" si="0"/>
        <v>7</v>
      </c>
    </row>
    <row r="9" spans="1:6" x14ac:dyDescent="0.35">
      <c r="A9" s="1">
        <f t="shared" si="0"/>
        <v>8</v>
      </c>
      <c r="B9" s="20"/>
      <c r="C9" s="20" t="s">
        <v>138</v>
      </c>
      <c r="D9" s="20" t="s">
        <v>140</v>
      </c>
      <c r="E9" s="20" t="s">
        <v>142</v>
      </c>
    </row>
    <row r="10" spans="1:6" ht="13.9" thickBot="1" x14ac:dyDescent="0.4">
      <c r="A10" s="1">
        <f t="shared" si="0"/>
        <v>9</v>
      </c>
      <c r="B10" s="3" t="s">
        <v>124</v>
      </c>
      <c r="C10" s="3" t="s">
        <v>139</v>
      </c>
      <c r="D10" s="3" t="s">
        <v>141</v>
      </c>
      <c r="E10" s="3" t="s">
        <v>143</v>
      </c>
    </row>
    <row r="11" spans="1:6" x14ac:dyDescent="0.35">
      <c r="A11" s="1">
        <f t="shared" si="0"/>
        <v>10</v>
      </c>
    </row>
    <row r="12" spans="1:6" x14ac:dyDescent="0.35">
      <c r="A12" s="1">
        <f t="shared" si="0"/>
        <v>11</v>
      </c>
      <c r="B12" s="21" t="s">
        <v>212</v>
      </c>
      <c r="C12" s="1">
        <f>1363964.905-9174.755-612.188</f>
        <v>1354177.9620000001</v>
      </c>
      <c r="D12" s="22">
        <v>27.76</v>
      </c>
      <c r="E12" s="7">
        <f>ROUND(C12*D12,0)</f>
        <v>37591980</v>
      </c>
    </row>
    <row r="13" spans="1:6" x14ac:dyDescent="0.35">
      <c r="A13" s="1">
        <f t="shared" si="0"/>
        <v>12</v>
      </c>
      <c r="B13" s="21" t="s">
        <v>125</v>
      </c>
      <c r="C13" s="1">
        <f>1069584.625-4011.043-369.474</f>
        <v>1065204.108</v>
      </c>
      <c r="D13" s="22">
        <f>D12</f>
        <v>27.76</v>
      </c>
      <c r="E13" s="15">
        <f t="shared" ref="E13:E23" si="1">ROUND(C13*D13,0)</f>
        <v>29570066</v>
      </c>
    </row>
    <row r="14" spans="1:6" x14ac:dyDescent="0.35">
      <c r="A14" s="1">
        <f t="shared" si="0"/>
        <v>13</v>
      </c>
      <c r="B14" s="21" t="s">
        <v>126</v>
      </c>
      <c r="C14" s="1">
        <f>1121690.473-4440.989-983.954</f>
        <v>1116265.53</v>
      </c>
      <c r="D14" s="22">
        <f>D13</f>
        <v>27.76</v>
      </c>
      <c r="E14" s="15">
        <f t="shared" si="1"/>
        <v>30987531</v>
      </c>
    </row>
    <row r="15" spans="1:6" x14ac:dyDescent="0.35">
      <c r="A15" s="1">
        <f t="shared" si="0"/>
        <v>14</v>
      </c>
      <c r="B15" s="21" t="s">
        <v>127</v>
      </c>
      <c r="C15" s="1">
        <f>863869.104-4725.745-1118.169</f>
        <v>858025.19000000006</v>
      </c>
      <c r="D15" s="22">
        <f t="shared" ref="D15:D23" si="2">D14</f>
        <v>27.76</v>
      </c>
      <c r="E15" s="15">
        <f t="shared" si="1"/>
        <v>23818779</v>
      </c>
    </row>
    <row r="16" spans="1:6" x14ac:dyDescent="0.35">
      <c r="A16" s="1">
        <f t="shared" si="0"/>
        <v>15</v>
      </c>
      <c r="B16" s="21" t="s">
        <v>128</v>
      </c>
      <c r="C16" s="1">
        <f>940983.173-3966.787-1117.905</f>
        <v>935898.48099999991</v>
      </c>
      <c r="D16" s="22">
        <f t="shared" si="2"/>
        <v>27.76</v>
      </c>
      <c r="E16" s="15">
        <f t="shared" si="1"/>
        <v>25980542</v>
      </c>
    </row>
    <row r="17" spans="1:5" x14ac:dyDescent="0.35">
      <c r="A17" s="1">
        <f t="shared" si="0"/>
        <v>16</v>
      </c>
      <c r="B17" s="21" t="s">
        <v>129</v>
      </c>
      <c r="C17" s="1">
        <f>976847.654-8188.25-876.59</f>
        <v>967782.81400000001</v>
      </c>
      <c r="D17" s="22">
        <f t="shared" si="2"/>
        <v>27.76</v>
      </c>
      <c r="E17" s="15">
        <f t="shared" si="1"/>
        <v>26865651</v>
      </c>
    </row>
    <row r="18" spans="1:5" x14ac:dyDescent="0.35">
      <c r="A18" s="1">
        <f t="shared" si="0"/>
        <v>17</v>
      </c>
      <c r="B18" s="21" t="s">
        <v>130</v>
      </c>
      <c r="C18" s="1">
        <f>1184045.771-19112.344-1014.92</f>
        <v>1163918.507</v>
      </c>
      <c r="D18" s="22">
        <f t="shared" si="2"/>
        <v>27.76</v>
      </c>
      <c r="E18" s="15">
        <f t="shared" si="1"/>
        <v>32310378</v>
      </c>
    </row>
    <row r="19" spans="1:5" x14ac:dyDescent="0.35">
      <c r="A19" s="1">
        <f t="shared" si="0"/>
        <v>18</v>
      </c>
      <c r="B19" s="21" t="s">
        <v>131</v>
      </c>
      <c r="C19" s="1">
        <f>1148332.285-26629.9-306.172</f>
        <v>1121396.213</v>
      </c>
      <c r="D19" s="22">
        <f t="shared" si="2"/>
        <v>27.76</v>
      </c>
      <c r="E19" s="15">
        <f t="shared" si="1"/>
        <v>31129959</v>
      </c>
    </row>
    <row r="20" spans="1:5" x14ac:dyDescent="0.35">
      <c r="A20" s="1">
        <f t="shared" si="0"/>
        <v>19</v>
      </c>
      <c r="B20" s="21" t="s">
        <v>132</v>
      </c>
      <c r="C20" s="1">
        <f>1075931.11-28690.715-16.858</f>
        <v>1047223.5370000001</v>
      </c>
      <c r="D20" s="22">
        <f t="shared" si="2"/>
        <v>27.76</v>
      </c>
      <c r="E20" s="15">
        <f t="shared" si="1"/>
        <v>29070925</v>
      </c>
    </row>
    <row r="21" spans="1:5" x14ac:dyDescent="0.35">
      <c r="A21" s="1">
        <f t="shared" si="0"/>
        <v>20</v>
      </c>
      <c r="B21" s="21" t="s">
        <v>133</v>
      </c>
      <c r="C21" s="1">
        <f>919552.916-28832.574-349.341</f>
        <v>890371.00099999993</v>
      </c>
      <c r="D21" s="22">
        <f t="shared" si="2"/>
        <v>27.76</v>
      </c>
      <c r="E21" s="15">
        <f t="shared" si="1"/>
        <v>24716699</v>
      </c>
    </row>
    <row r="22" spans="1:5" x14ac:dyDescent="0.35">
      <c r="A22" s="1">
        <f t="shared" si="0"/>
        <v>21</v>
      </c>
      <c r="B22" s="21" t="s">
        <v>134</v>
      </c>
      <c r="C22" s="1">
        <f>1131967.156-25026.39-820.195</f>
        <v>1106120.571</v>
      </c>
      <c r="D22" s="22">
        <f t="shared" si="2"/>
        <v>27.76</v>
      </c>
      <c r="E22" s="15">
        <f t="shared" si="1"/>
        <v>30705907</v>
      </c>
    </row>
    <row r="23" spans="1:5" x14ac:dyDescent="0.35">
      <c r="A23" s="1">
        <f t="shared" si="0"/>
        <v>22</v>
      </c>
      <c r="B23" s="21" t="s">
        <v>213</v>
      </c>
      <c r="C23" s="23">
        <f>1183223.79-20217.353-726.155</f>
        <v>1162280.2820000001</v>
      </c>
      <c r="D23" s="22">
        <f t="shared" si="2"/>
        <v>27.76</v>
      </c>
      <c r="E23" s="9">
        <f t="shared" si="1"/>
        <v>32264901</v>
      </c>
    </row>
    <row r="24" spans="1:5" x14ac:dyDescent="0.35">
      <c r="A24" s="1">
        <f t="shared" si="0"/>
        <v>23</v>
      </c>
      <c r="C24" s="1"/>
      <c r="E24" s="7"/>
    </row>
    <row r="25" spans="1:5" ht="13.9" thickBot="1" x14ac:dyDescent="0.4">
      <c r="A25" s="1">
        <f t="shared" si="0"/>
        <v>24</v>
      </c>
      <c r="B25" s="21" t="s">
        <v>135</v>
      </c>
      <c r="C25" s="24">
        <f>SUM(C12:C23)</f>
        <v>12788664.196000002</v>
      </c>
      <c r="E25" s="11">
        <f>ROUND(SUM(E12:E23),0)</f>
        <v>355013318</v>
      </c>
    </row>
    <row r="26" spans="1:5" ht="13.9" thickTop="1" x14ac:dyDescent="0.35">
      <c r="A26" s="1">
        <f t="shared" si="0"/>
        <v>25</v>
      </c>
      <c r="B26" s="21" t="s">
        <v>505</v>
      </c>
    </row>
    <row r="27" spans="1:5" x14ac:dyDescent="0.35">
      <c r="A27" s="1">
        <f t="shared" si="0"/>
        <v>26</v>
      </c>
    </row>
    <row r="28" spans="1:5" x14ac:dyDescent="0.35">
      <c r="A28" s="1">
        <f t="shared" si="0"/>
        <v>27</v>
      </c>
      <c r="B28" s="19" t="s">
        <v>144</v>
      </c>
    </row>
    <row r="29" spans="1:5" x14ac:dyDescent="0.35">
      <c r="A29" s="1">
        <f t="shared" si="0"/>
        <v>28</v>
      </c>
    </row>
    <row r="30" spans="1:5" x14ac:dyDescent="0.35">
      <c r="A30" s="1">
        <f t="shared" si="0"/>
        <v>29</v>
      </c>
      <c r="B30" s="20"/>
      <c r="C30" s="20" t="s">
        <v>145</v>
      </c>
      <c r="D30" s="20" t="s">
        <v>145</v>
      </c>
      <c r="E30" s="20" t="s">
        <v>148</v>
      </c>
    </row>
    <row r="31" spans="1:5" ht="13.9" thickBot="1" x14ac:dyDescent="0.4">
      <c r="A31" s="1">
        <f t="shared" si="0"/>
        <v>30</v>
      </c>
      <c r="B31" s="3" t="s">
        <v>124</v>
      </c>
      <c r="C31" s="3" t="s">
        <v>146</v>
      </c>
      <c r="D31" s="3" t="s">
        <v>147</v>
      </c>
      <c r="E31" s="3" t="s">
        <v>146</v>
      </c>
    </row>
    <row r="32" spans="1:5" x14ac:dyDescent="0.35">
      <c r="A32" s="1">
        <f t="shared" si="0"/>
        <v>31</v>
      </c>
    </row>
    <row r="33" spans="1:5" x14ac:dyDescent="0.35">
      <c r="A33" s="1">
        <f t="shared" si="0"/>
        <v>32</v>
      </c>
      <c r="B33" s="21" t="s">
        <v>212</v>
      </c>
      <c r="C33" s="7">
        <v>-6181938</v>
      </c>
      <c r="D33" s="7">
        <v>-86799</v>
      </c>
      <c r="E33" s="7">
        <f>C33+D33</f>
        <v>-6268737</v>
      </c>
    </row>
    <row r="34" spans="1:5" x14ac:dyDescent="0.35">
      <c r="A34" s="1">
        <f t="shared" si="0"/>
        <v>33</v>
      </c>
      <c r="B34" s="21" t="s">
        <v>125</v>
      </c>
      <c r="C34" s="7">
        <v>-2794131</v>
      </c>
      <c r="D34" s="7">
        <v>-37950</v>
      </c>
      <c r="E34" s="7">
        <f t="shared" ref="E34:E44" si="3">C34+D34</f>
        <v>-2832081</v>
      </c>
    </row>
    <row r="35" spans="1:5" x14ac:dyDescent="0.35">
      <c r="A35" s="1">
        <f t="shared" si="0"/>
        <v>34</v>
      </c>
      <c r="B35" s="21" t="s">
        <v>126</v>
      </c>
      <c r="C35" s="7">
        <v>-4866963</v>
      </c>
      <c r="D35" s="7">
        <v>-58484</v>
      </c>
      <c r="E35" s="7">
        <f t="shared" si="3"/>
        <v>-4925447</v>
      </c>
    </row>
    <row r="36" spans="1:5" x14ac:dyDescent="0.35">
      <c r="A36" s="1">
        <f t="shared" si="0"/>
        <v>35</v>
      </c>
      <c r="B36" s="21" t="s">
        <v>127</v>
      </c>
      <c r="C36" s="7">
        <v>-1406276</v>
      </c>
      <c r="D36" s="7">
        <v>-28256</v>
      </c>
      <c r="E36" s="7">
        <f t="shared" si="3"/>
        <v>-1434532</v>
      </c>
    </row>
    <row r="37" spans="1:5" x14ac:dyDescent="0.35">
      <c r="A37" s="1">
        <f t="shared" si="0"/>
        <v>36</v>
      </c>
      <c r="B37" s="21" t="s">
        <v>128</v>
      </c>
      <c r="C37" s="7">
        <v>-3462715</v>
      </c>
      <c r="D37" s="7">
        <v>-60677</v>
      </c>
      <c r="E37" s="7">
        <f t="shared" si="3"/>
        <v>-3523392</v>
      </c>
    </row>
    <row r="38" spans="1:5" x14ac:dyDescent="0.35">
      <c r="A38" s="1">
        <f t="shared" si="0"/>
        <v>37</v>
      </c>
      <c r="B38" s="21" t="s">
        <v>129</v>
      </c>
      <c r="C38" s="7">
        <v>-3332501</v>
      </c>
      <c r="D38" s="7">
        <v>-47116</v>
      </c>
      <c r="E38" s="7">
        <f t="shared" si="3"/>
        <v>-3379617</v>
      </c>
    </row>
    <row r="39" spans="1:5" x14ac:dyDescent="0.35">
      <c r="A39" s="1">
        <f t="shared" si="0"/>
        <v>38</v>
      </c>
      <c r="B39" s="21" t="s">
        <v>130</v>
      </c>
      <c r="C39" s="7">
        <v>-5550521</v>
      </c>
      <c r="D39" s="7">
        <v>-75750</v>
      </c>
      <c r="E39" s="7">
        <f t="shared" si="3"/>
        <v>-5626271</v>
      </c>
    </row>
    <row r="40" spans="1:5" x14ac:dyDescent="0.35">
      <c r="A40" s="1">
        <f t="shared" si="0"/>
        <v>39</v>
      </c>
      <c r="B40" s="21" t="s">
        <v>131</v>
      </c>
      <c r="C40" s="7">
        <v>-5775772</v>
      </c>
      <c r="D40" s="7">
        <v>-87915</v>
      </c>
      <c r="E40" s="7">
        <f t="shared" si="3"/>
        <v>-5863687</v>
      </c>
    </row>
    <row r="41" spans="1:5" x14ac:dyDescent="0.35">
      <c r="A41" s="1">
        <f t="shared" si="0"/>
        <v>40</v>
      </c>
      <c r="B41" s="21" t="s">
        <v>132</v>
      </c>
      <c r="C41" s="7">
        <v>-6310008</v>
      </c>
      <c r="D41" s="7">
        <v>-94524</v>
      </c>
      <c r="E41" s="7">
        <f t="shared" si="3"/>
        <v>-6404532</v>
      </c>
    </row>
    <row r="42" spans="1:5" x14ac:dyDescent="0.35">
      <c r="A42" s="1">
        <f t="shared" si="0"/>
        <v>41</v>
      </c>
      <c r="B42" s="21" t="s">
        <v>133</v>
      </c>
      <c r="C42" s="7">
        <v>-4920633</v>
      </c>
      <c r="D42" s="7">
        <v>-99925</v>
      </c>
      <c r="E42" s="7">
        <f t="shared" si="3"/>
        <v>-5020558</v>
      </c>
    </row>
    <row r="43" spans="1:5" x14ac:dyDescent="0.35">
      <c r="A43" s="1">
        <f t="shared" si="0"/>
        <v>42</v>
      </c>
      <c r="B43" s="21" t="s">
        <v>134</v>
      </c>
      <c r="C43" s="7">
        <v>-7157677</v>
      </c>
      <c r="D43" s="7">
        <v>-130434</v>
      </c>
      <c r="E43" s="7">
        <f t="shared" si="3"/>
        <v>-7288111</v>
      </c>
    </row>
    <row r="44" spans="1:5" x14ac:dyDescent="0.35">
      <c r="A44" s="1">
        <f t="shared" si="0"/>
        <v>43</v>
      </c>
      <c r="B44" s="21" t="s">
        <v>213</v>
      </c>
      <c r="C44" s="9">
        <v>-1345408</v>
      </c>
      <c r="D44" s="9">
        <v>-24771</v>
      </c>
      <c r="E44" s="9">
        <f t="shared" si="3"/>
        <v>-1370179</v>
      </c>
    </row>
    <row r="45" spans="1:5" x14ac:dyDescent="0.35">
      <c r="A45" s="1">
        <f t="shared" si="0"/>
        <v>44</v>
      </c>
      <c r="C45" s="7"/>
      <c r="D45" s="7"/>
      <c r="E45" s="7"/>
    </row>
    <row r="46" spans="1:5" ht="13.9" thickBot="1" x14ac:dyDescent="0.4">
      <c r="A46" s="1">
        <f t="shared" si="0"/>
        <v>45</v>
      </c>
      <c r="B46" s="21" t="s">
        <v>135</v>
      </c>
      <c r="C46" s="11">
        <f>SUM(C33:C44)</f>
        <v>-53104543</v>
      </c>
      <c r="D46" s="11">
        <f t="shared" ref="D46:E46" si="4">SUM(D33:D44)</f>
        <v>-832601</v>
      </c>
      <c r="E46" s="11">
        <f t="shared" si="4"/>
        <v>-53937144</v>
      </c>
    </row>
    <row r="47" spans="1:5" ht="13.9" thickTop="1" x14ac:dyDescent="0.35">
      <c r="A47" s="1">
        <f t="shared" si="0"/>
        <v>46</v>
      </c>
    </row>
    <row r="48" spans="1:5" x14ac:dyDescent="0.35">
      <c r="A48" s="1">
        <f t="shared" si="0"/>
        <v>47</v>
      </c>
    </row>
    <row r="49" spans="1:5" x14ac:dyDescent="0.35">
      <c r="A49" s="1">
        <f t="shared" si="0"/>
        <v>48</v>
      </c>
      <c r="B49" s="19" t="s">
        <v>149</v>
      </c>
    </row>
    <row r="50" spans="1:5" x14ac:dyDescent="0.35">
      <c r="A50" s="1">
        <f t="shared" si="0"/>
        <v>49</v>
      </c>
    </row>
    <row r="51" spans="1:5" x14ac:dyDescent="0.35">
      <c r="A51" s="1">
        <f t="shared" si="0"/>
        <v>50</v>
      </c>
      <c r="B51" t="s">
        <v>150</v>
      </c>
      <c r="E51" s="7">
        <v>151614153</v>
      </c>
    </row>
    <row r="52" spans="1:5" x14ac:dyDescent="0.35">
      <c r="A52" s="1">
        <f t="shared" si="0"/>
        <v>51</v>
      </c>
      <c r="E52" s="7"/>
    </row>
    <row r="53" spans="1:5" x14ac:dyDescent="0.35">
      <c r="A53" s="1">
        <f t="shared" si="0"/>
        <v>52</v>
      </c>
      <c r="B53" t="s">
        <v>151</v>
      </c>
      <c r="E53" s="9">
        <v>2369618</v>
      </c>
    </row>
    <row r="54" spans="1:5" x14ac:dyDescent="0.35">
      <c r="A54" s="1">
        <f t="shared" si="0"/>
        <v>53</v>
      </c>
      <c r="E54" s="7"/>
    </row>
    <row r="55" spans="1:5" ht="13.9" thickBot="1" x14ac:dyDescent="0.4">
      <c r="A55" s="1">
        <f t="shared" si="0"/>
        <v>54</v>
      </c>
      <c r="B55" t="s">
        <v>152</v>
      </c>
      <c r="E55" s="11">
        <f>E51-E53</f>
        <v>149244535</v>
      </c>
    </row>
    <row r="56" spans="1:5" ht="13.9" thickTop="1" x14ac:dyDescent="0.35">
      <c r="A56" s="1">
        <f t="shared" si="0"/>
        <v>55</v>
      </c>
    </row>
    <row r="57" spans="1:5" x14ac:dyDescent="0.35">
      <c r="A57" s="1">
        <f t="shared" si="0"/>
        <v>56</v>
      </c>
    </row>
    <row r="58" spans="1:5" x14ac:dyDescent="0.35">
      <c r="A58" s="1">
        <f t="shared" si="0"/>
        <v>57</v>
      </c>
      <c r="B58" s="19" t="s">
        <v>153</v>
      </c>
    </row>
    <row r="59" spans="1:5" x14ac:dyDescent="0.35">
      <c r="A59" s="1">
        <f t="shared" si="0"/>
        <v>58</v>
      </c>
    </row>
    <row r="60" spans="1:5" x14ac:dyDescent="0.35">
      <c r="A60" s="1">
        <f t="shared" si="0"/>
        <v>59</v>
      </c>
      <c r="C60" s="20"/>
      <c r="D60" s="20" t="s">
        <v>156</v>
      </c>
      <c r="E60" s="20" t="s">
        <v>156</v>
      </c>
    </row>
    <row r="61" spans="1:5" x14ac:dyDescent="0.35">
      <c r="A61" s="1">
        <f t="shared" si="0"/>
        <v>60</v>
      </c>
      <c r="B61" s="20"/>
      <c r="C61" s="20" t="s">
        <v>154</v>
      </c>
      <c r="D61" s="20" t="s">
        <v>157</v>
      </c>
      <c r="E61" s="20" t="s">
        <v>159</v>
      </c>
    </row>
    <row r="62" spans="1:5" ht="13.9" thickBot="1" x14ac:dyDescent="0.4">
      <c r="A62" s="1">
        <f t="shared" si="0"/>
        <v>61</v>
      </c>
      <c r="B62" s="3" t="s">
        <v>124</v>
      </c>
      <c r="C62" s="3" t="s">
        <v>155</v>
      </c>
      <c r="D62" s="3" t="s">
        <v>158</v>
      </c>
      <c r="E62" s="3" t="s">
        <v>160</v>
      </c>
    </row>
    <row r="63" spans="1:5" x14ac:dyDescent="0.35">
      <c r="A63" s="1">
        <f t="shared" si="0"/>
        <v>62</v>
      </c>
    </row>
    <row r="64" spans="1:5" x14ac:dyDescent="0.35">
      <c r="A64" s="1">
        <f t="shared" si="0"/>
        <v>63</v>
      </c>
      <c r="B64" s="21" t="s">
        <v>212</v>
      </c>
      <c r="C64" s="29">
        <v>17176072</v>
      </c>
      <c r="D64" s="29">
        <v>214985</v>
      </c>
      <c r="E64" s="7">
        <f>ROUND(C64-D64,0)</f>
        <v>16961087</v>
      </c>
    </row>
    <row r="65" spans="1:5" x14ac:dyDescent="0.35">
      <c r="A65" s="1">
        <f t="shared" si="0"/>
        <v>64</v>
      </c>
      <c r="B65" s="21" t="s">
        <v>125</v>
      </c>
      <c r="C65" s="29">
        <v>14423100</v>
      </c>
      <c r="D65" s="29">
        <v>77351</v>
      </c>
      <c r="E65" s="15">
        <f t="shared" ref="E65:E75" si="5">ROUND(C65-D65,0)</f>
        <v>14345749</v>
      </c>
    </row>
    <row r="66" spans="1:5" x14ac:dyDescent="0.35">
      <c r="A66" s="1">
        <f t="shared" si="0"/>
        <v>65</v>
      </c>
      <c r="B66" s="21" t="s">
        <v>126</v>
      </c>
      <c r="C66" s="29">
        <v>17984338</v>
      </c>
      <c r="D66" s="29">
        <v>0</v>
      </c>
      <c r="E66" s="15">
        <f t="shared" si="5"/>
        <v>17984338</v>
      </c>
    </row>
    <row r="67" spans="1:5" x14ac:dyDescent="0.35">
      <c r="A67" s="1">
        <f t="shared" si="0"/>
        <v>66</v>
      </c>
      <c r="B67" s="21" t="s">
        <v>127</v>
      </c>
      <c r="C67" s="29">
        <v>13979874</v>
      </c>
      <c r="D67" s="29">
        <v>514300</v>
      </c>
      <c r="E67" s="15">
        <f t="shared" si="5"/>
        <v>13465574</v>
      </c>
    </row>
    <row r="68" spans="1:5" x14ac:dyDescent="0.35">
      <c r="A68" s="1">
        <f t="shared" ref="A68:A100" si="6">A67+1</f>
        <v>67</v>
      </c>
      <c r="B68" s="21" t="s">
        <v>128</v>
      </c>
      <c r="C68" s="29">
        <v>14287632</v>
      </c>
      <c r="D68" s="29">
        <v>0</v>
      </c>
      <c r="E68" s="15">
        <f t="shared" si="5"/>
        <v>14287632</v>
      </c>
    </row>
    <row r="69" spans="1:5" x14ac:dyDescent="0.35">
      <c r="A69" s="1">
        <f t="shared" si="6"/>
        <v>68</v>
      </c>
      <c r="B69" s="21" t="s">
        <v>129</v>
      </c>
      <c r="C69" s="29">
        <v>12729769</v>
      </c>
      <c r="D69" s="29">
        <v>0</v>
      </c>
      <c r="E69" s="15">
        <f t="shared" si="5"/>
        <v>12729769</v>
      </c>
    </row>
    <row r="70" spans="1:5" x14ac:dyDescent="0.35">
      <c r="A70" s="1">
        <f t="shared" si="6"/>
        <v>69</v>
      </c>
      <c r="B70" s="21" t="s">
        <v>130</v>
      </c>
      <c r="C70" s="29">
        <v>7948881</v>
      </c>
      <c r="D70" s="29">
        <v>0</v>
      </c>
      <c r="E70" s="15">
        <f t="shared" si="5"/>
        <v>7948881</v>
      </c>
    </row>
    <row r="71" spans="1:5" x14ac:dyDescent="0.35">
      <c r="A71" s="1">
        <f t="shared" si="6"/>
        <v>70</v>
      </c>
      <c r="B71" s="21" t="s">
        <v>131</v>
      </c>
      <c r="C71" s="29">
        <v>8173164</v>
      </c>
      <c r="D71" s="29">
        <v>109868</v>
      </c>
      <c r="E71" s="15">
        <f t="shared" si="5"/>
        <v>8063296</v>
      </c>
    </row>
    <row r="72" spans="1:5" x14ac:dyDescent="0.35">
      <c r="A72" s="1">
        <f t="shared" si="6"/>
        <v>71</v>
      </c>
      <c r="B72" s="21" t="s">
        <v>132</v>
      </c>
      <c r="C72" s="29">
        <v>8829533</v>
      </c>
      <c r="D72" s="29">
        <v>216022</v>
      </c>
      <c r="E72" s="15">
        <f t="shared" si="5"/>
        <v>8613511</v>
      </c>
    </row>
    <row r="73" spans="1:5" x14ac:dyDescent="0.35">
      <c r="A73" s="1">
        <f t="shared" si="6"/>
        <v>72</v>
      </c>
      <c r="B73" s="21" t="s">
        <v>133</v>
      </c>
      <c r="C73" s="29">
        <v>6707069</v>
      </c>
      <c r="D73" s="29">
        <v>19567</v>
      </c>
      <c r="E73" s="15">
        <f t="shared" si="5"/>
        <v>6687502</v>
      </c>
    </row>
    <row r="74" spans="1:5" x14ac:dyDescent="0.35">
      <c r="A74" s="1">
        <f t="shared" si="6"/>
        <v>73</v>
      </c>
      <c r="B74" s="21" t="s">
        <v>134</v>
      </c>
      <c r="C74" s="29">
        <v>16051699</v>
      </c>
      <c r="D74" s="29">
        <v>10365</v>
      </c>
      <c r="E74" s="15">
        <f t="shared" si="5"/>
        <v>16041334</v>
      </c>
    </row>
    <row r="75" spans="1:5" x14ac:dyDescent="0.35">
      <c r="A75" s="1">
        <f t="shared" si="6"/>
        <v>74</v>
      </c>
      <c r="B75" s="21" t="s">
        <v>213</v>
      </c>
      <c r="C75" s="30">
        <v>13267487</v>
      </c>
      <c r="D75" s="30">
        <v>74373</v>
      </c>
      <c r="E75" s="9">
        <f t="shared" si="5"/>
        <v>13193114</v>
      </c>
    </row>
    <row r="76" spans="1:5" x14ac:dyDescent="0.35">
      <c r="A76" s="1">
        <f t="shared" si="6"/>
        <v>75</v>
      </c>
      <c r="C76" s="7"/>
      <c r="D76" s="7"/>
      <c r="E76" s="7"/>
    </row>
    <row r="77" spans="1:5" ht="13.9" thickBot="1" x14ac:dyDescent="0.4">
      <c r="A77" s="1">
        <f t="shared" si="6"/>
        <v>76</v>
      </c>
      <c r="B77" s="21" t="s">
        <v>135</v>
      </c>
      <c r="C77" s="11">
        <f>SUM(C64:C75)</f>
        <v>151558618</v>
      </c>
      <c r="D77" s="11">
        <f t="shared" ref="D77:E77" si="7">SUM(D64:D75)</f>
        <v>1236831</v>
      </c>
      <c r="E77" s="11">
        <f t="shared" si="7"/>
        <v>150321787</v>
      </c>
    </row>
    <row r="78" spans="1:5" ht="13.9" thickTop="1" x14ac:dyDescent="0.35">
      <c r="A78" s="1">
        <f t="shared" si="6"/>
        <v>77</v>
      </c>
    </row>
    <row r="79" spans="1:5" x14ac:dyDescent="0.35">
      <c r="A79" s="1">
        <f t="shared" si="6"/>
        <v>78</v>
      </c>
    </row>
    <row r="80" spans="1:5" x14ac:dyDescent="0.35">
      <c r="A80" s="1">
        <f t="shared" si="6"/>
        <v>79</v>
      </c>
      <c r="B80" s="19" t="s">
        <v>215</v>
      </c>
    </row>
    <row r="81" spans="1:6" x14ac:dyDescent="0.35">
      <c r="A81" s="1">
        <f t="shared" si="6"/>
        <v>80</v>
      </c>
    </row>
    <row r="82" spans="1:6" x14ac:dyDescent="0.35">
      <c r="A82" s="1">
        <f t="shared" si="6"/>
        <v>81</v>
      </c>
      <c r="B82" t="s">
        <v>202</v>
      </c>
      <c r="E82" s="29">
        <v>-922108</v>
      </c>
      <c r="F82" t="s">
        <v>228</v>
      </c>
    </row>
    <row r="83" spans="1:6" x14ac:dyDescent="0.35">
      <c r="A83" s="1">
        <f t="shared" si="6"/>
        <v>82</v>
      </c>
      <c r="B83" t="s">
        <v>203</v>
      </c>
      <c r="E83" s="30">
        <v>-13258</v>
      </c>
      <c r="F83" t="s">
        <v>229</v>
      </c>
    </row>
    <row r="84" spans="1:6" x14ac:dyDescent="0.35">
      <c r="A84" s="1">
        <f t="shared" si="6"/>
        <v>83</v>
      </c>
      <c r="B84" t="s">
        <v>204</v>
      </c>
      <c r="E84" s="29">
        <f>ROUND(E82+E83,0)</f>
        <v>-935366</v>
      </c>
    </row>
    <row r="85" spans="1:6" x14ac:dyDescent="0.35">
      <c r="A85" s="1">
        <f t="shared" si="6"/>
        <v>84</v>
      </c>
    </row>
    <row r="86" spans="1:6" x14ac:dyDescent="0.35">
      <c r="A86" s="1">
        <f t="shared" si="6"/>
        <v>85</v>
      </c>
      <c r="B86" s="19" t="s">
        <v>163</v>
      </c>
    </row>
    <row r="87" spans="1:6" x14ac:dyDescent="0.35">
      <c r="A87" s="1">
        <f t="shared" si="6"/>
        <v>86</v>
      </c>
    </row>
    <row r="88" spans="1:6" x14ac:dyDescent="0.35">
      <c r="A88" s="1">
        <f t="shared" si="6"/>
        <v>87</v>
      </c>
      <c r="B88" t="s">
        <v>162</v>
      </c>
      <c r="D88" s="7"/>
    </row>
    <row r="89" spans="1:6" x14ac:dyDescent="0.35">
      <c r="A89" s="1">
        <f t="shared" si="6"/>
        <v>88</v>
      </c>
      <c r="C89" t="s">
        <v>164</v>
      </c>
      <c r="D89" s="7">
        <f>-E25</f>
        <v>-355013318</v>
      </c>
    </row>
    <row r="90" spans="1:6" x14ac:dyDescent="0.35">
      <c r="A90" s="1">
        <f t="shared" si="6"/>
        <v>89</v>
      </c>
      <c r="C90" t="s">
        <v>165</v>
      </c>
      <c r="D90" s="7">
        <f>-E46</f>
        <v>53937144</v>
      </c>
    </row>
    <row r="91" spans="1:6" x14ac:dyDescent="0.35">
      <c r="A91" s="1">
        <f t="shared" si="6"/>
        <v>90</v>
      </c>
      <c r="C91" t="s">
        <v>216</v>
      </c>
      <c r="D91" s="9">
        <f>-E84</f>
        <v>935366</v>
      </c>
    </row>
    <row r="92" spans="1:6" x14ac:dyDescent="0.35">
      <c r="A92" s="1">
        <f t="shared" si="6"/>
        <v>91</v>
      </c>
      <c r="C92" t="s">
        <v>166</v>
      </c>
      <c r="D92" s="7">
        <f>SUM(D89:D91)</f>
        <v>-300140808</v>
      </c>
    </row>
    <row r="93" spans="1:6" x14ac:dyDescent="0.35">
      <c r="A93" s="1">
        <f t="shared" si="6"/>
        <v>92</v>
      </c>
      <c r="B93" t="s">
        <v>167</v>
      </c>
      <c r="D93" s="7">
        <f>-E55</f>
        <v>-149244535</v>
      </c>
    </row>
    <row r="94" spans="1:6" x14ac:dyDescent="0.35">
      <c r="A94" s="1">
        <f t="shared" si="6"/>
        <v>93</v>
      </c>
      <c r="B94" t="s">
        <v>168</v>
      </c>
      <c r="D94" s="7">
        <f>-E77</f>
        <v>-150321787</v>
      </c>
    </row>
    <row r="95" spans="1:6" x14ac:dyDescent="0.35">
      <c r="A95" s="1">
        <f t="shared" si="6"/>
        <v>94</v>
      </c>
      <c r="D95" s="7"/>
    </row>
    <row r="96" spans="1:6" x14ac:dyDescent="0.35">
      <c r="A96" s="1">
        <f t="shared" si="6"/>
        <v>95</v>
      </c>
    </row>
    <row r="97" spans="1:1" x14ac:dyDescent="0.35">
      <c r="A97" s="1">
        <f t="shared" si="6"/>
        <v>96</v>
      </c>
    </row>
    <row r="98" spans="1:1" x14ac:dyDescent="0.35">
      <c r="A98" s="1">
        <f t="shared" si="6"/>
        <v>97</v>
      </c>
    </row>
    <row r="99" spans="1:1" x14ac:dyDescent="0.35">
      <c r="A99" s="1">
        <f t="shared" si="6"/>
        <v>98</v>
      </c>
    </row>
    <row r="100" spans="1:1" x14ac:dyDescent="0.35">
      <c r="A100" s="1">
        <f t="shared" si="6"/>
        <v>99</v>
      </c>
    </row>
  </sheetData>
  <mergeCells count="2">
    <mergeCell ref="B3:F3"/>
    <mergeCell ref="B4:F4"/>
  </mergeCells>
  <pageMargins left="0.7" right="0.7" top="0.75" bottom="0.75" header="0.3" footer="0.3"/>
  <pageSetup orientation="portrait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5"/>
  <sheetViews>
    <sheetView zoomScale="80" zoomScaleNormal="80" workbookViewId="0">
      <selection activeCell="B15" sqref="B15"/>
    </sheetView>
  </sheetViews>
  <sheetFormatPr defaultColWidth="15.625" defaultRowHeight="13.5" x14ac:dyDescent="0.35"/>
  <cols>
    <col min="1" max="1" width="4.87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919</v>
      </c>
    </row>
    <row r="3" spans="1:7" ht="13.9" x14ac:dyDescent="0.4">
      <c r="A3" s="1">
        <f t="shared" ref="A3:A15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569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</row>
    <row r="8" spans="1:7" x14ac:dyDescent="0.35">
      <c r="A8" s="1">
        <f t="shared" si="0"/>
        <v>7</v>
      </c>
      <c r="B8" t="s">
        <v>945</v>
      </c>
    </row>
    <row r="9" spans="1:7" x14ac:dyDescent="0.35">
      <c r="A9" s="1">
        <f t="shared" si="0"/>
        <v>8</v>
      </c>
      <c r="B9" t="s">
        <v>946</v>
      </c>
    </row>
    <row r="10" spans="1:7" x14ac:dyDescent="0.35">
      <c r="A10" s="1">
        <f t="shared" si="0"/>
        <v>9</v>
      </c>
    </row>
    <row r="11" spans="1:7" x14ac:dyDescent="0.35">
      <c r="A11" s="1">
        <f t="shared" si="0"/>
        <v>10</v>
      </c>
    </row>
    <row r="12" spans="1:7" x14ac:dyDescent="0.35">
      <c r="A12" s="1">
        <f t="shared" si="0"/>
        <v>11</v>
      </c>
      <c r="B12" t="s">
        <v>948</v>
      </c>
      <c r="G12" s="15"/>
    </row>
    <row r="13" spans="1:7" x14ac:dyDescent="0.35">
      <c r="A13" s="1">
        <f t="shared" si="0"/>
        <v>12</v>
      </c>
      <c r="B13" s="22" t="s">
        <v>947</v>
      </c>
      <c r="G13" s="7"/>
    </row>
    <row r="14" spans="1:7" ht="13.9" thickBot="1" x14ac:dyDescent="0.4">
      <c r="A14" s="1">
        <f t="shared" si="0"/>
        <v>13</v>
      </c>
      <c r="B14" t="s">
        <v>570</v>
      </c>
      <c r="G14" s="11">
        <v>420000</v>
      </c>
    </row>
    <row r="15" spans="1:7" ht="13.9" thickTop="1" x14ac:dyDescent="0.35">
      <c r="A15" s="1">
        <f t="shared" si="0"/>
        <v>14</v>
      </c>
      <c r="G15" s="7"/>
    </row>
  </sheetData>
  <mergeCells count="2">
    <mergeCell ref="B3:G3"/>
    <mergeCell ref="B4:G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36"/>
  <sheetViews>
    <sheetView zoomScale="80" zoomScaleNormal="80" workbookViewId="0">
      <selection activeCell="B13" sqref="B13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920</v>
      </c>
    </row>
    <row r="3" spans="1:7" ht="13.9" x14ac:dyDescent="0.4">
      <c r="A3" s="1">
        <f t="shared" ref="A3:A36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549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</row>
    <row r="8" spans="1:7" x14ac:dyDescent="0.35">
      <c r="A8" s="1">
        <f t="shared" si="0"/>
        <v>7</v>
      </c>
      <c r="B8" t="s">
        <v>949</v>
      </c>
    </row>
    <row r="9" spans="1:7" x14ac:dyDescent="0.35">
      <c r="A9" s="1">
        <f t="shared" si="0"/>
        <v>8</v>
      </c>
      <c r="B9" t="s">
        <v>550</v>
      </c>
    </row>
    <row r="10" spans="1:7" x14ac:dyDescent="0.35">
      <c r="A10" s="1">
        <f t="shared" si="0"/>
        <v>9</v>
      </c>
      <c r="B10" t="s">
        <v>551</v>
      </c>
    </row>
    <row r="11" spans="1:7" x14ac:dyDescent="0.35">
      <c r="A11" s="1">
        <f t="shared" si="0"/>
        <v>10</v>
      </c>
      <c r="B11" t="s">
        <v>552</v>
      </c>
    </row>
    <row r="12" spans="1:7" x14ac:dyDescent="0.35">
      <c r="A12" s="1">
        <f t="shared" si="0"/>
        <v>11</v>
      </c>
      <c r="B12" t="s">
        <v>553</v>
      </c>
    </row>
    <row r="13" spans="1:7" x14ac:dyDescent="0.35">
      <c r="A13" s="1">
        <f t="shared" si="0"/>
        <v>12</v>
      </c>
    </row>
    <row r="14" spans="1:7" x14ac:dyDescent="0.35">
      <c r="A14" s="1">
        <f t="shared" si="0"/>
        <v>13</v>
      </c>
    </row>
    <row r="15" spans="1:7" x14ac:dyDescent="0.35">
      <c r="A15" s="1">
        <f t="shared" si="0"/>
        <v>14</v>
      </c>
      <c r="B15" t="s">
        <v>554</v>
      </c>
      <c r="F15" s="29">
        <f>'Ex 1 Adjust-Rev Inc'!C15</f>
        <v>858533067</v>
      </c>
    </row>
    <row r="16" spans="1:7" x14ac:dyDescent="0.35">
      <c r="A16" s="1">
        <f t="shared" si="0"/>
        <v>15</v>
      </c>
      <c r="B16" t="s">
        <v>555</v>
      </c>
      <c r="F16" s="30">
        <v>1589446</v>
      </c>
    </row>
    <row r="17" spans="1:8" x14ac:dyDescent="0.35">
      <c r="A17" s="1">
        <f t="shared" si="0"/>
        <v>16</v>
      </c>
      <c r="B17" t="s">
        <v>556</v>
      </c>
      <c r="F17" s="29">
        <f>F15+F16</f>
        <v>860122513</v>
      </c>
    </row>
    <row r="18" spans="1:8" x14ac:dyDescent="0.35">
      <c r="A18" s="1">
        <f t="shared" si="0"/>
        <v>17</v>
      </c>
      <c r="B18" t="s">
        <v>571</v>
      </c>
      <c r="F18" s="37">
        <v>25689080</v>
      </c>
    </row>
    <row r="19" spans="1:8" x14ac:dyDescent="0.35">
      <c r="A19" s="1">
        <f t="shared" si="0"/>
        <v>18</v>
      </c>
      <c r="B19" t="s">
        <v>572</v>
      </c>
      <c r="F19" s="30">
        <v>59192</v>
      </c>
    </row>
    <row r="20" spans="1:8" x14ac:dyDescent="0.35">
      <c r="A20" s="1">
        <f t="shared" si="0"/>
        <v>19</v>
      </c>
      <c r="F20" s="7"/>
    </row>
    <row r="21" spans="1:8" x14ac:dyDescent="0.35">
      <c r="A21" s="1">
        <f t="shared" si="0"/>
        <v>20</v>
      </c>
      <c r="B21" t="s">
        <v>557</v>
      </c>
      <c r="F21" s="7">
        <f>F17-F18-F19</f>
        <v>834374241</v>
      </c>
      <c r="H21" s="7"/>
    </row>
    <row r="22" spans="1:8" x14ac:dyDescent="0.35">
      <c r="A22" s="1">
        <f t="shared" si="0"/>
        <v>21</v>
      </c>
      <c r="F22" s="7"/>
      <c r="H22" s="7"/>
    </row>
    <row r="23" spans="1:8" x14ac:dyDescent="0.35">
      <c r="A23" s="1">
        <f t="shared" si="0"/>
        <v>22</v>
      </c>
      <c r="B23" t="s">
        <v>558</v>
      </c>
      <c r="F23" s="30">
        <f>'1.28 - Remove Bill Credits'!G14</f>
        <v>420000</v>
      </c>
    </row>
    <row r="24" spans="1:8" x14ac:dyDescent="0.35">
      <c r="A24" s="1">
        <f t="shared" si="0"/>
        <v>23</v>
      </c>
      <c r="F24" s="7"/>
    </row>
    <row r="25" spans="1:8" x14ac:dyDescent="0.35">
      <c r="A25" s="1">
        <f t="shared" si="0"/>
        <v>24</v>
      </c>
      <c r="B25" t="s">
        <v>559</v>
      </c>
      <c r="F25" s="7">
        <f>F21+F23</f>
        <v>834794241</v>
      </c>
    </row>
    <row r="26" spans="1:8" x14ac:dyDescent="0.35">
      <c r="A26" s="1">
        <f t="shared" si="0"/>
        <v>25</v>
      </c>
      <c r="F26" s="7"/>
    </row>
    <row r="27" spans="1:8" x14ac:dyDescent="0.35">
      <c r="A27" s="1">
        <f t="shared" si="0"/>
        <v>26</v>
      </c>
      <c r="B27" t="s">
        <v>564</v>
      </c>
      <c r="F27" s="53">
        <f>'[1]1.29 - Rev Inc'!F23</f>
        <v>2E-3</v>
      </c>
    </row>
    <row r="28" spans="1:8" x14ac:dyDescent="0.35">
      <c r="A28" s="1">
        <f t="shared" si="0"/>
        <v>27</v>
      </c>
      <c r="F28" s="7"/>
    </row>
    <row r="29" spans="1:8" x14ac:dyDescent="0.35">
      <c r="A29" s="1">
        <f t="shared" si="0"/>
        <v>28</v>
      </c>
      <c r="B29" t="s">
        <v>560</v>
      </c>
      <c r="F29" s="7">
        <f>ROUND(F25*F27,0)</f>
        <v>1669588</v>
      </c>
    </row>
    <row r="30" spans="1:8" x14ac:dyDescent="0.35">
      <c r="A30" s="1">
        <f t="shared" si="0"/>
        <v>29</v>
      </c>
      <c r="F30" s="7"/>
    </row>
    <row r="31" spans="1:8" x14ac:dyDescent="0.35">
      <c r="A31" s="1">
        <f t="shared" si="0"/>
        <v>30</v>
      </c>
      <c r="B31" t="s">
        <v>561</v>
      </c>
      <c r="F31" s="9">
        <f>ROUND(1699128.57,0)</f>
        <v>1699129</v>
      </c>
    </row>
    <row r="32" spans="1:8" x14ac:dyDescent="0.35">
      <c r="A32" s="1">
        <f t="shared" si="0"/>
        <v>31</v>
      </c>
      <c r="F32" s="7"/>
    </row>
    <row r="33" spans="1:6" ht="13.9" thickBot="1" x14ac:dyDescent="0.4">
      <c r="A33" s="1">
        <f t="shared" si="0"/>
        <v>32</v>
      </c>
      <c r="B33" t="s">
        <v>562</v>
      </c>
      <c r="F33" s="11">
        <f>F29-F31</f>
        <v>-29541</v>
      </c>
    </row>
    <row r="34" spans="1:6" ht="13.9" thickTop="1" x14ac:dyDescent="0.35">
      <c r="A34" s="1">
        <f t="shared" si="0"/>
        <v>33</v>
      </c>
    </row>
    <row r="35" spans="1:6" x14ac:dyDescent="0.35">
      <c r="A35" s="1">
        <f t="shared" si="0"/>
        <v>34</v>
      </c>
    </row>
    <row r="36" spans="1:6" x14ac:dyDescent="0.35">
      <c r="A36" s="1">
        <f t="shared" si="0"/>
        <v>35</v>
      </c>
    </row>
  </sheetData>
  <mergeCells count="2">
    <mergeCell ref="B3:G3"/>
    <mergeCell ref="B4:G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28"/>
  <sheetViews>
    <sheetView zoomScale="90" zoomScaleNormal="90" workbookViewId="0">
      <selection activeCell="F16" sqref="F16"/>
    </sheetView>
  </sheetViews>
  <sheetFormatPr defaultColWidth="15.625" defaultRowHeight="13.5" x14ac:dyDescent="0.35"/>
  <cols>
    <col min="1" max="1" width="4.625" customWidth="1"/>
  </cols>
  <sheetData>
    <row r="1" spans="1:6" x14ac:dyDescent="0.35">
      <c r="A1" s="1">
        <v>0</v>
      </c>
      <c r="B1" t="str">
        <f>'Ex 1 Adjust-Rev Inc'!B1</f>
        <v>ISS Exhibit 1 - Schedules 1.00-1.30 FINAL REV 03-08.xlsx</v>
      </c>
    </row>
    <row r="2" spans="1:6" ht="13.9" x14ac:dyDescent="0.4">
      <c r="A2" s="1">
        <f>A1+1</f>
        <v>1</v>
      </c>
      <c r="F2" s="4" t="s">
        <v>921</v>
      </c>
    </row>
    <row r="3" spans="1:6" ht="13.9" x14ac:dyDescent="0.4">
      <c r="A3" s="1">
        <f t="shared" ref="A3:A28" si="0">A2+1</f>
        <v>2</v>
      </c>
      <c r="B3" s="99" t="s">
        <v>8</v>
      </c>
      <c r="C3" s="99"/>
      <c r="D3" s="99"/>
      <c r="E3" s="99"/>
      <c r="F3" s="99"/>
    </row>
    <row r="4" spans="1:6" ht="13.9" x14ac:dyDescent="0.4">
      <c r="A4" s="1">
        <f t="shared" si="0"/>
        <v>3</v>
      </c>
      <c r="B4" s="99" t="s">
        <v>192</v>
      </c>
      <c r="C4" s="99"/>
      <c r="D4" s="99"/>
      <c r="E4" s="99"/>
      <c r="F4" s="99"/>
    </row>
    <row r="5" spans="1:6" x14ac:dyDescent="0.35">
      <c r="A5" s="1">
        <f t="shared" si="0"/>
        <v>4</v>
      </c>
    </row>
    <row r="6" spans="1:6" x14ac:dyDescent="0.35">
      <c r="A6" s="1">
        <f t="shared" si="0"/>
        <v>5</v>
      </c>
    </row>
    <row r="7" spans="1:6" x14ac:dyDescent="0.35">
      <c r="A7" s="1">
        <f t="shared" si="0"/>
        <v>6</v>
      </c>
    </row>
    <row r="8" spans="1:6" ht="13.9" x14ac:dyDescent="0.4">
      <c r="A8" s="1">
        <f t="shared" si="0"/>
        <v>7</v>
      </c>
      <c r="B8" s="14" t="s">
        <v>927</v>
      </c>
    </row>
    <row r="9" spans="1:6" x14ac:dyDescent="0.35">
      <c r="A9" s="1">
        <f t="shared" si="0"/>
        <v>8</v>
      </c>
    </row>
    <row r="10" spans="1:6" x14ac:dyDescent="0.35">
      <c r="A10" s="1">
        <f t="shared" si="0"/>
        <v>9</v>
      </c>
      <c r="B10" t="s">
        <v>193</v>
      </c>
      <c r="F10" s="7">
        <f>'Ex 1 Adjust-Rev Inc'!E39</f>
        <v>67557326.670000002</v>
      </c>
    </row>
    <row r="11" spans="1:6" x14ac:dyDescent="0.35">
      <c r="A11" s="1">
        <f t="shared" si="0"/>
        <v>10</v>
      </c>
    </row>
    <row r="12" spans="1:6" x14ac:dyDescent="0.35">
      <c r="A12" s="1">
        <f t="shared" si="0"/>
        <v>11</v>
      </c>
      <c r="B12" t="s">
        <v>194</v>
      </c>
      <c r="F12" s="8">
        <v>1.5</v>
      </c>
    </row>
    <row r="13" spans="1:6" x14ac:dyDescent="0.35">
      <c r="A13" s="1">
        <f t="shared" si="0"/>
        <v>12</v>
      </c>
    </row>
    <row r="14" spans="1:6" x14ac:dyDescent="0.35">
      <c r="A14" s="1">
        <f t="shared" si="0"/>
        <v>13</v>
      </c>
      <c r="B14" t="s">
        <v>195</v>
      </c>
      <c r="F14" s="7">
        <f>ROUND(F10*(F12-1),0)</f>
        <v>33778663</v>
      </c>
    </row>
    <row r="15" spans="1:6" x14ac:dyDescent="0.35">
      <c r="A15" s="1">
        <f t="shared" si="0"/>
        <v>14</v>
      </c>
    </row>
    <row r="16" spans="1:6" x14ac:dyDescent="0.35">
      <c r="A16" s="1">
        <f t="shared" si="0"/>
        <v>15</v>
      </c>
      <c r="B16" t="s">
        <v>196</v>
      </c>
      <c r="F16" s="7">
        <f>'Ex 1 Adjust-Rev Inc'!E56</f>
        <v>-15107501.769999968</v>
      </c>
    </row>
    <row r="17" spans="1:10" x14ac:dyDescent="0.35">
      <c r="A17" s="1">
        <f t="shared" si="0"/>
        <v>16</v>
      </c>
    </row>
    <row r="18" spans="1:10" x14ac:dyDescent="0.35">
      <c r="A18" s="1">
        <f t="shared" si="0"/>
        <v>17</v>
      </c>
      <c r="B18" t="s">
        <v>197</v>
      </c>
      <c r="F18" s="7">
        <f>F14-F16</f>
        <v>48886164.769999966</v>
      </c>
    </row>
    <row r="19" spans="1:10" x14ac:dyDescent="0.35">
      <c r="A19" s="1">
        <f t="shared" si="0"/>
        <v>18</v>
      </c>
      <c r="G19" s="7"/>
    </row>
    <row r="20" spans="1:10" x14ac:dyDescent="0.35">
      <c r="A20" s="1">
        <f t="shared" si="0"/>
        <v>19</v>
      </c>
      <c r="B20" t="s">
        <v>198</v>
      </c>
    </row>
    <row r="21" spans="1:10" x14ac:dyDescent="0.35">
      <c r="A21" s="1">
        <f t="shared" si="0"/>
        <v>20</v>
      </c>
      <c r="B21" t="s">
        <v>547</v>
      </c>
      <c r="E21" s="29">
        <v>1668748.48</v>
      </c>
    </row>
    <row r="22" spans="1:10" x14ac:dyDescent="0.35">
      <c r="A22" s="1">
        <f t="shared" si="0"/>
        <v>21</v>
      </c>
      <c r="B22" t="s">
        <v>548</v>
      </c>
      <c r="E22" s="29">
        <v>834374241</v>
      </c>
      <c r="J22" s="7"/>
    </row>
    <row r="23" spans="1:10" x14ac:dyDescent="0.35">
      <c r="A23" s="1">
        <f t="shared" si="0"/>
        <v>22</v>
      </c>
      <c r="B23" t="s">
        <v>199</v>
      </c>
      <c r="F23" s="27">
        <f>ROUND(E21/E22,6)</f>
        <v>2E-3</v>
      </c>
    </row>
    <row r="24" spans="1:10" x14ac:dyDescent="0.35">
      <c r="A24" s="1">
        <f t="shared" si="0"/>
        <v>23</v>
      </c>
    </row>
    <row r="25" spans="1:10" x14ac:dyDescent="0.35">
      <c r="A25" s="1">
        <f t="shared" si="0"/>
        <v>24</v>
      </c>
      <c r="B25" t="s">
        <v>200</v>
      </c>
      <c r="F25" s="7">
        <f>ROUND(F18*F23,0)</f>
        <v>97772</v>
      </c>
    </row>
    <row r="26" spans="1:10" x14ac:dyDescent="0.35">
      <c r="A26" s="1">
        <f t="shared" si="0"/>
        <v>25</v>
      </c>
    </row>
    <row r="27" spans="1:10" x14ac:dyDescent="0.35">
      <c r="A27" s="1">
        <f t="shared" si="0"/>
        <v>26</v>
      </c>
      <c r="B27" t="s">
        <v>201</v>
      </c>
      <c r="F27" s="7">
        <f>F18+F25</f>
        <v>48983936.769999966</v>
      </c>
    </row>
    <row r="28" spans="1:10" x14ac:dyDescent="0.35">
      <c r="A28" s="1">
        <f t="shared" si="0"/>
        <v>27</v>
      </c>
    </row>
  </sheetData>
  <mergeCells count="2">
    <mergeCell ref="B3:F3"/>
    <mergeCell ref="B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6"/>
  <sheetViews>
    <sheetView zoomScale="80" zoomScaleNormal="80" workbookViewId="0">
      <selection activeCell="B67" sqref="B67"/>
    </sheetView>
  </sheetViews>
  <sheetFormatPr defaultColWidth="15.625" defaultRowHeight="13.5" x14ac:dyDescent="0.35"/>
  <cols>
    <col min="1" max="1" width="4.625" customWidth="1"/>
    <col min="2" max="2" width="15.625" customWidth="1"/>
  </cols>
  <sheetData>
    <row r="1" spans="1:13" x14ac:dyDescent="0.35">
      <c r="A1" s="1">
        <v>0</v>
      </c>
      <c r="B1" t="str">
        <f>'Ex 1 Adjust-Rev Inc'!B1</f>
        <v>ISS Exhibit 1 - Schedules 1.00-1.30 FINAL REV 03-08.xlsx</v>
      </c>
    </row>
    <row r="2" spans="1:13" ht="13.9" x14ac:dyDescent="0.4">
      <c r="A2" s="1">
        <f>A1+1</f>
        <v>1</v>
      </c>
      <c r="H2" s="4" t="s">
        <v>183</v>
      </c>
    </row>
    <row r="3" spans="1:13" ht="13.9" x14ac:dyDescent="0.4">
      <c r="A3" s="1">
        <f t="shared" ref="A3:A83" si="0">A2+1</f>
        <v>2</v>
      </c>
      <c r="B3" s="99" t="s">
        <v>8</v>
      </c>
      <c r="C3" s="99"/>
      <c r="D3" s="99"/>
      <c r="E3" s="99"/>
      <c r="F3" s="99"/>
      <c r="G3" s="99"/>
      <c r="H3" s="99"/>
    </row>
    <row r="4" spans="1:13" ht="13.9" x14ac:dyDescent="0.4">
      <c r="A4" s="1">
        <f t="shared" si="0"/>
        <v>3</v>
      </c>
      <c r="B4" s="99" t="s">
        <v>169</v>
      </c>
      <c r="C4" s="99"/>
      <c r="D4" s="99"/>
      <c r="E4" s="99"/>
      <c r="F4" s="99"/>
      <c r="G4" s="99"/>
      <c r="H4" s="99"/>
    </row>
    <row r="5" spans="1:13" x14ac:dyDescent="0.35">
      <c r="A5" s="1">
        <f t="shared" si="0"/>
        <v>4</v>
      </c>
    </row>
    <row r="6" spans="1:13" x14ac:dyDescent="0.35">
      <c r="A6" s="1">
        <f t="shared" si="0"/>
        <v>5</v>
      </c>
    </row>
    <row r="7" spans="1:13" x14ac:dyDescent="0.35">
      <c r="A7" s="1">
        <f t="shared" si="0"/>
        <v>6</v>
      </c>
      <c r="B7" s="19" t="s">
        <v>170</v>
      </c>
    </row>
    <row r="8" spans="1:13" x14ac:dyDescent="0.35">
      <c r="A8" s="1">
        <f t="shared" si="0"/>
        <v>7</v>
      </c>
    </row>
    <row r="9" spans="1:13" x14ac:dyDescent="0.35">
      <c r="A9" s="1">
        <f t="shared" si="0"/>
        <v>8</v>
      </c>
      <c r="B9" t="s">
        <v>210</v>
      </c>
    </row>
    <row r="10" spans="1:13" x14ac:dyDescent="0.35">
      <c r="A10" s="1">
        <f t="shared" si="0"/>
        <v>9</v>
      </c>
      <c r="B10" t="s">
        <v>171</v>
      </c>
      <c r="H10" s="7">
        <v>114778199</v>
      </c>
    </row>
    <row r="11" spans="1:13" x14ac:dyDescent="0.35">
      <c r="A11" s="1">
        <f t="shared" si="0"/>
        <v>10</v>
      </c>
    </row>
    <row r="12" spans="1:13" x14ac:dyDescent="0.35">
      <c r="A12" s="1">
        <f t="shared" si="0"/>
        <v>11</v>
      </c>
    </row>
    <row r="13" spans="1:13" x14ac:dyDescent="0.35">
      <c r="A13" s="1">
        <f t="shared" si="0"/>
        <v>12</v>
      </c>
      <c r="B13" s="19" t="s">
        <v>172</v>
      </c>
    </row>
    <row r="14" spans="1:13" x14ac:dyDescent="0.35">
      <c r="A14" s="1">
        <f t="shared" si="0"/>
        <v>13</v>
      </c>
      <c r="L14" s="25"/>
      <c r="M14" s="15"/>
    </row>
    <row r="15" spans="1:13" x14ac:dyDescent="0.35">
      <c r="A15" s="1">
        <f t="shared" si="0"/>
        <v>14</v>
      </c>
      <c r="B15" t="s">
        <v>173</v>
      </c>
      <c r="L15" s="25"/>
      <c r="M15" s="15"/>
    </row>
    <row r="16" spans="1:13" x14ac:dyDescent="0.35">
      <c r="A16" s="1">
        <f t="shared" si="0"/>
        <v>15</v>
      </c>
      <c r="B16" t="s">
        <v>211</v>
      </c>
      <c r="L16" s="25"/>
      <c r="M16" s="15"/>
    </row>
    <row r="17" spans="1:13" x14ac:dyDescent="0.35">
      <c r="A17" s="1">
        <f t="shared" si="0"/>
        <v>16</v>
      </c>
      <c r="B17" t="s">
        <v>174</v>
      </c>
      <c r="L17" s="25"/>
      <c r="M17" s="15"/>
    </row>
    <row r="18" spans="1:13" x14ac:dyDescent="0.35">
      <c r="A18" s="1">
        <f t="shared" si="0"/>
        <v>17</v>
      </c>
      <c r="B18" t="s">
        <v>175</v>
      </c>
      <c r="H18" s="7">
        <v>31233588</v>
      </c>
      <c r="L18" s="25"/>
      <c r="M18" s="15"/>
    </row>
    <row r="19" spans="1:13" x14ac:dyDescent="0.35">
      <c r="A19" s="1">
        <f t="shared" si="0"/>
        <v>18</v>
      </c>
      <c r="L19" s="25"/>
      <c r="M19" s="15"/>
    </row>
    <row r="20" spans="1:13" x14ac:dyDescent="0.35">
      <c r="A20" s="1">
        <f t="shared" si="0"/>
        <v>19</v>
      </c>
      <c r="B20" t="s">
        <v>176</v>
      </c>
      <c r="L20" s="25"/>
      <c r="M20" s="15"/>
    </row>
    <row r="21" spans="1:13" x14ac:dyDescent="0.35">
      <c r="A21" s="1">
        <f t="shared" si="0"/>
        <v>20</v>
      </c>
      <c r="L21" s="25"/>
      <c r="M21" s="15"/>
    </row>
    <row r="22" spans="1:13" x14ac:dyDescent="0.35">
      <c r="A22" s="1">
        <f t="shared" si="0"/>
        <v>21</v>
      </c>
      <c r="E22" s="17" t="s">
        <v>178</v>
      </c>
      <c r="F22" s="17"/>
      <c r="G22" s="17" t="s">
        <v>181</v>
      </c>
      <c r="L22" s="25"/>
      <c r="M22" s="15"/>
    </row>
    <row r="23" spans="1:13" ht="13.9" thickBot="1" x14ac:dyDescent="0.4">
      <c r="A23" s="1">
        <f t="shared" si="0"/>
        <v>22</v>
      </c>
      <c r="B23" s="3" t="s">
        <v>124</v>
      </c>
      <c r="C23" s="3" t="s">
        <v>214</v>
      </c>
      <c r="D23" s="3" t="s">
        <v>177</v>
      </c>
      <c r="E23" s="3" t="s">
        <v>78</v>
      </c>
      <c r="F23" s="3" t="s">
        <v>179</v>
      </c>
      <c r="G23" s="3" t="s">
        <v>182</v>
      </c>
      <c r="H23" s="3" t="s">
        <v>180</v>
      </c>
      <c r="L23" s="25"/>
      <c r="M23" s="15"/>
    </row>
    <row r="24" spans="1:13" x14ac:dyDescent="0.35">
      <c r="A24" s="1">
        <f t="shared" si="0"/>
        <v>23</v>
      </c>
      <c r="L24" s="25"/>
      <c r="M24" s="15"/>
    </row>
    <row r="25" spans="1:13" x14ac:dyDescent="0.35">
      <c r="A25" s="1">
        <f t="shared" si="0"/>
        <v>24</v>
      </c>
      <c r="B25" s="21" t="s">
        <v>212</v>
      </c>
      <c r="C25" s="7">
        <v>121296</v>
      </c>
      <c r="D25" s="7">
        <v>75062</v>
      </c>
      <c r="E25" s="7">
        <v>1292</v>
      </c>
      <c r="F25" s="7">
        <v>119787</v>
      </c>
      <c r="G25" s="7">
        <f>2750249</f>
        <v>2750249</v>
      </c>
      <c r="H25" s="7">
        <f>SUM(C25:G25)</f>
        <v>3067686</v>
      </c>
      <c r="L25" s="25"/>
      <c r="M25" s="15"/>
    </row>
    <row r="26" spans="1:13" x14ac:dyDescent="0.35">
      <c r="A26" s="1">
        <f t="shared" si="0"/>
        <v>25</v>
      </c>
      <c r="B26" s="21" t="s">
        <v>125</v>
      </c>
      <c r="C26" s="7">
        <v>121296</v>
      </c>
      <c r="D26" s="7">
        <v>75062</v>
      </c>
      <c r="E26" s="7">
        <v>864</v>
      </c>
      <c r="F26" s="7">
        <v>119787</v>
      </c>
      <c r="G26" s="7">
        <f>2746583</f>
        <v>2746583</v>
      </c>
      <c r="H26" s="7">
        <f t="shared" ref="H26:H36" si="1">SUM(C26:G26)</f>
        <v>3063592</v>
      </c>
      <c r="L26" s="25"/>
      <c r="M26" s="15"/>
    </row>
    <row r="27" spans="1:13" x14ac:dyDescent="0.35">
      <c r="A27" s="1">
        <f t="shared" si="0"/>
        <v>26</v>
      </c>
      <c r="B27" s="21" t="s">
        <v>126</v>
      </c>
      <c r="C27" s="7">
        <v>121296</v>
      </c>
      <c r="D27" s="7">
        <v>75062</v>
      </c>
      <c r="E27" s="7">
        <v>1249</v>
      </c>
      <c r="F27" s="7">
        <v>119787</v>
      </c>
      <c r="G27" s="7">
        <f>2746583</f>
        <v>2746583</v>
      </c>
      <c r="H27" s="7">
        <f t="shared" si="1"/>
        <v>3063977</v>
      </c>
      <c r="L27" s="25"/>
      <c r="M27" s="15"/>
    </row>
    <row r="28" spans="1:13" x14ac:dyDescent="0.35">
      <c r="A28" s="1">
        <f t="shared" si="0"/>
        <v>27</v>
      </c>
      <c r="B28" s="21" t="s">
        <v>127</v>
      </c>
      <c r="C28" s="7">
        <f>121296</f>
        <v>121296</v>
      </c>
      <c r="D28" s="7">
        <v>77574</v>
      </c>
      <c r="E28" s="7">
        <v>710</v>
      </c>
      <c r="F28" s="7">
        <v>150123</v>
      </c>
      <c r="G28" s="7">
        <f>2839451</f>
        <v>2839451</v>
      </c>
      <c r="H28" s="7">
        <f t="shared" si="1"/>
        <v>3189154</v>
      </c>
      <c r="L28" s="25"/>
      <c r="M28" s="26"/>
    </row>
    <row r="29" spans="1:13" x14ac:dyDescent="0.35">
      <c r="A29" s="1">
        <f t="shared" si="0"/>
        <v>28</v>
      </c>
      <c r="B29" s="21" t="s">
        <v>128</v>
      </c>
      <c r="C29" s="7">
        <f t="shared" ref="C29:C36" si="2">121296+120133</f>
        <v>241429</v>
      </c>
      <c r="D29" s="7">
        <v>77574</v>
      </c>
      <c r="E29" s="7">
        <v>922</v>
      </c>
      <c r="F29" s="7">
        <v>162849</v>
      </c>
      <c r="G29" s="7">
        <f>2829265</f>
        <v>2829265</v>
      </c>
      <c r="H29" s="7">
        <f t="shared" si="1"/>
        <v>3312039</v>
      </c>
      <c r="L29" s="25"/>
      <c r="M29" s="15"/>
    </row>
    <row r="30" spans="1:13" x14ac:dyDescent="0.35">
      <c r="A30" s="1">
        <f t="shared" si="0"/>
        <v>29</v>
      </c>
      <c r="B30" s="21" t="s">
        <v>129</v>
      </c>
      <c r="C30" s="7">
        <f t="shared" si="2"/>
        <v>241429</v>
      </c>
      <c r="D30" s="7">
        <v>81815</v>
      </c>
      <c r="E30" s="7">
        <v>914</v>
      </c>
      <c r="F30" s="7">
        <v>161088</v>
      </c>
      <c r="G30" s="7">
        <f>2832944</f>
        <v>2832944</v>
      </c>
      <c r="H30" s="7">
        <f t="shared" si="1"/>
        <v>3318190</v>
      </c>
      <c r="L30" s="25"/>
      <c r="M30" s="15"/>
    </row>
    <row r="31" spans="1:13" x14ac:dyDescent="0.35">
      <c r="A31" s="1">
        <f t="shared" si="0"/>
        <v>30</v>
      </c>
      <c r="B31" s="21" t="s">
        <v>130</v>
      </c>
      <c r="C31" s="7">
        <f t="shared" si="2"/>
        <v>241429</v>
      </c>
      <c r="D31" s="7">
        <v>81815</v>
      </c>
      <c r="E31" s="7">
        <v>1986</v>
      </c>
      <c r="F31" s="7">
        <v>161088</v>
      </c>
      <c r="G31" s="7">
        <f>2832919</f>
        <v>2832919</v>
      </c>
      <c r="H31" s="7">
        <f t="shared" si="1"/>
        <v>3319237</v>
      </c>
      <c r="L31" s="25"/>
      <c r="M31" s="25"/>
    </row>
    <row r="32" spans="1:13" x14ac:dyDescent="0.35">
      <c r="A32" s="1">
        <f t="shared" si="0"/>
        <v>31</v>
      </c>
      <c r="B32" s="21" t="s">
        <v>131</v>
      </c>
      <c r="C32" s="7">
        <f t="shared" si="2"/>
        <v>241429</v>
      </c>
      <c r="D32" s="7">
        <v>81815</v>
      </c>
      <c r="E32" s="7">
        <v>1569</v>
      </c>
      <c r="F32" s="7">
        <v>161088</v>
      </c>
      <c r="G32" s="7">
        <f>2832921</f>
        <v>2832921</v>
      </c>
      <c r="H32" s="7">
        <f t="shared" si="1"/>
        <v>3318822</v>
      </c>
    </row>
    <row r="33" spans="1:8" x14ac:dyDescent="0.35">
      <c r="A33" s="1">
        <f t="shared" si="0"/>
        <v>32</v>
      </c>
      <c r="B33" s="21" t="s">
        <v>132</v>
      </c>
      <c r="C33" s="7">
        <f t="shared" si="2"/>
        <v>241429</v>
      </c>
      <c r="D33" s="7">
        <v>81815</v>
      </c>
      <c r="E33" s="7">
        <v>1399</v>
      </c>
      <c r="F33" s="7">
        <v>161088</v>
      </c>
      <c r="G33" s="7">
        <f>2832919</f>
        <v>2832919</v>
      </c>
      <c r="H33" s="7">
        <f t="shared" si="1"/>
        <v>3318650</v>
      </c>
    </row>
    <row r="34" spans="1:8" x14ac:dyDescent="0.35">
      <c r="A34" s="1">
        <f t="shared" si="0"/>
        <v>33</v>
      </c>
      <c r="B34" s="21" t="s">
        <v>133</v>
      </c>
      <c r="C34" s="7">
        <f t="shared" si="2"/>
        <v>241429</v>
      </c>
      <c r="D34" s="7">
        <v>81815</v>
      </c>
      <c r="E34" s="7">
        <v>1399</v>
      </c>
      <c r="F34" s="7">
        <v>161143</v>
      </c>
      <c r="G34" s="7">
        <f>2832919</f>
        <v>2832919</v>
      </c>
      <c r="H34" s="7">
        <f t="shared" si="1"/>
        <v>3318705</v>
      </c>
    </row>
    <row r="35" spans="1:8" x14ac:dyDescent="0.35">
      <c r="A35" s="1">
        <f t="shared" si="0"/>
        <v>34</v>
      </c>
      <c r="B35" s="21" t="s">
        <v>134</v>
      </c>
      <c r="C35" s="7">
        <f t="shared" si="2"/>
        <v>241429</v>
      </c>
      <c r="D35" s="7">
        <v>81877</v>
      </c>
      <c r="E35" s="7">
        <v>1262</v>
      </c>
      <c r="F35" s="7">
        <v>161203</v>
      </c>
      <c r="G35" s="7">
        <f>2856379</f>
        <v>2856379</v>
      </c>
      <c r="H35" s="7">
        <f t="shared" si="1"/>
        <v>3342150</v>
      </c>
    </row>
    <row r="36" spans="1:8" x14ac:dyDescent="0.35">
      <c r="A36" s="1">
        <f t="shared" si="0"/>
        <v>35</v>
      </c>
      <c r="B36" s="21" t="s">
        <v>213</v>
      </c>
      <c r="C36" s="9">
        <f t="shared" si="2"/>
        <v>241429</v>
      </c>
      <c r="D36" s="9">
        <v>81877</v>
      </c>
      <c r="E36" s="9">
        <v>1611</v>
      </c>
      <c r="F36" s="9">
        <v>161225</v>
      </c>
      <c r="G36" s="9">
        <f>2834222</f>
        <v>2834222</v>
      </c>
      <c r="H36" s="9">
        <f t="shared" si="1"/>
        <v>3320364</v>
      </c>
    </row>
    <row r="37" spans="1:8" x14ac:dyDescent="0.35">
      <c r="A37" s="1">
        <f t="shared" si="0"/>
        <v>36</v>
      </c>
      <c r="C37" s="7"/>
      <c r="D37" s="7"/>
      <c r="E37" s="7"/>
      <c r="F37" s="7"/>
      <c r="G37" s="7"/>
      <c r="H37" s="7"/>
    </row>
    <row r="38" spans="1:8" ht="13.9" thickBot="1" x14ac:dyDescent="0.4">
      <c r="A38" s="1">
        <f t="shared" si="0"/>
        <v>37</v>
      </c>
      <c r="B38" s="21" t="s">
        <v>135</v>
      </c>
      <c r="C38" s="11">
        <f>SUM(C25:C36)</f>
        <v>2416616</v>
      </c>
      <c r="D38" s="11">
        <f t="shared" ref="D38:H38" si="3">SUM(D25:D36)</f>
        <v>953163</v>
      </c>
      <c r="E38" s="11">
        <f t="shared" si="3"/>
        <v>15177</v>
      </c>
      <c r="F38" s="11">
        <f t="shared" si="3"/>
        <v>1800256</v>
      </c>
      <c r="G38" s="11">
        <f t="shared" si="3"/>
        <v>33767354</v>
      </c>
      <c r="H38" s="11">
        <f t="shared" si="3"/>
        <v>38952566</v>
      </c>
    </row>
    <row r="39" spans="1:8" ht="13.9" thickTop="1" x14ac:dyDescent="0.35">
      <c r="A39" s="1">
        <f t="shared" si="0"/>
        <v>38</v>
      </c>
      <c r="C39" s="7"/>
      <c r="D39" s="7"/>
      <c r="E39" s="7"/>
      <c r="F39" s="7"/>
      <c r="G39" s="7"/>
      <c r="H39" s="7"/>
    </row>
    <row r="40" spans="1:8" x14ac:dyDescent="0.35">
      <c r="A40" s="1">
        <f t="shared" si="0"/>
        <v>39</v>
      </c>
      <c r="B40" s="21" t="s">
        <v>269</v>
      </c>
      <c r="C40" s="7"/>
      <c r="D40" s="7"/>
      <c r="E40" s="7"/>
      <c r="F40" s="7"/>
      <c r="G40" s="7"/>
      <c r="H40" s="7"/>
    </row>
    <row r="41" spans="1:8" x14ac:dyDescent="0.35">
      <c r="A41" s="1">
        <f t="shared" si="0"/>
        <v>40</v>
      </c>
      <c r="B41" t="s">
        <v>270</v>
      </c>
      <c r="C41" s="7"/>
      <c r="D41" s="7">
        <f>441618+1359485+224654</f>
        <v>2025757</v>
      </c>
      <c r="E41" s="7"/>
      <c r="F41" s="7"/>
      <c r="G41" s="7"/>
      <c r="H41" s="7"/>
    </row>
    <row r="42" spans="1:8" x14ac:dyDescent="0.35">
      <c r="A42" s="1">
        <f t="shared" si="0"/>
        <v>41</v>
      </c>
      <c r="B42" s="21" t="s">
        <v>271</v>
      </c>
      <c r="C42" s="7"/>
      <c r="D42" s="7">
        <f>213504+96067+81289</f>
        <v>390860</v>
      </c>
      <c r="E42" s="7" t="s">
        <v>272</v>
      </c>
      <c r="F42" s="7"/>
      <c r="G42" s="7"/>
      <c r="H42" s="7"/>
    </row>
    <row r="43" spans="1:8" x14ac:dyDescent="0.35">
      <c r="A43" s="1">
        <f t="shared" si="0"/>
        <v>42</v>
      </c>
      <c r="C43" s="7"/>
      <c r="D43" s="7"/>
      <c r="E43" s="7"/>
      <c r="F43" s="7"/>
      <c r="G43" s="7"/>
      <c r="H43" s="7"/>
    </row>
    <row r="44" spans="1:8" x14ac:dyDescent="0.35">
      <c r="A44" s="1">
        <f t="shared" si="0"/>
        <v>43</v>
      </c>
      <c r="B44" s="21" t="s">
        <v>184</v>
      </c>
    </row>
    <row r="45" spans="1:8" x14ac:dyDescent="0.35">
      <c r="A45" s="1">
        <f t="shared" si="0"/>
        <v>44</v>
      </c>
    </row>
    <row r="46" spans="1:8" x14ac:dyDescent="0.35">
      <c r="A46" s="1">
        <f t="shared" si="0"/>
        <v>45</v>
      </c>
      <c r="B46" s="35" t="s">
        <v>263</v>
      </c>
      <c r="C46" s="36"/>
      <c r="D46" s="36"/>
      <c r="E46" s="36"/>
      <c r="F46" s="36"/>
    </row>
    <row r="47" spans="1:8" x14ac:dyDescent="0.35">
      <c r="A47" s="1">
        <f t="shared" si="0"/>
        <v>46</v>
      </c>
      <c r="B47" s="35" t="s">
        <v>951</v>
      </c>
      <c r="C47" s="36"/>
      <c r="D47" s="36"/>
      <c r="E47" s="36"/>
      <c r="F47" s="36"/>
    </row>
    <row r="48" spans="1:8" x14ac:dyDescent="0.35">
      <c r="A48" s="1">
        <f t="shared" si="0"/>
        <v>47</v>
      </c>
      <c r="B48" s="35" t="s">
        <v>259</v>
      </c>
      <c r="C48" s="36"/>
      <c r="D48" s="36"/>
      <c r="E48" s="36"/>
      <c r="F48" s="36"/>
    </row>
    <row r="49" spans="1:7" x14ac:dyDescent="0.35">
      <c r="A49" s="1">
        <f t="shared" si="0"/>
        <v>48</v>
      </c>
      <c r="B49" s="35" t="s">
        <v>262</v>
      </c>
      <c r="C49" s="36"/>
      <c r="D49" s="36"/>
      <c r="E49" s="36"/>
      <c r="F49" s="36"/>
    </row>
    <row r="50" spans="1:7" x14ac:dyDescent="0.35">
      <c r="A50" s="1">
        <f t="shared" si="0"/>
        <v>49</v>
      </c>
      <c r="B50" s="36"/>
      <c r="C50" s="36"/>
      <c r="D50" s="36"/>
      <c r="E50" s="36"/>
      <c r="F50" s="37"/>
    </row>
    <row r="51" spans="1:7" x14ac:dyDescent="0.35">
      <c r="A51" s="1">
        <f t="shared" si="0"/>
        <v>50</v>
      </c>
      <c r="B51" s="35" t="s">
        <v>264</v>
      </c>
      <c r="C51" s="36"/>
      <c r="D51" s="36"/>
      <c r="E51" s="36"/>
      <c r="F51" s="37">
        <v>56875125</v>
      </c>
      <c r="G51" t="s">
        <v>266</v>
      </c>
    </row>
    <row r="52" spans="1:7" x14ac:dyDescent="0.35">
      <c r="A52" s="1">
        <f t="shared" si="0"/>
        <v>51</v>
      </c>
      <c r="B52" s="35"/>
      <c r="C52" s="36"/>
      <c r="D52" s="36"/>
      <c r="E52" s="36"/>
      <c r="F52" s="37"/>
    </row>
    <row r="53" spans="1:7" x14ac:dyDescent="0.35">
      <c r="A53" s="1">
        <f t="shared" si="0"/>
        <v>52</v>
      </c>
      <c r="B53" s="35" t="s">
        <v>265</v>
      </c>
      <c r="C53" s="36"/>
      <c r="D53" s="36"/>
      <c r="E53" s="36"/>
      <c r="F53" s="37">
        <v>24450841</v>
      </c>
    </row>
    <row r="54" spans="1:7" x14ac:dyDescent="0.35">
      <c r="A54" s="1">
        <f t="shared" si="0"/>
        <v>53</v>
      </c>
      <c r="B54" s="36"/>
      <c r="C54" s="36"/>
      <c r="D54" s="36"/>
      <c r="E54" s="36"/>
      <c r="F54" s="38"/>
    </row>
    <row r="55" spans="1:7" x14ac:dyDescent="0.35">
      <c r="A55" s="1">
        <f t="shared" si="0"/>
        <v>54</v>
      </c>
    </row>
    <row r="56" spans="1:7" x14ac:dyDescent="0.35">
      <c r="A56" s="1">
        <f t="shared" si="0"/>
        <v>55</v>
      </c>
      <c r="B56" s="19" t="s">
        <v>185</v>
      </c>
    </row>
    <row r="57" spans="1:7" x14ac:dyDescent="0.35">
      <c r="A57" s="1">
        <f t="shared" si="0"/>
        <v>56</v>
      </c>
    </row>
    <row r="58" spans="1:7" x14ac:dyDescent="0.35">
      <c r="A58" s="1">
        <f t="shared" si="0"/>
        <v>57</v>
      </c>
      <c r="B58" t="s">
        <v>205</v>
      </c>
      <c r="F58" s="29">
        <v>164922</v>
      </c>
      <c r="G58" t="s">
        <v>226</v>
      </c>
    </row>
    <row r="59" spans="1:7" x14ac:dyDescent="0.35">
      <c r="A59" s="1">
        <f t="shared" si="0"/>
        <v>58</v>
      </c>
      <c r="B59" t="s">
        <v>206</v>
      </c>
      <c r="F59" s="30">
        <v>-5915</v>
      </c>
      <c r="G59" t="s">
        <v>227</v>
      </c>
    </row>
    <row r="60" spans="1:7" x14ac:dyDescent="0.35">
      <c r="A60" s="1">
        <f t="shared" si="0"/>
        <v>59</v>
      </c>
      <c r="B60" t="s">
        <v>207</v>
      </c>
      <c r="F60" s="29">
        <f>F58+F59</f>
        <v>159007</v>
      </c>
    </row>
    <row r="61" spans="1:7" x14ac:dyDescent="0.35">
      <c r="A61" s="1">
        <f t="shared" si="0"/>
        <v>60</v>
      </c>
    </row>
    <row r="62" spans="1:7" x14ac:dyDescent="0.35">
      <c r="A62" s="1">
        <f t="shared" si="0"/>
        <v>61</v>
      </c>
    </row>
    <row r="63" spans="1:7" x14ac:dyDescent="0.35">
      <c r="A63" s="1">
        <f t="shared" si="0"/>
        <v>62</v>
      </c>
      <c r="B63" s="19" t="s">
        <v>208</v>
      </c>
    </row>
    <row r="64" spans="1:7" x14ac:dyDescent="0.35">
      <c r="A64" s="1">
        <f t="shared" si="0"/>
        <v>63</v>
      </c>
      <c r="B64" s="28"/>
    </row>
    <row r="65" spans="1:7" x14ac:dyDescent="0.35">
      <c r="A65" s="1">
        <f t="shared" si="0"/>
        <v>64</v>
      </c>
      <c r="B65" s="35" t="s">
        <v>258</v>
      </c>
      <c r="C65" s="36"/>
      <c r="D65" s="36"/>
      <c r="E65" s="36"/>
      <c r="F65" s="36"/>
      <c r="G65" s="36"/>
    </row>
    <row r="66" spans="1:7" x14ac:dyDescent="0.35">
      <c r="A66" s="1">
        <f t="shared" si="0"/>
        <v>65</v>
      </c>
      <c r="B66" s="35" t="s">
        <v>951</v>
      </c>
      <c r="C66" s="36"/>
      <c r="D66" s="36"/>
      <c r="E66" s="36"/>
      <c r="F66" s="36"/>
      <c r="G66" s="36"/>
    </row>
    <row r="67" spans="1:7" x14ac:dyDescent="0.35">
      <c r="A67" s="1">
        <f t="shared" si="0"/>
        <v>66</v>
      </c>
      <c r="B67" s="35" t="s">
        <v>259</v>
      </c>
      <c r="C67" s="36"/>
      <c r="D67" s="36"/>
      <c r="E67" s="36"/>
      <c r="F67" s="36"/>
      <c r="G67" s="36"/>
    </row>
    <row r="68" spans="1:7" x14ac:dyDescent="0.35">
      <c r="A68" s="1">
        <f t="shared" si="0"/>
        <v>67</v>
      </c>
      <c r="B68" s="35" t="s">
        <v>262</v>
      </c>
      <c r="C68" s="36"/>
      <c r="D68" s="36"/>
      <c r="E68" s="36"/>
      <c r="F68" s="36"/>
      <c r="G68" s="36"/>
    </row>
    <row r="69" spans="1:7" x14ac:dyDescent="0.35">
      <c r="A69" s="1">
        <f t="shared" si="0"/>
        <v>68</v>
      </c>
      <c r="B69" s="35"/>
      <c r="C69" s="36"/>
      <c r="D69" s="36"/>
      <c r="E69" s="36"/>
      <c r="F69" s="36"/>
      <c r="G69" s="37"/>
    </row>
    <row r="70" spans="1:7" x14ac:dyDescent="0.35">
      <c r="A70" s="1">
        <f t="shared" si="0"/>
        <v>69</v>
      </c>
      <c r="B70" s="35" t="s">
        <v>260</v>
      </c>
      <c r="C70" s="36"/>
      <c r="D70" s="36"/>
      <c r="E70" s="36"/>
      <c r="F70" s="37">
        <v>41476683</v>
      </c>
      <c r="G70" t="s">
        <v>267</v>
      </c>
    </row>
    <row r="71" spans="1:7" x14ac:dyDescent="0.35">
      <c r="A71" s="1">
        <f t="shared" si="0"/>
        <v>70</v>
      </c>
      <c r="B71" s="35"/>
      <c r="C71" s="36"/>
      <c r="D71" s="36"/>
      <c r="E71" s="36"/>
      <c r="F71" s="37"/>
    </row>
    <row r="72" spans="1:7" x14ac:dyDescent="0.35">
      <c r="A72" s="1">
        <f t="shared" si="0"/>
        <v>71</v>
      </c>
      <c r="B72" s="35" t="s">
        <v>261</v>
      </c>
      <c r="C72" s="36"/>
      <c r="D72" s="36"/>
      <c r="E72" s="36"/>
      <c r="F72" s="37">
        <v>18919643</v>
      </c>
    </row>
    <row r="73" spans="1:7" x14ac:dyDescent="0.35">
      <c r="A73" s="1">
        <f t="shared" si="0"/>
        <v>72</v>
      </c>
      <c r="B73" s="35"/>
      <c r="C73" s="36"/>
      <c r="D73" s="36"/>
      <c r="E73" s="36"/>
      <c r="F73" s="36"/>
      <c r="G73" s="37"/>
    </row>
    <row r="74" spans="1:7" x14ac:dyDescent="0.35">
      <c r="A74" s="1">
        <f t="shared" si="0"/>
        <v>73</v>
      </c>
      <c r="B74" s="35"/>
      <c r="C74" s="36"/>
      <c r="D74" s="36"/>
      <c r="E74" s="36"/>
      <c r="F74" s="36"/>
      <c r="G74" s="37"/>
    </row>
    <row r="75" spans="1:7" x14ac:dyDescent="0.35">
      <c r="A75" s="1">
        <f t="shared" si="0"/>
        <v>74</v>
      </c>
      <c r="B75" s="19" t="s">
        <v>163</v>
      </c>
    </row>
    <row r="76" spans="1:7" x14ac:dyDescent="0.35">
      <c r="A76" s="1">
        <f t="shared" si="0"/>
        <v>75</v>
      </c>
    </row>
    <row r="77" spans="1:7" x14ac:dyDescent="0.35">
      <c r="A77" s="1">
        <f t="shared" si="0"/>
        <v>76</v>
      </c>
      <c r="B77" t="s">
        <v>186</v>
      </c>
    </row>
    <row r="78" spans="1:7" x14ac:dyDescent="0.35">
      <c r="A78" s="1">
        <f t="shared" si="0"/>
        <v>77</v>
      </c>
      <c r="C78" t="s">
        <v>164</v>
      </c>
      <c r="D78" s="7">
        <f>-H10</f>
        <v>-114778199</v>
      </c>
    </row>
    <row r="79" spans="1:7" x14ac:dyDescent="0.35">
      <c r="A79" s="1">
        <f t="shared" si="0"/>
        <v>78</v>
      </c>
      <c r="C79" t="s">
        <v>187</v>
      </c>
      <c r="D79" s="9">
        <f>-F60</f>
        <v>-159007</v>
      </c>
    </row>
    <row r="80" spans="1:7" x14ac:dyDescent="0.35">
      <c r="A80" s="1">
        <f t="shared" si="0"/>
        <v>79</v>
      </c>
      <c r="C80" t="s">
        <v>166</v>
      </c>
      <c r="D80" s="7">
        <f>D78+D79</f>
        <v>-114937206</v>
      </c>
    </row>
    <row r="81" spans="1:4" x14ac:dyDescent="0.35">
      <c r="A81" s="1">
        <f t="shared" si="0"/>
        <v>80</v>
      </c>
      <c r="B81" t="s">
        <v>188</v>
      </c>
    </row>
    <row r="82" spans="1:4" x14ac:dyDescent="0.35">
      <c r="A82" s="1">
        <f t="shared" si="0"/>
        <v>81</v>
      </c>
      <c r="C82" t="s">
        <v>173</v>
      </c>
      <c r="D82" s="7">
        <f>-H18</f>
        <v>-31233588</v>
      </c>
    </row>
    <row r="83" spans="1:4" x14ac:dyDescent="0.35">
      <c r="A83" s="1">
        <f t="shared" si="0"/>
        <v>82</v>
      </c>
      <c r="C83" t="s">
        <v>189</v>
      </c>
      <c r="D83" s="9">
        <f>-E38</f>
        <v>-15177</v>
      </c>
    </row>
    <row r="84" spans="1:4" x14ac:dyDescent="0.35">
      <c r="A84" s="1">
        <f t="shared" ref="A84:A96" si="4">A83+1</f>
        <v>83</v>
      </c>
      <c r="C84" t="s">
        <v>166</v>
      </c>
      <c r="D84" s="7">
        <f>D82+D83</f>
        <v>-31248765</v>
      </c>
    </row>
    <row r="85" spans="1:4" x14ac:dyDescent="0.35">
      <c r="A85" s="1">
        <f t="shared" si="4"/>
        <v>84</v>
      </c>
      <c r="B85" t="s">
        <v>190</v>
      </c>
    </row>
    <row r="86" spans="1:4" x14ac:dyDescent="0.35">
      <c r="A86" s="1">
        <f t="shared" si="4"/>
        <v>85</v>
      </c>
      <c r="C86" t="s">
        <v>177</v>
      </c>
      <c r="D86" s="7">
        <f>-D38</f>
        <v>-953163</v>
      </c>
    </row>
    <row r="87" spans="1:4" x14ac:dyDescent="0.35">
      <c r="A87" s="1">
        <f t="shared" si="4"/>
        <v>86</v>
      </c>
      <c r="C87" t="s">
        <v>179</v>
      </c>
      <c r="D87" s="9">
        <f>-F38</f>
        <v>-1800256</v>
      </c>
    </row>
    <row r="88" spans="1:4" x14ac:dyDescent="0.35">
      <c r="A88" s="1">
        <f t="shared" si="4"/>
        <v>87</v>
      </c>
      <c r="C88" t="s">
        <v>166</v>
      </c>
      <c r="D88" s="7">
        <f>D86+D87</f>
        <v>-2753419</v>
      </c>
    </row>
    <row r="89" spans="1:4" x14ac:dyDescent="0.35">
      <c r="A89" s="1">
        <f t="shared" si="4"/>
        <v>88</v>
      </c>
      <c r="B89" t="s">
        <v>191</v>
      </c>
    </row>
    <row r="90" spans="1:4" x14ac:dyDescent="0.35">
      <c r="A90" s="1">
        <f t="shared" si="4"/>
        <v>89</v>
      </c>
      <c r="C90" t="s">
        <v>88</v>
      </c>
      <c r="D90" s="7">
        <f>-G38</f>
        <v>-33767354</v>
      </c>
    </row>
    <row r="91" spans="1:4" x14ac:dyDescent="0.35">
      <c r="A91" s="1">
        <f t="shared" si="4"/>
        <v>90</v>
      </c>
      <c r="C91" t="s">
        <v>268</v>
      </c>
      <c r="D91" s="9">
        <f>-D41</f>
        <v>-2025757</v>
      </c>
    </row>
    <row r="92" spans="1:4" x14ac:dyDescent="0.35">
      <c r="A92" s="1">
        <f t="shared" si="4"/>
        <v>91</v>
      </c>
      <c r="C92" t="s">
        <v>166</v>
      </c>
      <c r="D92" s="7">
        <f>D90+D91</f>
        <v>-35793111</v>
      </c>
    </row>
    <row r="93" spans="1:4" x14ac:dyDescent="0.35">
      <c r="A93" s="1">
        <f t="shared" si="4"/>
        <v>92</v>
      </c>
      <c r="B93" t="s">
        <v>273</v>
      </c>
      <c r="D93" s="7">
        <f>-D42</f>
        <v>-390860</v>
      </c>
    </row>
    <row r="94" spans="1:4" x14ac:dyDescent="0.35">
      <c r="A94" s="1">
        <f t="shared" si="4"/>
        <v>93</v>
      </c>
      <c r="B94" t="s">
        <v>184</v>
      </c>
      <c r="D94" s="7">
        <f>-F53</f>
        <v>-24450841</v>
      </c>
    </row>
    <row r="95" spans="1:4" x14ac:dyDescent="0.35">
      <c r="A95" s="1">
        <f t="shared" si="4"/>
        <v>94</v>
      </c>
      <c r="B95" t="s">
        <v>209</v>
      </c>
      <c r="D95" s="7">
        <f>-F72</f>
        <v>-18919643</v>
      </c>
    </row>
    <row r="96" spans="1:4" x14ac:dyDescent="0.35">
      <c r="A96" s="1">
        <f t="shared" si="4"/>
        <v>95</v>
      </c>
    </row>
  </sheetData>
  <mergeCells count="2">
    <mergeCell ref="B3:H3"/>
    <mergeCell ref="B4:H4"/>
  </mergeCells>
  <pageMargins left="0.7" right="0.7" top="0.75" bottom="0.75" header="0.3" footer="0.3"/>
  <pageSetup orientation="portrait" verticalDpi="300" r:id="rId1"/>
  <ignoredErrors>
    <ignoredError sqref="G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zoomScale="80" zoomScaleNormal="80" workbookViewId="0">
      <selection activeCell="B1" sqref="B1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'1.02 - ES'!B1</f>
        <v>ISS Exhibit 1 - Schedules 1.00-1.30 FINAL REV 03-08.xlsx</v>
      </c>
    </row>
    <row r="2" spans="1:7" ht="13.9" x14ac:dyDescent="0.4">
      <c r="A2" s="1">
        <f>A1+1</f>
        <v>1</v>
      </c>
      <c r="G2" s="4" t="s">
        <v>217</v>
      </c>
    </row>
    <row r="3" spans="1:7" ht="13.9" x14ac:dyDescent="0.4">
      <c r="A3" s="1">
        <f t="shared" ref="A3:A31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218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C7" s="20"/>
      <c r="D7" s="20" t="s">
        <v>219</v>
      </c>
      <c r="E7" s="20" t="s">
        <v>72</v>
      </c>
      <c r="F7" s="20" t="s">
        <v>219</v>
      </c>
    </row>
    <row r="8" spans="1:7" ht="13.9" thickBot="1" x14ac:dyDescent="0.4">
      <c r="A8" s="1">
        <f t="shared" si="0"/>
        <v>7</v>
      </c>
      <c r="C8" s="3" t="s">
        <v>124</v>
      </c>
      <c r="D8" s="3" t="s">
        <v>143</v>
      </c>
      <c r="E8" s="3" t="s">
        <v>220</v>
      </c>
      <c r="F8" s="3" t="s">
        <v>72</v>
      </c>
    </row>
    <row r="9" spans="1:7" x14ac:dyDescent="0.35">
      <c r="A9" s="1">
        <f t="shared" si="0"/>
        <v>8</v>
      </c>
    </row>
    <row r="10" spans="1:7" x14ac:dyDescent="0.35">
      <c r="A10" s="1">
        <f t="shared" si="0"/>
        <v>9</v>
      </c>
      <c r="C10" s="21" t="s">
        <v>212</v>
      </c>
      <c r="D10" s="7">
        <v>2005317</v>
      </c>
      <c r="E10" s="31">
        <v>0.1216</v>
      </c>
      <c r="F10" s="7">
        <f>ROUND(D10*E10,0)</f>
        <v>243847</v>
      </c>
    </row>
    <row r="11" spans="1:7" x14ac:dyDescent="0.35">
      <c r="A11" s="1">
        <f t="shared" si="0"/>
        <v>10</v>
      </c>
      <c r="C11" s="21" t="s">
        <v>125</v>
      </c>
      <c r="D11" s="7">
        <v>684517</v>
      </c>
      <c r="E11" s="31">
        <v>0.121</v>
      </c>
      <c r="F11" s="7">
        <f t="shared" ref="F11:F21" si="1">ROUND(D11*E11,0)</f>
        <v>82827</v>
      </c>
    </row>
    <row r="12" spans="1:7" x14ac:dyDescent="0.35">
      <c r="A12" s="1">
        <f t="shared" si="0"/>
        <v>11</v>
      </c>
      <c r="C12" s="21" t="s">
        <v>126</v>
      </c>
      <c r="D12" s="7">
        <v>7956</v>
      </c>
      <c r="E12" s="31">
        <v>0.15229999999999999</v>
      </c>
      <c r="F12" s="7">
        <f t="shared" si="1"/>
        <v>1212</v>
      </c>
    </row>
    <row r="13" spans="1:7" x14ac:dyDescent="0.35">
      <c r="A13" s="1">
        <f t="shared" si="0"/>
        <v>12</v>
      </c>
      <c r="C13" s="21" t="s">
        <v>127</v>
      </c>
      <c r="D13" s="7">
        <v>0</v>
      </c>
      <c r="E13" s="31">
        <v>0.15770000000000001</v>
      </c>
      <c r="F13" s="7">
        <f t="shared" si="1"/>
        <v>0</v>
      </c>
    </row>
    <row r="14" spans="1:7" x14ac:dyDescent="0.35">
      <c r="A14" s="1">
        <f t="shared" si="0"/>
        <v>13</v>
      </c>
      <c r="C14" s="21" t="s">
        <v>128</v>
      </c>
      <c r="D14" s="7">
        <v>34973</v>
      </c>
      <c r="E14" s="31">
        <v>0.18940000000000001</v>
      </c>
      <c r="F14" s="7">
        <f t="shared" si="1"/>
        <v>6624</v>
      </c>
    </row>
    <row r="15" spans="1:7" x14ac:dyDescent="0.35">
      <c r="A15" s="1">
        <f t="shared" si="0"/>
        <v>14</v>
      </c>
      <c r="C15" s="21" t="s">
        <v>129</v>
      </c>
      <c r="D15" s="7">
        <v>0</v>
      </c>
      <c r="E15" s="31">
        <v>0.1862</v>
      </c>
      <c r="F15" s="7">
        <f t="shared" si="1"/>
        <v>0</v>
      </c>
    </row>
    <row r="16" spans="1:7" x14ac:dyDescent="0.35">
      <c r="A16" s="1">
        <f t="shared" si="0"/>
        <v>15</v>
      </c>
      <c r="C16" s="21" t="s">
        <v>130</v>
      </c>
      <c r="D16" s="7">
        <v>608420</v>
      </c>
      <c r="E16" s="31">
        <v>0.18160000000000001</v>
      </c>
      <c r="F16" s="7">
        <f t="shared" si="1"/>
        <v>110489</v>
      </c>
    </row>
    <row r="17" spans="1:6" x14ac:dyDescent="0.35">
      <c r="A17" s="1">
        <f t="shared" si="0"/>
        <v>16</v>
      </c>
      <c r="C17" s="21" t="s">
        <v>131</v>
      </c>
      <c r="D17" s="7">
        <v>389916</v>
      </c>
      <c r="E17" s="31">
        <v>0.15490000000000001</v>
      </c>
      <c r="F17" s="7">
        <f t="shared" si="1"/>
        <v>60398</v>
      </c>
    </row>
    <row r="18" spans="1:6" x14ac:dyDescent="0.35">
      <c r="A18" s="1">
        <f t="shared" si="0"/>
        <v>17</v>
      </c>
      <c r="C18" s="21" t="s">
        <v>132</v>
      </c>
      <c r="D18" s="7">
        <v>124669</v>
      </c>
      <c r="E18" s="31">
        <v>0.16139999999999999</v>
      </c>
      <c r="F18" s="7">
        <f t="shared" si="1"/>
        <v>20122</v>
      </c>
    </row>
    <row r="19" spans="1:6" x14ac:dyDescent="0.35">
      <c r="A19" s="1">
        <f t="shared" si="0"/>
        <v>18</v>
      </c>
      <c r="C19" s="21" t="s">
        <v>133</v>
      </c>
      <c r="D19" s="7">
        <v>712690</v>
      </c>
      <c r="E19" s="31">
        <v>0.17599999999999999</v>
      </c>
      <c r="F19" s="7">
        <f t="shared" si="1"/>
        <v>125433</v>
      </c>
    </row>
    <row r="20" spans="1:6" x14ac:dyDescent="0.35">
      <c r="A20" s="1">
        <f t="shared" si="0"/>
        <v>19</v>
      </c>
      <c r="C20" s="21" t="s">
        <v>134</v>
      </c>
      <c r="D20" s="7">
        <v>8652</v>
      </c>
      <c r="E20" s="31">
        <v>0.19800000000000001</v>
      </c>
      <c r="F20" s="7">
        <f t="shared" si="1"/>
        <v>1713</v>
      </c>
    </row>
    <row r="21" spans="1:6" x14ac:dyDescent="0.35">
      <c r="A21" s="1">
        <f t="shared" si="0"/>
        <v>20</v>
      </c>
      <c r="C21" s="21" t="s">
        <v>213</v>
      </c>
      <c r="D21" s="9">
        <v>0</v>
      </c>
      <c r="E21" s="31">
        <v>0.1668</v>
      </c>
      <c r="F21" s="9">
        <f t="shared" si="1"/>
        <v>0</v>
      </c>
    </row>
    <row r="22" spans="1:6" x14ac:dyDescent="0.35">
      <c r="A22" s="1">
        <f t="shared" si="0"/>
        <v>21</v>
      </c>
      <c r="D22" s="7"/>
      <c r="F22" s="7"/>
    </row>
    <row r="23" spans="1:6" ht="13.9" thickBot="1" x14ac:dyDescent="0.4">
      <c r="A23" s="1">
        <f t="shared" si="0"/>
        <v>22</v>
      </c>
      <c r="D23" s="11">
        <f>SUM(D10:D21)</f>
        <v>4577110</v>
      </c>
      <c r="F23" s="11">
        <f>SUM(F10:F21)</f>
        <v>652665</v>
      </c>
    </row>
    <row r="24" spans="1:6" ht="13.9" thickTop="1" x14ac:dyDescent="0.35">
      <c r="A24" s="1">
        <f t="shared" si="0"/>
        <v>23</v>
      </c>
    </row>
    <row r="25" spans="1:6" x14ac:dyDescent="0.35">
      <c r="A25" s="1">
        <f t="shared" si="0"/>
        <v>24</v>
      </c>
    </row>
    <row r="26" spans="1:6" x14ac:dyDescent="0.35">
      <c r="A26" s="1">
        <f t="shared" si="0"/>
        <v>25</v>
      </c>
      <c r="C26" s="28" t="s">
        <v>221</v>
      </c>
    </row>
    <row r="27" spans="1:6" x14ac:dyDescent="0.35">
      <c r="A27" s="1">
        <f t="shared" si="0"/>
        <v>26</v>
      </c>
      <c r="C27" t="s">
        <v>222</v>
      </c>
    </row>
    <row r="28" spans="1:6" x14ac:dyDescent="0.35">
      <c r="A28" s="1">
        <f t="shared" si="0"/>
        <v>27</v>
      </c>
      <c r="C28" t="s">
        <v>223</v>
      </c>
    </row>
    <row r="29" spans="1:6" x14ac:dyDescent="0.35">
      <c r="A29" s="1">
        <f t="shared" si="0"/>
        <v>28</v>
      </c>
      <c r="C29" t="s">
        <v>224</v>
      </c>
    </row>
    <row r="30" spans="1:6" ht="13.9" thickBot="1" x14ac:dyDescent="0.4">
      <c r="A30" s="1">
        <f t="shared" si="0"/>
        <v>29</v>
      </c>
      <c r="C30" t="s">
        <v>225</v>
      </c>
      <c r="F30" s="11">
        <f>-F23</f>
        <v>-652665</v>
      </c>
    </row>
    <row r="31" spans="1:6" ht="13.9" thickTop="1" x14ac:dyDescent="0.35">
      <c r="A31" s="1">
        <f t="shared" si="0"/>
        <v>30</v>
      </c>
    </row>
  </sheetData>
  <mergeCells count="2">
    <mergeCell ref="B3:G3"/>
    <mergeCell ref="B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8"/>
  <sheetViews>
    <sheetView zoomScale="80" zoomScaleNormal="80" workbookViewId="0"/>
  </sheetViews>
  <sheetFormatPr defaultColWidth="15.625" defaultRowHeight="13.5" x14ac:dyDescent="0.35"/>
  <cols>
    <col min="1" max="1" width="4.625" customWidth="1"/>
    <col min="2" max="2" width="39.375" customWidth="1"/>
  </cols>
  <sheetData>
    <row r="1" spans="1:8" x14ac:dyDescent="0.35">
      <c r="A1" s="1">
        <v>0</v>
      </c>
      <c r="B1" t="str">
        <f>'Ex 1 Adjust-Rev Inc'!B1</f>
        <v>ISS Exhibit 1 - Schedules 1.00-1.30 FINAL REV 03-08.xlsx</v>
      </c>
    </row>
    <row r="2" spans="1:8" ht="13.9" x14ac:dyDescent="0.4">
      <c r="A2" s="1">
        <f>A1+1</f>
        <v>1</v>
      </c>
      <c r="H2" s="4" t="s">
        <v>312</v>
      </c>
    </row>
    <row r="3" spans="1:8" ht="13.9" x14ac:dyDescent="0.4">
      <c r="A3" s="1">
        <f t="shared" ref="A3:A6" si="0">A2+1</f>
        <v>2</v>
      </c>
      <c r="B3" s="99" t="s">
        <v>8</v>
      </c>
      <c r="C3" s="99"/>
      <c r="D3" s="99"/>
      <c r="E3" s="99"/>
      <c r="F3" s="99"/>
      <c r="G3" s="99"/>
      <c r="H3" s="99"/>
    </row>
    <row r="4" spans="1:8" ht="13.9" x14ac:dyDescent="0.4">
      <c r="A4" s="1">
        <f t="shared" si="0"/>
        <v>3</v>
      </c>
      <c r="B4" s="99" t="s">
        <v>311</v>
      </c>
      <c r="C4" s="99"/>
      <c r="D4" s="99"/>
      <c r="E4" s="99"/>
      <c r="F4" s="99"/>
      <c r="G4" s="99"/>
      <c r="H4" s="99"/>
    </row>
    <row r="5" spans="1:8" x14ac:dyDescent="0.35">
      <c r="A5" s="1">
        <f t="shared" si="0"/>
        <v>4</v>
      </c>
    </row>
    <row r="6" spans="1:8" x14ac:dyDescent="0.35">
      <c r="A6" s="1">
        <f t="shared" si="0"/>
        <v>5</v>
      </c>
    </row>
    <row r="7" spans="1:8" x14ac:dyDescent="0.35">
      <c r="A7" s="1">
        <f t="shared" ref="A7:A70" si="1">A6+1</f>
        <v>6</v>
      </c>
      <c r="C7" s="41" t="s">
        <v>304</v>
      </c>
      <c r="D7" s="101" t="s">
        <v>232</v>
      </c>
      <c r="E7" s="102"/>
      <c r="F7" s="101" t="s">
        <v>310</v>
      </c>
      <c r="G7" s="102"/>
      <c r="H7" s="41" t="s">
        <v>308</v>
      </c>
    </row>
    <row r="8" spans="1:8" x14ac:dyDescent="0.35">
      <c r="A8" s="1">
        <f t="shared" si="1"/>
        <v>7</v>
      </c>
      <c r="C8" s="41" t="s">
        <v>305</v>
      </c>
      <c r="D8" s="41" t="s">
        <v>306</v>
      </c>
      <c r="E8" s="41" t="s">
        <v>307</v>
      </c>
      <c r="F8" s="41" t="s">
        <v>306</v>
      </c>
      <c r="G8" s="41" t="s">
        <v>307</v>
      </c>
      <c r="H8" s="41" t="s">
        <v>0</v>
      </c>
    </row>
    <row r="9" spans="1:8" ht="13.9" thickBot="1" x14ac:dyDescent="0.4">
      <c r="A9" s="1">
        <f t="shared" si="1"/>
        <v>8</v>
      </c>
      <c r="B9" s="42" t="s">
        <v>303</v>
      </c>
      <c r="C9" s="42" t="s">
        <v>252</v>
      </c>
      <c r="D9" s="47">
        <v>43830</v>
      </c>
      <c r="E9" s="47">
        <v>44012</v>
      </c>
      <c r="F9" s="47">
        <v>43830</v>
      </c>
      <c r="G9" s="47">
        <v>44012</v>
      </c>
      <c r="H9" s="48" t="s">
        <v>309</v>
      </c>
    </row>
    <row r="10" spans="1:8" x14ac:dyDescent="0.35">
      <c r="A10" s="1">
        <f t="shared" si="1"/>
        <v>9</v>
      </c>
    </row>
    <row r="11" spans="1:8" x14ac:dyDescent="0.35">
      <c r="A11" s="1">
        <f t="shared" si="1"/>
        <v>10</v>
      </c>
      <c r="B11" t="s">
        <v>313</v>
      </c>
      <c r="C11" s="7"/>
      <c r="D11" s="45"/>
      <c r="E11" s="45"/>
      <c r="F11" s="7"/>
      <c r="G11" s="7"/>
      <c r="H11" s="7"/>
    </row>
    <row r="12" spans="1:8" x14ac:dyDescent="0.35">
      <c r="A12" s="1">
        <f t="shared" si="1"/>
        <v>11</v>
      </c>
      <c r="B12" t="s">
        <v>314</v>
      </c>
      <c r="C12" s="7">
        <v>179000000</v>
      </c>
      <c r="D12" s="45">
        <v>4.6100000000000002E-2</v>
      </c>
      <c r="E12" s="45">
        <v>4.6100000000000002E-2</v>
      </c>
      <c r="F12" s="7">
        <f t="shared" ref="F12:F14" si="2">ROUND(C12*D12,0)</f>
        <v>8251900</v>
      </c>
      <c r="G12" s="7">
        <f t="shared" ref="G12:G14" si="3">ROUND(C12*E12,0)</f>
        <v>8251900</v>
      </c>
      <c r="H12" s="7">
        <v>8274309.6900000004</v>
      </c>
    </row>
    <row r="13" spans="1:8" x14ac:dyDescent="0.35">
      <c r="A13" s="1">
        <f t="shared" si="1"/>
        <v>12</v>
      </c>
      <c r="B13" t="s">
        <v>315</v>
      </c>
      <c r="C13" s="7">
        <v>150000000</v>
      </c>
      <c r="D13" s="45">
        <v>4.4499999999999998E-2</v>
      </c>
      <c r="E13" s="45">
        <v>4.4499999999999998E-2</v>
      </c>
      <c r="F13" s="7">
        <f t="shared" si="2"/>
        <v>6675000</v>
      </c>
      <c r="G13" s="7">
        <f t="shared" si="3"/>
        <v>6675000</v>
      </c>
      <c r="H13" s="7">
        <v>4691041.67</v>
      </c>
    </row>
    <row r="14" spans="1:8" x14ac:dyDescent="0.35">
      <c r="A14" s="1">
        <f t="shared" si="1"/>
        <v>13</v>
      </c>
      <c r="B14" t="s">
        <v>316</v>
      </c>
      <c r="C14" s="9">
        <v>2700000</v>
      </c>
      <c r="D14" s="45">
        <v>1.2500000000000001E-2</v>
      </c>
      <c r="E14" s="45">
        <v>1.2500000000000001E-2</v>
      </c>
      <c r="F14" s="9">
        <f t="shared" si="2"/>
        <v>33750</v>
      </c>
      <c r="G14" s="9">
        <f t="shared" si="3"/>
        <v>33750</v>
      </c>
      <c r="H14" s="9">
        <v>53259.37</v>
      </c>
    </row>
    <row r="15" spans="1:8" x14ac:dyDescent="0.35">
      <c r="A15" s="1">
        <f t="shared" si="1"/>
        <v>14</v>
      </c>
      <c r="C15" s="7"/>
      <c r="D15" s="45"/>
      <c r="E15" s="45"/>
      <c r="F15" s="7"/>
      <c r="G15" s="7"/>
      <c r="H15" s="7"/>
    </row>
    <row r="16" spans="1:8" x14ac:dyDescent="0.35">
      <c r="A16" s="1">
        <f t="shared" si="1"/>
        <v>15</v>
      </c>
      <c r="B16" t="s">
        <v>317</v>
      </c>
      <c r="C16" s="9">
        <f>SUM(C12:C14)</f>
        <v>331700000</v>
      </c>
      <c r="D16" s="45"/>
      <c r="E16" s="45"/>
      <c r="F16" s="9">
        <f t="shared" ref="F16:H16" si="4">SUM(F12:F14)</f>
        <v>14960650</v>
      </c>
      <c r="G16" s="9">
        <f t="shared" si="4"/>
        <v>14960650</v>
      </c>
      <c r="H16" s="9">
        <f t="shared" si="4"/>
        <v>13018610.729999999</v>
      </c>
    </row>
    <row r="17" spans="1:8" x14ac:dyDescent="0.35">
      <c r="A17" s="1">
        <f t="shared" si="1"/>
        <v>16</v>
      </c>
      <c r="C17" s="7"/>
      <c r="D17" s="45"/>
      <c r="E17" s="45"/>
      <c r="F17" s="7"/>
      <c r="G17" s="7"/>
      <c r="H17" s="7"/>
    </row>
    <row r="18" spans="1:8" x14ac:dyDescent="0.35">
      <c r="A18" s="1">
        <f t="shared" si="1"/>
        <v>17</v>
      </c>
      <c r="B18" t="s">
        <v>283</v>
      </c>
      <c r="C18" s="7"/>
      <c r="D18" s="45"/>
      <c r="E18" s="45"/>
      <c r="F18" s="7"/>
      <c r="G18" s="7"/>
      <c r="H18" s="7"/>
    </row>
    <row r="19" spans="1:8" x14ac:dyDescent="0.35">
      <c r="A19" s="1">
        <f t="shared" si="1"/>
        <v>18</v>
      </c>
      <c r="B19" t="s">
        <v>318</v>
      </c>
      <c r="C19" s="7"/>
      <c r="D19" s="45"/>
      <c r="E19" s="45"/>
      <c r="F19" s="7"/>
      <c r="G19" s="7"/>
      <c r="H19" s="7"/>
    </row>
    <row r="20" spans="1:8" x14ac:dyDescent="0.35">
      <c r="A20" s="1">
        <f t="shared" si="1"/>
        <v>19</v>
      </c>
      <c r="B20" t="s">
        <v>319</v>
      </c>
      <c r="C20" s="7">
        <v>100000000</v>
      </c>
      <c r="D20" s="45">
        <v>4.2999999999999997E-2</v>
      </c>
      <c r="E20" s="45">
        <v>4.2999999999999997E-2</v>
      </c>
      <c r="F20" s="7">
        <f t="shared" ref="F20" si="5">ROUND(C20*D20,0)</f>
        <v>4300000</v>
      </c>
      <c r="G20" s="7">
        <f t="shared" ref="G20" si="6">ROUND(C20*E20,0)</f>
        <v>4300000</v>
      </c>
      <c r="H20" s="7">
        <v>3008036.54</v>
      </c>
    </row>
    <row r="21" spans="1:8" x14ac:dyDescent="0.35">
      <c r="A21" s="1">
        <f t="shared" si="1"/>
        <v>20</v>
      </c>
      <c r="B21" t="s">
        <v>320</v>
      </c>
      <c r="C21" s="7">
        <v>1776837.85</v>
      </c>
      <c r="D21" s="45">
        <v>4.0000000000000001E-3</v>
      </c>
      <c r="E21" s="45">
        <v>4.0000000000000001E-3</v>
      </c>
      <c r="F21" s="7">
        <f t="shared" ref="F21:F28" si="7">ROUND(C21*D21,0)</f>
        <v>7107</v>
      </c>
      <c r="G21" s="7">
        <f t="shared" ref="G21:G28" si="8">ROUND(C21*E21,0)</f>
        <v>7107</v>
      </c>
      <c r="H21" s="7">
        <v>7528.73</v>
      </c>
    </row>
    <row r="22" spans="1:8" x14ac:dyDescent="0.35">
      <c r="A22" s="1">
        <f t="shared" si="1"/>
        <v>21</v>
      </c>
      <c r="B22" t="s">
        <v>321</v>
      </c>
      <c r="C22" s="7">
        <v>17396627.27</v>
      </c>
      <c r="D22" s="45">
        <v>1.5599999999999999E-2</v>
      </c>
      <c r="E22" s="45">
        <v>1.5599999999999999E-2</v>
      </c>
      <c r="F22" s="7">
        <f t="shared" si="7"/>
        <v>271387</v>
      </c>
      <c r="G22" s="7">
        <f t="shared" si="8"/>
        <v>271387</v>
      </c>
      <c r="H22" s="7">
        <v>266793.55</v>
      </c>
    </row>
    <row r="23" spans="1:8" x14ac:dyDescent="0.35">
      <c r="A23" s="1">
        <f t="shared" si="1"/>
        <v>22</v>
      </c>
      <c r="B23" t="s">
        <v>322</v>
      </c>
      <c r="C23" s="7">
        <v>0</v>
      </c>
      <c r="D23" s="45">
        <v>4.8500000000000001E-2</v>
      </c>
      <c r="E23" s="45">
        <v>4.8500000000000001E-2</v>
      </c>
      <c r="F23" s="7">
        <f t="shared" si="7"/>
        <v>0</v>
      </c>
      <c r="G23" s="7">
        <f t="shared" si="8"/>
        <v>0</v>
      </c>
      <c r="H23" s="7">
        <v>48511.7</v>
      </c>
    </row>
    <row r="24" spans="1:8" x14ac:dyDescent="0.35">
      <c r="A24" s="1">
        <f t="shared" si="1"/>
        <v>23</v>
      </c>
      <c r="B24" t="s">
        <v>323</v>
      </c>
      <c r="C24" s="7">
        <v>1335822</v>
      </c>
      <c r="D24" s="45">
        <v>5.0500000000000003E-2</v>
      </c>
      <c r="E24" s="45">
        <v>5.0500000000000003E-2</v>
      </c>
      <c r="F24" s="7">
        <f t="shared" si="7"/>
        <v>67459</v>
      </c>
      <c r="G24" s="7">
        <f t="shared" si="8"/>
        <v>67459</v>
      </c>
      <c r="H24" s="7">
        <v>67459.600000000006</v>
      </c>
    </row>
    <row r="25" spans="1:8" x14ac:dyDescent="0.35">
      <c r="A25" s="1">
        <f t="shared" si="1"/>
        <v>24</v>
      </c>
      <c r="B25" t="s">
        <v>324</v>
      </c>
      <c r="C25" s="7">
        <v>1544167</v>
      </c>
      <c r="D25" s="45">
        <v>5.1499999999999997E-2</v>
      </c>
      <c r="E25" s="45">
        <v>5.1499999999999997E-2</v>
      </c>
      <c r="F25" s="7">
        <f t="shared" si="7"/>
        <v>79525</v>
      </c>
      <c r="G25" s="7">
        <f t="shared" si="8"/>
        <v>79525</v>
      </c>
      <c r="H25" s="7">
        <v>79524</v>
      </c>
    </row>
    <row r="26" spans="1:8" x14ac:dyDescent="0.35">
      <c r="A26" s="1">
        <f t="shared" si="1"/>
        <v>25</v>
      </c>
      <c r="B26" t="s">
        <v>325</v>
      </c>
      <c r="C26" s="7">
        <v>1389610</v>
      </c>
      <c r="D26" s="45">
        <v>5.2499999999999998E-2</v>
      </c>
      <c r="E26" s="45">
        <v>5.2499999999999998E-2</v>
      </c>
      <c r="F26" s="7">
        <f t="shared" si="7"/>
        <v>72955</v>
      </c>
      <c r="G26" s="7">
        <f t="shared" si="8"/>
        <v>72955</v>
      </c>
      <c r="H26" s="7">
        <v>72954.52</v>
      </c>
    </row>
    <row r="27" spans="1:8" x14ac:dyDescent="0.35">
      <c r="A27" s="1">
        <f t="shared" si="1"/>
        <v>26</v>
      </c>
      <c r="B27" t="s">
        <v>326</v>
      </c>
      <c r="C27" s="7">
        <v>980127</v>
      </c>
      <c r="D27" s="45">
        <v>5.3999999999999999E-2</v>
      </c>
      <c r="E27" s="45">
        <v>5.3999999999999999E-2</v>
      </c>
      <c r="F27" s="7">
        <f t="shared" si="7"/>
        <v>52927</v>
      </c>
      <c r="G27" s="7">
        <f t="shared" si="8"/>
        <v>52927</v>
      </c>
      <c r="H27" s="7">
        <v>52926.84</v>
      </c>
    </row>
    <row r="28" spans="1:8" x14ac:dyDescent="0.35">
      <c r="A28" s="1">
        <f t="shared" si="1"/>
        <v>27</v>
      </c>
      <c r="B28" t="s">
        <v>327</v>
      </c>
      <c r="C28" s="9">
        <v>325315</v>
      </c>
      <c r="D28" s="45">
        <v>5.5E-2</v>
      </c>
      <c r="E28" s="45">
        <v>5.5E-2</v>
      </c>
      <c r="F28" s="9">
        <f t="shared" si="7"/>
        <v>17892</v>
      </c>
      <c r="G28" s="9">
        <f t="shared" si="8"/>
        <v>17892</v>
      </c>
      <c r="H28" s="9">
        <v>17892.32</v>
      </c>
    </row>
    <row r="29" spans="1:8" x14ac:dyDescent="0.35">
      <c r="A29" s="1">
        <f t="shared" si="1"/>
        <v>28</v>
      </c>
      <c r="C29" s="7"/>
      <c r="D29" s="45"/>
      <c r="E29" s="45"/>
      <c r="F29" s="7"/>
      <c r="G29" s="7"/>
      <c r="H29" s="7"/>
    </row>
    <row r="30" spans="1:8" x14ac:dyDescent="0.35">
      <c r="A30" s="1">
        <f t="shared" si="1"/>
        <v>29</v>
      </c>
      <c r="B30" t="s">
        <v>328</v>
      </c>
      <c r="C30" s="9">
        <f>SUM(C20:C28)</f>
        <v>124748506.11999999</v>
      </c>
      <c r="D30" s="45"/>
      <c r="E30" s="45"/>
      <c r="F30" s="9">
        <f t="shared" ref="F30:H30" si="9">SUM(F20:F28)</f>
        <v>4869252</v>
      </c>
      <c r="G30" s="9">
        <f t="shared" si="9"/>
        <v>4869252</v>
      </c>
      <c r="H30" s="9">
        <f t="shared" si="9"/>
        <v>3621627.8</v>
      </c>
    </row>
    <row r="31" spans="1:8" x14ac:dyDescent="0.35">
      <c r="A31" s="1">
        <f t="shared" si="1"/>
        <v>30</v>
      </c>
      <c r="C31" s="7"/>
      <c r="D31" s="45"/>
      <c r="E31" s="45"/>
      <c r="F31" s="7"/>
      <c r="G31" s="7"/>
      <c r="H31" s="7"/>
    </row>
    <row r="32" spans="1:8" x14ac:dyDescent="0.35">
      <c r="A32" s="1">
        <f t="shared" si="1"/>
        <v>31</v>
      </c>
      <c r="B32" t="s">
        <v>329</v>
      </c>
      <c r="C32" s="7"/>
      <c r="D32" s="45"/>
      <c r="E32" s="45"/>
      <c r="F32" s="7"/>
      <c r="G32" s="7"/>
      <c r="H32" s="7"/>
    </row>
    <row r="33" spans="1:10" x14ac:dyDescent="0.35">
      <c r="A33" s="1">
        <f t="shared" si="1"/>
        <v>32</v>
      </c>
      <c r="B33" t="s">
        <v>330</v>
      </c>
      <c r="C33" s="7">
        <v>0</v>
      </c>
      <c r="D33" s="45">
        <v>5.1249999999999997E-2</v>
      </c>
      <c r="E33" s="45">
        <v>5.1249999999999997E-2</v>
      </c>
      <c r="F33" s="7">
        <f t="shared" ref="F33:F34" si="10">ROUND(C33*D33,0)</f>
        <v>0</v>
      </c>
      <c r="G33" s="7">
        <f t="shared" ref="G33:G34" si="11">ROUND(C33*E33,0)</f>
        <v>0</v>
      </c>
      <c r="H33" s="7">
        <v>51782.720000000001</v>
      </c>
    </row>
    <row r="34" spans="1:10" x14ac:dyDescent="0.35">
      <c r="A34" s="1">
        <f t="shared" si="1"/>
        <v>33</v>
      </c>
      <c r="B34" t="s">
        <v>331</v>
      </c>
      <c r="C34" s="9">
        <v>0</v>
      </c>
      <c r="D34" s="45">
        <v>5.1249999999999997E-2</v>
      </c>
      <c r="E34" s="45">
        <v>5.1249999999999997E-2</v>
      </c>
      <c r="F34" s="9">
        <f t="shared" si="10"/>
        <v>0</v>
      </c>
      <c r="G34" s="9">
        <f t="shared" si="11"/>
        <v>0</v>
      </c>
      <c r="H34" s="9">
        <v>51782.720000000001</v>
      </c>
    </row>
    <row r="35" spans="1:10" x14ac:dyDescent="0.35">
      <c r="A35" s="1">
        <f t="shared" si="1"/>
        <v>34</v>
      </c>
      <c r="C35" s="7"/>
      <c r="D35" s="45"/>
      <c r="E35" s="45"/>
      <c r="F35" s="7"/>
      <c r="G35" s="7"/>
      <c r="H35" s="7"/>
    </row>
    <row r="36" spans="1:10" x14ac:dyDescent="0.35">
      <c r="A36" s="1">
        <f t="shared" si="1"/>
        <v>35</v>
      </c>
      <c r="B36" t="s">
        <v>332</v>
      </c>
      <c r="C36" s="9">
        <f>C33+C34</f>
        <v>0</v>
      </c>
      <c r="D36" s="45"/>
      <c r="E36" s="45"/>
      <c r="F36" s="9">
        <f t="shared" ref="F36:H36" si="12">F33+F34</f>
        <v>0</v>
      </c>
      <c r="G36" s="9">
        <f t="shared" si="12"/>
        <v>0</v>
      </c>
      <c r="H36" s="9">
        <f t="shared" si="12"/>
        <v>103565.44</v>
      </c>
    </row>
    <row r="37" spans="1:10" x14ac:dyDescent="0.35">
      <c r="A37" s="1">
        <f t="shared" si="1"/>
        <v>36</v>
      </c>
      <c r="C37" s="7"/>
      <c r="D37" s="45"/>
      <c r="E37" s="45"/>
      <c r="F37" s="7"/>
      <c r="G37" s="7"/>
      <c r="H37" s="7"/>
    </row>
    <row r="38" spans="1:10" x14ac:dyDescent="0.35">
      <c r="A38" s="1">
        <f t="shared" si="1"/>
        <v>37</v>
      </c>
      <c r="B38" t="s">
        <v>333</v>
      </c>
      <c r="C38" s="7"/>
      <c r="D38" s="45"/>
      <c r="E38" s="45"/>
      <c r="F38" s="7"/>
      <c r="G38" s="7"/>
      <c r="H38" s="7"/>
    </row>
    <row r="39" spans="1:10" x14ac:dyDescent="0.35">
      <c r="A39" s="1">
        <f t="shared" si="1"/>
        <v>38</v>
      </c>
      <c r="B39" t="s">
        <v>334</v>
      </c>
      <c r="C39" s="7">
        <v>0</v>
      </c>
      <c r="D39" s="45">
        <v>5.4510000000000003E-2</v>
      </c>
      <c r="E39" s="45">
        <v>5.4510000000000003E-2</v>
      </c>
      <c r="F39" s="7">
        <f t="shared" ref="F39:F47" si="13">ROUND(C39*D39,0)</f>
        <v>0</v>
      </c>
      <c r="G39" s="7">
        <f t="shared" ref="G39:G47" si="14">ROUND(C39*E39,0)</f>
        <v>0</v>
      </c>
      <c r="H39" s="7">
        <v>99292.49</v>
      </c>
    </row>
    <row r="40" spans="1:10" x14ac:dyDescent="0.35">
      <c r="A40" s="1">
        <f t="shared" si="1"/>
        <v>39</v>
      </c>
      <c r="B40" t="s">
        <v>335</v>
      </c>
      <c r="C40" s="7">
        <v>0</v>
      </c>
      <c r="D40" s="45">
        <v>5.4260000000000003E-2</v>
      </c>
      <c r="E40" s="45">
        <v>5.4260000000000003E-2</v>
      </c>
      <c r="F40" s="7">
        <f t="shared" si="13"/>
        <v>0</v>
      </c>
      <c r="G40" s="7">
        <f t="shared" si="14"/>
        <v>0</v>
      </c>
      <c r="H40" s="7">
        <v>84186.01</v>
      </c>
    </row>
    <row r="41" spans="1:10" x14ac:dyDescent="0.35">
      <c r="A41" s="1">
        <f t="shared" si="1"/>
        <v>40</v>
      </c>
      <c r="B41" t="s">
        <v>336</v>
      </c>
      <c r="C41" s="7">
        <v>0</v>
      </c>
      <c r="D41" s="45">
        <v>5.1040000000000002E-2</v>
      </c>
      <c r="E41" s="45">
        <v>5.1040000000000002E-2</v>
      </c>
      <c r="F41" s="7">
        <f t="shared" si="13"/>
        <v>0</v>
      </c>
      <c r="G41" s="7">
        <f t="shared" si="14"/>
        <v>0</v>
      </c>
      <c r="H41" s="7">
        <v>105300.92</v>
      </c>
      <c r="J41" s="7"/>
    </row>
    <row r="42" spans="1:10" x14ac:dyDescent="0.35">
      <c r="A42" s="1">
        <f t="shared" si="1"/>
        <v>41</v>
      </c>
      <c r="B42" t="s">
        <v>337</v>
      </c>
      <c r="C42" s="7">
        <v>4228069.95</v>
      </c>
      <c r="D42" s="45">
        <v>4.709E-2</v>
      </c>
      <c r="E42" s="45">
        <v>4.709E-2</v>
      </c>
      <c r="F42" s="7">
        <f t="shared" si="13"/>
        <v>199100</v>
      </c>
      <c r="G42" s="7">
        <f t="shared" si="14"/>
        <v>199100</v>
      </c>
      <c r="H42" s="7">
        <v>220760.32000000001</v>
      </c>
      <c r="J42" s="7"/>
    </row>
    <row r="43" spans="1:10" x14ac:dyDescent="0.35">
      <c r="A43" s="1">
        <f t="shared" si="1"/>
        <v>42</v>
      </c>
      <c r="B43" t="s">
        <v>338</v>
      </c>
      <c r="C43" s="7">
        <v>0</v>
      </c>
      <c r="D43" s="45">
        <v>5.4469999999999998E-2</v>
      </c>
      <c r="E43" s="45">
        <v>5.4469999999999998E-2</v>
      </c>
      <c r="F43" s="7">
        <f t="shared" si="13"/>
        <v>0</v>
      </c>
      <c r="G43" s="7">
        <f t="shared" si="14"/>
        <v>0</v>
      </c>
      <c r="H43" s="7">
        <v>325907.86</v>
      </c>
      <c r="J43" s="7"/>
    </row>
    <row r="44" spans="1:10" x14ac:dyDescent="0.35">
      <c r="A44" s="1">
        <f t="shared" si="1"/>
        <v>43</v>
      </c>
      <c r="B44" t="s">
        <v>339</v>
      </c>
      <c r="C44" s="7">
        <v>0</v>
      </c>
      <c r="D44" s="45">
        <v>5.6779999999999997E-2</v>
      </c>
      <c r="E44" s="45">
        <v>5.6779999999999997E-2</v>
      </c>
      <c r="F44" s="7">
        <f t="shared" si="13"/>
        <v>0</v>
      </c>
      <c r="G44" s="7">
        <f t="shared" si="14"/>
        <v>0</v>
      </c>
      <c r="H44" s="7">
        <v>103958.68</v>
      </c>
      <c r="J44" s="7"/>
    </row>
    <row r="45" spans="1:10" x14ac:dyDescent="0.35">
      <c r="A45" s="1">
        <f t="shared" si="1"/>
        <v>44</v>
      </c>
      <c r="B45" t="s">
        <v>340</v>
      </c>
      <c r="C45" s="7">
        <v>0</v>
      </c>
      <c r="D45" s="45">
        <v>5.5379999999999999E-2</v>
      </c>
      <c r="E45" s="45">
        <v>5.5379999999999999E-2</v>
      </c>
      <c r="F45" s="7">
        <f t="shared" si="13"/>
        <v>0</v>
      </c>
      <c r="G45" s="7">
        <f t="shared" si="14"/>
        <v>0</v>
      </c>
      <c r="H45" s="7">
        <v>100650.54</v>
      </c>
      <c r="J45" s="7"/>
    </row>
    <row r="46" spans="1:10" x14ac:dyDescent="0.35">
      <c r="A46" s="1">
        <f t="shared" si="1"/>
        <v>45</v>
      </c>
      <c r="B46" t="s">
        <v>341</v>
      </c>
      <c r="C46" s="7">
        <v>4957922.26</v>
      </c>
      <c r="D46" s="45">
        <v>4.6949999999999999E-2</v>
      </c>
      <c r="E46" s="45">
        <v>4.6949999999999999E-2</v>
      </c>
      <c r="F46" s="7">
        <f t="shared" si="13"/>
        <v>232774</v>
      </c>
      <c r="G46" s="7">
        <f t="shared" si="14"/>
        <v>232774</v>
      </c>
      <c r="H46" s="7">
        <v>258202.35</v>
      </c>
      <c r="J46" s="7"/>
    </row>
    <row r="47" spans="1:10" x14ac:dyDescent="0.35">
      <c r="A47" s="1">
        <f t="shared" si="1"/>
        <v>46</v>
      </c>
      <c r="B47" t="s">
        <v>342</v>
      </c>
      <c r="C47" s="7">
        <v>3327846.11</v>
      </c>
      <c r="D47" s="45">
        <v>4.802E-2</v>
      </c>
      <c r="E47" s="45">
        <v>4.802E-2</v>
      </c>
      <c r="F47" s="7">
        <f t="shared" si="13"/>
        <v>159803</v>
      </c>
      <c r="G47" s="7">
        <f t="shared" si="14"/>
        <v>159803</v>
      </c>
      <c r="H47" s="7">
        <v>177204.89</v>
      </c>
    </row>
    <row r="48" spans="1:10" x14ac:dyDescent="0.35">
      <c r="A48" s="1">
        <f t="shared" si="1"/>
        <v>47</v>
      </c>
      <c r="B48" t="s">
        <v>343</v>
      </c>
      <c r="C48" s="7">
        <v>4854098.6500000004</v>
      </c>
      <c r="D48" s="45">
        <v>4.3659999999999997E-2</v>
      </c>
      <c r="E48" s="45">
        <v>4.3659999999999997E-2</v>
      </c>
      <c r="F48" s="7">
        <f t="shared" ref="F48:F58" si="15">ROUND(C48*D48,0)</f>
        <v>211930</v>
      </c>
      <c r="G48" s="7">
        <f t="shared" ref="G48:G58" si="16">ROUND(C48*E48,0)</f>
        <v>211930</v>
      </c>
      <c r="H48" s="7">
        <v>235305.92</v>
      </c>
      <c r="J48" s="7"/>
    </row>
    <row r="49" spans="1:8" x14ac:dyDescent="0.35">
      <c r="A49" s="1">
        <f t="shared" si="1"/>
        <v>48</v>
      </c>
      <c r="B49" t="s">
        <v>344</v>
      </c>
      <c r="C49" s="7">
        <v>3237955.92</v>
      </c>
      <c r="D49" s="45">
        <v>4.3749999999999997E-2</v>
      </c>
      <c r="E49" s="45">
        <v>4.3749999999999997E-2</v>
      </c>
      <c r="F49" s="7">
        <f t="shared" si="15"/>
        <v>141661</v>
      </c>
      <c r="G49" s="7">
        <f t="shared" si="16"/>
        <v>141661</v>
      </c>
      <c r="H49" s="7">
        <v>157281.68</v>
      </c>
    </row>
    <row r="50" spans="1:8" x14ac:dyDescent="0.35">
      <c r="A50" s="1">
        <f t="shared" si="1"/>
        <v>49</v>
      </c>
      <c r="B50" t="s">
        <v>345</v>
      </c>
      <c r="C50" s="7">
        <v>4964877.9400000004</v>
      </c>
      <c r="D50" s="45">
        <v>4.7169999999999997E-2</v>
      </c>
      <c r="E50" s="45">
        <v>4.7169999999999997E-2</v>
      </c>
      <c r="F50" s="7">
        <f t="shared" si="15"/>
        <v>234193</v>
      </c>
      <c r="G50" s="7">
        <f t="shared" si="16"/>
        <v>234193</v>
      </c>
      <c r="H50" s="7">
        <v>259759.62</v>
      </c>
    </row>
    <row r="51" spans="1:8" x14ac:dyDescent="0.35">
      <c r="A51" s="1">
        <f t="shared" si="1"/>
        <v>50</v>
      </c>
      <c r="B51" t="s">
        <v>346</v>
      </c>
      <c r="C51" s="7">
        <v>3294534.75</v>
      </c>
      <c r="D51" s="45">
        <v>4.6440000000000002E-2</v>
      </c>
      <c r="E51" s="45">
        <v>4.6440000000000002E-2</v>
      </c>
      <c r="F51" s="7">
        <f t="shared" si="15"/>
        <v>152998</v>
      </c>
      <c r="G51" s="7">
        <f t="shared" si="16"/>
        <v>152998</v>
      </c>
      <c r="H51" s="7">
        <v>169736.56</v>
      </c>
    </row>
    <row r="52" spans="1:8" x14ac:dyDescent="0.35">
      <c r="A52" s="1">
        <f t="shared" si="1"/>
        <v>51</v>
      </c>
      <c r="B52" t="s">
        <v>347</v>
      </c>
      <c r="C52" s="7">
        <v>1132264.83</v>
      </c>
      <c r="D52" s="45">
        <v>4.5569999999999999E-2</v>
      </c>
      <c r="E52" s="45">
        <v>4.5569999999999999E-2</v>
      </c>
      <c r="F52" s="7">
        <f t="shared" si="15"/>
        <v>51597</v>
      </c>
      <c r="G52" s="7">
        <f t="shared" si="16"/>
        <v>51597</v>
      </c>
      <c r="H52" s="7">
        <v>57235.87</v>
      </c>
    </row>
    <row r="53" spans="1:8" x14ac:dyDescent="0.35">
      <c r="A53" s="1">
        <f t="shared" si="1"/>
        <v>52</v>
      </c>
      <c r="B53" t="s">
        <v>348</v>
      </c>
      <c r="C53" s="7">
        <v>3588685.18</v>
      </c>
      <c r="D53" s="45">
        <v>4.7899999999999998E-2</v>
      </c>
      <c r="E53" s="45">
        <v>4.7899999999999998E-2</v>
      </c>
      <c r="F53" s="7">
        <f t="shared" si="15"/>
        <v>171898</v>
      </c>
      <c r="G53" s="7">
        <f t="shared" si="16"/>
        <v>171898</v>
      </c>
      <c r="H53" s="7">
        <v>179235.71</v>
      </c>
    </row>
    <row r="54" spans="1:8" x14ac:dyDescent="0.35">
      <c r="A54" s="1">
        <f t="shared" si="1"/>
        <v>53</v>
      </c>
      <c r="B54" t="s">
        <v>349</v>
      </c>
      <c r="C54" s="7">
        <v>1749461.04</v>
      </c>
      <c r="D54" s="45">
        <v>4.6240000000000003E-2</v>
      </c>
      <c r="E54" s="45">
        <v>4.6240000000000003E-2</v>
      </c>
      <c r="F54" s="7">
        <f t="shared" si="15"/>
        <v>80895</v>
      </c>
      <c r="G54" s="7">
        <f t="shared" si="16"/>
        <v>80895</v>
      </c>
      <c r="H54" s="7">
        <v>84384.42</v>
      </c>
    </row>
    <row r="55" spans="1:8" x14ac:dyDescent="0.35">
      <c r="A55" s="1">
        <f t="shared" si="1"/>
        <v>54</v>
      </c>
      <c r="B55" t="s">
        <v>350</v>
      </c>
      <c r="C55" s="7">
        <v>1398373.54</v>
      </c>
      <c r="D55" s="45">
        <v>4.4420000000000001E-2</v>
      </c>
      <c r="E55" s="45">
        <v>4.4420000000000001E-2</v>
      </c>
      <c r="F55" s="7">
        <f t="shared" si="15"/>
        <v>62116</v>
      </c>
      <c r="G55" s="7">
        <f t="shared" si="16"/>
        <v>62116</v>
      </c>
      <c r="H55" s="7">
        <v>68951.87</v>
      </c>
    </row>
    <row r="56" spans="1:8" x14ac:dyDescent="0.35">
      <c r="A56" s="1">
        <f t="shared" si="1"/>
        <v>55</v>
      </c>
      <c r="B56" t="s">
        <v>351</v>
      </c>
      <c r="C56" s="7">
        <v>15297618.57</v>
      </c>
      <c r="D56" s="45">
        <v>4.4600000000000001E-2</v>
      </c>
      <c r="E56" s="45">
        <v>4.4600000000000001E-2</v>
      </c>
      <c r="F56" s="7">
        <f t="shared" si="15"/>
        <v>682274</v>
      </c>
      <c r="G56" s="7">
        <f t="shared" si="16"/>
        <v>682274</v>
      </c>
      <c r="H56" s="7">
        <v>706276.44</v>
      </c>
    </row>
    <row r="57" spans="1:8" x14ac:dyDescent="0.35">
      <c r="A57" s="1">
        <f t="shared" si="1"/>
        <v>56</v>
      </c>
      <c r="B57" t="s">
        <v>352</v>
      </c>
      <c r="C57" s="7">
        <v>15586076.189999999</v>
      </c>
      <c r="D57" s="45">
        <v>4.8189999999999997E-2</v>
      </c>
      <c r="E57" s="45">
        <v>4.8189999999999997E-2</v>
      </c>
      <c r="F57" s="7">
        <f t="shared" si="15"/>
        <v>751093</v>
      </c>
      <c r="G57" s="7">
        <f t="shared" si="16"/>
        <v>751093</v>
      </c>
      <c r="H57" s="7">
        <v>776818.92</v>
      </c>
    </row>
    <row r="58" spans="1:8" x14ac:dyDescent="0.35">
      <c r="A58" s="1">
        <f t="shared" si="1"/>
        <v>57</v>
      </c>
      <c r="B58" t="s">
        <v>353</v>
      </c>
      <c r="C58" s="7">
        <v>15564812.859999999</v>
      </c>
      <c r="D58" s="45">
        <v>4.9500000000000002E-2</v>
      </c>
      <c r="E58" s="45">
        <v>4.9500000000000002E-2</v>
      </c>
      <c r="F58" s="7">
        <f t="shared" si="15"/>
        <v>770458</v>
      </c>
      <c r="G58" s="7">
        <f t="shared" si="16"/>
        <v>770458</v>
      </c>
      <c r="H58" s="7">
        <v>796589.94</v>
      </c>
    </row>
    <row r="59" spans="1:8" x14ac:dyDescent="0.35">
      <c r="A59" s="1">
        <f t="shared" si="1"/>
        <v>58</v>
      </c>
      <c r="B59" t="s">
        <v>354</v>
      </c>
      <c r="C59" s="7">
        <v>0</v>
      </c>
      <c r="D59" s="45">
        <v>5.0549999999999998E-2</v>
      </c>
      <c r="E59" s="45">
        <v>5.0549999999999998E-2</v>
      </c>
      <c r="F59" s="7">
        <f t="shared" ref="F59:F70" si="17">ROUND(C59*D59,0)</f>
        <v>0</v>
      </c>
      <c r="G59" s="7">
        <f t="shared" ref="G59:G70" si="18">ROUND(C59*E59,0)</f>
        <v>0</v>
      </c>
      <c r="H59" s="7">
        <v>38863.980000000003</v>
      </c>
    </row>
    <row r="60" spans="1:8" x14ac:dyDescent="0.35">
      <c r="A60" s="1">
        <f t="shared" si="1"/>
        <v>59</v>
      </c>
      <c r="B60" t="s">
        <v>355</v>
      </c>
      <c r="C60" s="7">
        <v>1423928.15</v>
      </c>
      <c r="D60" s="45">
        <v>4.7530000000000003E-2</v>
      </c>
      <c r="E60" s="45">
        <v>4.7530000000000003E-2</v>
      </c>
      <c r="F60" s="7">
        <f t="shared" si="17"/>
        <v>67679</v>
      </c>
      <c r="G60" s="7">
        <f t="shared" si="18"/>
        <v>67679</v>
      </c>
      <c r="H60" s="7">
        <v>70575.03</v>
      </c>
    </row>
    <row r="61" spans="1:8" x14ac:dyDescent="0.35">
      <c r="A61" s="1">
        <f t="shared" si="1"/>
        <v>60</v>
      </c>
      <c r="B61" t="s">
        <v>356</v>
      </c>
      <c r="C61" s="7">
        <v>868340.08</v>
      </c>
      <c r="D61" s="45">
        <v>4.5010000000000001E-2</v>
      </c>
      <c r="E61" s="45">
        <v>4.5010000000000001E-2</v>
      </c>
      <c r="F61" s="7">
        <f t="shared" si="17"/>
        <v>39084</v>
      </c>
      <c r="G61" s="7">
        <f t="shared" si="18"/>
        <v>39084</v>
      </c>
      <c r="H61" s="7">
        <v>43377.9</v>
      </c>
    </row>
    <row r="62" spans="1:8" x14ac:dyDescent="0.35">
      <c r="A62" s="1">
        <f t="shared" si="1"/>
        <v>61</v>
      </c>
      <c r="B62" t="s">
        <v>357</v>
      </c>
      <c r="C62" s="7">
        <v>0</v>
      </c>
      <c r="D62" s="45">
        <v>5.0909999999999997E-2</v>
      </c>
      <c r="E62" s="45">
        <v>5.0909999999999997E-2</v>
      </c>
      <c r="F62" s="7">
        <f t="shared" si="17"/>
        <v>0</v>
      </c>
      <c r="G62" s="7">
        <f t="shared" si="18"/>
        <v>0</v>
      </c>
      <c r="H62" s="7">
        <v>422233.5</v>
      </c>
    </row>
    <row r="63" spans="1:8" x14ac:dyDescent="0.35">
      <c r="A63" s="1">
        <f t="shared" si="1"/>
        <v>62</v>
      </c>
      <c r="B63" t="s">
        <v>358</v>
      </c>
      <c r="C63" s="7">
        <v>0</v>
      </c>
      <c r="D63" s="45">
        <v>5.1490000000000001E-2</v>
      </c>
      <c r="E63" s="45">
        <v>5.1490000000000001E-2</v>
      </c>
      <c r="F63" s="7">
        <f t="shared" si="17"/>
        <v>0</v>
      </c>
      <c r="G63" s="7">
        <f t="shared" si="18"/>
        <v>0</v>
      </c>
      <c r="H63" s="7">
        <v>428195.57</v>
      </c>
    </row>
    <row r="64" spans="1:8" x14ac:dyDescent="0.35">
      <c r="A64" s="1">
        <f t="shared" si="1"/>
        <v>63</v>
      </c>
      <c r="B64" t="s">
        <v>359</v>
      </c>
      <c r="C64" s="7">
        <v>0</v>
      </c>
      <c r="D64" s="45">
        <v>5.0650000000000001E-2</v>
      </c>
      <c r="E64" s="45">
        <v>5.0650000000000001E-2</v>
      </c>
      <c r="F64" s="7">
        <f t="shared" si="17"/>
        <v>0</v>
      </c>
      <c r="G64" s="7">
        <f t="shared" si="18"/>
        <v>0</v>
      </c>
      <c r="H64" s="7">
        <v>419568.27</v>
      </c>
    </row>
    <row r="65" spans="1:8" x14ac:dyDescent="0.35">
      <c r="A65" s="1">
        <f t="shared" si="1"/>
        <v>64</v>
      </c>
      <c r="B65" t="s">
        <v>360</v>
      </c>
      <c r="C65" s="7">
        <v>0</v>
      </c>
      <c r="D65" s="45">
        <v>5.0110000000000002E-2</v>
      </c>
      <c r="E65" s="45">
        <v>5.0110000000000002E-2</v>
      </c>
      <c r="F65" s="7">
        <f t="shared" si="17"/>
        <v>0</v>
      </c>
      <c r="G65" s="7">
        <f t="shared" si="18"/>
        <v>0</v>
      </c>
      <c r="H65" s="7">
        <v>414047.46</v>
      </c>
    </row>
    <row r="66" spans="1:8" x14ac:dyDescent="0.35">
      <c r="A66" s="1">
        <f t="shared" si="1"/>
        <v>65</v>
      </c>
      <c r="B66" t="s">
        <v>361</v>
      </c>
      <c r="C66" s="7">
        <v>0</v>
      </c>
      <c r="D66" s="45">
        <v>5.1490000000000001E-2</v>
      </c>
      <c r="E66" s="45">
        <v>5.1490000000000001E-2</v>
      </c>
      <c r="F66" s="7">
        <f t="shared" si="17"/>
        <v>0</v>
      </c>
      <c r="G66" s="7">
        <f t="shared" si="18"/>
        <v>0</v>
      </c>
      <c r="H66" s="7">
        <v>462451.22</v>
      </c>
    </row>
    <row r="67" spans="1:8" x14ac:dyDescent="0.35">
      <c r="A67" s="1">
        <f t="shared" si="1"/>
        <v>66</v>
      </c>
      <c r="B67" t="s">
        <v>362</v>
      </c>
      <c r="C67" s="7">
        <v>3667564.58</v>
      </c>
      <c r="D67" s="45">
        <v>4.854E-2</v>
      </c>
      <c r="E67" s="45">
        <v>4.854E-2</v>
      </c>
      <c r="F67" s="7">
        <f t="shared" si="17"/>
        <v>178024</v>
      </c>
      <c r="G67" s="7">
        <f t="shared" si="18"/>
        <v>178024</v>
      </c>
      <c r="H67" s="7">
        <v>185592.2</v>
      </c>
    </row>
    <row r="68" spans="1:8" x14ac:dyDescent="0.35">
      <c r="A68" s="1">
        <f t="shared" si="1"/>
        <v>67</v>
      </c>
      <c r="B68" t="s">
        <v>363</v>
      </c>
      <c r="C68" s="7">
        <v>0</v>
      </c>
      <c r="D68" s="45">
        <v>5.2400000000000002E-2</v>
      </c>
      <c r="E68" s="45">
        <v>5.2400000000000002E-2</v>
      </c>
      <c r="F68" s="7">
        <f t="shared" si="17"/>
        <v>0</v>
      </c>
      <c r="G68" s="7">
        <f t="shared" si="18"/>
        <v>0</v>
      </c>
      <c r="H68" s="7">
        <v>36359.410000000003</v>
      </c>
    </row>
    <row r="69" spans="1:8" x14ac:dyDescent="0.35">
      <c r="A69" s="1">
        <f t="shared" si="1"/>
        <v>68</v>
      </c>
      <c r="B69" t="s">
        <v>364</v>
      </c>
      <c r="C69" s="7">
        <v>0</v>
      </c>
      <c r="D69" s="45">
        <v>5.0200000000000002E-2</v>
      </c>
      <c r="E69" s="45">
        <v>5.0200000000000002E-2</v>
      </c>
      <c r="F69" s="7">
        <f t="shared" si="17"/>
        <v>0</v>
      </c>
      <c r="G69" s="7">
        <f t="shared" si="18"/>
        <v>0</v>
      </c>
      <c r="H69" s="7">
        <v>40935.39</v>
      </c>
    </row>
    <row r="70" spans="1:8" x14ac:dyDescent="0.35">
      <c r="A70" s="1">
        <f t="shared" si="1"/>
        <v>69</v>
      </c>
      <c r="B70" t="s">
        <v>365</v>
      </c>
      <c r="C70" s="7">
        <v>9661471.4100000001</v>
      </c>
      <c r="D70" s="45">
        <v>4.9209999999999997E-2</v>
      </c>
      <c r="E70" s="45">
        <v>4.9209999999999997E-2</v>
      </c>
      <c r="F70" s="7">
        <f t="shared" si="17"/>
        <v>475441</v>
      </c>
      <c r="G70" s="7">
        <f t="shared" si="18"/>
        <v>475441</v>
      </c>
      <c r="H70" s="7">
        <v>495569.01</v>
      </c>
    </row>
    <row r="71" spans="1:8" x14ac:dyDescent="0.35">
      <c r="A71" s="1">
        <f t="shared" ref="A71:A134" si="19">A70+1</f>
        <v>70</v>
      </c>
      <c r="B71" t="s">
        <v>366</v>
      </c>
      <c r="C71" s="7">
        <v>3796182.71</v>
      </c>
      <c r="D71" s="45">
        <v>4.6719999999999998E-2</v>
      </c>
      <c r="E71" s="45">
        <v>4.6719999999999998E-2</v>
      </c>
      <c r="F71" s="7">
        <f t="shared" ref="F71:F81" si="20">ROUND(C71*D71,0)</f>
        <v>177358</v>
      </c>
      <c r="G71" s="7">
        <f t="shared" ref="G71:G81" si="21">ROUND(C71*E71,0)</f>
        <v>177358</v>
      </c>
      <c r="H71" s="7">
        <v>184984.79</v>
      </c>
    </row>
    <row r="72" spans="1:8" x14ac:dyDescent="0.35">
      <c r="A72" s="1">
        <f t="shared" si="19"/>
        <v>71</v>
      </c>
      <c r="B72" t="s">
        <v>367</v>
      </c>
      <c r="C72" s="7">
        <v>1847927.05</v>
      </c>
      <c r="D72" s="45">
        <v>4.795E-2</v>
      </c>
      <c r="E72" s="45">
        <v>4.795E-2</v>
      </c>
      <c r="F72" s="7">
        <f t="shared" si="20"/>
        <v>88608</v>
      </c>
      <c r="G72" s="7">
        <f t="shared" si="21"/>
        <v>88608</v>
      </c>
      <c r="H72" s="7">
        <v>92389.27</v>
      </c>
    </row>
    <row r="73" spans="1:8" x14ac:dyDescent="0.35">
      <c r="A73" s="1">
        <f t="shared" si="19"/>
        <v>72</v>
      </c>
      <c r="B73" t="s">
        <v>368</v>
      </c>
      <c r="C73" s="7">
        <v>1907079.36</v>
      </c>
      <c r="D73" s="45">
        <v>4.5769999999999998E-2</v>
      </c>
      <c r="E73" s="45">
        <v>4.5769999999999998E-2</v>
      </c>
      <c r="F73" s="7">
        <f t="shared" si="20"/>
        <v>87287</v>
      </c>
      <c r="G73" s="7">
        <f t="shared" si="21"/>
        <v>87287</v>
      </c>
      <c r="H73" s="7">
        <v>96855.28</v>
      </c>
    </row>
    <row r="74" spans="1:8" x14ac:dyDescent="0.35">
      <c r="A74" s="1">
        <f t="shared" si="19"/>
        <v>73</v>
      </c>
      <c r="B74" t="s">
        <v>369</v>
      </c>
      <c r="C74" s="7">
        <v>37287273.960000001</v>
      </c>
      <c r="D74" s="45">
        <v>4.7440000000000003E-2</v>
      </c>
      <c r="E74" s="45">
        <v>4.7440000000000003E-2</v>
      </c>
      <c r="F74" s="7">
        <f t="shared" si="20"/>
        <v>1768908</v>
      </c>
      <c r="G74" s="7">
        <f t="shared" si="21"/>
        <v>1768908</v>
      </c>
      <c r="H74" s="7">
        <v>1804594.13</v>
      </c>
    </row>
    <row r="75" spans="1:8" x14ac:dyDescent="0.35">
      <c r="A75" s="1">
        <f t="shared" si="19"/>
        <v>74</v>
      </c>
      <c r="B75" t="s">
        <v>370</v>
      </c>
      <c r="C75" s="7">
        <v>37416442.600000001</v>
      </c>
      <c r="D75" s="45">
        <v>4.8250000000000001E-2</v>
      </c>
      <c r="E75" s="45">
        <v>4.8250000000000001E-2</v>
      </c>
      <c r="F75" s="7">
        <f t="shared" si="20"/>
        <v>1805343</v>
      </c>
      <c r="G75" s="7">
        <f t="shared" si="21"/>
        <v>1805343</v>
      </c>
      <c r="H75" s="7">
        <v>1841435.53</v>
      </c>
    </row>
    <row r="76" spans="1:8" x14ac:dyDescent="0.35">
      <c r="A76" s="1">
        <f t="shared" si="19"/>
        <v>75</v>
      </c>
      <c r="B76" t="s">
        <v>371</v>
      </c>
      <c r="C76" s="7">
        <v>37607852.700000003</v>
      </c>
      <c r="D76" s="45">
        <v>4.9459999999999997E-2</v>
      </c>
      <c r="E76" s="45">
        <v>4.9459999999999997E-2</v>
      </c>
      <c r="F76" s="7">
        <f t="shared" si="20"/>
        <v>1860084</v>
      </c>
      <c r="G76" s="7">
        <f t="shared" si="21"/>
        <v>1860084</v>
      </c>
      <c r="H76" s="7">
        <v>1896769.46</v>
      </c>
    </row>
    <row r="77" spans="1:8" x14ac:dyDescent="0.35">
      <c r="A77" s="1">
        <f t="shared" si="19"/>
        <v>76</v>
      </c>
      <c r="B77" t="s">
        <v>372</v>
      </c>
      <c r="C77" s="7">
        <v>18574615.260000002</v>
      </c>
      <c r="D77" s="45">
        <v>4.6580000000000003E-2</v>
      </c>
      <c r="E77" s="45">
        <v>4.6580000000000003E-2</v>
      </c>
      <c r="F77" s="7">
        <f t="shared" si="20"/>
        <v>865206</v>
      </c>
      <c r="G77" s="7">
        <f t="shared" si="21"/>
        <v>865206</v>
      </c>
      <c r="H77" s="7">
        <v>882828.69</v>
      </c>
    </row>
    <row r="78" spans="1:8" x14ac:dyDescent="0.35">
      <c r="A78" s="1">
        <f t="shared" si="19"/>
        <v>77</v>
      </c>
      <c r="B78" t="s">
        <v>373</v>
      </c>
      <c r="C78" s="7">
        <v>18444159.93</v>
      </c>
      <c r="D78" s="45">
        <v>4.4970000000000003E-2</v>
      </c>
      <c r="E78" s="45">
        <v>4.4970000000000003E-2</v>
      </c>
      <c r="F78" s="7">
        <f t="shared" si="20"/>
        <v>829434</v>
      </c>
      <c r="G78" s="7">
        <f t="shared" si="21"/>
        <v>829434</v>
      </c>
      <c r="H78" s="7">
        <v>846634.04</v>
      </c>
    </row>
    <row r="79" spans="1:8" x14ac:dyDescent="0.35">
      <c r="A79" s="1">
        <f t="shared" si="19"/>
        <v>78</v>
      </c>
      <c r="B79" t="s">
        <v>374</v>
      </c>
      <c r="C79" s="7">
        <v>18612393.43</v>
      </c>
      <c r="D79" s="45">
        <v>4.7050000000000002E-2</v>
      </c>
      <c r="E79" s="45">
        <v>4.7050000000000002E-2</v>
      </c>
      <c r="F79" s="7">
        <f t="shared" si="20"/>
        <v>875713</v>
      </c>
      <c r="G79" s="7">
        <f t="shared" si="21"/>
        <v>875713</v>
      </c>
      <c r="H79" s="7">
        <v>893456.86</v>
      </c>
    </row>
    <row r="80" spans="1:8" x14ac:dyDescent="0.35">
      <c r="A80" s="1">
        <f t="shared" si="19"/>
        <v>79</v>
      </c>
      <c r="B80" t="s">
        <v>375</v>
      </c>
      <c r="C80" s="7">
        <v>18308805.129999999</v>
      </c>
      <c r="D80" s="45">
        <v>4.3319999999999997E-2</v>
      </c>
      <c r="E80" s="45">
        <v>4.3319999999999997E-2</v>
      </c>
      <c r="F80" s="7">
        <f t="shared" si="20"/>
        <v>793137</v>
      </c>
      <c r="G80" s="7">
        <f t="shared" si="21"/>
        <v>793137</v>
      </c>
      <c r="H80" s="7">
        <v>809888.76</v>
      </c>
    </row>
    <row r="81" spans="1:8" x14ac:dyDescent="0.35">
      <c r="A81" s="1">
        <f t="shared" si="19"/>
        <v>80</v>
      </c>
      <c r="B81" t="s">
        <v>376</v>
      </c>
      <c r="C81" s="7">
        <v>13909672.1</v>
      </c>
      <c r="D81" s="45">
        <v>4.3240000000000001E-2</v>
      </c>
      <c r="E81" s="45">
        <v>4.3240000000000001E-2</v>
      </c>
      <c r="F81" s="7">
        <f t="shared" si="20"/>
        <v>601454</v>
      </c>
      <c r="G81" s="7">
        <f t="shared" si="21"/>
        <v>601454</v>
      </c>
      <c r="H81" s="7">
        <v>614168.38</v>
      </c>
    </row>
    <row r="82" spans="1:8" x14ac:dyDescent="0.35">
      <c r="A82" s="1">
        <f t="shared" si="19"/>
        <v>81</v>
      </c>
      <c r="B82" t="s">
        <v>377</v>
      </c>
      <c r="C82" s="7">
        <v>3845908.77</v>
      </c>
      <c r="D82" s="45">
        <v>4.3529999999999999E-2</v>
      </c>
      <c r="E82" s="45">
        <v>4.3529999999999999E-2</v>
      </c>
      <c r="F82" s="7">
        <f t="shared" ref="F82:F92" si="22">ROUND(C82*D82,0)</f>
        <v>167412</v>
      </c>
      <c r="G82" s="7">
        <f t="shared" ref="G82:G92" si="23">ROUND(C82*E82,0)</f>
        <v>167412</v>
      </c>
      <c r="H82" s="7">
        <v>191011.54</v>
      </c>
    </row>
    <row r="83" spans="1:8" x14ac:dyDescent="0.35">
      <c r="A83" s="1">
        <f t="shared" si="19"/>
        <v>82</v>
      </c>
      <c r="B83" t="s">
        <v>378</v>
      </c>
      <c r="C83" s="7">
        <v>22104589.890000001</v>
      </c>
      <c r="D83" s="45">
        <v>4.4679999999999997E-2</v>
      </c>
      <c r="E83" s="45">
        <v>4.4679999999999997E-2</v>
      </c>
      <c r="F83" s="7">
        <f t="shared" si="22"/>
        <v>987633</v>
      </c>
      <c r="G83" s="7">
        <f t="shared" si="23"/>
        <v>987633</v>
      </c>
      <c r="H83" s="7">
        <v>1008179.96</v>
      </c>
    </row>
    <row r="84" spans="1:8" x14ac:dyDescent="0.35">
      <c r="A84" s="1">
        <f t="shared" si="19"/>
        <v>83</v>
      </c>
      <c r="B84" t="s">
        <v>379</v>
      </c>
      <c r="C84" s="7">
        <v>22106550.449999999</v>
      </c>
      <c r="D84" s="45">
        <v>4.4699999999999997E-2</v>
      </c>
      <c r="E84" s="45">
        <v>4.4699999999999997E-2</v>
      </c>
      <c r="F84" s="7">
        <f t="shared" si="22"/>
        <v>988163</v>
      </c>
      <c r="G84" s="7">
        <f t="shared" si="23"/>
        <v>988163</v>
      </c>
      <c r="H84" s="7">
        <v>1008716.15</v>
      </c>
    </row>
    <row r="85" spans="1:8" x14ac:dyDescent="0.35">
      <c r="A85" s="1">
        <f t="shared" si="19"/>
        <v>84</v>
      </c>
      <c r="B85" t="s">
        <v>380</v>
      </c>
      <c r="C85" s="7">
        <v>2095281.29</v>
      </c>
      <c r="D85" s="45">
        <v>4.4850000000000001E-2</v>
      </c>
      <c r="E85" s="45">
        <v>4.4850000000000001E-2</v>
      </c>
      <c r="F85" s="7">
        <f t="shared" si="22"/>
        <v>93973</v>
      </c>
      <c r="G85" s="7">
        <f t="shared" si="23"/>
        <v>93973</v>
      </c>
      <c r="H85" s="7">
        <v>98062.35</v>
      </c>
    </row>
    <row r="86" spans="1:8" x14ac:dyDescent="0.35">
      <c r="A86" s="1">
        <f t="shared" si="19"/>
        <v>85</v>
      </c>
      <c r="B86" t="s">
        <v>381</v>
      </c>
      <c r="C86" s="7">
        <v>22396337.640000001</v>
      </c>
      <c r="D86" s="45">
        <v>4.7690000000000003E-2</v>
      </c>
      <c r="E86" s="45">
        <v>4.7690000000000003E-2</v>
      </c>
      <c r="F86" s="7">
        <f t="shared" si="22"/>
        <v>1068081</v>
      </c>
      <c r="G86" s="7">
        <f t="shared" si="23"/>
        <v>1068081</v>
      </c>
      <c r="H86" s="7">
        <v>1089568.58</v>
      </c>
    </row>
    <row r="87" spans="1:8" x14ac:dyDescent="0.35">
      <c r="A87" s="1">
        <f t="shared" si="19"/>
        <v>86</v>
      </c>
      <c r="B87" t="s">
        <v>382</v>
      </c>
      <c r="C87" s="7">
        <v>1211790.22</v>
      </c>
      <c r="D87" s="45">
        <v>4.8579999999999998E-2</v>
      </c>
      <c r="E87" s="45">
        <v>4.8579999999999998E-2</v>
      </c>
      <c r="F87" s="7">
        <f t="shared" si="22"/>
        <v>58869</v>
      </c>
      <c r="G87" s="7">
        <f t="shared" si="23"/>
        <v>58869</v>
      </c>
      <c r="H87" s="7">
        <v>61370.91</v>
      </c>
    </row>
    <row r="88" spans="1:8" x14ac:dyDescent="0.35">
      <c r="A88" s="1">
        <f t="shared" si="19"/>
        <v>87</v>
      </c>
      <c r="B88" t="s">
        <v>383</v>
      </c>
      <c r="C88" s="7">
        <v>199917.67</v>
      </c>
      <c r="D88" s="45">
        <v>4.7890000000000002E-2</v>
      </c>
      <c r="E88" s="45">
        <v>4.7890000000000002E-2</v>
      </c>
      <c r="F88" s="7">
        <f t="shared" si="22"/>
        <v>9574</v>
      </c>
      <c r="G88" s="7">
        <f t="shared" si="23"/>
        <v>9574</v>
      </c>
      <c r="H88" s="7">
        <v>10617.01</v>
      </c>
    </row>
    <row r="89" spans="1:8" x14ac:dyDescent="0.35">
      <c r="A89" s="1">
        <f t="shared" si="19"/>
        <v>88</v>
      </c>
      <c r="B89" t="s">
        <v>384</v>
      </c>
      <c r="C89" s="7">
        <v>4163202.67</v>
      </c>
      <c r="D89" s="45">
        <v>4.8899999999999999E-2</v>
      </c>
      <c r="E89" s="45">
        <v>4.8899999999999999E-2</v>
      </c>
      <c r="F89" s="7">
        <f t="shared" si="22"/>
        <v>203581</v>
      </c>
      <c r="G89" s="7">
        <f t="shared" si="23"/>
        <v>203581</v>
      </c>
      <c r="H89" s="7">
        <v>210516.56</v>
      </c>
    </row>
    <row r="90" spans="1:8" x14ac:dyDescent="0.35">
      <c r="A90" s="1">
        <f t="shared" si="19"/>
        <v>89</v>
      </c>
      <c r="B90" t="s">
        <v>385</v>
      </c>
      <c r="C90" s="7">
        <v>0</v>
      </c>
      <c r="D90" s="45">
        <v>5.3449999999999998E-2</v>
      </c>
      <c r="E90" s="45">
        <v>5.3449999999999998E-2</v>
      </c>
      <c r="F90" s="7">
        <f t="shared" si="22"/>
        <v>0</v>
      </c>
      <c r="G90" s="7">
        <f t="shared" si="23"/>
        <v>0</v>
      </c>
      <c r="H90" s="7">
        <v>317448.58</v>
      </c>
    </row>
    <row r="91" spans="1:8" x14ac:dyDescent="0.35">
      <c r="A91" s="1">
        <f t="shared" si="19"/>
        <v>90</v>
      </c>
      <c r="B91" t="s">
        <v>386</v>
      </c>
      <c r="C91" s="7">
        <v>0</v>
      </c>
      <c r="D91" s="45">
        <v>5.3330000000000002E-2</v>
      </c>
      <c r="E91" s="45">
        <v>5.3330000000000002E-2</v>
      </c>
      <c r="F91" s="7">
        <f t="shared" si="22"/>
        <v>0</v>
      </c>
      <c r="G91" s="7">
        <f t="shared" si="23"/>
        <v>0</v>
      </c>
      <c r="H91" s="7">
        <v>211066.35</v>
      </c>
    </row>
    <row r="92" spans="1:8" x14ac:dyDescent="0.35">
      <c r="A92" s="1">
        <f t="shared" si="19"/>
        <v>91</v>
      </c>
      <c r="B92" t="s">
        <v>387</v>
      </c>
      <c r="C92" s="7">
        <v>0</v>
      </c>
      <c r="D92" s="45">
        <v>5.0700000000000002E-2</v>
      </c>
      <c r="E92" s="45">
        <v>5.0700000000000002E-2</v>
      </c>
      <c r="F92" s="7">
        <f t="shared" si="22"/>
        <v>0</v>
      </c>
      <c r="G92" s="7">
        <f t="shared" si="23"/>
        <v>0</v>
      </c>
      <c r="H92" s="7">
        <v>278621.90000000002</v>
      </c>
    </row>
    <row r="93" spans="1:8" x14ac:dyDescent="0.35">
      <c r="A93" s="1">
        <f t="shared" si="19"/>
        <v>92</v>
      </c>
      <c r="B93" t="s">
        <v>388</v>
      </c>
      <c r="C93" s="7">
        <v>0</v>
      </c>
      <c r="D93" s="45">
        <v>5.0610000000000002E-2</v>
      </c>
      <c r="E93" s="45">
        <v>5.0610000000000002E-2</v>
      </c>
      <c r="F93" s="7">
        <f t="shared" ref="F93:F103" si="24">ROUND(C93*D93,0)</f>
        <v>0</v>
      </c>
      <c r="G93" s="7">
        <f t="shared" ref="G93:G103" si="25">ROUND(C93*E93,0)</f>
        <v>0</v>
      </c>
      <c r="H93" s="7">
        <v>278032.68</v>
      </c>
    </row>
    <row r="94" spans="1:8" x14ac:dyDescent="0.35">
      <c r="A94" s="1">
        <f t="shared" si="19"/>
        <v>93</v>
      </c>
      <c r="B94" t="s">
        <v>389</v>
      </c>
      <c r="C94" s="7">
        <v>0</v>
      </c>
      <c r="D94" s="45">
        <v>5.0529999999999999E-2</v>
      </c>
      <c r="E94" s="45">
        <v>5.0529999999999999E-2</v>
      </c>
      <c r="F94" s="7">
        <f t="shared" si="24"/>
        <v>0</v>
      </c>
      <c r="G94" s="7">
        <f t="shared" si="25"/>
        <v>0</v>
      </c>
      <c r="H94" s="7">
        <v>425514.04</v>
      </c>
    </row>
    <row r="95" spans="1:8" x14ac:dyDescent="0.35">
      <c r="A95" s="1">
        <f t="shared" si="19"/>
        <v>94</v>
      </c>
      <c r="B95" t="s">
        <v>390</v>
      </c>
      <c r="C95" s="7">
        <v>17511060.140000001</v>
      </c>
      <c r="D95" s="45">
        <v>4.7759999999999997E-2</v>
      </c>
      <c r="E95" s="45">
        <v>4.7759999999999997E-2</v>
      </c>
      <c r="F95" s="7">
        <f t="shared" si="24"/>
        <v>836328</v>
      </c>
      <c r="G95" s="7">
        <f t="shared" si="25"/>
        <v>836328</v>
      </c>
      <c r="H95" s="7">
        <v>853139.99</v>
      </c>
    </row>
    <row r="96" spans="1:8" x14ac:dyDescent="0.35">
      <c r="A96" s="1">
        <f t="shared" si="19"/>
        <v>95</v>
      </c>
      <c r="B96" t="s">
        <v>391</v>
      </c>
      <c r="C96" s="7">
        <v>17723122.690000001</v>
      </c>
      <c r="D96" s="45">
        <v>4.8120000000000003E-2</v>
      </c>
      <c r="E96" s="45">
        <v>4.8120000000000003E-2</v>
      </c>
      <c r="F96" s="7">
        <f t="shared" si="24"/>
        <v>852837</v>
      </c>
      <c r="G96" s="7">
        <f t="shared" si="25"/>
        <v>852837</v>
      </c>
      <c r="H96" s="7">
        <v>869911.3</v>
      </c>
    </row>
    <row r="97" spans="1:8" x14ac:dyDescent="0.35">
      <c r="A97" s="1">
        <f t="shared" si="19"/>
        <v>96</v>
      </c>
      <c r="B97" t="s">
        <v>392</v>
      </c>
      <c r="C97" s="7">
        <v>40429340.159999996</v>
      </c>
      <c r="D97" s="45">
        <v>4.8210000000000003E-2</v>
      </c>
      <c r="E97" s="45">
        <v>4.8210000000000003E-2</v>
      </c>
      <c r="F97" s="7">
        <f t="shared" si="24"/>
        <v>1949098</v>
      </c>
      <c r="G97" s="7">
        <f t="shared" si="25"/>
        <v>1949098</v>
      </c>
      <c r="H97" s="7">
        <v>1982507.47</v>
      </c>
    </row>
    <row r="98" spans="1:8" x14ac:dyDescent="0.35">
      <c r="A98" s="1">
        <f t="shared" si="19"/>
        <v>97</v>
      </c>
      <c r="B98" t="s">
        <v>393</v>
      </c>
      <c r="C98" s="7">
        <v>20158716.93</v>
      </c>
      <c r="D98" s="45">
        <v>4.7359999999999999E-2</v>
      </c>
      <c r="E98" s="45">
        <v>4.7359999999999999E-2</v>
      </c>
      <c r="F98" s="7">
        <f t="shared" si="24"/>
        <v>954717</v>
      </c>
      <c r="G98" s="7">
        <f t="shared" si="25"/>
        <v>954717</v>
      </c>
      <c r="H98" s="7">
        <v>971256.07</v>
      </c>
    </row>
    <row r="99" spans="1:8" x14ac:dyDescent="0.35">
      <c r="A99" s="1">
        <f t="shared" si="19"/>
        <v>98</v>
      </c>
      <c r="B99" t="s">
        <v>394</v>
      </c>
      <c r="C99" s="7">
        <v>40228612.25</v>
      </c>
      <c r="D99" s="45">
        <v>4.6690000000000002E-2</v>
      </c>
      <c r="E99" s="45">
        <v>4.6690000000000002E-2</v>
      </c>
      <c r="F99" s="7">
        <f t="shared" si="24"/>
        <v>1878274</v>
      </c>
      <c r="G99" s="7">
        <f t="shared" si="25"/>
        <v>1878274</v>
      </c>
      <c r="H99" s="7">
        <v>1911085.52</v>
      </c>
    </row>
    <row r="100" spans="1:8" x14ac:dyDescent="0.35">
      <c r="A100" s="1">
        <f t="shared" si="19"/>
        <v>99</v>
      </c>
      <c r="B100" t="s">
        <v>395</v>
      </c>
      <c r="C100" s="7">
        <v>19922390.73</v>
      </c>
      <c r="D100" s="45">
        <v>4.3839999999999997E-2</v>
      </c>
      <c r="E100" s="45">
        <v>4.3839999999999997E-2</v>
      </c>
      <c r="F100" s="7">
        <f t="shared" si="24"/>
        <v>873398</v>
      </c>
      <c r="G100" s="7">
        <f t="shared" si="25"/>
        <v>873398</v>
      </c>
      <c r="H100" s="7">
        <v>889204.26</v>
      </c>
    </row>
    <row r="101" spans="1:8" x14ac:dyDescent="0.35">
      <c r="A101" s="1">
        <f t="shared" si="19"/>
        <v>100</v>
      </c>
      <c r="B101" t="s">
        <v>396</v>
      </c>
      <c r="C101" s="7">
        <v>40200661.75</v>
      </c>
      <c r="D101" s="45">
        <v>4.648E-2</v>
      </c>
      <c r="E101" s="45">
        <v>4.648E-2</v>
      </c>
      <c r="F101" s="7">
        <f t="shared" si="24"/>
        <v>1868527</v>
      </c>
      <c r="G101" s="7">
        <f t="shared" si="25"/>
        <v>1868527</v>
      </c>
      <c r="H101" s="7">
        <v>1901253.6</v>
      </c>
    </row>
    <row r="102" spans="1:8" x14ac:dyDescent="0.35">
      <c r="A102" s="1">
        <f t="shared" si="19"/>
        <v>101</v>
      </c>
      <c r="B102" t="s">
        <v>397</v>
      </c>
      <c r="C102" s="7">
        <v>19863593.5</v>
      </c>
      <c r="D102" s="45">
        <v>4.5109999999999997E-2</v>
      </c>
      <c r="E102" s="45">
        <v>4.5109999999999997E-2</v>
      </c>
      <c r="F102" s="7">
        <f t="shared" si="24"/>
        <v>896047</v>
      </c>
      <c r="G102" s="7">
        <f t="shared" si="25"/>
        <v>896047</v>
      </c>
      <c r="H102" s="7">
        <v>912010.22</v>
      </c>
    </row>
    <row r="103" spans="1:8" x14ac:dyDescent="0.35">
      <c r="A103" s="1">
        <f t="shared" si="19"/>
        <v>102</v>
      </c>
      <c r="B103" t="s">
        <v>398</v>
      </c>
      <c r="C103" s="7">
        <v>40143264.579999998</v>
      </c>
      <c r="D103" s="45">
        <v>4.6050000000000001E-2</v>
      </c>
      <c r="E103" s="45">
        <v>4.6050000000000001E-2</v>
      </c>
      <c r="F103" s="7">
        <f t="shared" si="24"/>
        <v>1848597</v>
      </c>
      <c r="G103" s="7">
        <f t="shared" si="25"/>
        <v>1848597</v>
      </c>
      <c r="H103" s="7">
        <v>1881148.78</v>
      </c>
    </row>
    <row r="104" spans="1:8" x14ac:dyDescent="0.35">
      <c r="A104" s="1">
        <f t="shared" si="19"/>
        <v>103</v>
      </c>
      <c r="B104" t="s">
        <v>399</v>
      </c>
      <c r="C104" s="7">
        <v>7157758.5</v>
      </c>
      <c r="D104" s="45">
        <v>4.3380000000000002E-2</v>
      </c>
      <c r="E104" s="45">
        <v>4.3380000000000002E-2</v>
      </c>
      <c r="F104" s="7">
        <f t="shared" ref="F104:F114" si="26">ROUND(C104*D104,0)</f>
        <v>310504</v>
      </c>
      <c r="G104" s="7">
        <f t="shared" ref="G104:G114" si="27">ROUND(C104*E104,0)</f>
        <v>310504</v>
      </c>
      <c r="H104" s="7">
        <v>321526.63</v>
      </c>
    </row>
    <row r="105" spans="1:8" x14ac:dyDescent="0.35">
      <c r="A105" s="1">
        <f t="shared" si="19"/>
        <v>104</v>
      </c>
      <c r="B105" t="s">
        <v>400</v>
      </c>
      <c r="C105" s="7">
        <v>6377782.29</v>
      </c>
      <c r="D105" s="45">
        <v>4.3959999999999999E-2</v>
      </c>
      <c r="E105" s="45">
        <v>4.3959999999999999E-2</v>
      </c>
      <c r="F105" s="7">
        <f t="shared" si="26"/>
        <v>280367</v>
      </c>
      <c r="G105" s="7">
        <f t="shared" si="27"/>
        <v>280367</v>
      </c>
      <c r="H105" s="7">
        <v>285433.84999999998</v>
      </c>
    </row>
    <row r="106" spans="1:8" x14ac:dyDescent="0.35">
      <c r="A106" s="1">
        <f t="shared" si="19"/>
        <v>105</v>
      </c>
      <c r="B106" t="s">
        <v>401</v>
      </c>
      <c r="C106" s="7">
        <v>8701141.6199999992</v>
      </c>
      <c r="D106" s="45">
        <v>4.385E-2</v>
      </c>
      <c r="E106" s="45">
        <v>4.385E-2</v>
      </c>
      <c r="F106" s="7">
        <f t="shared" si="26"/>
        <v>381545</v>
      </c>
      <c r="G106" s="7">
        <f t="shared" si="27"/>
        <v>381545</v>
      </c>
      <c r="H106" s="7">
        <v>388449.36</v>
      </c>
    </row>
    <row r="107" spans="1:8" x14ac:dyDescent="0.35">
      <c r="A107" s="1">
        <f t="shared" si="19"/>
        <v>106</v>
      </c>
      <c r="B107" t="s">
        <v>402</v>
      </c>
      <c r="C107" s="7">
        <v>15922072.98</v>
      </c>
      <c r="D107" s="45">
        <v>4.3549999999999998E-2</v>
      </c>
      <c r="E107" s="45">
        <v>4.3549999999999998E-2</v>
      </c>
      <c r="F107" s="7">
        <f t="shared" si="26"/>
        <v>693406</v>
      </c>
      <c r="G107" s="7">
        <f t="shared" si="27"/>
        <v>693406</v>
      </c>
      <c r="H107" s="7">
        <v>706000.53</v>
      </c>
    </row>
    <row r="108" spans="1:8" x14ac:dyDescent="0.35">
      <c r="A108" s="1">
        <f t="shared" si="19"/>
        <v>107</v>
      </c>
      <c r="B108" t="s">
        <v>403</v>
      </c>
      <c r="C108" s="7">
        <v>15929178.189999999</v>
      </c>
      <c r="D108" s="45">
        <v>4.3679999999999997E-2</v>
      </c>
      <c r="E108" s="45">
        <v>4.3679999999999997E-2</v>
      </c>
      <c r="F108" s="7">
        <f t="shared" si="26"/>
        <v>695787</v>
      </c>
      <c r="G108" s="7">
        <f t="shared" si="27"/>
        <v>695787</v>
      </c>
      <c r="H108" s="7">
        <v>708403.71</v>
      </c>
    </row>
    <row r="109" spans="1:8" x14ac:dyDescent="0.35">
      <c r="A109" s="1">
        <f t="shared" si="19"/>
        <v>108</v>
      </c>
      <c r="B109" t="s">
        <v>404</v>
      </c>
      <c r="C109" s="7">
        <v>20019291.760000002</v>
      </c>
      <c r="D109" s="45">
        <v>4.5269999999999998E-2</v>
      </c>
      <c r="E109" s="45">
        <v>4.5269999999999998E-2</v>
      </c>
      <c r="F109" s="7">
        <f t="shared" si="26"/>
        <v>906273</v>
      </c>
      <c r="G109" s="7">
        <f t="shared" si="27"/>
        <v>906273</v>
      </c>
      <c r="H109" s="7">
        <v>922387.04</v>
      </c>
    </row>
    <row r="110" spans="1:8" x14ac:dyDescent="0.35">
      <c r="A110" s="1">
        <f t="shared" si="19"/>
        <v>109</v>
      </c>
      <c r="B110" t="s">
        <v>405</v>
      </c>
      <c r="C110" s="7">
        <v>20170602.010000002</v>
      </c>
      <c r="D110" s="45">
        <v>4.7539999999999999E-2</v>
      </c>
      <c r="E110" s="45">
        <v>4.7539999999999999E-2</v>
      </c>
      <c r="F110" s="7">
        <f t="shared" si="26"/>
        <v>958910</v>
      </c>
      <c r="G110" s="7">
        <f t="shared" si="27"/>
        <v>958910</v>
      </c>
      <c r="H110" s="7">
        <v>975485.04</v>
      </c>
    </row>
    <row r="111" spans="1:8" x14ac:dyDescent="0.35">
      <c r="A111" s="1">
        <f t="shared" si="19"/>
        <v>110</v>
      </c>
      <c r="B111" t="s">
        <v>406</v>
      </c>
      <c r="C111" s="7">
        <v>20083659.120000001</v>
      </c>
      <c r="D111" s="45">
        <v>4.623E-2</v>
      </c>
      <c r="E111" s="45">
        <v>4.623E-2</v>
      </c>
      <c r="F111" s="7">
        <f t="shared" si="26"/>
        <v>928468</v>
      </c>
      <c r="G111" s="7">
        <f t="shared" si="27"/>
        <v>928468</v>
      </c>
      <c r="H111" s="7">
        <v>944780.14</v>
      </c>
    </row>
    <row r="112" spans="1:8" x14ac:dyDescent="0.35">
      <c r="A112" s="1">
        <f t="shared" si="19"/>
        <v>111</v>
      </c>
      <c r="B112" t="s">
        <v>407</v>
      </c>
      <c r="C112" s="7">
        <v>6276875.3499999996</v>
      </c>
      <c r="D112" s="45">
        <v>4.2979999999999997E-2</v>
      </c>
      <c r="E112" s="45">
        <v>4.2979999999999997E-2</v>
      </c>
      <c r="F112" s="7">
        <f t="shared" si="26"/>
        <v>269780</v>
      </c>
      <c r="G112" s="7">
        <f t="shared" si="27"/>
        <v>269780</v>
      </c>
      <c r="H112" s="7">
        <v>274714.67</v>
      </c>
    </row>
    <row r="113" spans="1:8" x14ac:dyDescent="0.35">
      <c r="A113" s="1">
        <f t="shared" si="19"/>
        <v>112</v>
      </c>
      <c r="B113" t="s">
        <v>408</v>
      </c>
      <c r="C113" s="7">
        <v>2777951.92</v>
      </c>
      <c r="D113" s="45">
        <v>4.3060000000000001E-2</v>
      </c>
      <c r="E113" s="45">
        <v>4.3060000000000001E-2</v>
      </c>
      <c r="F113" s="7">
        <f t="shared" si="26"/>
        <v>119619</v>
      </c>
      <c r="G113" s="7">
        <f t="shared" si="27"/>
        <v>119619</v>
      </c>
      <c r="H113" s="7">
        <v>123875.24</v>
      </c>
    </row>
    <row r="114" spans="1:8" x14ac:dyDescent="0.35">
      <c r="A114" s="1">
        <f t="shared" si="19"/>
        <v>113</v>
      </c>
      <c r="B114" t="s">
        <v>409</v>
      </c>
      <c r="C114" s="7">
        <v>19897120.219999999</v>
      </c>
      <c r="D114" s="45">
        <v>4.3470000000000002E-2</v>
      </c>
      <c r="E114" s="45">
        <v>4.3470000000000002E-2</v>
      </c>
      <c r="F114" s="7">
        <f t="shared" si="26"/>
        <v>864928</v>
      </c>
      <c r="G114" s="7">
        <f t="shared" si="27"/>
        <v>864928</v>
      </c>
      <c r="H114" s="7">
        <v>880652.91</v>
      </c>
    </row>
    <row r="115" spans="1:8" x14ac:dyDescent="0.35">
      <c r="A115" s="1">
        <f t="shared" si="19"/>
        <v>114</v>
      </c>
      <c r="B115" t="s">
        <v>410</v>
      </c>
      <c r="C115" s="7">
        <v>19936697.620000001</v>
      </c>
      <c r="D115" s="45">
        <v>4.4049999999999999E-2</v>
      </c>
      <c r="E115" s="45">
        <v>4.4049999999999999E-2</v>
      </c>
      <c r="F115" s="7">
        <f t="shared" ref="F115:F125" si="28">ROUND(C115*D115,0)</f>
        <v>878212</v>
      </c>
      <c r="G115" s="7">
        <f t="shared" ref="G115:G125" si="29">ROUND(C115*E115,0)</f>
        <v>878212</v>
      </c>
      <c r="H115" s="7">
        <v>894064.08</v>
      </c>
    </row>
    <row r="116" spans="1:8" x14ac:dyDescent="0.35">
      <c r="A116" s="1">
        <f t="shared" si="19"/>
        <v>115</v>
      </c>
      <c r="B116" t="s">
        <v>411</v>
      </c>
      <c r="C116" s="7">
        <v>5566338.0499999998</v>
      </c>
      <c r="D116" s="45">
        <v>2.8459999999999999E-2</v>
      </c>
      <c r="E116" s="45">
        <v>2.8459999999999999E-2</v>
      </c>
      <c r="F116" s="7">
        <f t="shared" si="28"/>
        <v>158418</v>
      </c>
      <c r="G116" s="7">
        <f t="shared" si="29"/>
        <v>158418</v>
      </c>
      <c r="H116" s="7">
        <v>161871.69</v>
      </c>
    </row>
    <row r="117" spans="1:8" x14ac:dyDescent="0.35">
      <c r="A117" s="1">
        <f t="shared" si="19"/>
        <v>116</v>
      </c>
      <c r="B117" t="s">
        <v>412</v>
      </c>
      <c r="C117" s="7">
        <v>2732552.89</v>
      </c>
      <c r="D117" s="45">
        <v>3.8010000000000002E-2</v>
      </c>
      <c r="E117" s="45">
        <v>3.8010000000000002E-2</v>
      </c>
      <c r="F117" s="7">
        <f t="shared" si="28"/>
        <v>103864</v>
      </c>
      <c r="G117" s="7">
        <f t="shared" si="29"/>
        <v>103864</v>
      </c>
      <c r="H117" s="7">
        <v>106189.91</v>
      </c>
    </row>
    <row r="118" spans="1:8" x14ac:dyDescent="0.35">
      <c r="A118" s="1">
        <f t="shared" si="19"/>
        <v>117</v>
      </c>
      <c r="B118" t="s">
        <v>413</v>
      </c>
      <c r="C118" s="7">
        <v>19377037.91</v>
      </c>
      <c r="D118" s="45">
        <v>3.6510000000000001E-2</v>
      </c>
      <c r="E118" s="45">
        <v>3.6510000000000001E-2</v>
      </c>
      <c r="F118" s="7">
        <f t="shared" si="28"/>
        <v>707456</v>
      </c>
      <c r="G118" s="7">
        <f t="shared" si="29"/>
        <v>707456</v>
      </c>
      <c r="H118" s="7">
        <v>721460.9</v>
      </c>
    </row>
    <row r="119" spans="1:8" x14ac:dyDescent="0.35">
      <c r="A119" s="1">
        <f t="shared" si="19"/>
        <v>118</v>
      </c>
      <c r="B119" t="s">
        <v>414</v>
      </c>
      <c r="C119" s="7">
        <v>28086405.530000001</v>
      </c>
      <c r="D119" s="45">
        <v>3.9879999999999999E-2</v>
      </c>
      <c r="E119" s="45">
        <v>3.9879999999999999E-2</v>
      </c>
      <c r="F119" s="7">
        <f t="shared" si="28"/>
        <v>1120086</v>
      </c>
      <c r="G119" s="7">
        <f t="shared" si="29"/>
        <v>1120086</v>
      </c>
      <c r="H119" s="7">
        <v>1141368.53</v>
      </c>
    </row>
    <row r="120" spans="1:8" x14ac:dyDescent="0.35">
      <c r="A120" s="1">
        <f t="shared" si="19"/>
        <v>119</v>
      </c>
      <c r="B120" t="s">
        <v>415</v>
      </c>
      <c r="C120" s="7">
        <v>20306048.32</v>
      </c>
      <c r="D120" s="45">
        <v>4.3740000000000001E-2</v>
      </c>
      <c r="E120" s="45">
        <v>4.3740000000000001E-2</v>
      </c>
      <c r="F120" s="7">
        <f t="shared" si="28"/>
        <v>888187</v>
      </c>
      <c r="G120" s="7">
        <f t="shared" si="29"/>
        <v>888187</v>
      </c>
      <c r="H120" s="7">
        <v>904280.75</v>
      </c>
    </row>
    <row r="121" spans="1:8" x14ac:dyDescent="0.35">
      <c r="A121" s="1">
        <f t="shared" si="19"/>
        <v>120</v>
      </c>
      <c r="B121" t="s">
        <v>416</v>
      </c>
      <c r="C121" s="7">
        <v>20316623.399999999</v>
      </c>
      <c r="D121" s="45">
        <v>4.3909999999999998E-2</v>
      </c>
      <c r="E121" s="45">
        <v>4.3909999999999998E-2</v>
      </c>
      <c r="F121" s="7">
        <f t="shared" si="28"/>
        <v>892103</v>
      </c>
      <c r="G121" s="7">
        <f t="shared" si="29"/>
        <v>892103</v>
      </c>
      <c r="H121" s="7">
        <v>908234.16</v>
      </c>
    </row>
    <row r="122" spans="1:8" x14ac:dyDescent="0.35">
      <c r="A122" s="1">
        <f t="shared" si="19"/>
        <v>121</v>
      </c>
      <c r="B122" t="s">
        <v>417</v>
      </c>
      <c r="C122" s="7">
        <v>20448404.68</v>
      </c>
      <c r="D122" s="45">
        <v>4.6050000000000001E-2</v>
      </c>
      <c r="E122" s="45">
        <v>4.6050000000000001E-2</v>
      </c>
      <c r="F122" s="7">
        <f t="shared" si="28"/>
        <v>941649</v>
      </c>
      <c r="G122" s="7">
        <f t="shared" si="29"/>
        <v>941649</v>
      </c>
      <c r="H122" s="7">
        <v>958230.27</v>
      </c>
    </row>
    <row r="123" spans="1:8" x14ac:dyDescent="0.35">
      <c r="A123" s="1">
        <f t="shared" si="19"/>
        <v>122</v>
      </c>
      <c r="B123" t="s">
        <v>418</v>
      </c>
      <c r="C123" s="7">
        <v>32717447.48</v>
      </c>
      <c r="D123" s="45">
        <v>4.6050000000000001E-2</v>
      </c>
      <c r="E123" s="45">
        <v>4.6050000000000001E-2</v>
      </c>
      <c r="F123" s="7">
        <f t="shared" si="28"/>
        <v>1506638</v>
      </c>
      <c r="G123" s="7">
        <f t="shared" si="29"/>
        <v>1506638</v>
      </c>
      <c r="H123" s="7">
        <v>1533168.44</v>
      </c>
    </row>
    <row r="124" spans="1:8" x14ac:dyDescent="0.35">
      <c r="A124" s="1">
        <f t="shared" si="19"/>
        <v>123</v>
      </c>
      <c r="B124" t="s">
        <v>419</v>
      </c>
      <c r="C124" s="7">
        <v>20445354.300000001</v>
      </c>
      <c r="D124" s="45">
        <v>4.5999999999999999E-2</v>
      </c>
      <c r="E124" s="45">
        <v>4.5999999999999999E-2</v>
      </c>
      <c r="F124" s="7">
        <f t="shared" si="28"/>
        <v>940486</v>
      </c>
      <c r="G124" s="7">
        <f t="shared" si="29"/>
        <v>940486</v>
      </c>
      <c r="H124" s="7">
        <v>957057.37</v>
      </c>
    </row>
    <row r="125" spans="1:8" x14ac:dyDescent="0.35">
      <c r="A125" s="1">
        <f t="shared" si="19"/>
        <v>124</v>
      </c>
      <c r="B125" t="s">
        <v>420</v>
      </c>
      <c r="C125" s="7">
        <v>11624991.029999999</v>
      </c>
      <c r="D125" s="45">
        <v>4.2520000000000002E-2</v>
      </c>
      <c r="E125" s="45">
        <v>4.2520000000000002E-2</v>
      </c>
      <c r="F125" s="7">
        <f t="shared" si="28"/>
        <v>494295</v>
      </c>
      <c r="G125" s="7">
        <f t="shared" si="29"/>
        <v>494295</v>
      </c>
      <c r="H125" s="7">
        <v>503387.22</v>
      </c>
    </row>
    <row r="126" spans="1:8" x14ac:dyDescent="0.35">
      <c r="A126" s="1">
        <f t="shared" si="19"/>
        <v>125</v>
      </c>
      <c r="B126" t="s">
        <v>421</v>
      </c>
      <c r="C126" s="7">
        <v>20235983</v>
      </c>
      <c r="D126" s="45">
        <v>4.2619999999999998E-2</v>
      </c>
      <c r="E126" s="45">
        <v>4.2619999999999998E-2</v>
      </c>
      <c r="F126" s="7">
        <f t="shared" ref="F126:F136" si="30">ROUND(C126*D126,0)</f>
        <v>862458</v>
      </c>
      <c r="G126" s="7">
        <f t="shared" ref="G126:G136" si="31">ROUND(C126*E126,0)</f>
        <v>862458</v>
      </c>
      <c r="H126" s="7">
        <v>878303.07</v>
      </c>
    </row>
    <row r="127" spans="1:8" x14ac:dyDescent="0.35">
      <c r="A127" s="1">
        <f t="shared" si="19"/>
        <v>126</v>
      </c>
      <c r="B127" t="s">
        <v>422</v>
      </c>
      <c r="C127" s="7">
        <v>20133439.039999999</v>
      </c>
      <c r="D127" s="45">
        <v>4.1000000000000002E-2</v>
      </c>
      <c r="E127" s="45">
        <v>4.1000000000000002E-2</v>
      </c>
      <c r="F127" s="7">
        <f t="shared" si="30"/>
        <v>825471</v>
      </c>
      <c r="G127" s="7">
        <f t="shared" si="31"/>
        <v>825471</v>
      </c>
      <c r="H127" s="7">
        <v>840942.03</v>
      </c>
    </row>
    <row r="128" spans="1:8" x14ac:dyDescent="0.35">
      <c r="A128" s="1">
        <f t="shared" si="19"/>
        <v>127</v>
      </c>
      <c r="B128" t="s">
        <v>423</v>
      </c>
      <c r="C128" s="7">
        <v>10356831.300000001</v>
      </c>
      <c r="D128" s="45">
        <v>4.3819999999999998E-2</v>
      </c>
      <c r="E128" s="45">
        <v>4.3819999999999998E-2</v>
      </c>
      <c r="F128" s="7">
        <f t="shared" si="30"/>
        <v>453836</v>
      </c>
      <c r="G128" s="7">
        <f t="shared" si="31"/>
        <v>453836</v>
      </c>
      <c r="H128" s="7">
        <v>462051.86</v>
      </c>
    </row>
    <row r="129" spans="1:8" x14ac:dyDescent="0.35">
      <c r="A129" s="1">
        <f t="shared" si="19"/>
        <v>128</v>
      </c>
      <c r="B129" t="s">
        <v>424</v>
      </c>
      <c r="C129" s="7">
        <v>20361857.010000002</v>
      </c>
      <c r="D129" s="45">
        <v>4.4639999999999999E-2</v>
      </c>
      <c r="E129" s="45">
        <v>4.4639999999999999E-2</v>
      </c>
      <c r="F129" s="7">
        <f t="shared" si="30"/>
        <v>908953</v>
      </c>
      <c r="G129" s="7">
        <f t="shared" si="31"/>
        <v>908953</v>
      </c>
      <c r="H129" s="7">
        <v>925241.4</v>
      </c>
    </row>
    <row r="130" spans="1:8" x14ac:dyDescent="0.35">
      <c r="A130" s="1">
        <f t="shared" si="19"/>
        <v>129</v>
      </c>
      <c r="B130" t="s">
        <v>425</v>
      </c>
      <c r="C130" s="7">
        <v>8014072.8300000001</v>
      </c>
      <c r="D130" s="45">
        <v>4.3959999999999999E-2</v>
      </c>
      <c r="E130" s="45">
        <v>4.3959999999999999E-2</v>
      </c>
      <c r="F130" s="7">
        <f t="shared" si="30"/>
        <v>352299</v>
      </c>
      <c r="G130" s="7">
        <f t="shared" si="31"/>
        <v>352299</v>
      </c>
      <c r="H130" s="7">
        <v>359148.81</v>
      </c>
    </row>
    <row r="131" spans="1:8" x14ac:dyDescent="0.35">
      <c r="A131" s="1">
        <f t="shared" si="19"/>
        <v>130</v>
      </c>
      <c r="B131" t="s">
        <v>426</v>
      </c>
      <c r="C131" s="7">
        <v>20316002.07</v>
      </c>
      <c r="D131" s="45">
        <v>4.3900000000000002E-2</v>
      </c>
      <c r="E131" s="45">
        <v>4.3900000000000002E-2</v>
      </c>
      <c r="F131" s="7">
        <f t="shared" si="30"/>
        <v>891872</v>
      </c>
      <c r="G131" s="7">
        <f t="shared" si="31"/>
        <v>891872</v>
      </c>
      <c r="H131" s="7">
        <v>908001.53</v>
      </c>
    </row>
    <row r="132" spans="1:8" x14ac:dyDescent="0.35">
      <c r="A132" s="1">
        <f t="shared" si="19"/>
        <v>131</v>
      </c>
      <c r="B132" t="s">
        <v>427</v>
      </c>
      <c r="C132" s="7">
        <v>20426410.550000001</v>
      </c>
      <c r="D132" s="45">
        <v>4.5690000000000001E-2</v>
      </c>
      <c r="E132" s="45">
        <v>4.5690000000000001E-2</v>
      </c>
      <c r="F132" s="7">
        <f t="shared" si="30"/>
        <v>933283</v>
      </c>
      <c r="G132" s="7">
        <f t="shared" si="31"/>
        <v>933283</v>
      </c>
      <c r="H132" s="7">
        <v>949790.33</v>
      </c>
    </row>
    <row r="133" spans="1:8" x14ac:dyDescent="0.35">
      <c r="A133" s="1">
        <f t="shared" si="19"/>
        <v>132</v>
      </c>
      <c r="B133" t="s">
        <v>428</v>
      </c>
      <c r="C133" s="7">
        <v>16128128.189999999</v>
      </c>
      <c r="D133" s="45">
        <v>4.1419999999999998E-2</v>
      </c>
      <c r="E133" s="45">
        <v>4.1419999999999998E-2</v>
      </c>
      <c r="F133" s="7">
        <f t="shared" si="30"/>
        <v>668027</v>
      </c>
      <c r="G133" s="7">
        <f t="shared" si="31"/>
        <v>668027</v>
      </c>
      <c r="H133" s="7">
        <v>680482.88</v>
      </c>
    </row>
    <row r="134" spans="1:8" x14ac:dyDescent="0.35">
      <c r="A134" s="1">
        <f t="shared" si="19"/>
        <v>133</v>
      </c>
      <c r="B134" t="s">
        <v>429</v>
      </c>
      <c r="C134" s="7">
        <v>16154489.66</v>
      </c>
      <c r="D134" s="45">
        <v>4.1939999999999998E-2</v>
      </c>
      <c r="E134" s="45">
        <v>4.1939999999999998E-2</v>
      </c>
      <c r="F134" s="7">
        <f t="shared" si="30"/>
        <v>677519</v>
      </c>
      <c r="G134" s="7">
        <f t="shared" si="31"/>
        <v>677519</v>
      </c>
      <c r="H134" s="7">
        <v>690071.62</v>
      </c>
    </row>
    <row r="135" spans="1:8" x14ac:dyDescent="0.35">
      <c r="A135" s="1">
        <f t="shared" ref="A135:A144" si="32">A134+1</f>
        <v>134</v>
      </c>
      <c r="B135" t="s">
        <v>430</v>
      </c>
      <c r="C135" s="7">
        <v>16144871.050000001</v>
      </c>
      <c r="D135" s="45">
        <v>4.1750000000000002E-2</v>
      </c>
      <c r="E135" s="45">
        <v>4.1750000000000002E-2</v>
      </c>
      <c r="F135" s="7">
        <f t="shared" si="30"/>
        <v>674048</v>
      </c>
      <c r="G135" s="7">
        <f t="shared" si="31"/>
        <v>674048</v>
      </c>
      <c r="H135" s="7">
        <v>686565.59</v>
      </c>
    </row>
    <row r="136" spans="1:8" x14ac:dyDescent="0.35">
      <c r="A136" s="1">
        <f t="shared" si="32"/>
        <v>135</v>
      </c>
      <c r="B136" t="s">
        <v>431</v>
      </c>
      <c r="C136" s="7">
        <v>15897383.689999999</v>
      </c>
      <c r="D136" s="45">
        <v>4.1369999999999997E-2</v>
      </c>
      <c r="E136" s="45">
        <v>4.1369999999999997E-2</v>
      </c>
      <c r="F136" s="7">
        <f t="shared" si="30"/>
        <v>657675</v>
      </c>
      <c r="G136" s="7">
        <f t="shared" si="31"/>
        <v>657675</v>
      </c>
      <c r="H136" s="7">
        <v>670855.65</v>
      </c>
    </row>
    <row r="137" spans="1:8" x14ac:dyDescent="0.35">
      <c r="A137" s="1">
        <f t="shared" si="32"/>
        <v>136</v>
      </c>
      <c r="B137" t="s">
        <v>432</v>
      </c>
      <c r="C137" s="7">
        <v>15024984.41</v>
      </c>
      <c r="D137" s="45">
        <v>3.9780000000000003E-2</v>
      </c>
      <c r="E137" s="45">
        <v>3.9780000000000003E-2</v>
      </c>
      <c r="F137" s="7">
        <f t="shared" ref="F137:F147" si="33">ROUND(C137*D137,0)</f>
        <v>597694</v>
      </c>
      <c r="G137" s="7">
        <f t="shared" ref="G137:G147" si="34">ROUND(C137*E137,0)</f>
        <v>597694</v>
      </c>
      <c r="H137" s="7">
        <v>609896.06999999995</v>
      </c>
    </row>
    <row r="138" spans="1:8" x14ac:dyDescent="0.35">
      <c r="A138" s="1">
        <f t="shared" si="32"/>
        <v>137</v>
      </c>
      <c r="B138" t="s">
        <v>433</v>
      </c>
      <c r="C138" s="7">
        <v>4815121.01</v>
      </c>
      <c r="D138" s="45">
        <v>3.9899999999999998E-2</v>
      </c>
      <c r="E138" s="45">
        <v>3.9899999999999998E-2</v>
      </c>
      <c r="F138" s="7">
        <f t="shared" si="33"/>
        <v>192123</v>
      </c>
      <c r="G138" s="7">
        <f t="shared" si="34"/>
        <v>192123</v>
      </c>
      <c r="H138" s="7">
        <v>195772.94</v>
      </c>
    </row>
    <row r="139" spans="1:8" x14ac:dyDescent="0.35">
      <c r="A139" s="1">
        <f t="shared" si="32"/>
        <v>138</v>
      </c>
      <c r="B139" t="s">
        <v>434</v>
      </c>
      <c r="C139" s="7">
        <v>19858967</v>
      </c>
      <c r="D139" s="45">
        <v>4.1169999999999998E-2</v>
      </c>
      <c r="E139" s="45">
        <v>4.1169999999999998E-2</v>
      </c>
      <c r="F139" s="7">
        <f t="shared" si="33"/>
        <v>817594</v>
      </c>
      <c r="G139" s="7">
        <f t="shared" si="34"/>
        <v>817594</v>
      </c>
      <c r="H139" s="7">
        <v>834017.8</v>
      </c>
    </row>
    <row r="140" spans="1:8" x14ac:dyDescent="0.35">
      <c r="A140" s="1">
        <f t="shared" si="32"/>
        <v>139</v>
      </c>
      <c r="B140" t="s">
        <v>435</v>
      </c>
      <c r="C140" s="7">
        <v>19858967</v>
      </c>
      <c r="D140" s="45">
        <v>4.1169999999999998E-2</v>
      </c>
      <c r="E140" s="45">
        <v>4.1169999999999998E-2</v>
      </c>
      <c r="F140" s="7">
        <f t="shared" si="33"/>
        <v>817594</v>
      </c>
      <c r="G140" s="7">
        <f t="shared" si="34"/>
        <v>817594</v>
      </c>
      <c r="H140" s="7">
        <v>834017.8</v>
      </c>
    </row>
    <row r="141" spans="1:8" x14ac:dyDescent="0.35">
      <c r="A141" s="1">
        <f t="shared" si="32"/>
        <v>140</v>
      </c>
      <c r="B141" t="s">
        <v>436</v>
      </c>
      <c r="C141" s="7">
        <v>19883835.25</v>
      </c>
      <c r="D141" s="45">
        <v>4.156E-2</v>
      </c>
      <c r="E141" s="45">
        <v>4.156E-2</v>
      </c>
      <c r="F141" s="7">
        <f t="shared" si="33"/>
        <v>826372</v>
      </c>
      <c r="G141" s="7">
        <f t="shared" si="34"/>
        <v>826372</v>
      </c>
      <c r="H141" s="7">
        <v>842897.47</v>
      </c>
    </row>
    <row r="142" spans="1:8" x14ac:dyDescent="0.35">
      <c r="A142" s="1">
        <f t="shared" si="32"/>
        <v>141</v>
      </c>
      <c r="B142" t="s">
        <v>437</v>
      </c>
      <c r="C142" s="7">
        <v>19883835.25</v>
      </c>
      <c r="D142" s="45">
        <v>4.156E-2</v>
      </c>
      <c r="E142" s="45">
        <v>4.156E-2</v>
      </c>
      <c r="F142" s="7">
        <f t="shared" si="33"/>
        <v>826372</v>
      </c>
      <c r="G142" s="7">
        <f t="shared" si="34"/>
        <v>826372</v>
      </c>
      <c r="H142" s="7">
        <v>842897.47</v>
      </c>
    </row>
    <row r="143" spans="1:8" x14ac:dyDescent="0.35">
      <c r="A143" s="1">
        <f t="shared" si="32"/>
        <v>142</v>
      </c>
      <c r="B143" t="s">
        <v>438</v>
      </c>
      <c r="C143" s="7">
        <v>16018644.77</v>
      </c>
      <c r="D143" s="45">
        <v>4.3770000000000003E-2</v>
      </c>
      <c r="E143" s="45">
        <v>4.3770000000000003E-2</v>
      </c>
      <c r="F143" s="7">
        <f t="shared" si="33"/>
        <v>701136</v>
      </c>
      <c r="G143" s="7">
        <f t="shared" si="34"/>
        <v>701136</v>
      </c>
      <c r="H143" s="7">
        <v>714799.51</v>
      </c>
    </row>
    <row r="144" spans="1:8" x14ac:dyDescent="0.35">
      <c r="A144" s="1">
        <f t="shared" si="32"/>
        <v>143</v>
      </c>
      <c r="B144" t="s">
        <v>439</v>
      </c>
      <c r="C144" s="7">
        <v>5667141.8200000003</v>
      </c>
      <c r="D144" s="45">
        <v>4.3979999999999998E-2</v>
      </c>
      <c r="E144" s="45">
        <v>4.3979999999999998E-2</v>
      </c>
      <c r="F144" s="7">
        <f t="shared" si="33"/>
        <v>249241</v>
      </c>
      <c r="G144" s="7">
        <f t="shared" si="34"/>
        <v>249241</v>
      </c>
      <c r="H144" s="7">
        <v>253743.82</v>
      </c>
    </row>
    <row r="145" spans="1:8" x14ac:dyDescent="0.35">
      <c r="A145" s="1">
        <f t="shared" ref="A145:A179" si="35">A144+1</f>
        <v>144</v>
      </c>
      <c r="B145" t="s">
        <v>440</v>
      </c>
      <c r="C145" s="7">
        <v>7207489.4699999997</v>
      </c>
      <c r="D145" s="45">
        <v>4.3729999999999998E-2</v>
      </c>
      <c r="E145" s="45">
        <v>4.3729999999999998E-2</v>
      </c>
      <c r="F145" s="7">
        <f t="shared" si="33"/>
        <v>315184</v>
      </c>
      <c r="G145" s="7">
        <f t="shared" si="34"/>
        <v>315184</v>
      </c>
      <c r="H145" s="7">
        <v>321328.55</v>
      </c>
    </row>
    <row r="146" spans="1:8" x14ac:dyDescent="0.35">
      <c r="A146" s="1">
        <f t="shared" si="35"/>
        <v>145</v>
      </c>
      <c r="B146" t="s">
        <v>441</v>
      </c>
      <c r="C146" s="7">
        <v>15495625.720000001</v>
      </c>
      <c r="D146" s="45">
        <v>4.5080000000000002E-2</v>
      </c>
      <c r="E146" s="45">
        <v>4.5080000000000002E-2</v>
      </c>
      <c r="F146" s="7">
        <f t="shared" si="33"/>
        <v>698543</v>
      </c>
      <c r="G146" s="7">
        <f t="shared" si="34"/>
        <v>698543</v>
      </c>
      <c r="H146" s="7">
        <v>710992.33</v>
      </c>
    </row>
    <row r="147" spans="1:8" x14ac:dyDescent="0.35">
      <c r="A147" s="1">
        <f t="shared" si="35"/>
        <v>146</v>
      </c>
      <c r="B147" t="s">
        <v>442</v>
      </c>
      <c r="C147" s="7">
        <v>927181.59</v>
      </c>
      <c r="D147" s="45">
        <v>3.2239999999999998E-2</v>
      </c>
      <c r="E147" s="45">
        <v>3.2239999999999998E-2</v>
      </c>
      <c r="F147" s="7">
        <f t="shared" si="33"/>
        <v>29892</v>
      </c>
      <c r="G147" s="7">
        <f t="shared" si="34"/>
        <v>29892</v>
      </c>
      <c r="H147" s="7">
        <v>34222.14</v>
      </c>
    </row>
    <row r="148" spans="1:8" x14ac:dyDescent="0.35">
      <c r="A148" s="1">
        <f t="shared" si="35"/>
        <v>147</v>
      </c>
      <c r="B148" t="s">
        <v>443</v>
      </c>
      <c r="C148" s="7">
        <v>235175.03</v>
      </c>
      <c r="D148" s="45">
        <v>3.943E-2</v>
      </c>
      <c r="E148" s="45">
        <v>3.943E-2</v>
      </c>
      <c r="F148" s="7">
        <f t="shared" ref="F148:F158" si="36">ROUND(C148*D148,0)</f>
        <v>9273</v>
      </c>
      <c r="G148" s="7">
        <f t="shared" ref="G148:G158" si="37">ROUND(C148*E148,0)</f>
        <v>9273</v>
      </c>
      <c r="H148" s="7">
        <v>9554.75</v>
      </c>
    </row>
    <row r="149" spans="1:8" x14ac:dyDescent="0.35">
      <c r="A149" s="1">
        <f t="shared" si="35"/>
        <v>148</v>
      </c>
      <c r="B149" t="s">
        <v>444</v>
      </c>
      <c r="C149" s="7">
        <v>523282.5</v>
      </c>
      <c r="D149" s="45">
        <v>3.9219999999999998E-2</v>
      </c>
      <c r="E149" s="45">
        <v>3.9219999999999998E-2</v>
      </c>
      <c r="F149" s="7">
        <f t="shared" si="36"/>
        <v>20523</v>
      </c>
      <c r="G149" s="7">
        <f t="shared" si="37"/>
        <v>20523</v>
      </c>
      <c r="H149" s="7">
        <v>20916.259999999998</v>
      </c>
    </row>
    <row r="150" spans="1:8" x14ac:dyDescent="0.35">
      <c r="A150" s="1">
        <f t="shared" si="35"/>
        <v>149</v>
      </c>
      <c r="B150" t="s">
        <v>445</v>
      </c>
      <c r="C150" s="7">
        <v>730348.7</v>
      </c>
      <c r="D150" s="45">
        <v>3.9219999999999998E-2</v>
      </c>
      <c r="E150" s="45">
        <v>3.9219999999999998E-2</v>
      </c>
      <c r="F150" s="7">
        <f t="shared" si="36"/>
        <v>28644</v>
      </c>
      <c r="G150" s="7">
        <f t="shared" si="37"/>
        <v>28644</v>
      </c>
      <c r="H150" s="7">
        <v>29192.95</v>
      </c>
    </row>
    <row r="151" spans="1:8" x14ac:dyDescent="0.35">
      <c r="A151" s="1">
        <f t="shared" si="35"/>
        <v>150</v>
      </c>
      <c r="B151" t="s">
        <v>446</v>
      </c>
      <c r="C151" s="7">
        <v>987292.89</v>
      </c>
      <c r="D151" s="45">
        <v>3.8969999999999998E-2</v>
      </c>
      <c r="E151" s="45">
        <v>3.8969999999999998E-2</v>
      </c>
      <c r="F151" s="7">
        <f t="shared" si="36"/>
        <v>38475</v>
      </c>
      <c r="G151" s="7">
        <f t="shared" si="37"/>
        <v>38475</v>
      </c>
      <c r="H151" s="7">
        <v>39267.69</v>
      </c>
    </row>
    <row r="152" spans="1:8" x14ac:dyDescent="0.35">
      <c r="A152" s="1">
        <f t="shared" si="35"/>
        <v>151</v>
      </c>
      <c r="B152" t="s">
        <v>447</v>
      </c>
      <c r="C152" s="7">
        <v>342385.24</v>
      </c>
      <c r="D152" s="45">
        <v>3.9129999999999998E-2</v>
      </c>
      <c r="E152" s="45">
        <v>3.9129999999999998E-2</v>
      </c>
      <c r="F152" s="7">
        <f t="shared" si="36"/>
        <v>13398</v>
      </c>
      <c r="G152" s="7">
        <f t="shared" si="37"/>
        <v>13398</v>
      </c>
      <c r="H152" s="7">
        <v>13673.13</v>
      </c>
    </row>
    <row r="153" spans="1:8" x14ac:dyDescent="0.35">
      <c r="A153" s="1">
        <f t="shared" si="35"/>
        <v>152</v>
      </c>
      <c r="B153" t="s">
        <v>448</v>
      </c>
      <c r="C153" s="7">
        <v>10035052.66</v>
      </c>
      <c r="D153" s="45">
        <v>4.197E-2</v>
      </c>
      <c r="E153" s="45">
        <v>4.197E-2</v>
      </c>
      <c r="F153" s="7">
        <f t="shared" si="36"/>
        <v>421171</v>
      </c>
      <c r="G153" s="7">
        <f t="shared" si="37"/>
        <v>421171</v>
      </c>
      <c r="H153" s="7">
        <v>429553.3</v>
      </c>
    </row>
    <row r="154" spans="1:8" x14ac:dyDescent="0.35">
      <c r="A154" s="1">
        <f t="shared" si="35"/>
        <v>153</v>
      </c>
      <c r="B154" t="s">
        <v>449</v>
      </c>
      <c r="C154" s="7">
        <v>20513367.449999999</v>
      </c>
      <c r="D154" s="45">
        <v>4.0669999999999998E-2</v>
      </c>
      <c r="E154" s="45">
        <v>4.0669999999999998E-2</v>
      </c>
      <c r="F154" s="7">
        <f t="shared" si="36"/>
        <v>834279</v>
      </c>
      <c r="G154" s="7">
        <f t="shared" si="37"/>
        <v>834279</v>
      </c>
      <c r="H154" s="7">
        <v>846322.24</v>
      </c>
    </row>
    <row r="155" spans="1:8" x14ac:dyDescent="0.35">
      <c r="A155" s="1">
        <f t="shared" si="35"/>
        <v>154</v>
      </c>
      <c r="B155" t="s">
        <v>450</v>
      </c>
      <c r="C155" s="7">
        <v>1479441.29</v>
      </c>
      <c r="D155" s="45">
        <v>3.9539999999999999E-2</v>
      </c>
      <c r="E155" s="45">
        <v>3.9539999999999999E-2</v>
      </c>
      <c r="F155" s="7">
        <f t="shared" si="36"/>
        <v>58497</v>
      </c>
      <c r="G155" s="7">
        <f t="shared" si="37"/>
        <v>58497</v>
      </c>
      <c r="H155" s="7">
        <v>59613.23</v>
      </c>
    </row>
    <row r="156" spans="1:8" x14ac:dyDescent="0.35">
      <c r="A156" s="1">
        <f t="shared" si="35"/>
        <v>155</v>
      </c>
      <c r="B156" t="s">
        <v>451</v>
      </c>
      <c r="C156" s="7">
        <v>10337319.800000001</v>
      </c>
      <c r="D156" s="45">
        <v>3.9539999999999999E-2</v>
      </c>
      <c r="E156" s="45">
        <v>3.9539999999999999E-2</v>
      </c>
      <c r="F156" s="7">
        <f t="shared" si="36"/>
        <v>408738</v>
      </c>
      <c r="G156" s="7">
        <f t="shared" si="37"/>
        <v>408738</v>
      </c>
      <c r="H156" s="7">
        <v>416536.36</v>
      </c>
    </row>
    <row r="157" spans="1:8" x14ac:dyDescent="0.35">
      <c r="A157" s="1">
        <f t="shared" si="35"/>
        <v>156</v>
      </c>
      <c r="B157" t="s">
        <v>452</v>
      </c>
      <c r="C157" s="7">
        <v>5140689.37</v>
      </c>
      <c r="D157" s="45">
        <v>2.852E-2</v>
      </c>
      <c r="E157" s="45">
        <v>2.852E-2</v>
      </c>
      <c r="F157" s="7">
        <f t="shared" si="36"/>
        <v>146612</v>
      </c>
      <c r="G157" s="7">
        <f t="shared" si="37"/>
        <v>146612</v>
      </c>
      <c r="H157" s="7">
        <v>149806.51</v>
      </c>
    </row>
    <row r="158" spans="1:8" x14ac:dyDescent="0.35">
      <c r="A158" s="1">
        <f t="shared" si="35"/>
        <v>157</v>
      </c>
      <c r="B158" t="s">
        <v>453</v>
      </c>
      <c r="C158" s="7">
        <v>28806744.02</v>
      </c>
      <c r="D158" s="45">
        <v>2.811E-2</v>
      </c>
      <c r="E158" s="45">
        <v>2.811E-2</v>
      </c>
      <c r="F158" s="7">
        <f t="shared" si="36"/>
        <v>809758</v>
      </c>
      <c r="G158" s="7">
        <f t="shared" si="37"/>
        <v>809758</v>
      </c>
      <c r="H158" s="7">
        <v>828646.02</v>
      </c>
    </row>
    <row r="159" spans="1:8" x14ac:dyDescent="0.35">
      <c r="A159" s="1">
        <f t="shared" si="35"/>
        <v>158</v>
      </c>
      <c r="B159" t="s">
        <v>454</v>
      </c>
      <c r="C159" s="7">
        <v>21451597.609999999</v>
      </c>
      <c r="D159" s="45">
        <v>2.5899999999999999E-2</v>
      </c>
      <c r="E159" s="45">
        <v>2.5899999999999999E-2</v>
      </c>
      <c r="F159" s="7">
        <f t="shared" ref="F159:F169" si="38">ROUND(C159*D159,0)</f>
        <v>555596</v>
      </c>
      <c r="G159" s="7">
        <f t="shared" ref="G159:G169" si="39">ROUND(C159*E159,0)</f>
        <v>555596</v>
      </c>
      <c r="H159" s="7">
        <v>568080.54</v>
      </c>
    </row>
    <row r="160" spans="1:8" x14ac:dyDescent="0.35">
      <c r="A160" s="1">
        <f t="shared" si="35"/>
        <v>159</v>
      </c>
      <c r="B160" t="s">
        <v>455</v>
      </c>
      <c r="C160" s="7">
        <v>16678739.49</v>
      </c>
      <c r="D160" s="45">
        <v>2.7130000000000001E-2</v>
      </c>
      <c r="E160" s="45">
        <v>2.7130000000000001E-2</v>
      </c>
      <c r="F160" s="7">
        <f t="shared" si="38"/>
        <v>452494</v>
      </c>
      <c r="G160" s="7">
        <f t="shared" si="39"/>
        <v>452494</v>
      </c>
      <c r="H160" s="7">
        <v>462515.42</v>
      </c>
    </row>
    <row r="161" spans="1:8" x14ac:dyDescent="0.35">
      <c r="A161" s="1">
        <f t="shared" si="35"/>
        <v>160</v>
      </c>
      <c r="B161" t="s">
        <v>456</v>
      </c>
      <c r="C161" s="7">
        <v>25052906.920000002</v>
      </c>
      <c r="D161" s="45">
        <v>2.7910000000000001E-2</v>
      </c>
      <c r="E161" s="45">
        <v>2.7910000000000001E-2</v>
      </c>
      <c r="F161" s="7">
        <f t="shared" si="38"/>
        <v>699227</v>
      </c>
      <c r="G161" s="7">
        <f t="shared" si="39"/>
        <v>699227</v>
      </c>
      <c r="H161" s="7">
        <v>711378.54</v>
      </c>
    </row>
    <row r="162" spans="1:8" x14ac:dyDescent="0.35">
      <c r="A162" s="1">
        <f t="shared" si="35"/>
        <v>161</v>
      </c>
      <c r="B162" t="s">
        <v>457</v>
      </c>
      <c r="C162" s="7">
        <v>25180650.449999999</v>
      </c>
      <c r="D162" s="45">
        <v>2.9159999999999998E-2</v>
      </c>
      <c r="E162" s="45">
        <v>2.9159999999999998E-2</v>
      </c>
      <c r="F162" s="7">
        <f t="shared" si="38"/>
        <v>734268</v>
      </c>
      <c r="G162" s="7">
        <f t="shared" si="39"/>
        <v>734268</v>
      </c>
      <c r="H162" s="7">
        <v>746803.17</v>
      </c>
    </row>
    <row r="163" spans="1:8" x14ac:dyDescent="0.35">
      <c r="A163" s="1">
        <f t="shared" si="35"/>
        <v>162</v>
      </c>
      <c r="B163" t="s">
        <v>458</v>
      </c>
      <c r="C163" s="7">
        <v>25280616.579999998</v>
      </c>
      <c r="D163" s="45">
        <v>3.0939999999999999E-2</v>
      </c>
      <c r="E163" s="45">
        <v>3.0939999999999999E-2</v>
      </c>
      <c r="F163" s="7">
        <f t="shared" si="38"/>
        <v>782182</v>
      </c>
      <c r="G163" s="7">
        <f t="shared" si="39"/>
        <v>782182</v>
      </c>
      <c r="H163" s="7">
        <v>795199.21</v>
      </c>
    </row>
    <row r="164" spans="1:8" x14ac:dyDescent="0.35">
      <c r="A164" s="1">
        <f t="shared" si="35"/>
        <v>163</v>
      </c>
      <c r="B164" t="s">
        <v>459</v>
      </c>
      <c r="C164" s="7">
        <v>8890222.8499999996</v>
      </c>
      <c r="D164" s="45">
        <v>2.8000000000000001E-2</v>
      </c>
      <c r="E164" s="45">
        <v>2.8000000000000001E-2</v>
      </c>
      <c r="F164" s="7">
        <f t="shared" si="38"/>
        <v>248926</v>
      </c>
      <c r="G164" s="7">
        <f t="shared" si="39"/>
        <v>248926</v>
      </c>
      <c r="H164" s="7">
        <v>254382.75</v>
      </c>
    </row>
    <row r="165" spans="1:8" x14ac:dyDescent="0.35">
      <c r="A165" s="1">
        <f t="shared" si="35"/>
        <v>164</v>
      </c>
      <c r="B165" t="s">
        <v>460</v>
      </c>
      <c r="C165" s="7">
        <v>15972578.82</v>
      </c>
      <c r="D165" s="45">
        <v>2.928E-2</v>
      </c>
      <c r="E165" s="45">
        <v>2.928E-2</v>
      </c>
      <c r="F165" s="7">
        <f t="shared" si="38"/>
        <v>467677</v>
      </c>
      <c r="G165" s="7">
        <f t="shared" si="39"/>
        <v>467677</v>
      </c>
      <c r="H165" s="7">
        <v>475647.59</v>
      </c>
    </row>
    <row r="166" spans="1:8" x14ac:dyDescent="0.35">
      <c r="A166" s="1">
        <f t="shared" si="35"/>
        <v>165</v>
      </c>
      <c r="B166" t="s">
        <v>461</v>
      </c>
      <c r="C166" s="7">
        <v>24632021.039999999</v>
      </c>
      <c r="D166" s="45">
        <v>2.495E-2</v>
      </c>
      <c r="E166" s="45">
        <v>2.495E-2</v>
      </c>
      <c r="F166" s="7">
        <f t="shared" si="38"/>
        <v>614569</v>
      </c>
      <c r="G166" s="7">
        <f t="shared" si="39"/>
        <v>614569</v>
      </c>
      <c r="H166" s="7">
        <v>625706.75</v>
      </c>
    </row>
    <row r="167" spans="1:8" x14ac:dyDescent="0.35">
      <c r="A167" s="1">
        <f t="shared" si="35"/>
        <v>166</v>
      </c>
      <c r="B167" t="s">
        <v>462</v>
      </c>
      <c r="C167" s="7">
        <v>1335612.94</v>
      </c>
      <c r="D167" s="45">
        <v>2.3689999999999999E-2</v>
      </c>
      <c r="E167" s="45">
        <v>2.3689999999999999E-2</v>
      </c>
      <c r="F167" s="7">
        <f t="shared" si="38"/>
        <v>31641</v>
      </c>
      <c r="G167" s="7">
        <f t="shared" si="39"/>
        <v>31641</v>
      </c>
      <c r="H167" s="7">
        <v>32370.28</v>
      </c>
    </row>
    <row r="168" spans="1:8" x14ac:dyDescent="0.35">
      <c r="A168" s="1">
        <f t="shared" si="35"/>
        <v>167</v>
      </c>
      <c r="B168" t="s">
        <v>463</v>
      </c>
      <c r="C168" s="7">
        <v>19717927.010000002</v>
      </c>
      <c r="D168" s="45">
        <v>2.3019999999999999E-2</v>
      </c>
      <c r="E168" s="45">
        <v>2.3019999999999999E-2</v>
      </c>
      <c r="F168" s="7">
        <f t="shared" si="38"/>
        <v>453907</v>
      </c>
      <c r="G168" s="7">
        <f t="shared" si="39"/>
        <v>453907</v>
      </c>
      <c r="H168" s="7">
        <v>465113.61</v>
      </c>
    </row>
    <row r="169" spans="1:8" x14ac:dyDescent="0.35">
      <c r="A169" s="1">
        <f t="shared" si="35"/>
        <v>168</v>
      </c>
      <c r="B169" t="s">
        <v>464</v>
      </c>
      <c r="C169" s="7">
        <v>19078144.550000001</v>
      </c>
      <c r="D169" s="45">
        <v>2.3380000000000001E-2</v>
      </c>
      <c r="E169" s="45">
        <v>2.3380000000000001E-2</v>
      </c>
      <c r="F169" s="7">
        <f t="shared" si="38"/>
        <v>446047</v>
      </c>
      <c r="G169" s="7">
        <f t="shared" si="39"/>
        <v>446047</v>
      </c>
      <c r="H169" s="7">
        <v>457016.01</v>
      </c>
    </row>
    <row r="170" spans="1:8" x14ac:dyDescent="0.35">
      <c r="A170" s="1">
        <f t="shared" si="35"/>
        <v>169</v>
      </c>
      <c r="B170" t="s">
        <v>465</v>
      </c>
      <c r="C170" s="7">
        <v>22841760.59</v>
      </c>
      <c r="D170" s="45">
        <v>2.724E-2</v>
      </c>
      <c r="E170" s="45">
        <v>2.724E-2</v>
      </c>
      <c r="F170" s="7">
        <f t="shared" ref="F170:F180" si="40">ROUND(C170*D170,0)</f>
        <v>622210</v>
      </c>
      <c r="G170" s="7">
        <f t="shared" ref="G170:G180" si="41">ROUND(C170*E170,0)</f>
        <v>622210</v>
      </c>
      <c r="H170" s="7">
        <v>633126.48</v>
      </c>
    </row>
    <row r="171" spans="1:8" x14ac:dyDescent="0.35">
      <c r="A171" s="1">
        <f t="shared" si="35"/>
        <v>170</v>
      </c>
      <c r="B171" t="s">
        <v>466</v>
      </c>
      <c r="C171" s="7">
        <v>985881.55</v>
      </c>
      <c r="D171" s="45">
        <v>2.5489999999999999E-2</v>
      </c>
      <c r="E171" s="45">
        <v>2.5489999999999999E-2</v>
      </c>
      <c r="F171" s="7">
        <f t="shared" si="40"/>
        <v>25130</v>
      </c>
      <c r="G171" s="7">
        <f t="shared" si="41"/>
        <v>25130</v>
      </c>
      <c r="H171" s="7">
        <v>25697.52</v>
      </c>
    </row>
    <row r="172" spans="1:8" x14ac:dyDescent="0.35">
      <c r="A172" s="1">
        <f t="shared" si="35"/>
        <v>171</v>
      </c>
      <c r="B172" t="s">
        <v>467</v>
      </c>
      <c r="C172" s="7">
        <v>8100915.46</v>
      </c>
      <c r="D172" s="45">
        <v>2.5489999999999999E-2</v>
      </c>
      <c r="E172" s="45">
        <v>2.5489999999999999E-2</v>
      </c>
      <c r="F172" s="7">
        <f t="shared" si="40"/>
        <v>206492</v>
      </c>
      <c r="G172" s="7">
        <f t="shared" si="41"/>
        <v>206492</v>
      </c>
      <c r="H172" s="7">
        <v>211154.59</v>
      </c>
    </row>
    <row r="173" spans="1:8" x14ac:dyDescent="0.35">
      <c r="A173" s="1">
        <f t="shared" si="35"/>
        <v>172</v>
      </c>
      <c r="B173" t="s">
        <v>468</v>
      </c>
      <c r="C173" s="7">
        <v>10393048.220000001</v>
      </c>
      <c r="D173" s="45">
        <v>2.5100000000000001E-2</v>
      </c>
      <c r="E173" s="45">
        <v>2.5100000000000001E-2</v>
      </c>
      <c r="F173" s="7">
        <f t="shared" si="40"/>
        <v>260866</v>
      </c>
      <c r="G173" s="7">
        <f t="shared" si="41"/>
        <v>260866</v>
      </c>
      <c r="H173" s="7">
        <v>267159.03000000003</v>
      </c>
    </row>
    <row r="174" spans="1:8" x14ac:dyDescent="0.35">
      <c r="A174" s="1">
        <f t="shared" si="35"/>
        <v>173</v>
      </c>
      <c r="B174" t="s">
        <v>469</v>
      </c>
      <c r="C174" s="7">
        <v>5658665.8799999999</v>
      </c>
      <c r="D174" s="45">
        <v>2.393E-2</v>
      </c>
      <c r="E174" s="45">
        <v>2.393E-2</v>
      </c>
      <c r="F174" s="7">
        <f t="shared" si="40"/>
        <v>135412</v>
      </c>
      <c r="G174" s="7">
        <f t="shared" si="41"/>
        <v>135412</v>
      </c>
      <c r="H174" s="7">
        <v>138721.59</v>
      </c>
    </row>
    <row r="175" spans="1:8" x14ac:dyDescent="0.35">
      <c r="A175" s="1">
        <f t="shared" si="35"/>
        <v>174</v>
      </c>
      <c r="B175" t="s">
        <v>470</v>
      </c>
      <c r="C175" s="7">
        <v>11650515.43</v>
      </c>
      <c r="D175" s="45">
        <v>2.5729999999999999E-2</v>
      </c>
      <c r="E175" s="45">
        <v>2.5729999999999999E-2</v>
      </c>
      <c r="F175" s="7">
        <f t="shared" si="40"/>
        <v>299768</v>
      </c>
      <c r="G175" s="7">
        <f t="shared" si="41"/>
        <v>299768</v>
      </c>
      <c r="H175" s="7">
        <v>305141</v>
      </c>
    </row>
    <row r="176" spans="1:8" x14ac:dyDescent="0.35">
      <c r="A176" s="1">
        <f t="shared" si="35"/>
        <v>175</v>
      </c>
      <c r="B176" t="s">
        <v>471</v>
      </c>
      <c r="C176" s="7">
        <v>2599734.66</v>
      </c>
      <c r="D176" s="45">
        <v>2.4320000000000001E-2</v>
      </c>
      <c r="E176" s="45">
        <v>2.4320000000000001E-2</v>
      </c>
      <c r="F176" s="7">
        <f t="shared" si="40"/>
        <v>63226</v>
      </c>
      <c r="G176" s="7">
        <f t="shared" si="41"/>
        <v>63226</v>
      </c>
      <c r="H176" s="7">
        <v>64672.79</v>
      </c>
    </row>
    <row r="177" spans="1:8" x14ac:dyDescent="0.35">
      <c r="A177" s="1">
        <f t="shared" si="35"/>
        <v>176</v>
      </c>
      <c r="B177" t="s">
        <v>472</v>
      </c>
      <c r="C177" s="7">
        <v>9805187.9499999993</v>
      </c>
      <c r="D177" s="45">
        <v>3.338E-2</v>
      </c>
      <c r="E177" s="45">
        <v>3.338E-2</v>
      </c>
      <c r="F177" s="7">
        <f t="shared" si="40"/>
        <v>327297</v>
      </c>
      <c r="G177" s="7">
        <f t="shared" si="41"/>
        <v>327297</v>
      </c>
      <c r="H177" s="7">
        <v>334489.46999999997</v>
      </c>
    </row>
    <row r="178" spans="1:8" x14ac:dyDescent="0.35">
      <c r="A178" s="1">
        <f t="shared" si="35"/>
        <v>177</v>
      </c>
      <c r="B178" t="s">
        <v>473</v>
      </c>
      <c r="C178" s="7">
        <v>30297662.800000001</v>
      </c>
      <c r="D178" s="45">
        <v>3.1620000000000002E-2</v>
      </c>
      <c r="E178" s="45">
        <v>3.1620000000000002E-2</v>
      </c>
      <c r="F178" s="7">
        <f t="shared" si="40"/>
        <v>958012</v>
      </c>
      <c r="G178" s="7">
        <f t="shared" si="41"/>
        <v>958012</v>
      </c>
      <c r="H178" s="7">
        <v>979490.05</v>
      </c>
    </row>
    <row r="179" spans="1:8" x14ac:dyDescent="0.35">
      <c r="A179" s="1">
        <f t="shared" si="35"/>
        <v>178</v>
      </c>
      <c r="B179" t="s">
        <v>474</v>
      </c>
      <c r="C179" s="7">
        <v>9540985.7699999996</v>
      </c>
      <c r="D179" s="45">
        <v>3.202E-2</v>
      </c>
      <c r="E179" s="45">
        <v>3.202E-2</v>
      </c>
      <c r="F179" s="7">
        <f t="shared" si="40"/>
        <v>305502</v>
      </c>
      <c r="G179" s="7">
        <f t="shared" si="41"/>
        <v>305502</v>
      </c>
      <c r="H179" s="7">
        <v>311886.27</v>
      </c>
    </row>
    <row r="180" spans="1:8" x14ac:dyDescent="0.35">
      <c r="A180" s="1">
        <f t="shared" ref="A180:A201" si="42">A179+1</f>
        <v>179</v>
      </c>
      <c r="B180" t="s">
        <v>475</v>
      </c>
      <c r="C180" s="7">
        <v>17957984.530000001</v>
      </c>
      <c r="D180" s="45">
        <v>3.3160000000000002E-2</v>
      </c>
      <c r="E180" s="45">
        <v>3.3160000000000002E-2</v>
      </c>
      <c r="F180" s="7">
        <f t="shared" si="40"/>
        <v>595487</v>
      </c>
      <c r="G180" s="7">
        <f t="shared" si="41"/>
        <v>595487</v>
      </c>
      <c r="H180" s="7">
        <v>608605.35</v>
      </c>
    </row>
    <row r="181" spans="1:8" x14ac:dyDescent="0.35">
      <c r="A181" s="1">
        <f t="shared" si="42"/>
        <v>180</v>
      </c>
      <c r="B181" t="s">
        <v>476</v>
      </c>
      <c r="C181" s="7">
        <v>14227270.25</v>
      </c>
      <c r="D181" s="45">
        <v>3.5130000000000002E-2</v>
      </c>
      <c r="E181" s="45">
        <v>3.5130000000000002E-2</v>
      </c>
      <c r="F181" s="7">
        <f t="shared" ref="F181:F191" si="43">ROUND(C181*D181,0)</f>
        <v>499804</v>
      </c>
      <c r="G181" s="7">
        <f t="shared" ref="G181:G191" si="44">ROUND(C181*E181,0)</f>
        <v>499804</v>
      </c>
      <c r="H181" s="7">
        <v>510569.61</v>
      </c>
    </row>
    <row r="182" spans="1:8" x14ac:dyDescent="0.35">
      <c r="A182" s="1">
        <f t="shared" si="42"/>
        <v>181</v>
      </c>
      <c r="B182" t="s">
        <v>477</v>
      </c>
      <c r="C182" s="7">
        <v>17935060.670000002</v>
      </c>
      <c r="D182" s="45">
        <v>2.563E-2</v>
      </c>
      <c r="E182" s="45">
        <v>2.563E-2</v>
      </c>
      <c r="F182" s="7">
        <f t="shared" si="43"/>
        <v>459676</v>
      </c>
      <c r="G182" s="7">
        <f t="shared" si="44"/>
        <v>459676</v>
      </c>
      <c r="H182" s="7">
        <v>470037.27</v>
      </c>
    </row>
    <row r="183" spans="1:8" x14ac:dyDescent="0.35">
      <c r="A183" s="1">
        <f t="shared" si="42"/>
        <v>182</v>
      </c>
      <c r="B183" t="s">
        <v>478</v>
      </c>
      <c r="C183" s="7">
        <v>19068882.100000001</v>
      </c>
      <c r="D183" s="45">
        <v>2.656E-2</v>
      </c>
      <c r="E183" s="45">
        <v>2.656E-2</v>
      </c>
      <c r="F183" s="7">
        <f t="shared" si="43"/>
        <v>506470</v>
      </c>
      <c r="G183" s="7">
        <f t="shared" si="44"/>
        <v>506470</v>
      </c>
      <c r="H183" s="7">
        <v>515441.84</v>
      </c>
    </row>
    <row r="184" spans="1:8" x14ac:dyDescent="0.35">
      <c r="A184" s="1">
        <f t="shared" si="42"/>
        <v>183</v>
      </c>
      <c r="B184" t="s">
        <v>479</v>
      </c>
      <c r="C184" s="7">
        <v>569585.4</v>
      </c>
      <c r="D184" s="45">
        <v>2.3779999999999999E-2</v>
      </c>
      <c r="E184" s="45">
        <v>2.3779999999999999E-2</v>
      </c>
      <c r="F184" s="7">
        <f t="shared" si="43"/>
        <v>13545</v>
      </c>
      <c r="G184" s="7">
        <f t="shared" si="44"/>
        <v>13545</v>
      </c>
      <c r="H184" s="7">
        <v>13856.74</v>
      </c>
    </row>
    <row r="185" spans="1:8" x14ac:dyDescent="0.35">
      <c r="A185" s="1">
        <f t="shared" si="42"/>
        <v>184</v>
      </c>
      <c r="B185" t="s">
        <v>480</v>
      </c>
      <c r="C185" s="7">
        <v>30848228.120000001</v>
      </c>
      <c r="D185" s="45">
        <v>2.9819999999999999E-2</v>
      </c>
      <c r="E185" s="45">
        <v>2.9819999999999999E-2</v>
      </c>
      <c r="F185" s="7">
        <f t="shared" si="43"/>
        <v>919894</v>
      </c>
      <c r="G185" s="7">
        <f t="shared" si="44"/>
        <v>919894</v>
      </c>
      <c r="H185" s="7">
        <v>931850.93</v>
      </c>
    </row>
    <row r="186" spans="1:8" x14ac:dyDescent="0.35">
      <c r="A186" s="1">
        <f t="shared" si="42"/>
        <v>185</v>
      </c>
      <c r="B186" t="s">
        <v>481</v>
      </c>
      <c r="C186" s="7">
        <v>22682794.59</v>
      </c>
      <c r="D186" s="45">
        <v>2.9420000000000002E-2</v>
      </c>
      <c r="E186" s="45">
        <v>2.9420000000000002E-2</v>
      </c>
      <c r="F186" s="7">
        <f t="shared" si="43"/>
        <v>667328</v>
      </c>
      <c r="G186" s="7">
        <f t="shared" si="44"/>
        <v>667328</v>
      </c>
      <c r="H186" s="7">
        <v>676062.53</v>
      </c>
    </row>
    <row r="187" spans="1:8" x14ac:dyDescent="0.35">
      <c r="A187" s="1">
        <f t="shared" si="42"/>
        <v>186</v>
      </c>
      <c r="B187" t="s">
        <v>483</v>
      </c>
      <c r="C187" s="7">
        <v>122621794.14</v>
      </c>
      <c r="D187" s="45">
        <v>2.683E-2</v>
      </c>
      <c r="E187" s="45">
        <v>2.683E-2</v>
      </c>
      <c r="F187" s="7">
        <f t="shared" si="43"/>
        <v>3289943</v>
      </c>
      <c r="G187" s="7">
        <f t="shared" si="44"/>
        <v>3289943</v>
      </c>
      <c r="H187" s="7">
        <v>3392775.65</v>
      </c>
    </row>
    <row r="188" spans="1:8" x14ac:dyDescent="0.35">
      <c r="A188" s="1">
        <f t="shared" si="42"/>
        <v>187</v>
      </c>
      <c r="B188" t="s">
        <v>482</v>
      </c>
      <c r="C188" s="7">
        <v>10608550.66</v>
      </c>
      <c r="D188" s="45">
        <v>2.6339999999999999E-2</v>
      </c>
      <c r="E188" s="45">
        <v>2.6339999999999999E-2</v>
      </c>
      <c r="F188" s="7">
        <f t="shared" si="43"/>
        <v>279429</v>
      </c>
      <c r="G188" s="7">
        <f t="shared" si="44"/>
        <v>279429</v>
      </c>
      <c r="H188" s="7">
        <v>283287.32</v>
      </c>
    </row>
    <row r="189" spans="1:8" x14ac:dyDescent="0.35">
      <c r="A189" s="1">
        <f t="shared" si="42"/>
        <v>188</v>
      </c>
      <c r="B189" t="s">
        <v>484</v>
      </c>
      <c r="C189" s="7">
        <v>4166911.14</v>
      </c>
      <c r="D189" s="45">
        <v>2.6339999999999999E-2</v>
      </c>
      <c r="E189" s="45">
        <v>2.6339999999999999E-2</v>
      </c>
      <c r="F189" s="7">
        <f t="shared" si="43"/>
        <v>109756</v>
      </c>
      <c r="G189" s="7">
        <f t="shared" si="44"/>
        <v>109756</v>
      </c>
      <c r="H189" s="7">
        <v>111271.86</v>
      </c>
    </row>
    <row r="190" spans="1:8" x14ac:dyDescent="0.35">
      <c r="A190" s="1">
        <f t="shared" si="42"/>
        <v>189</v>
      </c>
      <c r="B190" t="s">
        <v>485</v>
      </c>
      <c r="C190" s="7">
        <v>7883130.5999999996</v>
      </c>
      <c r="D190" s="45">
        <v>2.6790000000000001E-2</v>
      </c>
      <c r="E190" s="45">
        <v>2.6790000000000001E-2</v>
      </c>
      <c r="F190" s="7">
        <f t="shared" si="43"/>
        <v>211189</v>
      </c>
      <c r="G190" s="7">
        <f t="shared" si="44"/>
        <v>211189</v>
      </c>
      <c r="H190" s="7">
        <v>214082.43</v>
      </c>
    </row>
    <row r="191" spans="1:8" x14ac:dyDescent="0.35">
      <c r="A191" s="1">
        <f t="shared" si="42"/>
        <v>190</v>
      </c>
      <c r="B191" t="s">
        <v>486</v>
      </c>
      <c r="C191" s="7">
        <v>28669309.780000001</v>
      </c>
      <c r="D191" s="45">
        <v>2.6790000000000001E-2</v>
      </c>
      <c r="E191" s="45">
        <v>2.6790000000000001E-2</v>
      </c>
      <c r="F191" s="7">
        <f t="shared" si="43"/>
        <v>768051</v>
      </c>
      <c r="G191" s="7">
        <f t="shared" si="44"/>
        <v>768051</v>
      </c>
      <c r="H191" s="7">
        <v>778573.35</v>
      </c>
    </row>
    <row r="192" spans="1:8" x14ac:dyDescent="0.35">
      <c r="A192" s="1">
        <f t="shared" si="42"/>
        <v>191</v>
      </c>
      <c r="B192" t="s">
        <v>487</v>
      </c>
      <c r="C192" s="7">
        <v>7924493.5700000003</v>
      </c>
      <c r="D192" s="45">
        <v>2.6880000000000001E-2</v>
      </c>
      <c r="E192" s="45">
        <v>2.6880000000000001E-2</v>
      </c>
      <c r="F192" s="7">
        <f t="shared" ref="F192:F202" si="45">ROUND(C192*D192,0)</f>
        <v>213010</v>
      </c>
      <c r="G192" s="7">
        <f t="shared" ref="G192:G202" si="46">ROUND(C192*E192,0)</f>
        <v>213010</v>
      </c>
      <c r="H192" s="7">
        <v>215924.16</v>
      </c>
    </row>
    <row r="193" spans="1:8" x14ac:dyDescent="0.35">
      <c r="A193" s="1">
        <f t="shared" si="42"/>
        <v>192</v>
      </c>
      <c r="B193" t="s">
        <v>488</v>
      </c>
      <c r="C193" s="7">
        <v>6474246.6500000004</v>
      </c>
      <c r="D193" s="45">
        <v>2.6880000000000001E-2</v>
      </c>
      <c r="E193" s="45">
        <v>2.6880000000000001E-2</v>
      </c>
      <c r="F193" s="7">
        <f t="shared" si="45"/>
        <v>174028</v>
      </c>
      <c r="G193" s="7">
        <f t="shared" si="46"/>
        <v>174028</v>
      </c>
      <c r="H193" s="7">
        <v>176408.29</v>
      </c>
    </row>
    <row r="194" spans="1:8" x14ac:dyDescent="0.35">
      <c r="A194" s="1">
        <f t="shared" si="42"/>
        <v>193</v>
      </c>
      <c r="B194" t="s">
        <v>489</v>
      </c>
      <c r="C194" s="7">
        <v>2214003.86</v>
      </c>
      <c r="D194" s="45">
        <v>2.9899999999999999E-2</v>
      </c>
      <c r="E194" s="45">
        <v>2.9899999999999999E-2</v>
      </c>
      <c r="F194" s="7">
        <f t="shared" si="45"/>
        <v>66199</v>
      </c>
      <c r="G194" s="7">
        <f t="shared" si="46"/>
        <v>66199</v>
      </c>
      <c r="H194" s="7">
        <v>67057.97</v>
      </c>
    </row>
    <row r="195" spans="1:8" x14ac:dyDescent="0.35">
      <c r="A195" s="1">
        <f t="shared" si="42"/>
        <v>194</v>
      </c>
      <c r="B195" t="s">
        <v>490</v>
      </c>
      <c r="C195" s="7">
        <v>10428350.039999999</v>
      </c>
      <c r="D195" s="45">
        <v>2.9899999999999999E-2</v>
      </c>
      <c r="E195" s="45">
        <v>2.9899999999999999E-2</v>
      </c>
      <c r="F195" s="7">
        <f t="shared" si="45"/>
        <v>311808</v>
      </c>
      <c r="G195" s="7">
        <f t="shared" si="46"/>
        <v>311808</v>
      </c>
      <c r="H195" s="7">
        <v>315854.88</v>
      </c>
    </row>
    <row r="196" spans="1:8" x14ac:dyDescent="0.35">
      <c r="A196" s="1">
        <f t="shared" si="42"/>
        <v>195</v>
      </c>
      <c r="B196" t="s">
        <v>491</v>
      </c>
      <c r="C196" s="7">
        <v>2068084.47</v>
      </c>
      <c r="D196" s="45">
        <v>3.1309999999999998E-2</v>
      </c>
      <c r="E196" s="45">
        <v>3.1309999999999998E-2</v>
      </c>
      <c r="F196" s="7">
        <f t="shared" si="45"/>
        <v>64752</v>
      </c>
      <c r="G196" s="7">
        <f t="shared" si="46"/>
        <v>64752</v>
      </c>
      <c r="H196" s="7">
        <v>65571.67</v>
      </c>
    </row>
    <row r="197" spans="1:8" x14ac:dyDescent="0.35">
      <c r="A197" s="1">
        <f t="shared" si="42"/>
        <v>196</v>
      </c>
      <c r="B197" t="s">
        <v>492</v>
      </c>
      <c r="C197" s="7">
        <v>2460138.41</v>
      </c>
      <c r="D197" s="45">
        <v>3.1309999999999998E-2</v>
      </c>
      <c r="E197" s="45">
        <v>3.1309999999999998E-2</v>
      </c>
      <c r="F197" s="7">
        <f t="shared" si="45"/>
        <v>77027</v>
      </c>
      <c r="G197" s="7">
        <f t="shared" si="46"/>
        <v>77027</v>
      </c>
      <c r="H197" s="7">
        <v>78002.33</v>
      </c>
    </row>
    <row r="198" spans="1:8" x14ac:dyDescent="0.35">
      <c r="A198" s="1">
        <f t="shared" si="42"/>
        <v>197</v>
      </c>
      <c r="B198" t="s">
        <v>493</v>
      </c>
      <c r="C198" s="7">
        <v>27254259.510000002</v>
      </c>
      <c r="D198" s="45">
        <v>3.2809999999999999E-2</v>
      </c>
      <c r="E198" s="45">
        <v>3.2809999999999999E-2</v>
      </c>
      <c r="F198" s="7">
        <f t="shared" si="45"/>
        <v>894212</v>
      </c>
      <c r="G198" s="7">
        <f t="shared" si="46"/>
        <v>894212</v>
      </c>
      <c r="H198" s="7">
        <v>904714.66</v>
      </c>
    </row>
    <row r="199" spans="1:8" x14ac:dyDescent="0.35">
      <c r="A199" s="1">
        <f t="shared" si="42"/>
        <v>198</v>
      </c>
      <c r="B199" t="s">
        <v>494</v>
      </c>
      <c r="C199" s="7">
        <v>2902209.55</v>
      </c>
      <c r="D199" s="45">
        <v>3.1179999999999999E-2</v>
      </c>
      <c r="E199" s="45">
        <v>3.1179999999999999E-2</v>
      </c>
      <c r="F199" s="7">
        <f t="shared" si="45"/>
        <v>90491</v>
      </c>
      <c r="G199" s="7">
        <f t="shared" si="46"/>
        <v>90491</v>
      </c>
      <c r="H199" s="7">
        <v>93159.61</v>
      </c>
    </row>
    <row r="200" spans="1:8" x14ac:dyDescent="0.35">
      <c r="A200" s="1">
        <f t="shared" si="42"/>
        <v>199</v>
      </c>
      <c r="B200" t="s">
        <v>495</v>
      </c>
      <c r="C200" s="7">
        <v>64982305.840000004</v>
      </c>
      <c r="D200" s="45">
        <v>3.056E-2</v>
      </c>
      <c r="E200" s="45">
        <v>3.056E-2</v>
      </c>
      <c r="F200" s="7">
        <f t="shared" si="45"/>
        <v>1985859</v>
      </c>
      <c r="G200" s="7">
        <f t="shared" si="46"/>
        <v>1985859</v>
      </c>
      <c r="H200" s="7">
        <v>2004160.45</v>
      </c>
    </row>
    <row r="201" spans="1:8" x14ac:dyDescent="0.35">
      <c r="A201" s="1">
        <f t="shared" si="42"/>
        <v>200</v>
      </c>
      <c r="B201" t="s">
        <v>496</v>
      </c>
      <c r="C201" s="7">
        <v>2496400.89</v>
      </c>
      <c r="D201" s="45">
        <v>3.056E-2</v>
      </c>
      <c r="E201" s="45">
        <v>3.056E-2</v>
      </c>
      <c r="F201" s="7">
        <f t="shared" si="45"/>
        <v>76290</v>
      </c>
      <c r="G201" s="7">
        <f t="shared" si="46"/>
        <v>76290</v>
      </c>
      <c r="H201" s="7">
        <v>76993.08</v>
      </c>
    </row>
    <row r="202" spans="1:8" x14ac:dyDescent="0.35">
      <c r="A202" s="1">
        <f t="shared" ref="A202:A228" si="47">A201+1</f>
        <v>201</v>
      </c>
      <c r="B202" t="s">
        <v>497</v>
      </c>
      <c r="C202" s="7">
        <v>1778851.59</v>
      </c>
      <c r="D202" s="45">
        <v>2.8039999999999999E-2</v>
      </c>
      <c r="E202" s="45">
        <v>2.8039999999999999E-2</v>
      </c>
      <c r="F202" s="7">
        <f t="shared" si="45"/>
        <v>49879</v>
      </c>
      <c r="G202" s="7">
        <f t="shared" si="46"/>
        <v>49879</v>
      </c>
      <c r="H202" s="7">
        <v>31701.03</v>
      </c>
    </row>
    <row r="203" spans="1:8" x14ac:dyDescent="0.35">
      <c r="A203" s="1">
        <f t="shared" si="47"/>
        <v>202</v>
      </c>
      <c r="B203" t="s">
        <v>498</v>
      </c>
      <c r="C203" s="7">
        <v>2672234.7999999998</v>
      </c>
      <c r="D203" s="45">
        <v>2.8039999999999999E-2</v>
      </c>
      <c r="E203" s="45">
        <v>2.8039999999999999E-2</v>
      </c>
      <c r="F203" s="7">
        <f t="shared" ref="F203:F207" si="48">ROUND(C203*D203,0)</f>
        <v>74929</v>
      </c>
      <c r="G203" s="7">
        <f t="shared" ref="G203:G207" si="49">ROUND(C203*E203,0)</f>
        <v>74929</v>
      </c>
      <c r="H203" s="7">
        <v>47622.07</v>
      </c>
    </row>
    <row r="204" spans="1:8" x14ac:dyDescent="0.35">
      <c r="A204" s="1">
        <f t="shared" si="47"/>
        <v>203</v>
      </c>
      <c r="B204" t="s">
        <v>499</v>
      </c>
      <c r="C204" s="7">
        <v>5902115.9000000004</v>
      </c>
      <c r="D204" s="45">
        <v>1.9140000000000001E-2</v>
      </c>
      <c r="E204" s="45">
        <v>1.9140000000000001E-2</v>
      </c>
      <c r="F204" s="7">
        <f t="shared" si="48"/>
        <v>112966</v>
      </c>
      <c r="G204" s="7">
        <f t="shared" si="49"/>
        <v>112966</v>
      </c>
      <c r="H204" s="7">
        <v>38306.06</v>
      </c>
    </row>
    <row r="205" spans="1:8" x14ac:dyDescent="0.35">
      <c r="A205" s="1">
        <f t="shared" si="47"/>
        <v>204</v>
      </c>
      <c r="B205" t="s">
        <v>500</v>
      </c>
      <c r="C205" s="7">
        <v>18394050.02</v>
      </c>
      <c r="D205" s="45">
        <v>1.9140000000000001E-2</v>
      </c>
      <c r="E205" s="45">
        <v>1.9140000000000001E-2</v>
      </c>
      <c r="F205" s="7">
        <f t="shared" si="48"/>
        <v>352062</v>
      </c>
      <c r="G205" s="7">
        <f t="shared" si="49"/>
        <v>352062</v>
      </c>
      <c r="H205" s="7">
        <v>119381.53</v>
      </c>
    </row>
    <row r="206" spans="1:8" x14ac:dyDescent="0.35">
      <c r="A206" s="1">
        <f t="shared" si="47"/>
        <v>205</v>
      </c>
      <c r="B206" t="s">
        <v>501</v>
      </c>
      <c r="C206" s="7">
        <v>3726000</v>
      </c>
      <c r="D206" s="45">
        <v>2.222E-2</v>
      </c>
      <c r="E206" s="45">
        <v>2.222E-2</v>
      </c>
      <c r="F206" s="7">
        <f t="shared" si="48"/>
        <v>82792</v>
      </c>
      <c r="G206" s="7">
        <f t="shared" si="49"/>
        <v>82792</v>
      </c>
      <c r="H206" s="7">
        <v>3415.15</v>
      </c>
    </row>
    <row r="207" spans="1:8" x14ac:dyDescent="0.35">
      <c r="A207" s="1">
        <f t="shared" si="47"/>
        <v>206</v>
      </c>
      <c r="B207" t="s">
        <v>502</v>
      </c>
      <c r="C207" s="9">
        <v>4210000</v>
      </c>
      <c r="D207" s="45">
        <v>2.222E-2</v>
      </c>
      <c r="E207" s="45">
        <v>2.222E-2</v>
      </c>
      <c r="F207" s="9">
        <f t="shared" si="48"/>
        <v>93546</v>
      </c>
      <c r="G207" s="9">
        <f t="shared" si="49"/>
        <v>93546</v>
      </c>
      <c r="H207" s="9">
        <v>3858.78</v>
      </c>
    </row>
    <row r="208" spans="1:8" x14ac:dyDescent="0.35">
      <c r="A208" s="1">
        <f t="shared" si="47"/>
        <v>207</v>
      </c>
      <c r="C208" s="7"/>
      <c r="D208" s="45"/>
      <c r="E208" s="45"/>
      <c r="F208" s="7"/>
      <c r="G208" s="7"/>
      <c r="H208" s="7"/>
    </row>
    <row r="209" spans="1:8" x14ac:dyDescent="0.35">
      <c r="A209" s="1">
        <f t="shared" si="47"/>
        <v>208</v>
      </c>
      <c r="B209" t="s">
        <v>503</v>
      </c>
      <c r="C209" s="9">
        <f>SUM(C39:C207)</f>
        <v>2171906967.02</v>
      </c>
      <c r="D209" s="45"/>
      <c r="E209" s="45"/>
      <c r="F209" s="9">
        <f t="shared" ref="F209:H209" si="50">SUM(F39:F207)</f>
        <v>83489065</v>
      </c>
      <c r="G209" s="9">
        <f t="shared" si="50"/>
        <v>83489065</v>
      </c>
      <c r="H209" s="9">
        <f t="shared" si="50"/>
        <v>89373503.769999981</v>
      </c>
    </row>
    <row r="210" spans="1:8" x14ac:dyDescent="0.35">
      <c r="A210" s="1">
        <f t="shared" si="47"/>
        <v>209</v>
      </c>
      <c r="C210" s="7"/>
      <c r="D210" s="45"/>
      <c r="E210" s="45"/>
      <c r="F210" s="7"/>
      <c r="G210" s="7"/>
      <c r="H210" s="7"/>
    </row>
    <row r="211" spans="1:8" x14ac:dyDescent="0.35">
      <c r="A211" s="1">
        <f t="shared" si="47"/>
        <v>210</v>
      </c>
      <c r="B211" t="s">
        <v>504</v>
      </c>
      <c r="C211" s="7">
        <f>C16+C30+C36+C209</f>
        <v>2628355473.1399999</v>
      </c>
      <c r="D211" s="45"/>
      <c r="E211" s="45"/>
      <c r="F211" s="7">
        <f t="shared" ref="F211:H211" si="51">F16+F30+F36+F209</f>
        <v>103318967</v>
      </c>
      <c r="G211" s="7">
        <f t="shared" si="51"/>
        <v>103318967</v>
      </c>
      <c r="H211" s="7">
        <f t="shared" si="51"/>
        <v>106117307.73999998</v>
      </c>
    </row>
    <row r="212" spans="1:8" x14ac:dyDescent="0.35">
      <c r="A212" s="1">
        <f t="shared" si="47"/>
        <v>211</v>
      </c>
      <c r="C212" s="7"/>
      <c r="D212" s="45"/>
      <c r="E212" s="45"/>
      <c r="F212" s="7"/>
      <c r="G212" s="7"/>
      <c r="H212" s="7"/>
    </row>
    <row r="213" spans="1:8" x14ac:dyDescent="0.35">
      <c r="A213" s="1">
        <f t="shared" si="47"/>
        <v>212</v>
      </c>
      <c r="B213" t="s">
        <v>506</v>
      </c>
      <c r="C213" s="9">
        <v>185000000</v>
      </c>
      <c r="D213" s="45">
        <v>2.7E-2</v>
      </c>
      <c r="E213" s="45">
        <v>1.14E-2</v>
      </c>
      <c r="F213" s="9">
        <f t="shared" ref="F213" si="52">ROUND(C213*D213,0)</f>
        <v>4995000</v>
      </c>
      <c r="G213" s="9">
        <f t="shared" ref="G213" si="53">ROUND(C213*E213,0)</f>
        <v>2109000</v>
      </c>
      <c r="H213" s="9">
        <v>6244332</v>
      </c>
    </row>
    <row r="214" spans="1:8" x14ac:dyDescent="0.35">
      <c r="A214" s="1">
        <f t="shared" si="47"/>
        <v>213</v>
      </c>
      <c r="C214" s="7"/>
      <c r="D214" s="45"/>
      <c r="E214" s="45"/>
      <c r="F214" s="7"/>
      <c r="G214" s="7"/>
      <c r="H214" s="7"/>
    </row>
    <row r="215" spans="1:8" ht="13.9" thickBot="1" x14ac:dyDescent="0.4">
      <c r="A215" s="1">
        <f t="shared" si="47"/>
        <v>214</v>
      </c>
      <c r="B215" t="s">
        <v>135</v>
      </c>
      <c r="C215" s="11">
        <f>C211+C213</f>
        <v>2813355473.1399999</v>
      </c>
      <c r="F215" s="11">
        <f t="shared" ref="F215:H215" si="54">F211+F213</f>
        <v>108313967</v>
      </c>
      <c r="G215" s="11">
        <f t="shared" si="54"/>
        <v>105427967</v>
      </c>
      <c r="H215" s="11">
        <f t="shared" si="54"/>
        <v>112361639.73999998</v>
      </c>
    </row>
    <row r="216" spans="1:8" ht="13.9" thickTop="1" x14ac:dyDescent="0.35">
      <c r="A216" s="1">
        <f t="shared" si="47"/>
        <v>215</v>
      </c>
    </row>
    <row r="217" spans="1:8" ht="13.9" thickBot="1" x14ac:dyDescent="0.4">
      <c r="A217" s="1">
        <f t="shared" si="47"/>
        <v>216</v>
      </c>
      <c r="B217" t="s">
        <v>507</v>
      </c>
      <c r="F217" s="11">
        <v>24035391</v>
      </c>
      <c r="G217" s="11">
        <v>24035391</v>
      </c>
      <c r="H217" s="11">
        <v>24450841</v>
      </c>
    </row>
    <row r="218" spans="1:8" ht="13.9" thickTop="1" x14ac:dyDescent="0.35">
      <c r="A218" s="1">
        <f t="shared" si="47"/>
        <v>217</v>
      </c>
    </row>
    <row r="219" spans="1:8" x14ac:dyDescent="0.35">
      <c r="A219" s="1">
        <f t="shared" si="47"/>
        <v>218</v>
      </c>
      <c r="B219" t="s">
        <v>508</v>
      </c>
    </row>
    <row r="220" spans="1:8" x14ac:dyDescent="0.35">
      <c r="A220" s="1">
        <f t="shared" si="47"/>
        <v>219</v>
      </c>
      <c r="B220" t="s">
        <v>509</v>
      </c>
      <c r="F220" s="7"/>
      <c r="G220" s="7"/>
      <c r="H220" s="7"/>
    </row>
    <row r="221" spans="1:8" x14ac:dyDescent="0.35">
      <c r="A221" s="1">
        <f t="shared" si="47"/>
        <v>220</v>
      </c>
      <c r="B221" t="s">
        <v>515</v>
      </c>
      <c r="F221" s="7"/>
      <c r="G221" s="7">
        <f>G215</f>
        <v>105427967</v>
      </c>
      <c r="H221" s="7"/>
    </row>
    <row r="222" spans="1:8" x14ac:dyDescent="0.35">
      <c r="A222" s="1">
        <f t="shared" si="47"/>
        <v>221</v>
      </c>
      <c r="B222" t="s">
        <v>513</v>
      </c>
      <c r="F222" s="7"/>
      <c r="G222" s="9">
        <f>G217</f>
        <v>24035391</v>
      </c>
      <c r="H222" s="7"/>
    </row>
    <row r="223" spans="1:8" x14ac:dyDescent="0.35">
      <c r="A223" s="1">
        <f t="shared" si="47"/>
        <v>222</v>
      </c>
      <c r="B223" t="s">
        <v>516</v>
      </c>
      <c r="F223" s="7"/>
      <c r="G223" s="7"/>
      <c r="H223" s="9">
        <f>G221-G222</f>
        <v>81392576</v>
      </c>
    </row>
    <row r="224" spans="1:8" x14ac:dyDescent="0.35">
      <c r="A224" s="1">
        <f t="shared" si="47"/>
        <v>223</v>
      </c>
      <c r="B224" t="s">
        <v>510</v>
      </c>
      <c r="F224" s="7"/>
      <c r="G224" s="7">
        <f>H215</f>
        <v>112361639.73999998</v>
      </c>
      <c r="H224" s="7"/>
    </row>
    <row r="225" spans="1:8" x14ac:dyDescent="0.35">
      <c r="A225" s="1">
        <f t="shared" si="47"/>
        <v>224</v>
      </c>
      <c r="B225" t="s">
        <v>511</v>
      </c>
      <c r="F225" s="7"/>
      <c r="G225" s="9">
        <f>H217</f>
        <v>24450841</v>
      </c>
      <c r="H225" s="7"/>
    </row>
    <row r="226" spans="1:8" x14ac:dyDescent="0.35">
      <c r="A226" s="1">
        <f t="shared" si="47"/>
        <v>225</v>
      </c>
      <c r="B226" t="s">
        <v>512</v>
      </c>
      <c r="F226" s="7"/>
      <c r="G226" s="7"/>
      <c r="H226" s="7">
        <f>G224-G225</f>
        <v>87910798.73999998</v>
      </c>
    </row>
    <row r="227" spans="1:8" ht="13.9" thickBot="1" x14ac:dyDescent="0.4">
      <c r="A227" s="1">
        <f t="shared" si="47"/>
        <v>226</v>
      </c>
      <c r="B227" t="s">
        <v>514</v>
      </c>
      <c r="F227" s="7"/>
      <c r="G227" s="7"/>
      <c r="H227" s="49">
        <f>H223-H226</f>
        <v>-6518222.7399999797</v>
      </c>
    </row>
    <row r="228" spans="1:8" ht="13.9" thickTop="1" x14ac:dyDescent="0.35">
      <c r="A228" s="1">
        <f t="shared" si="47"/>
        <v>227</v>
      </c>
      <c r="F228" s="7"/>
      <c r="G228" s="7"/>
      <c r="H228" s="7"/>
    </row>
  </sheetData>
  <mergeCells count="4">
    <mergeCell ref="D7:E7"/>
    <mergeCell ref="F7:G7"/>
    <mergeCell ref="B3:H3"/>
    <mergeCell ref="B4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7"/>
  <sheetViews>
    <sheetView zoomScale="80" zoomScaleNormal="80" workbookViewId="0">
      <selection activeCell="C2" sqref="C2"/>
    </sheetView>
  </sheetViews>
  <sheetFormatPr defaultColWidth="15.625" defaultRowHeight="13.5" x14ac:dyDescent="0.35"/>
  <cols>
    <col min="1" max="1" width="4.625" customWidth="1"/>
    <col min="3" max="3" width="16.75" customWidth="1"/>
  </cols>
  <sheetData>
    <row r="1" spans="1:9" x14ac:dyDescent="0.35">
      <c r="A1" s="1">
        <v>0</v>
      </c>
      <c r="B1" t="str">
        <f>'Ex 1 Adjust-Rev Inc'!B1</f>
        <v>ISS Exhibit 1 - Schedules 1.00-1.30 FINAL REV 03-08.xlsx</v>
      </c>
    </row>
    <row r="2" spans="1:9" ht="13.9" x14ac:dyDescent="0.4">
      <c r="A2" s="1">
        <f>A1+1</f>
        <v>1</v>
      </c>
      <c r="I2" s="4" t="s">
        <v>934</v>
      </c>
    </row>
    <row r="3" spans="1:9" ht="13.9" x14ac:dyDescent="0.4">
      <c r="A3" s="1">
        <f t="shared" ref="A3:A61" si="0">A2+1</f>
        <v>2</v>
      </c>
      <c r="B3" s="99" t="s">
        <v>8</v>
      </c>
      <c r="C3" s="99"/>
      <c r="D3" s="99"/>
      <c r="E3" s="99"/>
      <c r="F3" s="99"/>
      <c r="G3" s="99"/>
      <c r="H3" s="99"/>
      <c r="I3" s="99"/>
    </row>
    <row r="4" spans="1:9" ht="13.9" x14ac:dyDescent="0.4">
      <c r="A4" s="1">
        <f t="shared" si="0"/>
        <v>3</v>
      </c>
      <c r="B4" s="99" t="s">
        <v>230</v>
      </c>
      <c r="C4" s="99"/>
      <c r="D4" s="99"/>
      <c r="E4" s="99"/>
      <c r="F4" s="99"/>
      <c r="G4" s="99"/>
      <c r="H4" s="99"/>
      <c r="I4" s="99"/>
    </row>
    <row r="5" spans="1:9" x14ac:dyDescent="0.35">
      <c r="A5" s="1">
        <f t="shared" si="0"/>
        <v>4</v>
      </c>
    </row>
    <row r="6" spans="1:9" x14ac:dyDescent="0.35">
      <c r="A6" s="1">
        <f t="shared" si="0"/>
        <v>5</v>
      </c>
    </row>
    <row r="7" spans="1:9" x14ac:dyDescent="0.35">
      <c r="A7" s="1">
        <f t="shared" si="0"/>
        <v>6</v>
      </c>
      <c r="D7" s="32" t="s">
        <v>231</v>
      </c>
      <c r="E7" s="101" t="s">
        <v>232</v>
      </c>
      <c r="F7" s="102"/>
      <c r="G7" s="101" t="s">
        <v>820</v>
      </c>
      <c r="H7" s="102"/>
      <c r="I7" s="97" t="s">
        <v>0</v>
      </c>
    </row>
    <row r="8" spans="1:9" ht="13.9" thickBot="1" x14ac:dyDescent="0.4">
      <c r="A8" s="1">
        <f t="shared" si="0"/>
        <v>7</v>
      </c>
      <c r="B8" s="103" t="s">
        <v>234</v>
      </c>
      <c r="C8" s="103"/>
      <c r="D8" s="3" t="s">
        <v>250</v>
      </c>
      <c r="E8" s="3" t="s">
        <v>252</v>
      </c>
      <c r="F8" s="3" t="s">
        <v>251</v>
      </c>
      <c r="G8" s="98" t="s">
        <v>252</v>
      </c>
      <c r="H8" s="98" t="s">
        <v>251</v>
      </c>
      <c r="I8" s="98" t="s">
        <v>235</v>
      </c>
    </row>
    <row r="9" spans="1:9" x14ac:dyDescent="0.35">
      <c r="A9" s="1">
        <f t="shared" si="0"/>
        <v>8</v>
      </c>
    </row>
    <row r="10" spans="1:9" x14ac:dyDescent="0.35">
      <c r="A10" s="1">
        <f t="shared" si="0"/>
        <v>9</v>
      </c>
      <c r="D10" s="7"/>
      <c r="E10" s="7"/>
      <c r="F10" s="31"/>
      <c r="H10" s="7"/>
      <c r="I10" s="7"/>
    </row>
    <row r="11" spans="1:9" x14ac:dyDescent="0.35">
      <c r="A11" s="1">
        <f t="shared" si="0"/>
        <v>10</v>
      </c>
      <c r="B11" t="s">
        <v>292</v>
      </c>
      <c r="D11" s="7">
        <f>214922+17299764+20336089+395953</f>
        <v>38246728</v>
      </c>
      <c r="E11" s="34" t="s">
        <v>275</v>
      </c>
      <c r="F11" s="43">
        <f>G65</f>
        <v>9.7000000000000003E-3</v>
      </c>
      <c r="G11" s="7">
        <f>ROUND(214922*0.025,0)+ROUND(17299764*0.022,0)+ROUND(20336089*0.0186,0)+ROUND(395953*0.0165,0)</f>
        <v>770752</v>
      </c>
      <c r="H11" s="7">
        <f>ROUND(D11*F11,0)</f>
        <v>370993</v>
      </c>
      <c r="I11" s="7">
        <f>5557+237165+170956+2473+426860</f>
        <v>843011</v>
      </c>
    </row>
    <row r="12" spans="1:9" x14ac:dyDescent="0.35">
      <c r="A12" s="1">
        <f t="shared" si="0"/>
        <v>11</v>
      </c>
      <c r="D12" s="7"/>
      <c r="E12" s="31"/>
      <c r="F12" s="43"/>
      <c r="G12" s="7"/>
      <c r="H12" s="7"/>
      <c r="I12" s="7"/>
    </row>
    <row r="13" spans="1:9" x14ac:dyDescent="0.35">
      <c r="A13" s="1">
        <f t="shared" si="0"/>
        <v>12</v>
      </c>
      <c r="B13" t="s">
        <v>293</v>
      </c>
      <c r="D13" s="7">
        <v>51000000</v>
      </c>
      <c r="E13" s="34" t="s">
        <v>253</v>
      </c>
      <c r="F13" s="43">
        <f>G67</f>
        <v>2.3E-3</v>
      </c>
      <c r="G13" s="7">
        <f>ROUND(1000000*0.0152,0)+ROUND(30000000*0.0158,0)+ROUND(20000000*0.0171,0)</f>
        <v>831200</v>
      </c>
      <c r="H13" s="7">
        <f>ROUND(D13*F13,0)</f>
        <v>117300</v>
      </c>
      <c r="I13" s="7">
        <f>2318+1327118</f>
        <v>1329436</v>
      </c>
    </row>
    <row r="14" spans="1:9" x14ac:dyDescent="0.35">
      <c r="A14" s="1">
        <f t="shared" si="0"/>
        <v>13</v>
      </c>
      <c r="D14" s="7"/>
      <c r="E14" s="34"/>
      <c r="F14" s="43"/>
      <c r="G14" s="7"/>
      <c r="H14" s="7"/>
      <c r="I14" s="7"/>
    </row>
    <row r="15" spans="1:9" x14ac:dyDescent="0.35">
      <c r="A15" s="1">
        <f t="shared" si="0"/>
        <v>14</v>
      </c>
      <c r="B15" t="s">
        <v>294</v>
      </c>
      <c r="D15" s="7"/>
      <c r="E15" s="31"/>
      <c r="F15" s="43"/>
      <c r="G15" s="7"/>
      <c r="H15" s="7"/>
      <c r="I15" s="7"/>
    </row>
    <row r="16" spans="1:9" x14ac:dyDescent="0.35">
      <c r="A16" s="1">
        <f t="shared" si="0"/>
        <v>15</v>
      </c>
      <c r="B16" t="s">
        <v>236</v>
      </c>
      <c r="D16" s="7">
        <v>30000000</v>
      </c>
      <c r="E16" s="31">
        <v>1.52E-2</v>
      </c>
      <c r="F16" s="43">
        <f>G69</f>
        <v>2.3E-3</v>
      </c>
      <c r="G16" s="7">
        <f>ROUND(D16*E16,0)</f>
        <v>456000</v>
      </c>
      <c r="H16" s="7">
        <f>ROUND(D16*F16,0)</f>
        <v>69000</v>
      </c>
      <c r="I16" s="7">
        <v>503561</v>
      </c>
    </row>
    <row r="17" spans="1:9" x14ac:dyDescent="0.35">
      <c r="A17" s="1">
        <f t="shared" si="0"/>
        <v>16</v>
      </c>
      <c r="B17" t="s">
        <v>237</v>
      </c>
      <c r="D17" s="7">
        <v>30000000</v>
      </c>
      <c r="E17" s="31">
        <v>1.54E-2</v>
      </c>
      <c r="F17" s="43">
        <f>G69</f>
        <v>2.3E-3</v>
      </c>
      <c r="G17" s="7">
        <f>ROUND(D17*E17,0)</f>
        <v>462000</v>
      </c>
      <c r="H17" s="7">
        <f>ROUND(D17*F17,0)</f>
        <v>69000</v>
      </c>
      <c r="I17" s="7">
        <v>639346</v>
      </c>
    </row>
    <row r="18" spans="1:9" x14ac:dyDescent="0.35">
      <c r="A18" s="1">
        <f t="shared" si="0"/>
        <v>17</v>
      </c>
      <c r="D18" s="7"/>
      <c r="E18" s="31"/>
      <c r="F18" s="43"/>
      <c r="G18" s="7"/>
      <c r="H18" s="7"/>
      <c r="I18" s="7"/>
    </row>
    <row r="19" spans="1:9" x14ac:dyDescent="0.35">
      <c r="A19" s="1">
        <f t="shared" si="0"/>
        <v>18</v>
      </c>
      <c r="B19" t="s">
        <v>295</v>
      </c>
      <c r="D19" s="7"/>
      <c r="E19" s="31"/>
      <c r="F19" s="43"/>
      <c r="G19" s="7"/>
      <c r="H19" s="7"/>
      <c r="I19" s="7"/>
    </row>
    <row r="20" spans="1:9" x14ac:dyDescent="0.35">
      <c r="A20" s="1">
        <f t="shared" si="0"/>
        <v>19</v>
      </c>
      <c r="B20" t="s">
        <v>238</v>
      </c>
      <c r="D20" s="7">
        <v>5000000</v>
      </c>
      <c r="E20" s="31">
        <v>1.4999999999999999E-2</v>
      </c>
      <c r="F20" s="43">
        <f>G72</f>
        <v>1E-4</v>
      </c>
      <c r="G20" s="7">
        <f t="shared" ref="G20:G22" si="1">ROUND(D20*E20,0)</f>
        <v>75000</v>
      </c>
      <c r="H20" s="7">
        <f>ROUND(D20*F20,0)</f>
        <v>500</v>
      </c>
      <c r="I20" s="7">
        <v>168958</v>
      </c>
    </row>
    <row r="21" spans="1:9" x14ac:dyDescent="0.35">
      <c r="A21" s="1">
        <f t="shared" si="0"/>
        <v>20</v>
      </c>
      <c r="B21" t="s">
        <v>255</v>
      </c>
      <c r="D21" s="7">
        <v>5008501</v>
      </c>
      <c r="E21" s="31">
        <v>0.02</v>
      </c>
      <c r="F21" s="43">
        <f>G73</f>
        <v>3.5000000000000001E-3</v>
      </c>
      <c r="G21" s="7">
        <f t="shared" si="1"/>
        <v>100170</v>
      </c>
      <c r="H21" s="7">
        <f>ROUND(D21*F21,0)</f>
        <v>17530</v>
      </c>
      <c r="I21" s="7">
        <v>45638</v>
      </c>
    </row>
    <row r="22" spans="1:9" x14ac:dyDescent="0.35">
      <c r="A22" s="1">
        <f t="shared" si="0"/>
        <v>21</v>
      </c>
      <c r="B22" t="s">
        <v>239</v>
      </c>
      <c r="D22" s="7">
        <v>1731894</v>
      </c>
      <c r="E22" s="31">
        <v>1.4999999999999999E-2</v>
      </c>
      <c r="F22" s="43">
        <f>G74</f>
        <v>1E-3</v>
      </c>
      <c r="G22" s="7">
        <f t="shared" si="1"/>
        <v>25978</v>
      </c>
      <c r="H22" s="7">
        <f>ROUND(D22*F22,0)</f>
        <v>1732</v>
      </c>
      <c r="I22" s="7">
        <v>35818</v>
      </c>
    </row>
    <row r="23" spans="1:9" x14ac:dyDescent="0.35">
      <c r="A23" s="1">
        <f t="shared" si="0"/>
        <v>22</v>
      </c>
      <c r="D23" s="7"/>
      <c r="E23" s="31"/>
      <c r="F23" s="43"/>
      <c r="G23" s="7"/>
      <c r="H23" s="7"/>
      <c r="I23" s="7"/>
    </row>
    <row r="24" spans="1:9" x14ac:dyDescent="0.35">
      <c r="A24" s="1">
        <f t="shared" si="0"/>
        <v>23</v>
      </c>
      <c r="B24" t="s">
        <v>240</v>
      </c>
      <c r="D24" s="7">
        <v>349593356</v>
      </c>
      <c r="E24" s="31">
        <v>0.05</v>
      </c>
      <c r="F24" s="43">
        <v>0.05</v>
      </c>
      <c r="G24" s="7">
        <f>ROUND(D24*E24,0)</f>
        <v>17479668</v>
      </c>
      <c r="H24" s="7">
        <f>ROUND(D24*F24,0)</f>
        <v>17479668</v>
      </c>
      <c r="I24" s="7">
        <v>21310987</v>
      </c>
    </row>
    <row r="25" spans="1:9" x14ac:dyDescent="0.35">
      <c r="A25" s="1">
        <f t="shared" si="0"/>
        <v>24</v>
      </c>
      <c r="D25" s="7"/>
      <c r="E25" s="31"/>
      <c r="F25" s="43"/>
      <c r="G25" s="7"/>
      <c r="H25" s="7"/>
      <c r="I25" s="7"/>
    </row>
    <row r="26" spans="1:9" x14ac:dyDescent="0.35">
      <c r="A26" s="1">
        <f t="shared" si="0"/>
        <v>25</v>
      </c>
      <c r="B26" t="s">
        <v>241</v>
      </c>
      <c r="D26" s="7"/>
      <c r="E26" s="31"/>
      <c r="F26" s="43"/>
      <c r="G26" s="7"/>
      <c r="H26" s="7"/>
      <c r="I26" s="7"/>
    </row>
    <row r="27" spans="1:9" x14ac:dyDescent="0.35">
      <c r="A27" s="1">
        <f t="shared" si="0"/>
        <v>26</v>
      </c>
      <c r="B27" t="s">
        <v>242</v>
      </c>
      <c r="D27" s="7">
        <v>6998144</v>
      </c>
      <c r="E27" s="31">
        <v>0.05</v>
      </c>
      <c r="F27" s="43">
        <v>0.05</v>
      </c>
      <c r="G27" s="7">
        <f t="shared" ref="G27:G31" si="2">ROUND(D27*E27,0)</f>
        <v>349907</v>
      </c>
      <c r="H27" s="7">
        <f>ROUND(D27*F27,0)</f>
        <v>349907</v>
      </c>
      <c r="I27" s="7">
        <v>349907</v>
      </c>
    </row>
    <row r="28" spans="1:9" x14ac:dyDescent="0.35">
      <c r="A28" s="1">
        <f t="shared" si="0"/>
        <v>27</v>
      </c>
      <c r="B28" t="s">
        <v>243</v>
      </c>
      <c r="D28" s="7">
        <v>657500</v>
      </c>
      <c r="E28" s="31">
        <v>0.03</v>
      </c>
      <c r="F28" s="43">
        <v>0.03</v>
      </c>
      <c r="G28" s="7">
        <f t="shared" si="2"/>
        <v>19725</v>
      </c>
      <c r="H28" s="7">
        <f>ROUND(D28*F28,0)</f>
        <v>19725</v>
      </c>
      <c r="I28" s="7">
        <v>19725</v>
      </c>
    </row>
    <row r="29" spans="1:9" x14ac:dyDescent="0.35">
      <c r="A29" s="1">
        <f t="shared" si="0"/>
        <v>28</v>
      </c>
      <c r="B29" t="s">
        <v>244</v>
      </c>
      <c r="D29" s="7">
        <v>426094</v>
      </c>
      <c r="E29" s="31">
        <v>0</v>
      </c>
      <c r="F29" s="43">
        <v>0</v>
      </c>
      <c r="G29" s="7">
        <f t="shared" si="2"/>
        <v>0</v>
      </c>
      <c r="H29" s="7">
        <f>ROUND(D29*F29,0)</f>
        <v>0</v>
      </c>
      <c r="I29" s="7">
        <v>0</v>
      </c>
    </row>
    <row r="30" spans="1:9" x14ac:dyDescent="0.35">
      <c r="A30" s="1">
        <f t="shared" si="0"/>
        <v>29</v>
      </c>
      <c r="B30" t="s">
        <v>245</v>
      </c>
      <c r="D30" s="7">
        <v>165000</v>
      </c>
      <c r="E30" s="31">
        <v>6.59E-2</v>
      </c>
      <c r="F30" s="43">
        <v>6.59E-2</v>
      </c>
      <c r="G30" s="7">
        <f t="shared" si="2"/>
        <v>10874</v>
      </c>
      <c r="H30" s="7">
        <f>ROUND(D30*F30,0)</f>
        <v>10874</v>
      </c>
      <c r="I30" s="7">
        <v>10869</v>
      </c>
    </row>
    <row r="31" spans="1:9" x14ac:dyDescent="0.35">
      <c r="A31" s="1">
        <f t="shared" si="0"/>
        <v>30</v>
      </c>
      <c r="B31" t="s">
        <v>246</v>
      </c>
      <c r="D31" s="7">
        <v>1100000</v>
      </c>
      <c r="E31" s="31">
        <v>1.9800000000000002E-2</v>
      </c>
      <c r="F31" s="43">
        <v>5.0000000000000001E-4</v>
      </c>
      <c r="G31" s="7">
        <f t="shared" si="2"/>
        <v>21780</v>
      </c>
      <c r="H31" s="7">
        <f>ROUND(D31*F31,0)</f>
        <v>550</v>
      </c>
      <c r="I31" s="7">
        <v>22788</v>
      </c>
    </row>
    <row r="32" spans="1:9" x14ac:dyDescent="0.35">
      <c r="A32" s="1">
        <f t="shared" si="0"/>
        <v>31</v>
      </c>
      <c r="D32" s="7"/>
      <c r="E32" s="31"/>
      <c r="F32" s="43"/>
      <c r="G32" s="7"/>
      <c r="H32" s="7"/>
      <c r="I32" s="7"/>
    </row>
    <row r="33" spans="1:9" x14ac:dyDescent="0.35">
      <c r="A33" s="1">
        <f t="shared" si="0"/>
        <v>32</v>
      </c>
      <c r="B33" t="s">
        <v>247</v>
      </c>
      <c r="D33" s="7"/>
      <c r="E33" s="31"/>
      <c r="F33" s="43"/>
      <c r="G33" s="7"/>
      <c r="H33" s="7"/>
      <c r="I33" s="7"/>
    </row>
    <row r="34" spans="1:9" x14ac:dyDescent="0.35">
      <c r="A34" s="1">
        <f t="shared" si="0"/>
        <v>33</v>
      </c>
      <c r="B34" t="s">
        <v>277</v>
      </c>
      <c r="D34" s="7"/>
      <c r="E34" s="34"/>
      <c r="F34" s="43"/>
      <c r="G34" s="7"/>
      <c r="H34" s="7"/>
      <c r="I34" s="7"/>
    </row>
    <row r="35" spans="1:9" x14ac:dyDescent="0.35">
      <c r="A35" s="1">
        <f t="shared" si="0"/>
        <v>34</v>
      </c>
      <c r="B35" t="s">
        <v>282</v>
      </c>
      <c r="D35" s="7">
        <v>0</v>
      </c>
      <c r="E35" s="34">
        <v>1.4999999999999999E-2</v>
      </c>
      <c r="F35" s="43">
        <v>0</v>
      </c>
      <c r="G35" s="7">
        <f t="shared" ref="G35:G39" si="3">ROUND(D35*E35,0)</f>
        <v>0</v>
      </c>
      <c r="H35" s="7">
        <f>ROUND(D35*F35,0)</f>
        <v>0</v>
      </c>
      <c r="I35" s="7">
        <v>81</v>
      </c>
    </row>
    <row r="36" spans="1:9" x14ac:dyDescent="0.35">
      <c r="A36" s="1">
        <f t="shared" si="0"/>
        <v>35</v>
      </c>
      <c r="B36" t="s">
        <v>278</v>
      </c>
      <c r="D36" s="7">
        <v>4436</v>
      </c>
      <c r="E36" s="34">
        <v>1.7000000000000001E-2</v>
      </c>
      <c r="F36" s="43">
        <v>1.4999999999999999E-2</v>
      </c>
      <c r="G36" s="7">
        <f t="shared" si="3"/>
        <v>75</v>
      </c>
      <c r="H36" s="7">
        <f>ROUND(D36*F36,0)</f>
        <v>67</v>
      </c>
      <c r="I36" s="7">
        <v>99</v>
      </c>
    </row>
    <row r="37" spans="1:9" x14ac:dyDescent="0.35">
      <c r="A37" s="1">
        <f t="shared" si="0"/>
        <v>36</v>
      </c>
      <c r="B37" t="s">
        <v>279</v>
      </c>
      <c r="D37" s="7">
        <v>6782</v>
      </c>
      <c r="E37" s="34">
        <v>1.7999999999999999E-2</v>
      </c>
      <c r="F37" s="43">
        <v>1.7000000000000001E-2</v>
      </c>
      <c r="G37" s="7">
        <f t="shared" si="3"/>
        <v>122</v>
      </c>
      <c r="H37" s="7">
        <f>ROUND(D37*F37,0)</f>
        <v>115</v>
      </c>
      <c r="I37" s="7">
        <v>145</v>
      </c>
    </row>
    <row r="38" spans="1:9" x14ac:dyDescent="0.35">
      <c r="A38" s="1">
        <f t="shared" si="0"/>
        <v>37</v>
      </c>
      <c r="B38" t="s">
        <v>280</v>
      </c>
      <c r="D38" s="7">
        <v>50125</v>
      </c>
      <c r="E38" s="34">
        <v>2.1999999999999999E-2</v>
      </c>
      <c r="F38" s="43">
        <v>1.7999999999999999E-2</v>
      </c>
      <c r="G38" s="7">
        <f t="shared" si="3"/>
        <v>1103</v>
      </c>
      <c r="H38" s="7">
        <f>ROUND(D38*F38,0)</f>
        <v>902</v>
      </c>
      <c r="I38" s="7">
        <v>1047</v>
      </c>
    </row>
    <row r="39" spans="1:9" x14ac:dyDescent="0.35">
      <c r="A39" s="1">
        <f t="shared" si="0"/>
        <v>38</v>
      </c>
      <c r="B39" t="s">
        <v>281</v>
      </c>
      <c r="D39" s="7">
        <v>146853</v>
      </c>
      <c r="E39" s="34">
        <v>2.8000000000000001E-2</v>
      </c>
      <c r="F39" s="43">
        <v>2.8000000000000001E-2</v>
      </c>
      <c r="G39" s="7">
        <f t="shared" si="3"/>
        <v>4112</v>
      </c>
      <c r="H39" s="7">
        <f>ROUND(D39*F39,0)</f>
        <v>4112</v>
      </c>
      <c r="I39" s="7">
        <v>4111</v>
      </c>
    </row>
    <row r="40" spans="1:9" x14ac:dyDescent="0.35">
      <c r="A40" s="1">
        <f t="shared" si="0"/>
        <v>39</v>
      </c>
      <c r="D40" s="7"/>
      <c r="E40" s="31"/>
      <c r="F40" s="43"/>
      <c r="G40" s="7"/>
      <c r="H40" s="7"/>
      <c r="I40" s="7"/>
    </row>
    <row r="41" spans="1:9" x14ac:dyDescent="0.35">
      <c r="A41" s="1">
        <f t="shared" si="0"/>
        <v>40</v>
      </c>
      <c r="B41" t="s">
        <v>248</v>
      </c>
      <c r="D41" s="7">
        <f>162921+248606</f>
        <v>411527</v>
      </c>
      <c r="E41" s="31">
        <v>0.05</v>
      </c>
      <c r="F41" s="43">
        <v>0.05</v>
      </c>
      <c r="G41" s="7">
        <f>ROUND(D41*E41,0)</f>
        <v>20576</v>
      </c>
      <c r="H41" s="7">
        <f>ROUND(D41*F41,0)</f>
        <v>20576</v>
      </c>
      <c r="I41" s="7">
        <v>29436</v>
      </c>
    </row>
    <row r="42" spans="1:9" x14ac:dyDescent="0.35">
      <c r="A42" s="1">
        <f t="shared" si="0"/>
        <v>41</v>
      </c>
      <c r="D42" s="7"/>
      <c r="E42" s="31"/>
      <c r="F42" s="43"/>
      <c r="G42" s="7"/>
      <c r="H42" s="7"/>
      <c r="I42" s="7"/>
    </row>
    <row r="43" spans="1:9" x14ac:dyDescent="0.35">
      <c r="A43" s="1">
        <f t="shared" si="0"/>
        <v>42</v>
      </c>
      <c r="B43" t="s">
        <v>86</v>
      </c>
      <c r="D43" s="7"/>
      <c r="E43" s="31"/>
      <c r="F43" s="43"/>
      <c r="G43" s="7"/>
      <c r="H43" s="7"/>
      <c r="I43" s="7"/>
    </row>
    <row r="44" spans="1:9" x14ac:dyDescent="0.35">
      <c r="A44" s="1">
        <f t="shared" si="0"/>
        <v>43</v>
      </c>
      <c r="B44" t="s">
        <v>285</v>
      </c>
      <c r="D44" s="7">
        <v>0</v>
      </c>
      <c r="E44" s="31"/>
      <c r="F44" s="43"/>
      <c r="G44" s="7">
        <f t="shared" ref="G44:G47" si="4">ROUND(D44*E44,0)</f>
        <v>0</v>
      </c>
      <c r="H44" s="15">
        <f>ROUND(D44*F44,0)</f>
        <v>0</v>
      </c>
      <c r="I44" s="7">
        <v>7506</v>
      </c>
    </row>
    <row r="45" spans="1:9" x14ac:dyDescent="0.35">
      <c r="A45" s="1">
        <f t="shared" si="0"/>
        <v>44</v>
      </c>
      <c r="B45" t="s">
        <v>286</v>
      </c>
      <c r="D45" s="7">
        <v>0</v>
      </c>
      <c r="E45" s="31"/>
      <c r="F45" s="43"/>
      <c r="G45" s="7">
        <f t="shared" si="4"/>
        <v>0</v>
      </c>
      <c r="H45" s="15">
        <f>ROUND(D45*F45,0)</f>
        <v>0</v>
      </c>
      <c r="I45" s="7">
        <v>1707</v>
      </c>
    </row>
    <row r="46" spans="1:9" x14ac:dyDescent="0.35">
      <c r="A46" s="1">
        <f t="shared" si="0"/>
        <v>45</v>
      </c>
      <c r="B46" t="s">
        <v>287</v>
      </c>
      <c r="D46" s="7">
        <v>0</v>
      </c>
      <c r="E46" s="31"/>
      <c r="F46" s="43"/>
      <c r="G46" s="7">
        <f t="shared" si="4"/>
        <v>0</v>
      </c>
      <c r="H46" s="15">
        <f>ROUND(D46*F46,0)</f>
        <v>0</v>
      </c>
      <c r="I46" s="7">
        <v>134</v>
      </c>
    </row>
    <row r="47" spans="1:9" x14ac:dyDescent="0.35">
      <c r="A47" s="1">
        <f t="shared" si="0"/>
        <v>46</v>
      </c>
      <c r="B47" t="s">
        <v>296</v>
      </c>
      <c r="D47" s="7">
        <v>667452</v>
      </c>
      <c r="E47" s="31">
        <v>1.67E-2</v>
      </c>
      <c r="F47" s="43">
        <f>G76</f>
        <v>1.49E-2</v>
      </c>
      <c r="G47" s="7">
        <f t="shared" si="4"/>
        <v>11146</v>
      </c>
      <c r="H47" s="15">
        <f>ROUND(D47*F47,0)</f>
        <v>9945</v>
      </c>
      <c r="I47" s="7">
        <v>7452</v>
      </c>
    </row>
    <row r="48" spans="1:9" x14ac:dyDescent="0.35">
      <c r="A48" s="1">
        <f t="shared" si="0"/>
        <v>47</v>
      </c>
      <c r="B48" t="s">
        <v>256</v>
      </c>
      <c r="D48" s="9"/>
      <c r="E48" s="33"/>
      <c r="F48" s="33"/>
      <c r="G48" s="9"/>
      <c r="H48" s="9"/>
      <c r="I48" s="9">
        <v>3</v>
      </c>
    </row>
    <row r="49" spans="1:9" x14ac:dyDescent="0.35">
      <c r="A49" s="1">
        <f t="shared" si="0"/>
        <v>48</v>
      </c>
      <c r="D49" s="7"/>
      <c r="E49" s="7"/>
      <c r="F49" s="31"/>
      <c r="G49" s="7"/>
      <c r="H49" s="7"/>
      <c r="I49" s="7"/>
    </row>
    <row r="50" spans="1:9" ht="13.9" thickBot="1" x14ac:dyDescent="0.4">
      <c r="A50" s="1">
        <f t="shared" si="0"/>
        <v>49</v>
      </c>
      <c r="B50" t="s">
        <v>135</v>
      </c>
      <c r="D50" s="11">
        <f>SUM(D10:D48)</f>
        <v>521214392</v>
      </c>
      <c r="E50" s="15"/>
      <c r="F50" s="15"/>
      <c r="G50" s="11">
        <f>SUM(G10:G48)</f>
        <v>20640188</v>
      </c>
      <c r="H50" s="11">
        <f>SUM(H10:H48)</f>
        <v>18542496</v>
      </c>
      <c r="I50" s="11">
        <f>SUM(I10:I48)</f>
        <v>25331765</v>
      </c>
    </row>
    <row r="51" spans="1:9" ht="13.9" thickTop="1" x14ac:dyDescent="0.35">
      <c r="A51" s="1">
        <f t="shared" si="0"/>
        <v>50</v>
      </c>
      <c r="D51" s="7"/>
      <c r="E51" s="7"/>
      <c r="F51" s="7"/>
      <c r="G51" s="31"/>
      <c r="H51" s="7"/>
    </row>
    <row r="52" spans="1:9" ht="13.9" thickBot="1" x14ac:dyDescent="0.4">
      <c r="A52" s="1">
        <f t="shared" si="0"/>
        <v>51</v>
      </c>
      <c r="B52" t="s">
        <v>249</v>
      </c>
      <c r="D52" s="7"/>
      <c r="E52" s="7"/>
      <c r="F52" s="7"/>
      <c r="G52" s="31"/>
      <c r="H52" s="11">
        <f>H50-I50</f>
        <v>-6789269</v>
      </c>
    </row>
    <row r="53" spans="1:9" ht="13.9" thickTop="1" x14ac:dyDescent="0.35">
      <c r="A53" s="1">
        <f t="shared" si="0"/>
        <v>52</v>
      </c>
      <c r="B53" t="s">
        <v>928</v>
      </c>
      <c r="D53" s="7"/>
      <c r="E53" s="7"/>
      <c r="F53" s="7"/>
      <c r="G53" s="31"/>
      <c r="H53" s="7"/>
    </row>
    <row r="54" spans="1:9" x14ac:dyDescent="0.35">
      <c r="A54" s="1">
        <f t="shared" si="0"/>
        <v>53</v>
      </c>
      <c r="D54" s="7"/>
      <c r="E54" s="7"/>
      <c r="F54" s="7"/>
      <c r="G54" s="31"/>
      <c r="H54" s="7"/>
    </row>
    <row r="55" spans="1:9" x14ac:dyDescent="0.35">
      <c r="A55" s="1">
        <f t="shared" si="0"/>
        <v>54</v>
      </c>
      <c r="B55" s="44" t="s">
        <v>283</v>
      </c>
      <c r="D55" s="7"/>
      <c r="E55" s="7"/>
      <c r="F55" s="7"/>
      <c r="H55" s="7"/>
    </row>
    <row r="56" spans="1:9" x14ac:dyDescent="0.35">
      <c r="A56" s="1">
        <f t="shared" si="0"/>
        <v>55</v>
      </c>
      <c r="B56" t="s">
        <v>284</v>
      </c>
    </row>
    <row r="57" spans="1:9" x14ac:dyDescent="0.35">
      <c r="A57" s="1">
        <f t="shared" si="0"/>
        <v>56</v>
      </c>
      <c r="B57" t="s">
        <v>288</v>
      </c>
    </row>
    <row r="58" spans="1:9" x14ac:dyDescent="0.35">
      <c r="A58" s="1">
        <f t="shared" si="0"/>
        <v>57</v>
      </c>
      <c r="B58" t="s">
        <v>289</v>
      </c>
    </row>
    <row r="59" spans="1:9" x14ac:dyDescent="0.35">
      <c r="A59" s="1">
        <f t="shared" si="0"/>
        <v>58</v>
      </c>
      <c r="B59" t="s">
        <v>290</v>
      </c>
    </row>
    <row r="60" spans="1:9" x14ac:dyDescent="0.35">
      <c r="A60" s="1">
        <f t="shared" si="0"/>
        <v>59</v>
      </c>
      <c r="B60" t="s">
        <v>291</v>
      </c>
    </row>
    <row r="61" spans="1:9" x14ac:dyDescent="0.35">
      <c r="A61" s="1">
        <f t="shared" si="0"/>
        <v>60</v>
      </c>
    </row>
    <row r="62" spans="1:9" x14ac:dyDescent="0.35">
      <c r="A62" s="1">
        <f t="shared" ref="A62:A77" si="5">A61+1</f>
        <v>61</v>
      </c>
      <c r="D62" s="39" t="s">
        <v>231</v>
      </c>
      <c r="E62" s="39" t="s">
        <v>235</v>
      </c>
      <c r="F62" s="39" t="s">
        <v>299</v>
      </c>
      <c r="G62" s="39" t="s">
        <v>300</v>
      </c>
    </row>
    <row r="63" spans="1:9" ht="13.9" thickBot="1" x14ac:dyDescent="0.4">
      <c r="A63" s="1">
        <f t="shared" si="5"/>
        <v>62</v>
      </c>
      <c r="B63" s="103" t="s">
        <v>234</v>
      </c>
      <c r="C63" s="103"/>
      <c r="D63" s="40" t="s">
        <v>297</v>
      </c>
      <c r="E63" s="40" t="s">
        <v>298</v>
      </c>
      <c r="F63" s="40" t="s">
        <v>232</v>
      </c>
      <c r="G63" s="40" t="s">
        <v>232</v>
      </c>
    </row>
    <row r="64" spans="1:9" x14ac:dyDescent="0.35">
      <c r="A64" s="1">
        <f t="shared" si="5"/>
        <v>63</v>
      </c>
    </row>
    <row r="65" spans="1:7" x14ac:dyDescent="0.35">
      <c r="A65" s="1">
        <f t="shared" si="5"/>
        <v>64</v>
      </c>
      <c r="B65" t="s">
        <v>274</v>
      </c>
      <c r="D65" s="7">
        <v>40570990</v>
      </c>
      <c r="E65" s="7">
        <v>32913</v>
      </c>
      <c r="F65" s="45">
        <f>ROUND(E65/D65,5)</f>
        <v>8.0999999999999996E-4</v>
      </c>
      <c r="G65" s="31">
        <f>ROUND(F65*12,4)</f>
        <v>9.7000000000000003E-3</v>
      </c>
    </row>
    <row r="66" spans="1:7" x14ac:dyDescent="0.35">
      <c r="A66" s="1">
        <f t="shared" si="5"/>
        <v>65</v>
      </c>
      <c r="D66" s="7"/>
      <c r="E66" s="7"/>
      <c r="F66" s="45"/>
      <c r="G66" s="31"/>
    </row>
    <row r="67" spans="1:7" x14ac:dyDescent="0.35">
      <c r="A67" s="1">
        <f t="shared" si="5"/>
        <v>66</v>
      </c>
      <c r="B67" t="s">
        <v>276</v>
      </c>
      <c r="D67" s="7">
        <v>35000000</v>
      </c>
      <c r="E67" s="7">
        <v>6542</v>
      </c>
      <c r="F67" s="45">
        <f>ROUND(E67/D67,5)</f>
        <v>1.9000000000000001E-4</v>
      </c>
      <c r="G67" s="31">
        <f>ROUND(F67*12,4)</f>
        <v>2.3E-3</v>
      </c>
    </row>
    <row r="68" spans="1:7" x14ac:dyDescent="0.35">
      <c r="A68" s="1">
        <f t="shared" si="5"/>
        <v>67</v>
      </c>
      <c r="D68" s="7"/>
      <c r="E68" s="7"/>
      <c r="F68" s="45"/>
      <c r="G68" s="31"/>
    </row>
    <row r="69" spans="1:7" x14ac:dyDescent="0.35">
      <c r="A69" s="1">
        <f t="shared" si="5"/>
        <v>68</v>
      </c>
      <c r="B69" t="s">
        <v>301</v>
      </c>
      <c r="D69" s="7">
        <v>60000000</v>
      </c>
      <c r="E69" s="7">
        <v>11195</v>
      </c>
      <c r="F69" s="45">
        <f>ROUND(E69/D69,5)</f>
        <v>1.9000000000000001E-4</v>
      </c>
      <c r="G69" s="31">
        <f>ROUND(F69*12,4)</f>
        <v>2.3E-3</v>
      </c>
    </row>
    <row r="70" spans="1:7" x14ac:dyDescent="0.35">
      <c r="A70" s="1">
        <f t="shared" si="5"/>
        <v>69</v>
      </c>
      <c r="D70" s="7"/>
      <c r="E70" s="7"/>
      <c r="F70" s="45"/>
      <c r="G70" s="31"/>
    </row>
    <row r="71" spans="1:7" x14ac:dyDescent="0.35">
      <c r="A71" s="1">
        <f t="shared" si="5"/>
        <v>70</v>
      </c>
      <c r="B71" t="s">
        <v>254</v>
      </c>
      <c r="D71" s="7"/>
      <c r="E71" s="7"/>
      <c r="F71" s="45"/>
      <c r="G71" s="31"/>
    </row>
    <row r="72" spans="1:7" x14ac:dyDescent="0.35">
      <c r="A72" s="1">
        <f t="shared" si="5"/>
        <v>71</v>
      </c>
      <c r="B72" t="s">
        <v>238</v>
      </c>
      <c r="D72" s="7">
        <v>5000000</v>
      </c>
      <c r="E72" s="7">
        <v>42</v>
      </c>
      <c r="F72" s="45">
        <f t="shared" ref="F72:F74" si="6">ROUND(E72/D72,5)</f>
        <v>1.0000000000000001E-5</v>
      </c>
      <c r="G72" s="31">
        <f t="shared" ref="G72:G74" si="7">ROUND(F72*12,4)</f>
        <v>1E-4</v>
      </c>
    </row>
    <row r="73" spans="1:7" x14ac:dyDescent="0.35">
      <c r="A73" s="1">
        <f t="shared" si="5"/>
        <v>72</v>
      </c>
      <c r="B73" t="s">
        <v>255</v>
      </c>
      <c r="D73" s="7">
        <v>5001439</v>
      </c>
      <c r="E73" s="7">
        <v>1439</v>
      </c>
      <c r="F73" s="45">
        <f t="shared" si="6"/>
        <v>2.9E-4</v>
      </c>
      <c r="G73" s="31">
        <f t="shared" si="7"/>
        <v>3.5000000000000001E-3</v>
      </c>
    </row>
    <row r="74" spans="1:7" x14ac:dyDescent="0.35">
      <c r="A74" s="1">
        <f t="shared" si="5"/>
        <v>73</v>
      </c>
      <c r="B74" t="s">
        <v>239</v>
      </c>
      <c r="D74" s="7">
        <v>1737712</v>
      </c>
      <c r="E74" s="7">
        <v>142</v>
      </c>
      <c r="F74" s="45">
        <f t="shared" si="6"/>
        <v>8.0000000000000007E-5</v>
      </c>
      <c r="G74" s="31">
        <f t="shared" si="7"/>
        <v>1E-3</v>
      </c>
    </row>
    <row r="75" spans="1:7" x14ac:dyDescent="0.35">
      <c r="A75" s="1">
        <f t="shared" si="5"/>
        <v>74</v>
      </c>
      <c r="D75" s="7"/>
      <c r="E75" s="7"/>
      <c r="F75" s="45"/>
      <c r="G75" s="31"/>
    </row>
    <row r="76" spans="1:7" x14ac:dyDescent="0.35">
      <c r="A76" s="1">
        <f t="shared" si="5"/>
        <v>75</v>
      </c>
      <c r="B76" t="s">
        <v>302</v>
      </c>
      <c r="D76" s="7">
        <v>669247</v>
      </c>
      <c r="E76" s="7">
        <v>828</v>
      </c>
      <c r="F76" s="45">
        <f>ROUND(E76/D76,5)</f>
        <v>1.24E-3</v>
      </c>
      <c r="G76" s="31">
        <f>ROUND(F76*12,4)</f>
        <v>1.49E-2</v>
      </c>
    </row>
    <row r="77" spans="1:7" x14ac:dyDescent="0.35">
      <c r="A77" s="1">
        <f t="shared" si="5"/>
        <v>76</v>
      </c>
      <c r="D77" s="7"/>
      <c r="E77" s="7"/>
      <c r="F77" s="45"/>
      <c r="G77" s="31"/>
    </row>
  </sheetData>
  <mergeCells count="6">
    <mergeCell ref="B8:C8"/>
    <mergeCell ref="B63:C63"/>
    <mergeCell ref="E7:F7"/>
    <mergeCell ref="G7:H7"/>
    <mergeCell ref="B3:I3"/>
    <mergeCell ref="B4:I4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"/>
  <sheetViews>
    <sheetView zoomScale="80" zoomScaleNormal="80" workbookViewId="0">
      <selection activeCell="B44" sqref="B44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823</v>
      </c>
    </row>
    <row r="3" spans="1:7" ht="13.9" x14ac:dyDescent="0.4">
      <c r="A3" s="1">
        <f t="shared" ref="A3:A43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796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</row>
    <row r="8" spans="1:7" x14ac:dyDescent="0.35">
      <c r="A8" s="1">
        <f t="shared" si="0"/>
        <v>7</v>
      </c>
      <c r="B8" t="s">
        <v>797</v>
      </c>
    </row>
    <row r="9" spans="1:7" x14ac:dyDescent="0.35">
      <c r="A9" s="1">
        <f t="shared" si="0"/>
        <v>8</v>
      </c>
      <c r="B9" t="s">
        <v>798</v>
      </c>
    </row>
    <row r="10" spans="1:7" x14ac:dyDescent="0.35">
      <c r="A10" s="1">
        <f t="shared" si="0"/>
        <v>9</v>
      </c>
    </row>
    <row r="11" spans="1:7" x14ac:dyDescent="0.35">
      <c r="A11" s="1">
        <f t="shared" si="0"/>
        <v>10</v>
      </c>
      <c r="E11" s="20" t="s">
        <v>799</v>
      </c>
      <c r="F11" s="20" t="s">
        <v>800</v>
      </c>
      <c r="G11" s="20" t="s">
        <v>803</v>
      </c>
    </row>
    <row r="12" spans="1:7" x14ac:dyDescent="0.35">
      <c r="A12" s="1">
        <f t="shared" si="0"/>
        <v>11</v>
      </c>
      <c r="E12" s="20" t="s">
        <v>2</v>
      </c>
      <c r="F12" s="20" t="s">
        <v>801</v>
      </c>
      <c r="G12" s="20" t="s">
        <v>804</v>
      </c>
    </row>
    <row r="13" spans="1:7" ht="13.9" thickBot="1" x14ac:dyDescent="0.4">
      <c r="A13" s="1">
        <f t="shared" si="0"/>
        <v>12</v>
      </c>
      <c r="E13" s="74" t="s">
        <v>593</v>
      </c>
      <c r="F13" s="74" t="s">
        <v>802</v>
      </c>
      <c r="G13" s="74" t="s">
        <v>593</v>
      </c>
    </row>
    <row r="14" spans="1:7" x14ac:dyDescent="0.35">
      <c r="A14" s="1">
        <f t="shared" si="0"/>
        <v>13</v>
      </c>
    </row>
    <row r="15" spans="1:7" x14ac:dyDescent="0.35">
      <c r="A15" s="1">
        <f t="shared" si="0"/>
        <v>14</v>
      </c>
      <c r="B15" s="19" t="s">
        <v>805</v>
      </c>
      <c r="E15" s="80"/>
      <c r="F15" s="80"/>
      <c r="G15" s="80"/>
    </row>
    <row r="16" spans="1:7" x14ac:dyDescent="0.35">
      <c r="A16" s="1">
        <f t="shared" si="0"/>
        <v>15</v>
      </c>
      <c r="E16" s="80"/>
      <c r="F16" s="80"/>
      <c r="G16" s="80"/>
    </row>
    <row r="17" spans="1:7" x14ac:dyDescent="0.35">
      <c r="A17" s="1">
        <f t="shared" si="0"/>
        <v>16</v>
      </c>
      <c r="B17" t="s">
        <v>806</v>
      </c>
      <c r="E17" s="80"/>
      <c r="F17" s="80"/>
      <c r="G17" s="80"/>
    </row>
    <row r="18" spans="1:7" x14ac:dyDescent="0.35">
      <c r="A18" s="1">
        <f t="shared" si="0"/>
        <v>17</v>
      </c>
      <c r="B18" t="s">
        <v>807</v>
      </c>
      <c r="E18" s="80">
        <f>'1.02 - ES'!D94</f>
        <v>-24450841</v>
      </c>
      <c r="F18" s="80">
        <v>-28573691</v>
      </c>
      <c r="G18" s="80">
        <f>F18-E18</f>
        <v>-4122850</v>
      </c>
    </row>
    <row r="19" spans="1:7" x14ac:dyDescent="0.35">
      <c r="A19" s="1">
        <f t="shared" si="0"/>
        <v>18</v>
      </c>
      <c r="B19" t="s">
        <v>808</v>
      </c>
      <c r="E19" s="80"/>
      <c r="F19" s="80"/>
      <c r="G19" s="80"/>
    </row>
    <row r="20" spans="1:7" x14ac:dyDescent="0.35">
      <c r="A20" s="1">
        <f t="shared" si="0"/>
        <v>19</v>
      </c>
      <c r="B20" t="s">
        <v>809</v>
      </c>
      <c r="E20" s="80">
        <f>'1.02 - ES'!D95</f>
        <v>-18919643</v>
      </c>
      <c r="F20" s="80">
        <v>-17052027</v>
      </c>
      <c r="G20" s="80">
        <f>F20-E20</f>
        <v>1867616</v>
      </c>
    </row>
    <row r="21" spans="1:7" x14ac:dyDescent="0.35">
      <c r="A21" s="1">
        <f t="shared" si="0"/>
        <v>20</v>
      </c>
      <c r="E21" s="80"/>
      <c r="F21" s="80"/>
      <c r="G21" s="80"/>
    </row>
    <row r="22" spans="1:7" x14ac:dyDescent="0.35">
      <c r="A22" s="1">
        <f t="shared" si="0"/>
        <v>21</v>
      </c>
      <c r="B22" s="19" t="s">
        <v>810</v>
      </c>
      <c r="E22" s="80"/>
      <c r="F22" s="80"/>
      <c r="G22" s="80"/>
    </row>
    <row r="23" spans="1:7" x14ac:dyDescent="0.35">
      <c r="A23" s="1">
        <f t="shared" si="0"/>
        <v>22</v>
      </c>
      <c r="E23" s="80"/>
      <c r="F23" s="80"/>
      <c r="G23" s="80"/>
    </row>
    <row r="24" spans="1:7" x14ac:dyDescent="0.35">
      <c r="A24" s="1">
        <f t="shared" si="0"/>
        <v>23</v>
      </c>
      <c r="B24" t="s">
        <v>811</v>
      </c>
      <c r="E24" s="80">
        <f>'1.04 - LTD Interest Expense'!G221</f>
        <v>105427967</v>
      </c>
      <c r="F24" s="80">
        <v>89722723</v>
      </c>
      <c r="G24" s="80">
        <f>F24-E24</f>
        <v>-15705244</v>
      </c>
    </row>
    <row r="25" spans="1:7" x14ac:dyDescent="0.35">
      <c r="A25" s="1">
        <f t="shared" si="0"/>
        <v>24</v>
      </c>
      <c r="B25" t="s">
        <v>812</v>
      </c>
      <c r="E25" s="80"/>
      <c r="F25" s="80"/>
      <c r="G25" s="80"/>
    </row>
    <row r="26" spans="1:7" x14ac:dyDescent="0.35">
      <c r="A26" s="1">
        <f t="shared" si="0"/>
        <v>25</v>
      </c>
      <c r="B26" t="s">
        <v>807</v>
      </c>
      <c r="E26" s="81">
        <f>'1.04 - LTD Interest Expense'!G222</f>
        <v>24035391</v>
      </c>
      <c r="F26" s="81">
        <v>22165396</v>
      </c>
      <c r="G26" s="81">
        <f>F26-E26</f>
        <v>-1869995</v>
      </c>
    </row>
    <row r="27" spans="1:7" x14ac:dyDescent="0.35">
      <c r="A27" s="1">
        <f t="shared" si="0"/>
        <v>26</v>
      </c>
      <c r="B27" t="s">
        <v>813</v>
      </c>
      <c r="E27" s="82">
        <f>E24-E26</f>
        <v>81392576</v>
      </c>
      <c r="F27" s="82">
        <f>F24-F26</f>
        <v>67557327</v>
      </c>
      <c r="G27" s="82">
        <f>G24-G26</f>
        <v>-13835249</v>
      </c>
    </row>
    <row r="28" spans="1:7" x14ac:dyDescent="0.35">
      <c r="A28" s="1">
        <f t="shared" si="0"/>
        <v>27</v>
      </c>
      <c r="E28" s="83"/>
      <c r="F28" s="80"/>
      <c r="G28" s="80"/>
    </row>
    <row r="29" spans="1:7" x14ac:dyDescent="0.35">
      <c r="A29" s="1">
        <f t="shared" si="0"/>
        <v>28</v>
      </c>
      <c r="B29" t="s">
        <v>814</v>
      </c>
      <c r="E29" s="80">
        <f>'1.04 - LTD Interest Expense'!G224</f>
        <v>112361639.73999998</v>
      </c>
      <c r="F29" s="80">
        <v>112361640</v>
      </c>
      <c r="G29" s="80">
        <f>F29-E29</f>
        <v>0.26000002026557922</v>
      </c>
    </row>
    <row r="30" spans="1:7" x14ac:dyDescent="0.35">
      <c r="A30" s="1">
        <f t="shared" si="0"/>
        <v>29</v>
      </c>
      <c r="B30" t="s">
        <v>815</v>
      </c>
      <c r="E30" s="80"/>
      <c r="F30" s="80"/>
      <c r="G30" s="80"/>
    </row>
    <row r="31" spans="1:7" x14ac:dyDescent="0.35">
      <c r="A31" s="1">
        <f t="shared" si="0"/>
        <v>30</v>
      </c>
      <c r="B31" t="s">
        <v>807</v>
      </c>
      <c r="E31" s="81">
        <f>'1.04 - LTD Interest Expense'!G225</f>
        <v>24450841</v>
      </c>
      <c r="F31" s="81">
        <v>28573691</v>
      </c>
      <c r="G31" s="81">
        <f>F31-E31</f>
        <v>4122850</v>
      </c>
    </row>
    <row r="32" spans="1:7" x14ac:dyDescent="0.35">
      <c r="A32" s="1">
        <f t="shared" si="0"/>
        <v>31</v>
      </c>
      <c r="B32" t="s">
        <v>816</v>
      </c>
      <c r="E32" s="82">
        <f>E29-E31</f>
        <v>87910798.73999998</v>
      </c>
      <c r="F32" s="82">
        <f>F29-F31</f>
        <v>83787949</v>
      </c>
      <c r="G32" s="82">
        <f>G29-G31</f>
        <v>-4122849.7399999797</v>
      </c>
    </row>
    <row r="33" spans="1:7" x14ac:dyDescent="0.35">
      <c r="A33" s="1">
        <f t="shared" si="0"/>
        <v>32</v>
      </c>
      <c r="E33" s="80"/>
      <c r="F33" s="80"/>
      <c r="G33" s="80"/>
    </row>
    <row r="34" spans="1:7" ht="13.9" thickBot="1" x14ac:dyDescent="0.4">
      <c r="A34" s="1">
        <f t="shared" si="0"/>
        <v>33</v>
      </c>
      <c r="B34" t="s">
        <v>817</v>
      </c>
      <c r="E34" s="84">
        <f>E27-E32</f>
        <v>-6518222.7399999797</v>
      </c>
      <c r="F34" s="84">
        <f>F27-F32</f>
        <v>-16230622</v>
      </c>
      <c r="G34" s="84">
        <f>G27-G32</f>
        <v>-9712399.2600000203</v>
      </c>
    </row>
    <row r="35" spans="1:7" ht="13.9" thickTop="1" x14ac:dyDescent="0.35">
      <c r="A35" s="1">
        <f t="shared" si="0"/>
        <v>34</v>
      </c>
      <c r="E35" s="80"/>
      <c r="F35" s="80"/>
      <c r="G35" s="80"/>
    </row>
    <row r="36" spans="1:7" x14ac:dyDescent="0.35">
      <c r="A36" s="1">
        <f t="shared" si="0"/>
        <v>35</v>
      </c>
      <c r="B36" s="19" t="s">
        <v>818</v>
      </c>
      <c r="E36" s="80"/>
      <c r="F36" s="80"/>
      <c r="G36" s="80"/>
    </row>
    <row r="37" spans="1:7" x14ac:dyDescent="0.35">
      <c r="A37" s="1">
        <f t="shared" si="0"/>
        <v>36</v>
      </c>
      <c r="E37" s="80"/>
      <c r="F37" s="80"/>
      <c r="G37" s="80"/>
    </row>
    <row r="38" spans="1:7" x14ac:dyDescent="0.35">
      <c r="A38" s="1">
        <f t="shared" si="0"/>
        <v>37</v>
      </c>
      <c r="B38" t="s">
        <v>819</v>
      </c>
      <c r="E38" s="80">
        <f>'1.05 - Interest Income'!I50</f>
        <v>25331765</v>
      </c>
      <c r="F38" s="80">
        <v>25331765</v>
      </c>
      <c r="G38" s="80">
        <f>F38-E38</f>
        <v>0</v>
      </c>
    </row>
    <row r="39" spans="1:7" x14ac:dyDescent="0.35">
      <c r="A39" s="1">
        <f t="shared" si="0"/>
        <v>38</v>
      </c>
      <c r="B39" t="s">
        <v>820</v>
      </c>
      <c r="E39" s="81">
        <f>'1.05 - Interest Income'!H50</f>
        <v>18542496</v>
      </c>
      <c r="F39" s="81">
        <v>1090741</v>
      </c>
      <c r="G39" s="81">
        <f>F39-E39</f>
        <v>-17451755</v>
      </c>
    </row>
    <row r="40" spans="1:7" x14ac:dyDescent="0.35">
      <c r="A40" s="1">
        <f t="shared" si="0"/>
        <v>39</v>
      </c>
      <c r="E40" s="80"/>
      <c r="F40" s="80"/>
      <c r="G40" s="80"/>
    </row>
    <row r="41" spans="1:7" ht="13.9" thickBot="1" x14ac:dyDescent="0.4">
      <c r="A41" s="1">
        <f t="shared" si="0"/>
        <v>40</v>
      </c>
      <c r="B41" t="s">
        <v>821</v>
      </c>
      <c r="E41" s="84">
        <f>E39-E38</f>
        <v>-6789269</v>
      </c>
      <c r="F41" s="84">
        <f t="shared" ref="F41:G41" si="1">F39-F38</f>
        <v>-24241024</v>
      </c>
      <c r="G41" s="84">
        <f t="shared" si="1"/>
        <v>-17451755</v>
      </c>
    </row>
    <row r="42" spans="1:7" ht="13.9" thickTop="1" x14ac:dyDescent="0.35">
      <c r="A42" s="1">
        <f t="shared" si="0"/>
        <v>41</v>
      </c>
      <c r="E42" s="80"/>
      <c r="F42" s="80"/>
      <c r="G42" s="80"/>
    </row>
    <row r="43" spans="1:7" x14ac:dyDescent="0.35">
      <c r="A43" s="1">
        <f t="shared" si="0"/>
        <v>42</v>
      </c>
      <c r="B43" t="s">
        <v>950</v>
      </c>
    </row>
  </sheetData>
  <mergeCells count="2">
    <mergeCell ref="B3:G3"/>
    <mergeCell ref="B4:G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"/>
  <sheetViews>
    <sheetView zoomScale="80" zoomScaleNormal="80" workbookViewId="0">
      <selection activeCell="B2" sqref="B2"/>
    </sheetView>
  </sheetViews>
  <sheetFormatPr defaultColWidth="15.625" defaultRowHeight="13.5" x14ac:dyDescent="0.35"/>
  <cols>
    <col min="1" max="1" width="4.625" customWidth="1"/>
  </cols>
  <sheetData>
    <row r="1" spans="1:7" x14ac:dyDescent="0.35">
      <c r="A1" s="1">
        <v>0</v>
      </c>
      <c r="B1" t="str">
        <f>'Ex 1 Adjust-Rev Inc'!B1</f>
        <v>ISS Exhibit 1 - Schedules 1.00-1.30 FINAL REV 03-08.xlsx</v>
      </c>
    </row>
    <row r="2" spans="1:7" ht="13.9" x14ac:dyDescent="0.4">
      <c r="A2" s="1">
        <f>A1+1</f>
        <v>1</v>
      </c>
      <c r="G2" s="4" t="s">
        <v>831</v>
      </c>
    </row>
    <row r="3" spans="1:7" ht="13.9" x14ac:dyDescent="0.4">
      <c r="A3" s="1">
        <f t="shared" ref="A3:A56" si="0">A2+1</f>
        <v>2</v>
      </c>
      <c r="B3" s="99" t="s">
        <v>8</v>
      </c>
      <c r="C3" s="99"/>
      <c r="D3" s="99"/>
      <c r="E3" s="99"/>
      <c r="F3" s="99"/>
      <c r="G3" s="99"/>
    </row>
    <row r="4" spans="1:7" ht="13.9" x14ac:dyDescent="0.4">
      <c r="A4" s="1">
        <f t="shared" si="0"/>
        <v>3</v>
      </c>
      <c r="B4" s="99" t="s">
        <v>825</v>
      </c>
      <c r="C4" s="99"/>
      <c r="D4" s="99"/>
      <c r="E4" s="99"/>
      <c r="F4" s="99"/>
      <c r="G4" s="99"/>
    </row>
    <row r="5" spans="1:7" x14ac:dyDescent="0.35">
      <c r="A5" s="1">
        <f t="shared" si="0"/>
        <v>4</v>
      </c>
    </row>
    <row r="6" spans="1:7" x14ac:dyDescent="0.35">
      <c r="A6" s="1">
        <f t="shared" si="0"/>
        <v>5</v>
      </c>
    </row>
    <row r="7" spans="1:7" x14ac:dyDescent="0.35">
      <c r="A7" s="1">
        <f t="shared" si="0"/>
        <v>6</v>
      </c>
      <c r="B7" t="s">
        <v>824</v>
      </c>
    </row>
    <row r="8" spans="1:7" x14ac:dyDescent="0.35">
      <c r="A8" s="1">
        <f t="shared" si="0"/>
        <v>7</v>
      </c>
      <c r="B8" t="s">
        <v>935</v>
      </c>
    </row>
    <row r="9" spans="1:7" x14ac:dyDescent="0.35">
      <c r="A9" s="1">
        <f t="shared" si="0"/>
        <v>8</v>
      </c>
      <c r="B9" t="s">
        <v>936</v>
      </c>
    </row>
    <row r="10" spans="1:7" x14ac:dyDescent="0.35">
      <c r="A10" s="1">
        <f t="shared" si="0"/>
        <v>9</v>
      </c>
    </row>
    <row r="11" spans="1:7" x14ac:dyDescent="0.35">
      <c r="A11" s="1">
        <f t="shared" si="0"/>
        <v>10</v>
      </c>
    </row>
    <row r="12" spans="1:7" x14ac:dyDescent="0.35">
      <c r="A12" s="1">
        <f t="shared" si="0"/>
        <v>11</v>
      </c>
      <c r="E12" s="75" t="s">
        <v>834</v>
      </c>
    </row>
    <row r="13" spans="1:7" x14ac:dyDescent="0.35">
      <c r="A13" s="1">
        <f t="shared" si="0"/>
        <v>12</v>
      </c>
      <c r="D13" s="20" t="s">
        <v>0</v>
      </c>
      <c r="E13" s="70" t="s">
        <v>5</v>
      </c>
      <c r="F13" s="20" t="s">
        <v>716</v>
      </c>
    </row>
    <row r="14" spans="1:7" ht="13.9" thickBot="1" x14ac:dyDescent="0.4">
      <c r="A14" s="1">
        <f t="shared" si="0"/>
        <v>13</v>
      </c>
      <c r="D14" s="74" t="s">
        <v>308</v>
      </c>
      <c r="E14" s="74" t="s">
        <v>300</v>
      </c>
      <c r="F14" s="74" t="s">
        <v>717</v>
      </c>
    </row>
    <row r="15" spans="1:7" x14ac:dyDescent="0.35">
      <c r="A15" s="1">
        <f t="shared" si="0"/>
        <v>14</v>
      </c>
    </row>
    <row r="16" spans="1:7" ht="13.9" thickBot="1" x14ac:dyDescent="0.4">
      <c r="A16" s="1">
        <f t="shared" si="0"/>
        <v>15</v>
      </c>
      <c r="B16" t="s">
        <v>826</v>
      </c>
      <c r="D16" s="11">
        <v>70903757</v>
      </c>
      <c r="E16" s="11">
        <v>77914560</v>
      </c>
      <c r="F16" s="11">
        <f>E16-D16</f>
        <v>7010803</v>
      </c>
    </row>
    <row r="17" spans="1:6" ht="13.9" thickTop="1" x14ac:dyDescent="0.35">
      <c r="A17" s="1">
        <f t="shared" si="0"/>
        <v>16</v>
      </c>
      <c r="D17" s="7"/>
      <c r="E17" s="7"/>
      <c r="F17" s="7"/>
    </row>
    <row r="18" spans="1:6" x14ac:dyDescent="0.35">
      <c r="A18" s="1">
        <f t="shared" si="0"/>
        <v>17</v>
      </c>
      <c r="B18" t="s">
        <v>718</v>
      </c>
      <c r="D18" s="7"/>
      <c r="E18" s="7"/>
      <c r="F18" s="7"/>
    </row>
    <row r="19" spans="1:6" x14ac:dyDescent="0.35">
      <c r="A19" s="1">
        <f t="shared" si="0"/>
        <v>18</v>
      </c>
      <c r="B19" t="s">
        <v>719</v>
      </c>
      <c r="D19" s="7">
        <v>3367079</v>
      </c>
      <c r="E19" s="7">
        <v>5624862</v>
      </c>
      <c r="F19" s="7">
        <f>E19-D19</f>
        <v>2257783</v>
      </c>
    </row>
    <row r="20" spans="1:6" x14ac:dyDescent="0.35">
      <c r="A20" s="1">
        <f t="shared" si="0"/>
        <v>19</v>
      </c>
      <c r="B20" t="s">
        <v>827</v>
      </c>
      <c r="D20" s="7">
        <v>1353065</v>
      </c>
      <c r="E20" s="7">
        <v>2661</v>
      </c>
      <c r="F20" s="7">
        <f t="shared" ref="F20:F37" si="1">E20-D20</f>
        <v>-1350404</v>
      </c>
    </row>
    <row r="21" spans="1:6" x14ac:dyDescent="0.35">
      <c r="A21" s="1">
        <f t="shared" si="0"/>
        <v>20</v>
      </c>
      <c r="B21" t="s">
        <v>721</v>
      </c>
      <c r="D21" s="7">
        <v>48682</v>
      </c>
      <c r="E21" s="7">
        <v>90674</v>
      </c>
      <c r="F21" s="7">
        <f t="shared" si="1"/>
        <v>41992</v>
      </c>
    </row>
    <row r="22" spans="1:6" x14ac:dyDescent="0.35">
      <c r="A22" s="1">
        <f t="shared" si="0"/>
        <v>21</v>
      </c>
      <c r="B22" t="s">
        <v>735</v>
      </c>
      <c r="D22" s="7">
        <v>511544</v>
      </c>
      <c r="E22" s="7">
        <v>2698809</v>
      </c>
      <c r="F22" s="7">
        <f t="shared" si="1"/>
        <v>2187265</v>
      </c>
    </row>
    <row r="23" spans="1:6" x14ac:dyDescent="0.35">
      <c r="A23" s="1">
        <f t="shared" si="0"/>
        <v>22</v>
      </c>
      <c r="B23" t="s">
        <v>830</v>
      </c>
      <c r="D23" s="7">
        <v>0</v>
      </c>
      <c r="E23" s="7">
        <v>8894</v>
      </c>
      <c r="F23" s="7">
        <f t="shared" si="1"/>
        <v>8894</v>
      </c>
    </row>
    <row r="24" spans="1:6" x14ac:dyDescent="0.35">
      <c r="A24" s="1">
        <f t="shared" si="0"/>
        <v>23</v>
      </c>
      <c r="B24" t="s">
        <v>736</v>
      </c>
      <c r="D24" s="7">
        <v>21097</v>
      </c>
      <c r="E24" s="7">
        <v>0</v>
      </c>
      <c r="F24" s="7">
        <f t="shared" si="1"/>
        <v>-21097</v>
      </c>
    </row>
    <row r="25" spans="1:6" x14ac:dyDescent="0.35">
      <c r="A25" s="1">
        <f t="shared" si="0"/>
        <v>24</v>
      </c>
      <c r="B25" t="s">
        <v>828</v>
      </c>
      <c r="D25" s="7">
        <v>64214</v>
      </c>
      <c r="E25" s="7">
        <v>0</v>
      </c>
      <c r="F25" s="7">
        <f t="shared" si="1"/>
        <v>-64214</v>
      </c>
    </row>
    <row r="26" spans="1:6" x14ac:dyDescent="0.35">
      <c r="A26" s="1">
        <f t="shared" si="0"/>
        <v>25</v>
      </c>
      <c r="B26" t="s">
        <v>737</v>
      </c>
      <c r="D26" s="7">
        <v>195573</v>
      </c>
      <c r="E26" s="7">
        <v>0</v>
      </c>
      <c r="F26" s="7">
        <f t="shared" si="1"/>
        <v>-195573</v>
      </c>
    </row>
    <row r="27" spans="1:6" x14ac:dyDescent="0.35">
      <c r="A27" s="1">
        <f t="shared" si="0"/>
        <v>26</v>
      </c>
      <c r="B27" t="s">
        <v>722</v>
      </c>
      <c r="D27" s="7">
        <v>30509</v>
      </c>
      <c r="E27" s="7">
        <v>32280</v>
      </c>
      <c r="F27" s="7">
        <f t="shared" si="1"/>
        <v>1771</v>
      </c>
    </row>
    <row r="28" spans="1:6" x14ac:dyDescent="0.35">
      <c r="A28" s="1">
        <f t="shared" si="0"/>
        <v>27</v>
      </c>
      <c r="B28" t="s">
        <v>724</v>
      </c>
      <c r="D28" s="7">
        <v>114652</v>
      </c>
      <c r="E28" s="7">
        <v>0</v>
      </c>
      <c r="F28" s="7">
        <f t="shared" si="1"/>
        <v>-114652</v>
      </c>
    </row>
    <row r="29" spans="1:6" x14ac:dyDescent="0.35">
      <c r="A29" s="1">
        <f t="shared" si="0"/>
        <v>28</v>
      </c>
      <c r="B29" t="s">
        <v>723</v>
      </c>
      <c r="D29" s="7">
        <v>8876</v>
      </c>
      <c r="E29" s="7">
        <v>9160</v>
      </c>
      <c r="F29" s="7">
        <f t="shared" si="1"/>
        <v>284</v>
      </c>
    </row>
    <row r="30" spans="1:6" x14ac:dyDescent="0.35">
      <c r="A30" s="1">
        <f t="shared" si="0"/>
        <v>29</v>
      </c>
      <c r="B30" t="s">
        <v>829</v>
      </c>
      <c r="D30" s="7">
        <v>3152</v>
      </c>
      <c r="E30" s="7">
        <v>0</v>
      </c>
      <c r="F30" s="7">
        <f t="shared" si="1"/>
        <v>-3152</v>
      </c>
    </row>
    <row r="31" spans="1:6" x14ac:dyDescent="0.35">
      <c r="A31" s="1">
        <f t="shared" si="0"/>
        <v>30</v>
      </c>
      <c r="B31" t="s">
        <v>725</v>
      </c>
      <c r="D31" s="7">
        <f>29028858+5477463+3259817</f>
        <v>37766138</v>
      </c>
      <c r="E31" s="7">
        <f>28263161+7427793+3575741</f>
        <v>39266695</v>
      </c>
      <c r="F31" s="7">
        <f t="shared" si="1"/>
        <v>1500557</v>
      </c>
    </row>
    <row r="32" spans="1:6" x14ac:dyDescent="0.35">
      <c r="A32" s="1">
        <f t="shared" si="0"/>
        <v>31</v>
      </c>
      <c r="B32" t="s">
        <v>726</v>
      </c>
      <c r="D32" s="7">
        <v>11676336</v>
      </c>
      <c r="E32" s="7">
        <v>12796417</v>
      </c>
      <c r="F32" s="7">
        <f t="shared" si="1"/>
        <v>1120081</v>
      </c>
    </row>
    <row r="33" spans="1:7" x14ac:dyDescent="0.35">
      <c r="A33" s="1">
        <f t="shared" si="0"/>
        <v>32</v>
      </c>
      <c r="B33" t="s">
        <v>727</v>
      </c>
      <c r="D33" s="7">
        <v>1057806</v>
      </c>
      <c r="E33" s="7">
        <v>1020996</v>
      </c>
      <c r="F33" s="7">
        <f t="shared" si="1"/>
        <v>-36810</v>
      </c>
    </row>
    <row r="34" spans="1:7" x14ac:dyDescent="0.35">
      <c r="A34" s="1">
        <f t="shared" si="0"/>
        <v>33</v>
      </c>
      <c r="B34" t="s">
        <v>728</v>
      </c>
      <c r="D34" s="7">
        <v>1504128</v>
      </c>
      <c r="E34" s="7">
        <v>1646924</v>
      </c>
      <c r="F34" s="7">
        <f t="shared" si="1"/>
        <v>142796</v>
      </c>
    </row>
    <row r="35" spans="1:7" x14ac:dyDescent="0.35">
      <c r="A35" s="1">
        <f t="shared" si="0"/>
        <v>34</v>
      </c>
      <c r="B35" t="s">
        <v>729</v>
      </c>
      <c r="D35" s="7">
        <v>19735</v>
      </c>
      <c r="E35" s="7">
        <v>21870</v>
      </c>
      <c r="F35" s="7">
        <f t="shared" si="1"/>
        <v>2135</v>
      </c>
    </row>
    <row r="36" spans="1:7" x14ac:dyDescent="0.35">
      <c r="A36" s="1">
        <f t="shared" si="0"/>
        <v>35</v>
      </c>
      <c r="B36" t="s">
        <v>647</v>
      </c>
      <c r="D36" s="15">
        <v>13161170</v>
      </c>
      <c r="E36" s="15">
        <v>14694317</v>
      </c>
      <c r="F36" s="15">
        <f t="shared" si="1"/>
        <v>1533147</v>
      </c>
    </row>
    <row r="37" spans="1:7" x14ac:dyDescent="0.35">
      <c r="A37" s="1">
        <f t="shared" si="0"/>
        <v>36</v>
      </c>
      <c r="B37" t="s">
        <v>738</v>
      </c>
      <c r="D37" s="9">
        <v>1</v>
      </c>
      <c r="E37" s="9">
        <v>1</v>
      </c>
      <c r="F37" s="9">
        <f t="shared" si="1"/>
        <v>0</v>
      </c>
    </row>
    <row r="38" spans="1:7" x14ac:dyDescent="0.35">
      <c r="A38" s="1">
        <f t="shared" si="0"/>
        <v>37</v>
      </c>
      <c r="D38" s="7"/>
      <c r="E38" s="7"/>
      <c r="F38" s="7"/>
    </row>
    <row r="39" spans="1:7" ht="13.9" thickBot="1" x14ac:dyDescent="0.4">
      <c r="A39" s="1">
        <f t="shared" si="0"/>
        <v>38</v>
      </c>
      <c r="B39" t="s">
        <v>730</v>
      </c>
      <c r="D39" s="11">
        <f>SUM(D19:D37)</f>
        <v>70903757</v>
      </c>
      <c r="E39" s="11">
        <f>SUM(E19:E37)</f>
        <v>77914560</v>
      </c>
      <c r="F39" s="11">
        <f>SUM(F19:F37)</f>
        <v>7010803</v>
      </c>
    </row>
    <row r="40" spans="1:7" ht="13.9" thickTop="1" x14ac:dyDescent="0.35">
      <c r="A40" s="1">
        <f t="shared" si="0"/>
        <v>39</v>
      </c>
      <c r="D40" s="7"/>
      <c r="E40" s="7"/>
      <c r="F40" s="7"/>
    </row>
    <row r="41" spans="1:7" x14ac:dyDescent="0.35">
      <c r="A41" s="1">
        <f t="shared" si="0"/>
        <v>40</v>
      </c>
      <c r="D41" s="7" t="s">
        <v>731</v>
      </c>
      <c r="E41" s="7"/>
      <c r="F41" s="31">
        <f>ROUND(F39/D39,4)</f>
        <v>9.8900000000000002E-2</v>
      </c>
    </row>
    <row r="42" spans="1:7" x14ac:dyDescent="0.35">
      <c r="A42" s="1">
        <f t="shared" si="0"/>
        <v>41</v>
      </c>
      <c r="D42" s="7"/>
      <c r="E42" s="7"/>
      <c r="F42" s="7"/>
    </row>
    <row r="43" spans="1:7" x14ac:dyDescent="0.35">
      <c r="A43" s="1">
        <f t="shared" si="0"/>
        <v>42</v>
      </c>
      <c r="B43" t="s">
        <v>732</v>
      </c>
      <c r="D43" s="7"/>
      <c r="E43" s="7"/>
      <c r="F43" s="7"/>
    </row>
    <row r="44" spans="1:7" x14ac:dyDescent="0.35">
      <c r="A44" s="1">
        <f t="shared" si="0"/>
        <v>43</v>
      </c>
      <c r="D44" s="7"/>
      <c r="E44" s="7"/>
      <c r="F44" s="7"/>
      <c r="G44" s="7"/>
    </row>
    <row r="45" spans="1:7" x14ac:dyDescent="0.35">
      <c r="A45" s="1">
        <f t="shared" si="0"/>
        <v>44</v>
      </c>
      <c r="C45" t="s">
        <v>725</v>
      </c>
      <c r="E45" s="7">
        <f>F31</f>
        <v>1500557</v>
      </c>
    </row>
    <row r="46" spans="1:7" x14ac:dyDescent="0.35">
      <c r="A46" s="1">
        <f t="shared" si="0"/>
        <v>45</v>
      </c>
      <c r="C46" t="s">
        <v>726</v>
      </c>
      <c r="E46" s="7">
        <f t="shared" ref="E46:E50" si="2">F32</f>
        <v>1120081</v>
      </c>
    </row>
    <row r="47" spans="1:7" x14ac:dyDescent="0.35">
      <c r="A47" s="1">
        <f t="shared" si="0"/>
        <v>46</v>
      </c>
      <c r="C47" t="s">
        <v>727</v>
      </c>
      <c r="E47" s="7">
        <f t="shared" si="2"/>
        <v>-36810</v>
      </c>
    </row>
    <row r="48" spans="1:7" x14ac:dyDescent="0.35">
      <c r="A48" s="1">
        <f t="shared" si="0"/>
        <v>47</v>
      </c>
      <c r="C48" t="s">
        <v>728</v>
      </c>
      <c r="E48" s="7">
        <f t="shared" si="2"/>
        <v>142796</v>
      </c>
    </row>
    <row r="49" spans="1:5" x14ac:dyDescent="0.35">
      <c r="A49" s="1">
        <f t="shared" si="0"/>
        <v>48</v>
      </c>
      <c r="C49" t="s">
        <v>729</v>
      </c>
      <c r="E49" s="7">
        <f t="shared" si="2"/>
        <v>2135</v>
      </c>
    </row>
    <row r="50" spans="1:5" x14ac:dyDescent="0.35">
      <c r="A50" s="1">
        <f t="shared" si="0"/>
        <v>49</v>
      </c>
      <c r="C50" t="s">
        <v>647</v>
      </c>
      <c r="E50" s="9">
        <f t="shared" si="2"/>
        <v>1533147</v>
      </c>
    </row>
    <row r="51" spans="1:5" x14ac:dyDescent="0.35">
      <c r="A51" s="1">
        <f t="shared" si="0"/>
        <v>50</v>
      </c>
    </row>
    <row r="52" spans="1:5" ht="13.9" thickBot="1" x14ac:dyDescent="0.4">
      <c r="A52" s="1">
        <f t="shared" si="0"/>
        <v>51</v>
      </c>
      <c r="E52" s="11">
        <f>SUM(E45:E50)</f>
        <v>4261906</v>
      </c>
    </row>
    <row r="53" spans="1:5" ht="13.9" thickTop="1" x14ac:dyDescent="0.35">
      <c r="A53" s="1">
        <f t="shared" si="0"/>
        <v>52</v>
      </c>
    </row>
    <row r="54" spans="1:5" x14ac:dyDescent="0.35">
      <c r="A54" s="1">
        <f t="shared" si="0"/>
        <v>53</v>
      </c>
      <c r="B54" t="s">
        <v>840</v>
      </c>
    </row>
    <row r="55" spans="1:5" x14ac:dyDescent="0.35">
      <c r="A55" s="1">
        <f t="shared" si="0"/>
        <v>54</v>
      </c>
      <c r="B55" t="s">
        <v>841</v>
      </c>
    </row>
    <row r="56" spans="1:5" x14ac:dyDescent="0.35">
      <c r="A56" s="1">
        <f t="shared" si="0"/>
        <v>55</v>
      </c>
    </row>
  </sheetData>
  <mergeCells count="2">
    <mergeCell ref="B3:G3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Ex 1 Adjust-Rev Inc</vt:lpstr>
      <vt:lpstr>Sch 1.00 - Summary</vt:lpstr>
      <vt:lpstr>1.01 - FAC</vt:lpstr>
      <vt:lpstr>1.02 - ES</vt:lpstr>
      <vt:lpstr>1.03 - ES Off-System</vt:lpstr>
      <vt:lpstr>1.04 - LTD Interest Expense</vt:lpstr>
      <vt:lpstr>1.05 - Interest Income</vt:lpstr>
      <vt:lpstr>1.06 - Cushion of Credit</vt:lpstr>
      <vt:lpstr>1.07 - Wages Salaries</vt:lpstr>
      <vt:lpstr>1.08 - Payroll Taxes</vt:lpstr>
      <vt:lpstr>1.09 - Med Ins</vt:lpstr>
      <vt:lpstr>1.10 - Benefits</vt:lpstr>
      <vt:lpstr>1.11 - Retiree Med Ins</vt:lpstr>
      <vt:lpstr>1.12 - Misc. Employee Benefits</vt:lpstr>
      <vt:lpstr>1.13 - Advertising</vt:lpstr>
      <vt:lpstr>1.14 - Directors Expenses</vt:lpstr>
      <vt:lpstr>1.15 - 426 Donations</vt:lpstr>
      <vt:lpstr>1.16 - Lobbying</vt:lpstr>
      <vt:lpstr>1.17 - Touchstone</vt:lpstr>
      <vt:lpstr>1.18 - Non-Recur &amp; Other</vt:lpstr>
      <vt:lpstr>1.19 - Depreciation</vt:lpstr>
      <vt:lpstr>1.20 - Amort Smith 1</vt:lpstr>
      <vt:lpstr>1.21 - Amort Dale ES RegA</vt:lpstr>
      <vt:lpstr>1.22 - Amort Dale Asbestos</vt:lpstr>
      <vt:lpstr>1.23 - Forced Outage High PP</vt:lpstr>
      <vt:lpstr>1.24 - Insurance Expense</vt:lpstr>
      <vt:lpstr>1.25 - RTEP</vt:lpstr>
      <vt:lpstr>1.26 - Spurlock Reg Asset</vt:lpstr>
      <vt:lpstr>1.27 - Rate Case Expense</vt:lpstr>
      <vt:lpstr>1.28 - Remove Bill Credits</vt:lpstr>
      <vt:lpstr>1.29 - PSC Assessment</vt:lpstr>
      <vt:lpstr>1.30 - Revenue Increase</vt:lpstr>
    </vt:vector>
  </TitlesOfParts>
  <Company>East Kentucky Power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Allyson Honaker</cp:lastModifiedBy>
  <dcterms:created xsi:type="dcterms:W3CDTF">2017-04-05T11:43:35Z</dcterms:created>
  <dcterms:modified xsi:type="dcterms:W3CDTF">2021-03-30T16:55:15Z</dcterms:modified>
</cp:coreProperties>
</file>