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X:\Clients\4000 - East Kentucky Power\0021 - 2021 Rate Case\Pleadings\Case No. 2021-00103 - EKPC\Excel Spreadsheets to file\"/>
    </mc:Choice>
  </mc:AlternateContent>
  <xr:revisionPtr revIDLastSave="0" documentId="8_{66B86053-6EDA-45C7-A7A5-1460D466445E}" xr6:coauthVersionLast="45" xr6:coauthVersionMax="45" xr10:uidLastSave="{00000000-0000-0000-0000-000000000000}"/>
  <bookViews>
    <workbookView xWindow="-98" yWindow="-98" windowWidth="18841" windowHeight="13875" xr2:uid="{00000000-000D-0000-FFFF-FFFF00000000}"/>
  </bookViews>
  <sheets>
    <sheet name="Sept 18th payroll tax alloc" sheetId="3" r:id="rId1"/>
    <sheet name="Sept 18th payroll taxes" sheetId="1" r:id="rId2"/>
    <sheet name="Sept 18th payroll by acct" sheetId="2" r:id="rId3"/>
    <sheet name="clearing &amp; stores account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4" l="1"/>
  <c r="A1" i="2"/>
  <c r="A1" i="1"/>
  <c r="S96" i="3" l="1"/>
  <c r="S88" i="3"/>
  <c r="S86" i="3"/>
  <c r="S80" i="3"/>
  <c r="S67" i="3"/>
  <c r="S63" i="3"/>
  <c r="S101" i="3"/>
  <c r="S32" i="3"/>
  <c r="S29" i="3"/>
  <c r="S30" i="3"/>
  <c r="S19" i="3"/>
  <c r="S100" i="3" l="1"/>
  <c r="S103" i="3" s="1"/>
  <c r="T101" i="3" s="1"/>
  <c r="S97" i="3"/>
  <c r="T96" i="3" l="1"/>
  <c r="T27" i="3"/>
  <c r="T100" i="3"/>
  <c r="T103" i="3" s="1"/>
  <c r="T29" i="3"/>
  <c r="T86" i="3"/>
  <c r="T89" i="3"/>
  <c r="T88" i="3"/>
  <c r="T67" i="3"/>
  <c r="T80" i="3"/>
  <c r="T49" i="3"/>
  <c r="T63" i="3"/>
  <c r="T11" i="3"/>
  <c r="T31" i="3"/>
  <c r="T19" i="3"/>
  <c r="T32" i="3"/>
  <c r="T30" i="3"/>
  <c r="T24" i="3"/>
  <c r="T13" i="3"/>
  <c r="T12" i="3"/>
  <c r="T23" i="3"/>
  <c r="T97" i="3" l="1"/>
  <c r="D47" i="4" l="1"/>
  <c r="F47" i="4" s="1"/>
  <c r="D46" i="4"/>
  <c r="D48" i="4" l="1"/>
  <c r="E57" i="3"/>
  <c r="F79" i="4"/>
  <c r="F46" i="4"/>
  <c r="E41" i="3" l="1"/>
  <c r="F48" i="4"/>
  <c r="F77" i="4"/>
  <c r="D97" i="3"/>
  <c r="G11" i="3"/>
  <c r="G12" i="3"/>
  <c r="J12" i="3" s="1"/>
  <c r="Q12" i="3" s="1"/>
  <c r="G13" i="3"/>
  <c r="J13" i="3" s="1"/>
  <c r="G14" i="3"/>
  <c r="G15" i="3"/>
  <c r="G20" i="3"/>
  <c r="G21" i="3"/>
  <c r="G22" i="3"/>
  <c r="G23" i="3"/>
  <c r="G24" i="3"/>
  <c r="J24" i="3" s="1"/>
  <c r="G25" i="3"/>
  <c r="G26" i="3"/>
  <c r="G27" i="3"/>
  <c r="G28" i="3"/>
  <c r="G29" i="3"/>
  <c r="G30" i="3"/>
  <c r="G31" i="3"/>
  <c r="J31" i="3" s="1"/>
  <c r="G32" i="3"/>
  <c r="J32" i="3" s="1"/>
  <c r="Q32" i="3" s="1"/>
  <c r="G34" i="3"/>
  <c r="G36" i="3"/>
  <c r="G37" i="3"/>
  <c r="G38" i="3"/>
  <c r="G39" i="3"/>
  <c r="G41" i="3"/>
  <c r="G42" i="3"/>
  <c r="G43" i="3"/>
  <c r="J43" i="3" s="1"/>
  <c r="G45" i="3"/>
  <c r="G47" i="3"/>
  <c r="G49" i="3"/>
  <c r="G51" i="3"/>
  <c r="G53" i="3"/>
  <c r="G54" i="3"/>
  <c r="G55" i="3"/>
  <c r="G56" i="3"/>
  <c r="G57" i="3"/>
  <c r="G58" i="3"/>
  <c r="G59" i="3"/>
  <c r="J59" i="3" s="1"/>
  <c r="G60" i="3"/>
  <c r="G61" i="3"/>
  <c r="G62" i="3"/>
  <c r="G63" i="3"/>
  <c r="G64" i="3"/>
  <c r="G65" i="3"/>
  <c r="G66" i="3"/>
  <c r="G67" i="3"/>
  <c r="G68" i="3"/>
  <c r="J68" i="3" s="1"/>
  <c r="G69" i="3"/>
  <c r="G70" i="3"/>
  <c r="G71" i="3"/>
  <c r="G72" i="3"/>
  <c r="G74" i="3"/>
  <c r="G75" i="3"/>
  <c r="J75" i="3" s="1"/>
  <c r="G76" i="3"/>
  <c r="J76" i="3" s="1"/>
  <c r="G77" i="3"/>
  <c r="G78" i="3"/>
  <c r="G80" i="3"/>
  <c r="G81" i="3"/>
  <c r="G82" i="3"/>
  <c r="G84" i="3"/>
  <c r="G86" i="3"/>
  <c r="G87" i="3"/>
  <c r="J87" i="3" s="1"/>
  <c r="G88" i="3"/>
  <c r="J88" i="3" s="1"/>
  <c r="G89" i="3"/>
  <c r="J89" i="3" s="1"/>
  <c r="N89" i="3" s="1"/>
  <c r="Q89" i="3" s="1"/>
  <c r="G90" i="3"/>
  <c r="G91" i="3"/>
  <c r="G92" i="3"/>
  <c r="G93" i="3"/>
  <c r="G94" i="3"/>
  <c r="G95" i="3"/>
  <c r="G96" i="3"/>
  <c r="J67" i="3" l="1"/>
  <c r="J30" i="3"/>
  <c r="Q30" i="3" s="1"/>
  <c r="J23" i="3"/>
  <c r="Q23" i="3" s="1"/>
  <c r="J37" i="3"/>
  <c r="J78" i="3"/>
  <c r="J96" i="3"/>
  <c r="J58" i="3"/>
  <c r="Q13" i="3"/>
  <c r="J94" i="3"/>
  <c r="N32" i="3"/>
  <c r="Q31" i="3"/>
  <c r="J65" i="3"/>
  <c r="N67" i="3" s="1"/>
  <c r="Q67" i="3" s="1"/>
  <c r="J82" i="3"/>
  <c r="J63" i="3"/>
  <c r="J61" i="3"/>
  <c r="J72" i="3"/>
  <c r="J91" i="3"/>
  <c r="Q24" i="3"/>
  <c r="N30" i="3"/>
  <c r="J39" i="3"/>
  <c r="J70" i="3"/>
  <c r="J54" i="3"/>
  <c r="N88" i="3"/>
  <c r="Q88" i="3" s="1"/>
  <c r="F19" i="3"/>
  <c r="G19" i="3" s="1"/>
  <c r="F18" i="3"/>
  <c r="G18" i="3" s="1"/>
  <c r="F96" i="4"/>
  <c r="F17" i="3"/>
  <c r="G17" i="3" s="1"/>
  <c r="F16" i="3"/>
  <c r="D89" i="4"/>
  <c r="F89" i="4" s="1"/>
  <c r="D88" i="4"/>
  <c r="F88" i="4" s="1"/>
  <c r="D72" i="4"/>
  <c r="F72" i="4" s="1"/>
  <c r="D71" i="4"/>
  <c r="F64" i="4"/>
  <c r="N96" i="3" l="1"/>
  <c r="Q96" i="3" s="1"/>
  <c r="F97" i="3"/>
  <c r="G16" i="3"/>
  <c r="J19" i="3" s="1"/>
  <c r="E52" i="3"/>
  <c r="G52" i="3" s="1"/>
  <c r="J52" i="3" s="1"/>
  <c r="F101" i="4"/>
  <c r="F100" i="4"/>
  <c r="F102" i="4" s="1"/>
  <c r="F71" i="4"/>
  <c r="D73" i="4"/>
  <c r="E35" i="3"/>
  <c r="G35" i="3" s="1"/>
  <c r="J35" i="3" s="1"/>
  <c r="N117" i="3" s="1"/>
  <c r="N118" i="3" s="1"/>
  <c r="N120" i="3" s="1"/>
  <c r="N129" i="3" s="1"/>
  <c r="D56" i="4"/>
  <c r="F56" i="4" s="1"/>
  <c r="E50" i="3" s="1"/>
  <c r="G50" i="3" s="1"/>
  <c r="J51" i="3" s="1"/>
  <c r="D55" i="4"/>
  <c r="F38" i="4"/>
  <c r="D31" i="4"/>
  <c r="F31" i="4" s="1"/>
  <c r="D30" i="4"/>
  <c r="F30" i="4" s="1"/>
  <c r="D29" i="4"/>
  <c r="F29" i="4" s="1"/>
  <c r="D28" i="4"/>
  <c r="F28" i="4" s="1"/>
  <c r="M24" i="4" s="1"/>
  <c r="E40" i="3" s="1"/>
  <c r="G40" i="3" s="1"/>
  <c r="J42" i="3" s="1"/>
  <c r="D27" i="4"/>
  <c r="D20" i="4"/>
  <c r="F20" i="4" s="1"/>
  <c r="D19" i="4"/>
  <c r="F19" i="4" s="1"/>
  <c r="D18" i="4"/>
  <c r="D8" i="4"/>
  <c r="D11" i="4"/>
  <c r="F11" i="4" s="1"/>
  <c r="E85" i="3" s="1"/>
  <c r="G85" i="3" s="1"/>
  <c r="J86" i="3" s="1"/>
  <c r="D10" i="4"/>
  <c r="F10" i="4" s="1"/>
  <c r="E83" i="3" s="1"/>
  <c r="G83" i="3" s="1"/>
  <c r="J84" i="3" s="1"/>
  <c r="D9" i="4"/>
  <c r="F9" i="4" s="1"/>
  <c r="E79" i="3" s="1"/>
  <c r="G79" i="3" s="1"/>
  <c r="J80" i="3" s="1"/>
  <c r="D7" i="4"/>
  <c r="F7" i="4" s="1"/>
  <c r="E73" i="3" s="1"/>
  <c r="G73" i="3" s="1"/>
  <c r="J74" i="3" s="1"/>
  <c r="D6" i="4"/>
  <c r="G108" i="3"/>
  <c r="G107" i="3"/>
  <c r="G106" i="3"/>
  <c r="Q19" i="3" l="1"/>
  <c r="N23" i="3"/>
  <c r="N80" i="3"/>
  <c r="N63" i="3"/>
  <c r="N86" i="3"/>
  <c r="G109" i="3"/>
  <c r="F92" i="2" s="1"/>
  <c r="F78" i="4"/>
  <c r="F27" i="4"/>
  <c r="D32" i="4"/>
  <c r="F6" i="4"/>
  <c r="F12" i="4" s="1"/>
  <c r="D12" i="4"/>
  <c r="F18" i="4"/>
  <c r="F21" i="4" s="1"/>
  <c r="D21" i="4"/>
  <c r="F55" i="4"/>
  <c r="F76" i="4" s="1"/>
  <c r="F80" i="4" s="1"/>
  <c r="D57" i="4"/>
  <c r="F73" i="4"/>
  <c r="M26" i="4"/>
  <c r="E46" i="3" s="1"/>
  <c r="G46" i="3" s="1"/>
  <c r="J47" i="3" s="1"/>
  <c r="N122" i="3" s="1"/>
  <c r="N123" i="3" s="1"/>
  <c r="N125" i="3" s="1"/>
  <c r="N130" i="3" s="1"/>
  <c r="M27" i="4"/>
  <c r="E48" i="3" s="1"/>
  <c r="G48" i="3" s="1"/>
  <c r="J49" i="3" s="1"/>
  <c r="F90" i="2"/>
  <c r="F93" i="2" l="1"/>
  <c r="I78" i="2"/>
  <c r="L79" i="2" s="1"/>
  <c r="I89" i="2"/>
  <c r="N89" i="2" s="1"/>
  <c r="I47" i="2"/>
  <c r="N47" i="2" s="1"/>
  <c r="I21" i="2"/>
  <c r="I17" i="2"/>
  <c r="I26" i="2"/>
  <c r="L26" i="2" s="1"/>
  <c r="I82" i="2"/>
  <c r="L82" i="2" s="1"/>
  <c r="I74" i="2"/>
  <c r="L75" i="2" s="1"/>
  <c r="I40" i="2"/>
  <c r="L41" i="2" s="1"/>
  <c r="I10" i="2"/>
  <c r="I9" i="2"/>
  <c r="I64" i="2"/>
  <c r="L65" i="2" s="1"/>
  <c r="I13" i="2"/>
  <c r="I23" i="2"/>
  <c r="I55" i="2"/>
  <c r="L56" i="2" s="1"/>
  <c r="I67" i="2"/>
  <c r="N67" i="2" s="1"/>
  <c r="I59" i="2"/>
  <c r="I20" i="2"/>
  <c r="I87" i="2"/>
  <c r="I69" i="2"/>
  <c r="L69" i="2" s="1"/>
  <c r="I43" i="2"/>
  <c r="N43" i="2" s="1"/>
  <c r="Q86" i="3"/>
  <c r="I81" i="2"/>
  <c r="L81" i="2" s="1"/>
  <c r="I58" i="2"/>
  <c r="N58" i="2" s="1"/>
  <c r="I61" i="2"/>
  <c r="L61" i="2" s="1"/>
  <c r="I66" i="2"/>
  <c r="L67" i="2" s="1"/>
  <c r="I11" i="2"/>
  <c r="I24" i="2"/>
  <c r="Q63" i="3"/>
  <c r="I85" i="2"/>
  <c r="I72" i="2"/>
  <c r="L73" i="2" s="1"/>
  <c r="I12" i="2"/>
  <c r="Q80" i="3"/>
  <c r="I15" i="2"/>
  <c r="I68" i="2"/>
  <c r="L68" i="2" s="1"/>
  <c r="I79" i="2"/>
  <c r="N79" i="2" s="1"/>
  <c r="I32" i="2"/>
  <c r="L33" i="2" s="1"/>
  <c r="I65" i="2"/>
  <c r="N65" i="2" s="1"/>
  <c r="I22" i="2"/>
  <c r="I42" i="2"/>
  <c r="L43" i="2" s="1"/>
  <c r="I34" i="2"/>
  <c r="I70" i="2"/>
  <c r="L71" i="2" s="1"/>
  <c r="I50" i="2"/>
  <c r="I19" i="2"/>
  <c r="L19" i="2" s="1"/>
  <c r="I62" i="2"/>
  <c r="L63" i="2" s="1"/>
  <c r="I52" i="2"/>
  <c r="L52" i="2" s="1"/>
  <c r="I35" i="2"/>
  <c r="I31" i="2"/>
  <c r="N31" i="2" s="1"/>
  <c r="I8" i="2"/>
  <c r="L8" i="2" s="1"/>
  <c r="I27" i="2"/>
  <c r="L27" i="2" s="1"/>
  <c r="I84" i="2"/>
  <c r="N84" i="2" s="1"/>
  <c r="I16" i="2"/>
  <c r="I37" i="2"/>
  <c r="L37" i="2" s="1"/>
  <c r="I48" i="2"/>
  <c r="I56" i="2"/>
  <c r="N56" i="2" s="1"/>
  <c r="I75" i="2"/>
  <c r="N75" i="2" s="1"/>
  <c r="I77" i="2"/>
  <c r="N77" i="2" s="1"/>
  <c r="I5" i="2"/>
  <c r="L6" i="2" s="1"/>
  <c r="I80" i="2"/>
  <c r="L80" i="2" s="1"/>
  <c r="I46" i="2"/>
  <c r="L47" i="2" s="1"/>
  <c r="I38" i="2"/>
  <c r="L39" i="2" s="1"/>
  <c r="I53" i="2"/>
  <c r="L54" i="2" s="1"/>
  <c r="I49" i="2"/>
  <c r="I88" i="2"/>
  <c r="L89" i="2" s="1"/>
  <c r="I28" i="2"/>
  <c r="L29" i="2" s="1"/>
  <c r="M25" i="4"/>
  <c r="E44" i="3" s="1"/>
  <c r="G44" i="3" s="1"/>
  <c r="J45" i="3" s="1"/>
  <c r="E33" i="3"/>
  <c r="G33" i="3" s="1"/>
  <c r="J34" i="3" s="1"/>
  <c r="F57" i="4"/>
  <c r="M23" i="4"/>
  <c r="E10" i="3" s="1"/>
  <c r="F32" i="4"/>
  <c r="G10" i="3"/>
  <c r="I6" i="1"/>
  <c r="L14" i="2" l="1"/>
  <c r="L51" i="2"/>
  <c r="L36" i="2"/>
  <c r="L25" i="2"/>
  <c r="I7" i="2"/>
  <c r="L7" i="2" s="1"/>
  <c r="I6" i="2"/>
  <c r="N6" i="2" s="1"/>
  <c r="I14" i="2"/>
  <c r="N14" i="2" s="1"/>
  <c r="I76" i="2"/>
  <c r="L77" i="2" s="1"/>
  <c r="I71" i="2"/>
  <c r="N71" i="2" s="1"/>
  <c r="I44" i="2"/>
  <c r="L45" i="2" s="1"/>
  <c r="I30" i="2"/>
  <c r="L31" i="2" s="1"/>
  <c r="I57" i="2"/>
  <c r="L58" i="2" s="1"/>
  <c r="I45" i="2"/>
  <c r="N45" i="2" s="1"/>
  <c r="I41" i="2"/>
  <c r="N41" i="2" s="1"/>
  <c r="I33" i="2"/>
  <c r="N33" i="2" s="1"/>
  <c r="I63" i="2"/>
  <c r="N63" i="2" s="1"/>
  <c r="I36" i="2"/>
  <c r="N36" i="2" s="1"/>
  <c r="I51" i="2"/>
  <c r="N51" i="2" s="1"/>
  <c r="I18" i="2"/>
  <c r="L18" i="2" s="1"/>
  <c r="I39" i="2"/>
  <c r="I54" i="2"/>
  <c r="N54" i="2" s="1"/>
  <c r="I29" i="2"/>
  <c r="N29" i="2" s="1"/>
  <c r="I86" i="2"/>
  <c r="L87" i="2" s="1"/>
  <c r="I73" i="2"/>
  <c r="N73" i="2" s="1"/>
  <c r="I60" i="2"/>
  <c r="L60" i="2" s="1"/>
  <c r="I25" i="2"/>
  <c r="N25" i="2" s="1"/>
  <c r="I83" i="2"/>
  <c r="L84" i="2" s="1"/>
  <c r="N49" i="3"/>
  <c r="N127" i="3" s="1"/>
  <c r="N128" i="3" s="1"/>
  <c r="N131" i="3" s="1"/>
  <c r="Q49" i="3" s="1"/>
  <c r="E97" i="3"/>
  <c r="G97" i="3"/>
  <c r="J11" i="3"/>
  <c r="L92" i="2" l="1"/>
  <c r="L93" i="2"/>
  <c r="L94" i="2"/>
  <c r="N92" i="2"/>
  <c r="I90" i="2"/>
  <c r="I92" i="2" s="1"/>
  <c r="N39" i="2"/>
  <c r="L90" i="2"/>
  <c r="J97" i="3"/>
  <c r="K13" i="3" s="1"/>
  <c r="N12" i="3"/>
  <c r="Q11" i="3"/>
  <c r="N101" i="3"/>
  <c r="K19" i="3" l="1"/>
  <c r="K11" i="3"/>
  <c r="K12" i="3"/>
  <c r="M92" i="2"/>
  <c r="M54" i="2"/>
  <c r="M47" i="2"/>
  <c r="M8" i="2"/>
  <c r="M80" i="2"/>
  <c r="M67" i="2"/>
  <c r="M56" i="2"/>
  <c r="M61" i="2"/>
  <c r="M43" i="2"/>
  <c r="M89" i="2"/>
  <c r="M39" i="2"/>
  <c r="M75" i="2"/>
  <c r="M81" i="2"/>
  <c r="M41" i="2"/>
  <c r="M37" i="2"/>
  <c r="M26" i="2"/>
  <c r="M33" i="2"/>
  <c r="M68" i="2"/>
  <c r="M52" i="2"/>
  <c r="M63" i="2"/>
  <c r="M73" i="2"/>
  <c r="M79" i="2"/>
  <c r="M82" i="2"/>
  <c r="M6" i="2"/>
  <c r="M29" i="2"/>
  <c r="M65" i="2"/>
  <c r="M19" i="2"/>
  <c r="M69" i="2"/>
  <c r="M71" i="2"/>
  <c r="M27" i="2"/>
  <c r="M45" i="2"/>
  <c r="M84" i="2"/>
  <c r="M77" i="2"/>
  <c r="M31" i="2"/>
  <c r="M51" i="2"/>
  <c r="M7" i="2"/>
  <c r="N90" i="2"/>
  <c r="M58" i="2"/>
  <c r="N93" i="2"/>
  <c r="L97" i="2"/>
  <c r="M36" i="2"/>
  <c r="M25" i="2"/>
  <c r="M93" i="2"/>
  <c r="M94" i="2" s="1"/>
  <c r="L98" i="2"/>
  <c r="M60" i="2"/>
  <c r="M14" i="2"/>
  <c r="M18" i="2"/>
  <c r="M87" i="2"/>
  <c r="Q101" i="3"/>
  <c r="Q107" i="3" s="1"/>
  <c r="Q100" i="3"/>
  <c r="Q106" i="3" s="1"/>
  <c r="Q97" i="3"/>
  <c r="S98" i="3" s="1"/>
  <c r="N100" i="3"/>
  <c r="N97" i="3"/>
  <c r="K23" i="3"/>
  <c r="K72" i="3"/>
  <c r="K39" i="3"/>
  <c r="K96" i="3"/>
  <c r="K68" i="3"/>
  <c r="K37" i="3"/>
  <c r="K94" i="3"/>
  <c r="K91" i="3"/>
  <c r="K65" i="3"/>
  <c r="K32" i="3"/>
  <c r="K88" i="3"/>
  <c r="K59" i="3"/>
  <c r="K24" i="3"/>
  <c r="K82" i="3"/>
  <c r="K78" i="3"/>
  <c r="K75" i="3"/>
  <c r="K70" i="3"/>
  <c r="K67" i="3"/>
  <c r="K89" i="3"/>
  <c r="K31" i="3"/>
  <c r="K30" i="3"/>
  <c r="K43" i="3"/>
  <c r="K63" i="3"/>
  <c r="K61" i="3"/>
  <c r="K87" i="3"/>
  <c r="K54" i="3"/>
  <c r="K76" i="3"/>
  <c r="K58" i="3"/>
  <c r="K42" i="3"/>
  <c r="K80" i="3"/>
  <c r="K84" i="3"/>
  <c r="K86" i="3"/>
  <c r="K74" i="3"/>
  <c r="K51" i="3"/>
  <c r="K35" i="3"/>
  <c r="K52" i="3"/>
  <c r="K47" i="3"/>
  <c r="K49" i="3"/>
  <c r="K34" i="3"/>
  <c r="K45" i="3"/>
  <c r="Q108" i="3" l="1"/>
  <c r="K97" i="3"/>
  <c r="O8" i="2"/>
  <c r="O82" i="2"/>
  <c r="O52" i="2"/>
  <c r="O61" i="2"/>
  <c r="O26" i="2"/>
  <c r="O18" i="2"/>
  <c r="O7" i="2"/>
  <c r="O69" i="2"/>
  <c r="O87" i="2"/>
  <c r="O27" i="2"/>
  <c r="O19" i="2"/>
  <c r="O68" i="2"/>
  <c r="O37" i="2"/>
  <c r="O60" i="2"/>
  <c r="O81" i="2"/>
  <c r="O80" i="2"/>
  <c r="O58" i="2"/>
  <c r="O31" i="2"/>
  <c r="O56" i="2"/>
  <c r="O67" i="2"/>
  <c r="O65" i="2"/>
  <c r="O84" i="2"/>
  <c r="O79" i="2"/>
  <c r="O43" i="2"/>
  <c r="O89" i="2"/>
  <c r="O47" i="2"/>
  <c r="O75" i="2"/>
  <c r="O77" i="2"/>
  <c r="O33" i="2"/>
  <c r="O36" i="2"/>
  <c r="O14" i="2"/>
  <c r="O51" i="2"/>
  <c r="O63" i="2"/>
  <c r="O73" i="2"/>
  <c r="O71" i="2"/>
  <c r="O25" i="2"/>
  <c r="O45" i="2"/>
  <c r="O41" i="2"/>
  <c r="O29" i="2"/>
  <c r="O6" i="2"/>
  <c r="O54" i="2"/>
  <c r="M90" i="2"/>
  <c r="L99" i="2"/>
  <c r="O39" i="2"/>
  <c r="N94" i="2"/>
  <c r="O12" i="3"/>
  <c r="O88" i="3"/>
  <c r="O30" i="3"/>
  <c r="O23" i="3"/>
  <c r="O67" i="3"/>
  <c r="O96" i="3"/>
  <c r="O89" i="3"/>
  <c r="O32" i="3"/>
  <c r="O63" i="3"/>
  <c r="O80" i="3"/>
  <c r="O86" i="3"/>
  <c r="O49" i="3"/>
  <c r="U97" i="3"/>
  <c r="R96" i="3"/>
  <c r="R23" i="3"/>
  <c r="R89" i="3"/>
  <c r="R88" i="3"/>
  <c r="R24" i="3"/>
  <c r="R31" i="3"/>
  <c r="R13" i="3"/>
  <c r="R12" i="3"/>
  <c r="R30" i="3"/>
  <c r="R32" i="3"/>
  <c r="R67" i="3"/>
  <c r="R19" i="3"/>
  <c r="R86" i="3"/>
  <c r="R63" i="3"/>
  <c r="R80" i="3"/>
  <c r="N103" i="3"/>
  <c r="O101" i="3" s="1"/>
  <c r="R11" i="3"/>
  <c r="R49" i="3"/>
  <c r="Q103" i="3"/>
  <c r="U103" i="3" s="1"/>
  <c r="R100" i="3"/>
  <c r="U100" i="3"/>
  <c r="U101" i="3"/>
  <c r="M98" i="2" l="1"/>
  <c r="L95" i="2"/>
  <c r="O92" i="2"/>
  <c r="N95" i="2"/>
  <c r="R101" i="3"/>
  <c r="R103" i="3" s="1"/>
  <c r="M97" i="2"/>
  <c r="M99" i="2" s="1"/>
  <c r="O90" i="2"/>
  <c r="O93" i="2"/>
  <c r="O94" i="2" s="1"/>
  <c r="R97" i="3"/>
  <c r="O100" i="3"/>
  <c r="O103" i="3" s="1"/>
  <c r="O97" i="3"/>
</calcChain>
</file>

<file path=xl/sharedStrings.xml><?xml version="1.0" encoding="utf-8"?>
<sst xmlns="http://schemas.openxmlformats.org/spreadsheetml/2006/main" count="786" uniqueCount="215">
  <si>
    <t>Period</t>
  </si>
  <si>
    <t>Date</t>
  </si>
  <si>
    <t>Journal ID</t>
  </si>
  <si>
    <t>Account</t>
  </si>
  <si>
    <t>Oper Unit</t>
  </si>
  <si>
    <t>Dept</t>
  </si>
  <si>
    <t>Budget Code</t>
  </si>
  <si>
    <t>Project</t>
  </si>
  <si>
    <t>Amount</t>
  </si>
  <si>
    <t>Descr</t>
  </si>
  <si>
    <t>Stat Amt</t>
  </si>
  <si>
    <t>Source</t>
  </si>
  <si>
    <t>Status</t>
  </si>
  <si>
    <t>408200</t>
  </si>
  <si>
    <t>007</t>
  </si>
  <si>
    <t>Payroll Journal</t>
  </si>
  <si>
    <t>PR</t>
  </si>
  <si>
    <t>P</t>
  </si>
  <si>
    <t>408300</t>
  </si>
  <si>
    <t>408400</t>
  </si>
  <si>
    <t>PR00052817</t>
  </si>
  <si>
    <t>107200</t>
  </si>
  <si>
    <t>1000</t>
  </si>
  <si>
    <t>1400</t>
  </si>
  <si>
    <t>108800</t>
  </si>
  <si>
    <t>143005</t>
  </si>
  <si>
    <t>152000</t>
  </si>
  <si>
    <t>152002</t>
  </si>
  <si>
    <t>152003</t>
  </si>
  <si>
    <t>163000</t>
  </si>
  <si>
    <t>163030</t>
  </si>
  <si>
    <t>163040</t>
  </si>
  <si>
    <t>163050</t>
  </si>
  <si>
    <t>183000</t>
  </si>
  <si>
    <t>184222</t>
  </si>
  <si>
    <t>184224</t>
  </si>
  <si>
    <t>184226</t>
  </si>
  <si>
    <t>184228</t>
  </si>
  <si>
    <t>417103</t>
  </si>
  <si>
    <t>426400</t>
  </si>
  <si>
    <t>500000</t>
  </si>
  <si>
    <t>502000</t>
  </si>
  <si>
    <t>505000</t>
  </si>
  <si>
    <t>506001</t>
  </si>
  <si>
    <t>506002</t>
  </si>
  <si>
    <t>510000</t>
  </si>
  <si>
    <t>511000</t>
  </si>
  <si>
    <t>512000</t>
  </si>
  <si>
    <t>513000</t>
  </si>
  <si>
    <t>546000</t>
  </si>
  <si>
    <t>548000</t>
  </si>
  <si>
    <t>549001</t>
  </si>
  <si>
    <t>549002</t>
  </si>
  <si>
    <t>551000</t>
  </si>
  <si>
    <t>552000</t>
  </si>
  <si>
    <t>553000</t>
  </si>
  <si>
    <t>556000</t>
  </si>
  <si>
    <t>557001</t>
  </si>
  <si>
    <t>557002</t>
  </si>
  <si>
    <t>560000</t>
  </si>
  <si>
    <t>561000</t>
  </si>
  <si>
    <t>562000</t>
  </si>
  <si>
    <t>563000</t>
  </si>
  <si>
    <t>566000</t>
  </si>
  <si>
    <t>568000</t>
  </si>
  <si>
    <t>570000</t>
  </si>
  <si>
    <t>571000</t>
  </si>
  <si>
    <t>581000</t>
  </si>
  <si>
    <t>582000</t>
  </si>
  <si>
    <t>592000</t>
  </si>
  <si>
    <t>908000</t>
  </si>
  <si>
    <t>909000</t>
  </si>
  <si>
    <t>913000</t>
  </si>
  <si>
    <t>920000</t>
  </si>
  <si>
    <t>930100</t>
  </si>
  <si>
    <t>930202</t>
  </si>
  <si>
    <t>930204</t>
  </si>
  <si>
    <t>935000</t>
  </si>
  <si>
    <t>Sum Amount</t>
  </si>
  <si>
    <t xml:space="preserve">Dept </t>
  </si>
  <si>
    <t>Clearing Account Allocations (Debits)</t>
  </si>
  <si>
    <t>Clearing Account Allocations (Credits)</t>
  </si>
  <si>
    <t>Calculated payroll taxes</t>
  </si>
  <si>
    <t xml:space="preserve">Rate Case Adjustments </t>
  </si>
  <si>
    <t xml:space="preserve">Payroll Taxes Allocated for September 18th payroll </t>
  </si>
  <si>
    <t>Federal Unemployment</t>
  </si>
  <si>
    <t>FICA</t>
  </si>
  <si>
    <t xml:space="preserve">State Unemployment </t>
  </si>
  <si>
    <t>Total payroll taxes for 1st pay period in Sept</t>
  </si>
  <si>
    <t>Cooper &amp; Spurlock combined</t>
  </si>
  <si>
    <t>Payroll Sum Amount</t>
  </si>
  <si>
    <t>on Tab "Sept 18th payroll by acct".  Also manually calculated allocation from clearing accounts on Tab "clearing and stores accounts".</t>
  </si>
  <si>
    <t>These manual calculations were required because only one pay period was selected and system allocations are based on month-end totals.</t>
  </si>
  <si>
    <t>Manual Allocation of Taxes Based upon 9/18 Pay Period Labor</t>
  </si>
  <si>
    <t xml:space="preserve">Clearing Account Allocations Based Upon September Month-End </t>
  </si>
  <si>
    <t>Total regular &amp; overtime labor dollars</t>
  </si>
  <si>
    <t>Payroll taxes for Sept 18th payroll</t>
  </si>
  <si>
    <t>Factor used to calculate payroll taxes in column I</t>
  </si>
  <si>
    <t>Calculated payroll taxes for Sept 18th payroll</t>
  </si>
  <si>
    <t xml:space="preserve">Account % to total </t>
  </si>
  <si>
    <t>$$ allocated by account</t>
  </si>
  <si>
    <t>Winchester Stores Allocation - accounts and dollars allocated per jrnl #AL00000006</t>
  </si>
  <si>
    <t>Cooper Stores Allocation - accounts and dollars allocated per jrnl #AL00000008</t>
  </si>
  <si>
    <t>Spurlock Stores Allocation - accounts and dollars allocated per jrnl #AL00000009</t>
  </si>
  <si>
    <t>Smith Stores Allocation - accounts and dollars allocated per jrnl #AL00000011</t>
  </si>
  <si>
    <t>Total, Sept 18th Payroll, Including Final Allocations</t>
  </si>
  <si>
    <t xml:space="preserve">Account 184224 - Production Clearing </t>
  </si>
  <si>
    <t>Account 184226 - Common LF Clearing</t>
  </si>
  <si>
    <t xml:space="preserve">Account 184228 - Power Production Clearing </t>
  </si>
  <si>
    <t xml:space="preserve">Account 152002 - Dept 174 Clearing </t>
  </si>
  <si>
    <t>Account 152003 - Coal Barge Labor clearing</t>
  </si>
  <si>
    <t xml:space="preserve">Account 184222 - Lab/Env Department Clearing </t>
  </si>
  <si>
    <t>Total 184 Clearing  Allocations by Account</t>
  </si>
  <si>
    <t>Total 152 Clearing  Allocations by Account</t>
  </si>
  <si>
    <t>Total 107</t>
  </si>
  <si>
    <t>Total 108</t>
  </si>
  <si>
    <t>Total 143</t>
  </si>
  <si>
    <t>Total 152</t>
  </si>
  <si>
    <t>Total 163</t>
  </si>
  <si>
    <t>Total 183</t>
  </si>
  <si>
    <t>Total 184</t>
  </si>
  <si>
    <t>Total 417</t>
  </si>
  <si>
    <t>Total 426</t>
  </si>
  <si>
    <t>Total 500</t>
  </si>
  <si>
    <t>Total 501</t>
  </si>
  <si>
    <t>Total 502</t>
  </si>
  <si>
    <t>Total 505</t>
  </si>
  <si>
    <t>Total 506</t>
  </si>
  <si>
    <t>Total 510</t>
  </si>
  <si>
    <t>Total 511</t>
  </si>
  <si>
    <t>Total 512</t>
  </si>
  <si>
    <t>Total 513</t>
  </si>
  <si>
    <t>Total 546</t>
  </si>
  <si>
    <t>Total 547</t>
  </si>
  <si>
    <t>Total 548</t>
  </si>
  <si>
    <t>Total 549</t>
  </si>
  <si>
    <t>Total 551</t>
  </si>
  <si>
    <t>Total 552</t>
  </si>
  <si>
    <t>Total 553</t>
  </si>
  <si>
    <t>Total 556</t>
  </si>
  <si>
    <t>Total 557</t>
  </si>
  <si>
    <t>Total 560</t>
  </si>
  <si>
    <t>Total 561</t>
  </si>
  <si>
    <t>Total 562</t>
  </si>
  <si>
    <t>Total 563</t>
  </si>
  <si>
    <t>Total 566</t>
  </si>
  <si>
    <t>Total 568</t>
  </si>
  <si>
    <t>Total 570</t>
  </si>
  <si>
    <t>Total 571</t>
  </si>
  <si>
    <t>Total 581</t>
  </si>
  <si>
    <t>Total 582</t>
  </si>
  <si>
    <t>Total 592</t>
  </si>
  <si>
    <t>Total 908</t>
  </si>
  <si>
    <t>Total 909</t>
  </si>
  <si>
    <t>Total 913</t>
  </si>
  <si>
    <t>Total 920</t>
  </si>
  <si>
    <t>Total 930</t>
  </si>
  <si>
    <t>Total 935</t>
  </si>
  <si>
    <t>Utility Plant 101-120</t>
  </si>
  <si>
    <t>Current &amp; Accrued Assets 131-174</t>
  </si>
  <si>
    <t>Deferred Debits 181-190</t>
  </si>
  <si>
    <t>Oth. Income &amp; Deduct. 415-426</t>
  </si>
  <si>
    <t>Steam Power Generation 500-514</t>
  </si>
  <si>
    <t>Other Power Generation 546-554</t>
  </si>
  <si>
    <t>Oth. Power Supply 555-557</t>
  </si>
  <si>
    <t>Transmission 560-573</t>
  </si>
  <si>
    <t>Distribution 580-598</t>
  </si>
  <si>
    <t>Cust. Serv. &amp; Info. 907-910</t>
  </si>
  <si>
    <t>Sales 911-916</t>
  </si>
  <si>
    <t>Admin. &amp; General 920-935</t>
  </si>
  <si>
    <t>Annualize September Payroll Taxes multiplying by:</t>
  </si>
  <si>
    <t>Capitalized 101-426</t>
  </si>
  <si>
    <t>Expensed 500-935</t>
  </si>
  <si>
    <t>Total</t>
  </si>
  <si>
    <t>Annualized Taxes</t>
  </si>
  <si>
    <t>Actual 2019 Payroll Taxes</t>
  </si>
  <si>
    <t>Def. Debit 186</t>
  </si>
  <si>
    <t>Oper. Exp Plt Leased 413</t>
  </si>
  <si>
    <t>Increase due to Annualization of Payroll Taxes:</t>
  </si>
  <si>
    <t>Totals</t>
  </si>
  <si>
    <t>%age of Total Code 1000</t>
  </si>
  <si>
    <t>%age of Total Code 1400</t>
  </si>
  <si>
    <t>Payroll Taxes Budget Code 1000</t>
  </si>
  <si>
    <t>Payrol Taxes Budget Code 1400</t>
  </si>
  <si>
    <t>Capitalized 107-426</t>
  </si>
  <si>
    <t>Combined Budget Codes:</t>
  </si>
  <si>
    <t>Reflects mixes prior to clearing account allocations.</t>
  </si>
  <si>
    <t>Account Categories</t>
  </si>
  <si>
    <t>Payroll Tax</t>
  </si>
  <si>
    <t>%age of Total Payroll Tax</t>
  </si>
  <si>
    <t>%age of Total Annualized Payroll Taxes</t>
  </si>
  <si>
    <t>%age of Total Actual 2019 Payroll Taxes</t>
  </si>
  <si>
    <t>%age Change</t>
  </si>
  <si>
    <t>Annualization of Payroll Taxes reflecting 2020 Merit Payroll Increase</t>
  </si>
  <si>
    <t xml:space="preserve">This adjustment will take the test year percentage of Accounts 501 and 512 recovered through the </t>
  </si>
  <si>
    <t>surcharge and apply those percentages to the annualized payroll taxes for those accounts.</t>
  </si>
  <si>
    <t>Surcharge adjustment to payroll tax annualization:</t>
  </si>
  <si>
    <t>Account 501 -</t>
  </si>
  <si>
    <t xml:space="preserve">    Payroll tax for Period</t>
  </si>
  <si>
    <t xml:space="preserve">    Annualized Payroll Taxes</t>
  </si>
  <si>
    <t xml:space="preserve">    Surcharge Percentage</t>
  </si>
  <si>
    <t xml:space="preserve">    Adjustment to Payroll Taxes</t>
  </si>
  <si>
    <t>Account 512 -</t>
  </si>
  <si>
    <t>Adjustment to Steam Power Generation Total -</t>
  </si>
  <si>
    <t xml:space="preserve">    Total Payroll Taxes for Period</t>
  </si>
  <si>
    <t xml:space="preserve">    Less Account 501 Surcharge Adjustment</t>
  </si>
  <si>
    <t xml:space="preserve">    Less Account 512 Surcharge Adjustment</t>
  </si>
  <si>
    <t xml:space="preserve">    Payroll Taxes for Steam Power Generation</t>
  </si>
  <si>
    <t>Workpaper 1.08 Payroll Tax FINAL.xlsx</t>
  </si>
  <si>
    <t xml:space="preserve">Annualizing Payroll Taxes for 2020 Merit Wage Increase - September 18th payroll </t>
  </si>
  <si>
    <t>Note:  See manual calculations for allocation of payroll taxes to labor related accounts for the 9/18 pay period</t>
  </si>
  <si>
    <t xml:space="preserve">During the test year, a portion of the payroll taxes were recovered through the environmental </t>
  </si>
  <si>
    <t>surcharge.  That cost recovery has been excluded from the test year payroll tax expense.</t>
  </si>
  <si>
    <t>A similar adjustment needs to be performed for the payroll tax annualization.</t>
  </si>
  <si>
    <t>this calculated as .01 so it was rolled up with account 563000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</si>
</sst>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0.0000%"/>
  </numFmts>
  <fonts count="20" x14ac:knownFonts="1">
    <font>
      <sz val="11"/>
      <color indexed="8"/>
      <name val="Calibri"/>
      <family val="2"/>
      <scheme val="minor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102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1" fontId="0" fillId="0" borderId="0" xfId="0" applyNumberFormat="1"/>
    <xf numFmtId="14" fontId="0" fillId="0" borderId="0" xfId="0" applyNumberFormat="1"/>
    <xf numFmtId="2" fontId="0" fillId="0" borderId="0" xfId="0" applyNumberFormat="1"/>
    <xf numFmtId="4" fontId="9" fillId="2" borderId="1" xfId="0" applyNumberFormat="1" applyFont="1" applyFill="1" applyBorder="1"/>
    <xf numFmtId="4" fontId="0" fillId="0" borderId="0" xfId="0" applyNumberFormat="1"/>
    <xf numFmtId="0" fontId="14" fillId="2" borderId="1" xfId="0" applyFont="1" applyFill="1" applyBorder="1"/>
    <xf numFmtId="4" fontId="14" fillId="2" borderId="1" xfId="0" applyNumberFormat="1" applyFont="1" applyFill="1" applyBorder="1"/>
    <xf numFmtId="4" fontId="0" fillId="0" borderId="2" xfId="0" applyNumberFormat="1" applyBorder="1"/>
    <xf numFmtId="0" fontId="0" fillId="0" borderId="0" xfId="0" quotePrefix="1"/>
    <xf numFmtId="0" fontId="15" fillId="0" borderId="0" xfId="0" applyFont="1"/>
    <xf numFmtId="0" fontId="14" fillId="2" borderId="1" xfId="0" applyFont="1" applyFill="1" applyBorder="1" applyAlignment="1">
      <alignment wrapText="1"/>
    </xf>
    <xf numFmtId="0" fontId="0" fillId="0" borderId="0" xfId="0" applyAlignment="1">
      <alignment horizontal="left"/>
    </xf>
    <xf numFmtId="43" fontId="0" fillId="0" borderId="0" xfId="0" applyNumberFormat="1"/>
    <xf numFmtId="0" fontId="14" fillId="2" borderId="1" xfId="0" applyFont="1" applyFill="1" applyBorder="1" applyAlignment="1">
      <alignment horizontal="center" wrapText="1"/>
    </xf>
    <xf numFmtId="4" fontId="14" fillId="2" borderId="1" xfId="0" applyNumberFormat="1" applyFont="1" applyFill="1" applyBorder="1" applyAlignment="1">
      <alignment horizontal="center" wrapText="1"/>
    </xf>
    <xf numFmtId="43" fontId="0" fillId="0" borderId="2" xfId="0" applyNumberFormat="1" applyBorder="1"/>
    <xf numFmtId="43" fontId="0" fillId="0" borderId="3" xfId="0" applyNumberFormat="1" applyBorder="1"/>
    <xf numFmtId="4" fontId="15" fillId="3" borderId="0" xfId="0" applyNumberFormat="1" applyFont="1" applyFill="1" applyAlignment="1">
      <alignment horizontal="center" wrapText="1"/>
    </xf>
    <xf numFmtId="4" fontId="0" fillId="3" borderId="0" xfId="0" applyNumberFormat="1" applyFill="1"/>
    <xf numFmtId="0" fontId="16" fillId="0" borderId="0" xfId="0" applyFont="1"/>
    <xf numFmtId="1" fontId="15" fillId="0" borderId="0" xfId="0" applyNumberFormat="1" applyFont="1"/>
    <xf numFmtId="4" fontId="15" fillId="0" borderId="3" xfId="0" applyNumberFormat="1" applyFont="1" applyBorder="1"/>
    <xf numFmtId="4" fontId="15" fillId="0" borderId="0" xfId="0" applyNumberFormat="1" applyFont="1"/>
    <xf numFmtId="0" fontId="15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center"/>
    </xf>
    <xf numFmtId="4" fontId="15" fillId="0" borderId="2" xfId="0" applyNumberFormat="1" applyFont="1" applyBorder="1" applyAlignment="1">
      <alignment horizontal="center" wrapText="1"/>
    </xf>
    <xf numFmtId="0" fontId="15" fillId="0" borderId="0" xfId="0" applyFont="1" applyFill="1"/>
    <xf numFmtId="4" fontId="15" fillId="0" borderId="0" xfId="0" applyNumberFormat="1" applyFont="1" applyFill="1"/>
    <xf numFmtId="0" fontId="0" fillId="0" borderId="0" xfId="0" applyFont="1"/>
    <xf numFmtId="0" fontId="15" fillId="0" borderId="4" xfId="0" applyFont="1" applyBorder="1"/>
    <xf numFmtId="4" fontId="0" fillId="0" borderId="5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4" fontId="0" fillId="0" borderId="0" xfId="0" applyNumberFormat="1" applyBorder="1"/>
    <xf numFmtId="0" fontId="0" fillId="0" borderId="0" xfId="0" applyBorder="1"/>
    <xf numFmtId="0" fontId="0" fillId="0" borderId="9" xfId="0" applyBorder="1"/>
    <xf numFmtId="0" fontId="0" fillId="0" borderId="2" xfId="0" applyBorder="1"/>
    <xf numFmtId="4" fontId="0" fillId="0" borderId="8" xfId="0" applyNumberFormat="1" applyBorder="1"/>
    <xf numFmtId="43" fontId="0" fillId="0" borderId="8" xfId="0" applyNumberFormat="1" applyBorder="1"/>
    <xf numFmtId="4" fontId="0" fillId="0" borderId="3" xfId="0" applyNumberFormat="1" applyBorder="1"/>
    <xf numFmtId="4" fontId="0" fillId="0" borderId="10" xfId="0" applyNumberFormat="1" applyBorder="1"/>
    <xf numFmtId="0" fontId="0" fillId="0" borderId="3" xfId="0" applyBorder="1"/>
    <xf numFmtId="2" fontId="0" fillId="0" borderId="3" xfId="0" applyNumberFormat="1" applyBorder="1"/>
    <xf numFmtId="0" fontId="0" fillId="4" borderId="0" xfId="0" applyFill="1"/>
    <xf numFmtId="4" fontId="0" fillId="4" borderId="0" xfId="0" applyNumberFormat="1" applyFill="1"/>
    <xf numFmtId="43" fontId="0" fillId="0" borderId="0" xfId="0" applyNumberFormat="1" applyFill="1"/>
    <xf numFmtId="43" fontId="0" fillId="0" borderId="2" xfId="0" applyNumberFormat="1" applyFill="1" applyBorder="1"/>
    <xf numFmtId="43" fontId="0" fillId="0" borderId="3" xfId="0" applyNumberFormat="1" applyFill="1" applyBorder="1"/>
    <xf numFmtId="8" fontId="0" fillId="0" borderId="0" xfId="0" applyNumberFormat="1"/>
    <xf numFmtId="0" fontId="0" fillId="0" borderId="0" xfId="0" applyFill="1" applyBorder="1"/>
    <xf numFmtId="0" fontId="15" fillId="0" borderId="0" xfId="0" applyFont="1" applyFill="1" applyBorder="1"/>
    <xf numFmtId="8" fontId="0" fillId="0" borderId="0" xfId="0" applyNumberFormat="1" applyFill="1" applyBorder="1"/>
    <xf numFmtId="8" fontId="15" fillId="0" borderId="0" xfId="0" applyNumberFormat="1" applyFont="1" applyFill="1" applyBorder="1"/>
    <xf numFmtId="164" fontId="0" fillId="0" borderId="0" xfId="0" applyNumberFormat="1" applyFill="1" applyBorder="1"/>
    <xf numFmtId="164" fontId="15" fillId="0" borderId="0" xfId="0" applyNumberFormat="1" applyFont="1" applyFill="1" applyBorder="1"/>
    <xf numFmtId="164" fontId="0" fillId="0" borderId="0" xfId="0" applyNumberFormat="1"/>
    <xf numFmtId="8" fontId="0" fillId="0" borderId="3" xfId="0" applyNumberFormat="1" applyBorder="1"/>
    <xf numFmtId="164" fontId="0" fillId="0" borderId="3" xfId="0" applyNumberFormat="1" applyBorder="1"/>
    <xf numFmtId="164" fontId="0" fillId="0" borderId="0" xfId="0" applyNumberFormat="1" applyBorder="1"/>
    <xf numFmtId="43" fontId="0" fillId="0" borderId="0" xfId="0" applyNumberFormat="1" applyFill="1" applyBorder="1"/>
    <xf numFmtId="0" fontId="0" fillId="0" borderId="0" xfId="0" applyFont="1" applyFill="1" applyBorder="1"/>
    <xf numFmtId="38" fontId="0" fillId="0" borderId="0" xfId="0" applyNumberFormat="1"/>
    <xf numFmtId="8" fontId="0" fillId="0" borderId="0" xfId="0" applyNumberFormat="1" applyFont="1" applyFill="1" applyBorder="1"/>
    <xf numFmtId="43" fontId="0" fillId="0" borderId="0" xfId="0" applyNumberFormat="1" applyBorder="1"/>
    <xf numFmtId="8" fontId="0" fillId="0" borderId="0" xfId="0" applyNumberFormat="1" applyBorder="1"/>
    <xf numFmtId="0" fontId="17" fillId="0" borderId="0" xfId="0" applyFont="1"/>
    <xf numFmtId="8" fontId="0" fillId="0" borderId="2" xfId="0" applyNumberFormat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8" fontId="0" fillId="0" borderId="0" xfId="0" applyNumberFormat="1" applyFill="1"/>
    <xf numFmtId="164" fontId="0" fillId="0" borderId="0" xfId="0" applyNumberFormat="1" applyFill="1"/>
    <xf numFmtId="164" fontId="0" fillId="0" borderId="2" xfId="0" applyNumberFormat="1" applyBorder="1"/>
    <xf numFmtId="8" fontId="0" fillId="3" borderId="0" xfId="0" applyNumberFormat="1" applyFill="1"/>
    <xf numFmtId="164" fontId="0" fillId="3" borderId="0" xfId="0" applyNumberFormat="1" applyFill="1"/>
    <xf numFmtId="0" fontId="16" fillId="3" borderId="0" xfId="0" applyFont="1" applyFill="1"/>
    <xf numFmtId="0" fontId="0" fillId="3" borderId="0" xfId="0" applyFill="1"/>
    <xf numFmtId="164" fontId="0" fillId="3" borderId="0" xfId="0" applyNumberFormat="1" applyFill="1" applyBorder="1"/>
    <xf numFmtId="0" fontId="0" fillId="5" borderId="0" xfId="0" applyFill="1"/>
    <xf numFmtId="8" fontId="0" fillId="5" borderId="0" xfId="0" applyNumberFormat="1" applyFill="1"/>
    <xf numFmtId="8" fontId="0" fillId="5" borderId="0" xfId="0" applyNumberFormat="1" applyFill="1" applyBorder="1"/>
    <xf numFmtId="0" fontId="19" fillId="0" borderId="0" xfId="0" applyNumberFormat="1" applyFont="1"/>
    <xf numFmtId="0" fontId="19" fillId="0" borderId="0" xfId="0" applyFont="1"/>
    <xf numFmtId="0" fontId="19" fillId="0" borderId="0" xfId="1" applyNumberFormat="1" applyFont="1"/>
    <xf numFmtId="0" fontId="19" fillId="0" borderId="0" xfId="2" applyNumberFormat="1" applyFont="1"/>
    <xf numFmtId="0" fontId="19" fillId="5" borderId="0" xfId="2" applyNumberFormat="1" applyFont="1" applyFill="1"/>
    <xf numFmtId="0" fontId="19" fillId="5" borderId="0" xfId="0" applyFont="1" applyFill="1"/>
    <xf numFmtId="0" fontId="14" fillId="2" borderId="0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17</xdr:row>
      <xdr:rowOff>47624</xdr:rowOff>
    </xdr:from>
    <xdr:to>
      <xdr:col>9</xdr:col>
      <xdr:colOff>171450</xdr:colOff>
      <xdr:row>30</xdr:row>
      <xdr:rowOff>95249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362575" y="2524124"/>
          <a:ext cx="1219200" cy="23336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32"/>
  <sheetViews>
    <sheetView tabSelected="1" zoomScale="80" zoomScaleNormal="80" workbookViewId="0">
      <selection activeCell="D9" sqref="D9"/>
    </sheetView>
  </sheetViews>
  <sheetFormatPr defaultRowHeight="14.25" x14ac:dyDescent="0.45"/>
  <cols>
    <col min="2" max="2" width="0" hidden="1" customWidth="1"/>
    <col min="3" max="3" width="9" hidden="1" customWidth="1"/>
    <col min="4" max="4" width="12.73046875" style="17" bestFit="1" customWidth="1"/>
    <col min="5" max="5" width="13.86328125" customWidth="1"/>
    <col min="6" max="6" width="12" style="17" customWidth="1"/>
    <col min="7" max="7" width="14.59765625" customWidth="1"/>
    <col min="8" max="8" width="4.73046875" customWidth="1"/>
    <col min="9" max="9" width="10.73046875" customWidth="1"/>
    <col min="10" max="10" width="15.73046875" customWidth="1"/>
    <col min="11" max="11" width="10.73046875" customWidth="1"/>
    <col min="12" max="12" width="4.73046875" customWidth="1"/>
    <col min="13" max="13" width="30.73046875" customWidth="1"/>
    <col min="14" max="14" width="15.73046875" customWidth="1"/>
    <col min="15" max="15" width="10.73046875" customWidth="1"/>
    <col min="16" max="16" width="4.73046875" customWidth="1"/>
    <col min="17" max="17" width="15.73046875" customWidth="1"/>
    <col min="18" max="18" width="13.73046875" customWidth="1"/>
    <col min="19" max="19" width="15.73046875" customWidth="1"/>
    <col min="20" max="20" width="13.73046875" customWidth="1"/>
    <col min="21" max="21" width="10.86328125" customWidth="1"/>
  </cols>
  <sheetData>
    <row r="1" spans="1:21" x14ac:dyDescent="0.45">
      <c r="A1" s="41" t="s">
        <v>208</v>
      </c>
    </row>
    <row r="2" spans="1:21" x14ac:dyDescent="0.45">
      <c r="A2" s="41" t="s">
        <v>83</v>
      </c>
    </row>
    <row r="3" spans="1:21" x14ac:dyDescent="0.45">
      <c r="A3" s="41" t="s">
        <v>209</v>
      </c>
    </row>
    <row r="4" spans="1:21" x14ac:dyDescent="0.45">
      <c r="A4" s="32" t="s">
        <v>210</v>
      </c>
    </row>
    <row r="5" spans="1:21" x14ac:dyDescent="0.45">
      <c r="A5" s="32" t="s">
        <v>91</v>
      </c>
      <c r="N5" t="s">
        <v>170</v>
      </c>
    </row>
    <row r="6" spans="1:21" x14ac:dyDescent="0.45">
      <c r="A6" s="32" t="s">
        <v>92</v>
      </c>
      <c r="Q6" s="75">
        <v>26</v>
      </c>
    </row>
    <row r="7" spans="1:21" ht="6" customHeight="1" x14ac:dyDescent="0.45"/>
    <row r="8" spans="1:21" ht="15" customHeight="1" thickBot="1" x14ac:dyDescent="0.5">
      <c r="I8" s="101" t="s">
        <v>193</v>
      </c>
      <c r="J8" s="101"/>
      <c r="K8" s="101"/>
      <c r="L8" s="101"/>
      <c r="M8" s="101"/>
      <c r="N8" s="101"/>
      <c r="O8" s="101"/>
      <c r="P8" s="101"/>
      <c r="Q8" s="101"/>
      <c r="R8" s="101"/>
    </row>
    <row r="9" spans="1:21" ht="72" customHeight="1" thickTop="1" thickBot="1" x14ac:dyDescent="0.5">
      <c r="A9" s="18" t="s">
        <v>3</v>
      </c>
      <c r="B9" s="18" t="s">
        <v>79</v>
      </c>
      <c r="C9" s="26" t="s">
        <v>6</v>
      </c>
      <c r="D9" s="19" t="s">
        <v>78</v>
      </c>
      <c r="E9" s="26" t="s">
        <v>80</v>
      </c>
      <c r="F9" s="27" t="s">
        <v>81</v>
      </c>
      <c r="G9" s="26" t="s">
        <v>105</v>
      </c>
      <c r="I9" s="81" t="s">
        <v>3</v>
      </c>
      <c r="J9" s="81" t="s">
        <v>188</v>
      </c>
      <c r="K9" s="82" t="s">
        <v>189</v>
      </c>
      <c r="L9" s="50"/>
      <c r="M9" s="81" t="s">
        <v>187</v>
      </c>
      <c r="N9" s="81" t="s">
        <v>188</v>
      </c>
      <c r="O9" s="82" t="s">
        <v>189</v>
      </c>
      <c r="P9" s="50"/>
      <c r="Q9" s="82" t="s">
        <v>174</v>
      </c>
      <c r="R9" s="82" t="s">
        <v>190</v>
      </c>
      <c r="S9" s="82" t="s">
        <v>175</v>
      </c>
      <c r="T9" s="82" t="s">
        <v>191</v>
      </c>
      <c r="U9" s="82" t="s">
        <v>192</v>
      </c>
    </row>
    <row r="10" spans="1:21" ht="14.65" thickTop="1" x14ac:dyDescent="0.45">
      <c r="A10" t="s">
        <v>21</v>
      </c>
      <c r="B10" s="21" t="s">
        <v>14</v>
      </c>
      <c r="C10">
        <v>1800</v>
      </c>
      <c r="D10" s="25">
        <v>14086.536293641695</v>
      </c>
      <c r="E10" s="25">
        <f>'clearing &amp; stores accounts'!F6+'clearing &amp; stores accounts'!M23</f>
        <v>891.49731969591153</v>
      </c>
      <c r="F10" s="25"/>
      <c r="G10" s="25">
        <f>SUM(D10:F10)</f>
        <v>14978.033613337606</v>
      </c>
      <c r="I10" s="63"/>
      <c r="J10" s="65"/>
      <c r="K10" s="67"/>
      <c r="L10" s="63"/>
      <c r="M10" s="63"/>
      <c r="N10" s="65"/>
      <c r="O10" s="67"/>
      <c r="Q10" s="65"/>
      <c r="R10" s="67"/>
      <c r="S10" s="65"/>
      <c r="T10" s="67"/>
      <c r="U10" s="67"/>
    </row>
    <row r="11" spans="1:21" x14ac:dyDescent="0.45">
      <c r="A11" t="s">
        <v>21</v>
      </c>
      <c r="B11" s="21" t="s">
        <v>14</v>
      </c>
      <c r="C11">
        <v>1800</v>
      </c>
      <c r="D11" s="25">
        <v>1691.1812135869245</v>
      </c>
      <c r="E11" s="25"/>
      <c r="F11" s="25"/>
      <c r="G11" s="25">
        <f t="shared" ref="G11:G74" si="0">SUM(D11:F11)</f>
        <v>1691.1812135869245</v>
      </c>
      <c r="I11" s="63" t="s">
        <v>114</v>
      </c>
      <c r="J11" s="65">
        <f>G10+G11</f>
        <v>16669.21482692453</v>
      </c>
      <c r="K11" s="67">
        <f>ROUND(J11/J$97,6)</f>
        <v>7.4053999999999995E-2</v>
      </c>
      <c r="L11" s="63"/>
      <c r="M11" s="63"/>
      <c r="N11" s="65"/>
      <c r="O11" s="67"/>
      <c r="Q11" s="65">
        <f>ROUND(J11*Q$6,2)</f>
        <v>433399.59</v>
      </c>
      <c r="R11" s="67">
        <f>ROUND(Q11/Q$97,6)</f>
        <v>7.4885999999999994E-2</v>
      </c>
      <c r="S11" s="65">
        <v>235564.12</v>
      </c>
      <c r="T11" s="67">
        <f>ROUND(S11/S$97,6)</f>
        <v>4.5959E-2</v>
      </c>
      <c r="U11" s="67"/>
    </row>
    <row r="12" spans="1:21" x14ac:dyDescent="0.45">
      <c r="A12" t="s">
        <v>24</v>
      </c>
      <c r="B12" s="21" t="s">
        <v>14</v>
      </c>
      <c r="C12">
        <v>1800</v>
      </c>
      <c r="D12" s="25">
        <v>7.8853687421117318</v>
      </c>
      <c r="E12" s="25"/>
      <c r="F12" s="25"/>
      <c r="G12" s="25">
        <f t="shared" si="0"/>
        <v>7.8853687421117318</v>
      </c>
      <c r="I12" s="63" t="s">
        <v>115</v>
      </c>
      <c r="J12" s="65">
        <f>G12</f>
        <v>7.8853687421117318</v>
      </c>
      <c r="K12" s="67">
        <f>ROUND(J12/J$97,6)</f>
        <v>3.4999999999999997E-5</v>
      </c>
      <c r="L12" s="63"/>
      <c r="M12" s="63" t="s">
        <v>158</v>
      </c>
      <c r="N12" s="65">
        <f>J11+J12</f>
        <v>16677.100195666641</v>
      </c>
      <c r="O12" s="67">
        <f>ROUND(N12/N$97,6)</f>
        <v>7.4089000000000002E-2</v>
      </c>
      <c r="Q12" s="65">
        <f>ROUND(J12*Q$6,2)</f>
        <v>205.02</v>
      </c>
      <c r="R12" s="67">
        <f t="shared" ref="R12:R13" si="1">ROUND(Q12/Q$97,6)</f>
        <v>3.4999999999999997E-5</v>
      </c>
      <c r="S12" s="65">
        <v>95915.05</v>
      </c>
      <c r="T12" s="67">
        <f t="shared" ref="T12:T13" si="2">ROUND(S12/S$97,6)</f>
        <v>1.8713E-2</v>
      </c>
      <c r="U12" s="67"/>
    </row>
    <row r="13" spans="1:21" x14ac:dyDescent="0.45">
      <c r="A13" t="s">
        <v>25</v>
      </c>
      <c r="B13" s="21" t="s">
        <v>14</v>
      </c>
      <c r="C13">
        <v>1800</v>
      </c>
      <c r="D13" s="25">
        <v>268.71200827684578</v>
      </c>
      <c r="E13" s="25"/>
      <c r="F13" s="25"/>
      <c r="G13" s="25">
        <f t="shared" si="0"/>
        <v>268.71200827684578</v>
      </c>
      <c r="I13" s="74" t="s">
        <v>116</v>
      </c>
      <c r="J13" s="65">
        <f>G13</f>
        <v>268.71200827684578</v>
      </c>
      <c r="K13" s="67">
        <f>ROUND(J13/J$97,6)</f>
        <v>1.194E-3</v>
      </c>
      <c r="L13" s="64"/>
      <c r="M13" s="63"/>
      <c r="N13" s="66"/>
      <c r="O13" s="68"/>
      <c r="Q13" s="65">
        <f>ROUND(J13*Q$6,2)</f>
        <v>6986.51</v>
      </c>
      <c r="R13" s="67">
        <f t="shared" si="1"/>
        <v>1.207E-3</v>
      </c>
      <c r="S13" s="76">
        <v>1748.68</v>
      </c>
      <c r="T13" s="67">
        <f t="shared" si="2"/>
        <v>3.4099999999999999E-4</v>
      </c>
      <c r="U13" s="67"/>
    </row>
    <row r="14" spans="1:21" x14ac:dyDescent="0.45">
      <c r="A14" t="s">
        <v>26</v>
      </c>
      <c r="B14" s="21" t="s">
        <v>14</v>
      </c>
      <c r="C14">
        <v>1800</v>
      </c>
      <c r="D14" s="25">
        <v>6100.0693267251499</v>
      </c>
      <c r="E14" s="25"/>
      <c r="F14" s="25"/>
      <c r="G14" s="25">
        <f t="shared" si="0"/>
        <v>6100.0693267251499</v>
      </c>
      <c r="I14" s="63"/>
      <c r="J14" s="65"/>
      <c r="K14" s="67"/>
      <c r="L14" s="63"/>
      <c r="M14" s="63"/>
      <c r="N14" s="65"/>
      <c r="O14" s="67"/>
      <c r="Q14" s="65"/>
      <c r="R14" s="67"/>
      <c r="S14" s="65"/>
      <c r="T14" s="67"/>
      <c r="U14" s="67"/>
    </row>
    <row r="15" spans="1:21" x14ac:dyDescent="0.45">
      <c r="A15" t="s">
        <v>26</v>
      </c>
      <c r="B15" s="21" t="s">
        <v>14</v>
      </c>
      <c r="C15">
        <v>1800</v>
      </c>
      <c r="D15" s="25">
        <v>1897.8204066172134</v>
      </c>
      <c r="E15" s="25"/>
      <c r="F15" s="25"/>
      <c r="G15" s="25">
        <f t="shared" si="0"/>
        <v>1897.8204066172134</v>
      </c>
      <c r="J15" s="62"/>
      <c r="K15" s="69"/>
      <c r="N15" s="62"/>
      <c r="O15" s="69"/>
      <c r="Q15" s="65"/>
      <c r="R15" s="67"/>
      <c r="S15" s="62"/>
      <c r="T15" s="69"/>
      <c r="U15" s="69"/>
    </row>
    <row r="16" spans="1:21" x14ac:dyDescent="0.45">
      <c r="A16" t="s">
        <v>27</v>
      </c>
      <c r="B16" s="21" t="s">
        <v>14</v>
      </c>
      <c r="C16">
        <v>1800</v>
      </c>
      <c r="D16" s="25">
        <v>1627.4086598759259</v>
      </c>
      <c r="E16" s="25"/>
      <c r="F16" s="25">
        <f>-D16</f>
        <v>-1627.4086598759259</v>
      </c>
      <c r="G16" s="25">
        <f t="shared" si="0"/>
        <v>0</v>
      </c>
      <c r="J16" s="62"/>
      <c r="K16" s="69"/>
      <c r="N16" s="62"/>
      <c r="O16" s="69"/>
      <c r="Q16" s="65"/>
      <c r="R16" s="67"/>
      <c r="S16" s="62"/>
      <c r="T16" s="69"/>
      <c r="U16" s="69"/>
    </row>
    <row r="17" spans="1:24" x14ac:dyDescent="0.45">
      <c r="A17" t="s">
        <v>27</v>
      </c>
      <c r="B17" s="21" t="s">
        <v>14</v>
      </c>
      <c r="C17">
        <v>1800</v>
      </c>
      <c r="D17" s="25">
        <v>17.57218287400822</v>
      </c>
      <c r="E17" s="25"/>
      <c r="F17" s="25">
        <f>-D17</f>
        <v>-17.57218287400822</v>
      </c>
      <c r="G17" s="25">
        <f t="shared" si="0"/>
        <v>0</v>
      </c>
      <c r="J17" s="62"/>
      <c r="K17" s="69"/>
      <c r="N17" s="62"/>
      <c r="O17" s="69"/>
      <c r="Q17" s="65"/>
      <c r="R17" s="67"/>
      <c r="S17" s="62"/>
      <c r="T17" s="69"/>
      <c r="U17" s="69"/>
    </row>
    <row r="18" spans="1:24" x14ac:dyDescent="0.45">
      <c r="A18" t="s">
        <v>28</v>
      </c>
      <c r="B18" s="21" t="s">
        <v>14</v>
      </c>
      <c r="C18">
        <v>1800</v>
      </c>
      <c r="D18" s="25">
        <v>321.04715592883474</v>
      </c>
      <c r="E18" s="25"/>
      <c r="F18" s="25">
        <f>-D18</f>
        <v>-321.04715592883474</v>
      </c>
      <c r="G18" s="25">
        <f t="shared" si="0"/>
        <v>0</v>
      </c>
      <c r="J18" s="62"/>
      <c r="K18" s="69"/>
      <c r="N18" s="62"/>
      <c r="O18" s="69"/>
      <c r="Q18" s="65"/>
      <c r="R18" s="67"/>
      <c r="S18" s="62"/>
      <c r="T18" s="69"/>
      <c r="U18" s="69"/>
    </row>
    <row r="19" spans="1:24" x14ac:dyDescent="0.45">
      <c r="A19" t="s">
        <v>28</v>
      </c>
      <c r="B19" s="21" t="s">
        <v>14</v>
      </c>
      <c r="C19">
        <v>1800</v>
      </c>
      <c r="D19" s="25">
        <v>99.880823728741817</v>
      </c>
      <c r="E19" s="25"/>
      <c r="F19" s="25">
        <f>-D19</f>
        <v>-99.880823728741817</v>
      </c>
      <c r="G19" s="25">
        <f t="shared" si="0"/>
        <v>0</v>
      </c>
      <c r="I19" t="s">
        <v>117</v>
      </c>
      <c r="J19" s="62">
        <f>SUM(G14:G19)</f>
        <v>7997.8897333423629</v>
      </c>
      <c r="K19" s="67">
        <f>ROUND(J19/J$97,6)</f>
        <v>3.5531E-2</v>
      </c>
      <c r="N19" s="62"/>
      <c r="O19" s="69"/>
      <c r="Q19" s="65">
        <f>ROUND(J19*Q$6,2)</f>
        <v>207945.13</v>
      </c>
      <c r="R19" s="67">
        <f>ROUND(Q19/Q$97,6)</f>
        <v>3.5929999999999997E-2</v>
      </c>
      <c r="S19" s="62">
        <f>34821.76-0.14-0.03</f>
        <v>34821.590000000004</v>
      </c>
      <c r="T19" s="67">
        <f>ROUND(S19/S$97,6)</f>
        <v>6.7939999999999997E-3</v>
      </c>
      <c r="U19" s="67"/>
    </row>
    <row r="20" spans="1:24" x14ac:dyDescent="0.45">
      <c r="A20" t="s">
        <v>29</v>
      </c>
      <c r="B20" s="21" t="s">
        <v>14</v>
      </c>
      <c r="C20">
        <v>1800</v>
      </c>
      <c r="D20" s="25">
        <v>914.60800172270945</v>
      </c>
      <c r="E20" s="25"/>
      <c r="F20" s="25">
        <v>-914.61</v>
      </c>
      <c r="G20" s="25">
        <f t="shared" si="0"/>
        <v>-1.9982772905677848E-3</v>
      </c>
      <c r="J20" s="62"/>
      <c r="K20" s="69"/>
      <c r="N20" s="62"/>
      <c r="O20" s="69"/>
      <c r="Q20" s="65"/>
      <c r="R20" s="67"/>
      <c r="S20" s="62"/>
      <c r="T20" s="69"/>
      <c r="U20" s="69"/>
    </row>
    <row r="21" spans="1:24" x14ac:dyDescent="0.45">
      <c r="A21" t="s">
        <v>30</v>
      </c>
      <c r="B21" s="21" t="s">
        <v>14</v>
      </c>
      <c r="C21">
        <v>1800</v>
      </c>
      <c r="D21" s="25">
        <v>178.87859596076152</v>
      </c>
      <c r="E21" s="25"/>
      <c r="F21" s="25">
        <v>-178.88</v>
      </c>
      <c r="G21" s="25">
        <f t="shared" si="0"/>
        <v>-1.4040392384799816E-3</v>
      </c>
      <c r="J21" s="62"/>
      <c r="K21" s="69"/>
      <c r="N21" s="62"/>
      <c r="O21" s="69"/>
      <c r="Q21" s="65"/>
      <c r="R21" s="67"/>
      <c r="S21" s="62"/>
      <c r="T21" s="69"/>
      <c r="U21" s="69"/>
    </row>
    <row r="22" spans="1:24" x14ac:dyDescent="0.45">
      <c r="A22" t="s">
        <v>31</v>
      </c>
      <c r="B22" s="21" t="s">
        <v>14</v>
      </c>
      <c r="C22">
        <v>1800</v>
      </c>
      <c r="D22" s="25">
        <v>703.42127631837889</v>
      </c>
      <c r="E22" s="25"/>
      <c r="F22" s="25">
        <v>-703.42</v>
      </c>
      <c r="G22" s="25">
        <f t="shared" si="0"/>
        <v>1.276318378927499E-3</v>
      </c>
      <c r="J22" s="62"/>
      <c r="K22" s="69"/>
      <c r="N22" s="62"/>
      <c r="O22" s="69"/>
      <c r="Q22" s="65"/>
      <c r="R22" s="67"/>
      <c r="S22" s="62"/>
      <c r="T22" s="69"/>
      <c r="U22" s="69"/>
    </row>
    <row r="23" spans="1:24" x14ac:dyDescent="0.45">
      <c r="A23" t="s">
        <v>32</v>
      </c>
      <c r="B23" s="21" t="s">
        <v>14</v>
      </c>
      <c r="C23">
        <v>1800</v>
      </c>
      <c r="D23" s="25">
        <v>167.1537907869571</v>
      </c>
      <c r="E23" s="25"/>
      <c r="F23" s="25">
        <v>-167.15</v>
      </c>
      <c r="G23" s="25">
        <f t="shared" si="0"/>
        <v>3.7907869570972252E-3</v>
      </c>
      <c r="I23" t="s">
        <v>118</v>
      </c>
      <c r="J23" s="62">
        <f>G20+G21+G22+G23</f>
        <v>1.6647888069769579E-3</v>
      </c>
      <c r="K23" s="67">
        <f>ROUND(J23/J$97,6)</f>
        <v>0</v>
      </c>
      <c r="M23" t="s">
        <v>159</v>
      </c>
      <c r="N23" s="62">
        <f>J13+J19+J23</f>
        <v>8266.6034064080159</v>
      </c>
      <c r="O23" s="67">
        <f>ROUND(N23/N$97,6)</f>
        <v>3.6725000000000001E-2</v>
      </c>
      <c r="Q23" s="65">
        <f>ROUND(J23*Q$6,2)</f>
        <v>0.04</v>
      </c>
      <c r="R23" s="67">
        <f t="shared" ref="R23:R24" si="3">ROUND(Q23/Q$97,6)</f>
        <v>0</v>
      </c>
      <c r="S23" s="62">
        <v>0</v>
      </c>
      <c r="T23" s="67">
        <f t="shared" ref="T23:T24" si="4">ROUND(S23/S$97,6)</f>
        <v>0</v>
      </c>
      <c r="U23" s="67"/>
    </row>
    <row r="24" spans="1:24" x14ac:dyDescent="0.45">
      <c r="A24" t="s">
        <v>33</v>
      </c>
      <c r="B24" s="21" t="s">
        <v>14</v>
      </c>
      <c r="C24">
        <v>1800</v>
      </c>
      <c r="D24" s="25">
        <v>26.35827431101233</v>
      </c>
      <c r="E24" s="59"/>
      <c r="F24" s="25"/>
      <c r="G24" s="25">
        <f t="shared" si="0"/>
        <v>26.35827431101233</v>
      </c>
      <c r="I24" t="s">
        <v>119</v>
      </c>
      <c r="J24" s="62">
        <f>G24</f>
        <v>26.35827431101233</v>
      </c>
      <c r="K24" s="67">
        <f>ROUND(J24/J$97,6)</f>
        <v>1.17E-4</v>
      </c>
      <c r="N24" s="62"/>
      <c r="O24" s="69"/>
      <c r="Q24" s="65">
        <f>ROUND(J24*Q$6,2)</f>
        <v>685.32</v>
      </c>
      <c r="R24" s="67">
        <f t="shared" si="3"/>
        <v>1.18E-4</v>
      </c>
      <c r="S24" s="62">
        <v>0</v>
      </c>
      <c r="T24" s="67">
        <f t="shared" si="4"/>
        <v>0</v>
      </c>
      <c r="U24" s="67"/>
    </row>
    <row r="25" spans="1:24" x14ac:dyDescent="0.45">
      <c r="A25" t="s">
        <v>34</v>
      </c>
      <c r="B25" s="21" t="s">
        <v>14</v>
      </c>
      <c r="C25">
        <v>1800</v>
      </c>
      <c r="D25" s="25">
        <v>7332.8443291726671</v>
      </c>
      <c r="E25" s="59"/>
      <c r="F25" s="25">
        <v>-7332.84</v>
      </c>
      <c r="G25" s="25">
        <f t="shared" si="0"/>
        <v>4.3291726669849595E-3</v>
      </c>
      <c r="J25" s="62"/>
      <c r="K25" s="69"/>
      <c r="N25" s="62"/>
      <c r="O25" s="69"/>
      <c r="Q25" s="65"/>
      <c r="R25" s="67"/>
      <c r="S25" s="62"/>
      <c r="T25" s="69"/>
      <c r="U25" s="69"/>
    </row>
    <row r="26" spans="1:24" x14ac:dyDescent="0.45">
      <c r="A26" t="s">
        <v>35</v>
      </c>
      <c r="B26" s="21" t="s">
        <v>14</v>
      </c>
      <c r="C26">
        <v>1800</v>
      </c>
      <c r="D26" s="25">
        <v>1203.435636514145</v>
      </c>
      <c r="E26" s="59"/>
      <c r="F26" s="25">
        <v>-1203.44</v>
      </c>
      <c r="G26" s="25">
        <f t="shared" si="0"/>
        <v>-4.3634858550376521E-3</v>
      </c>
      <c r="J26" s="62"/>
      <c r="K26" s="69"/>
      <c r="N26" s="62"/>
      <c r="O26" s="69"/>
      <c r="Q26" s="65"/>
      <c r="R26" s="67"/>
      <c r="S26" s="62"/>
      <c r="T26" s="69"/>
      <c r="U26" s="69"/>
    </row>
    <row r="27" spans="1:24" x14ac:dyDescent="0.45">
      <c r="A27" t="s">
        <v>36</v>
      </c>
      <c r="B27" s="21" t="s">
        <v>14</v>
      </c>
      <c r="C27">
        <v>1800</v>
      </c>
      <c r="D27" s="25">
        <v>823.29752746812335</v>
      </c>
      <c r="E27" s="59"/>
      <c r="F27" s="25">
        <v>-823.3</v>
      </c>
      <c r="G27" s="25">
        <f t="shared" si="0"/>
        <v>-2.472531876605899E-3</v>
      </c>
      <c r="J27" s="62"/>
      <c r="K27" s="69"/>
      <c r="N27" s="62"/>
      <c r="O27" s="69"/>
      <c r="Q27" s="65"/>
      <c r="R27" s="67"/>
      <c r="S27" s="86">
        <v>1905</v>
      </c>
      <c r="T27" s="90">
        <f t="shared" ref="T27" si="5">ROUND(S27/S$97,6)</f>
        <v>3.7199999999999999E-4</v>
      </c>
      <c r="U27" s="87"/>
      <c r="V27" s="88" t="s">
        <v>176</v>
      </c>
      <c r="W27" s="89"/>
    </row>
    <row r="28" spans="1:24" x14ac:dyDescent="0.45">
      <c r="A28" t="s">
        <v>36</v>
      </c>
      <c r="B28" s="21" t="s">
        <v>14</v>
      </c>
      <c r="C28">
        <v>1800</v>
      </c>
      <c r="D28" s="25">
        <v>224.69833633472652</v>
      </c>
      <c r="E28" s="59"/>
      <c r="F28" s="25">
        <v>-224.7</v>
      </c>
      <c r="G28" s="25">
        <f t="shared" si="0"/>
        <v>-1.6636652734689505E-3</v>
      </c>
      <c r="J28" s="62"/>
      <c r="K28" s="69"/>
      <c r="N28" s="62"/>
      <c r="O28" s="69"/>
      <c r="Q28" s="65"/>
      <c r="R28" s="67"/>
      <c r="S28" s="62"/>
      <c r="T28" s="69"/>
      <c r="U28" s="69"/>
    </row>
    <row r="29" spans="1:24" x14ac:dyDescent="0.45">
      <c r="A29" t="s">
        <v>37</v>
      </c>
      <c r="B29" s="21" t="s">
        <v>14</v>
      </c>
      <c r="C29">
        <v>1800</v>
      </c>
      <c r="D29" s="25">
        <v>5459.249433462307</v>
      </c>
      <c r="E29" s="59"/>
      <c r="F29" s="25">
        <v>-5459.25</v>
      </c>
      <c r="G29" s="25">
        <f t="shared" si="0"/>
        <v>-5.6653769297554391E-4</v>
      </c>
      <c r="J29" s="62"/>
      <c r="K29" s="69"/>
      <c r="N29" s="62"/>
      <c r="O29" s="69"/>
      <c r="Q29" s="65"/>
      <c r="R29" s="67"/>
      <c r="S29" s="86">
        <f>11625.2+2533.88</f>
        <v>14159.080000000002</v>
      </c>
      <c r="T29" s="90">
        <f t="shared" ref="T29" si="6">ROUND(S29/S$97,6)</f>
        <v>2.7620000000000001E-3</v>
      </c>
      <c r="U29" s="87"/>
      <c r="V29" s="88" t="s">
        <v>177</v>
      </c>
      <c r="W29" s="89"/>
      <c r="X29" s="89"/>
    </row>
    <row r="30" spans="1:24" x14ac:dyDescent="0.45">
      <c r="A30" t="s">
        <v>37</v>
      </c>
      <c r="B30" s="21" t="s">
        <v>14</v>
      </c>
      <c r="C30">
        <v>1800</v>
      </c>
      <c r="D30" s="25">
        <v>305.06992256588489</v>
      </c>
      <c r="E30" s="59"/>
      <c r="F30" s="25">
        <v>-305.07</v>
      </c>
      <c r="G30" s="25">
        <f t="shared" si="0"/>
        <v>-7.7434115098640177E-5</v>
      </c>
      <c r="I30" t="s">
        <v>120</v>
      </c>
      <c r="J30" s="62">
        <f>SUM(G25:G30)</f>
        <v>-4.8144821462017262E-3</v>
      </c>
      <c r="K30" s="67">
        <f t="shared" ref="K30:K32" si="7">ROUND(J30/J$97,6)</f>
        <v>0</v>
      </c>
      <c r="M30" t="s">
        <v>160</v>
      </c>
      <c r="N30" s="62">
        <f>J24+J30</f>
        <v>26.353459828866129</v>
      </c>
      <c r="O30" s="67">
        <f>ROUND(N30/N$97,6)</f>
        <v>1.17E-4</v>
      </c>
      <c r="Q30" s="65">
        <f>ROUND(J30*Q$6,2)</f>
        <v>-0.13</v>
      </c>
      <c r="R30" s="67">
        <f t="shared" ref="R30:R32" si="8">ROUND(Q30/Q$97,6)</f>
        <v>0</v>
      </c>
      <c r="S30" s="62">
        <f>-0.08-0.07-0.04-0.01</f>
        <v>-0.20000000000000004</v>
      </c>
      <c r="T30" s="67">
        <f t="shared" ref="T30:T32" si="9">ROUND(S30/S$97,6)</f>
        <v>0</v>
      </c>
      <c r="U30" s="67"/>
    </row>
    <row r="31" spans="1:24" x14ac:dyDescent="0.45">
      <c r="A31" t="s">
        <v>38</v>
      </c>
      <c r="B31" s="21" t="s">
        <v>14</v>
      </c>
      <c r="C31">
        <v>1800</v>
      </c>
      <c r="D31" s="25">
        <v>95.661527341033789</v>
      </c>
      <c r="E31" s="59"/>
      <c r="F31" s="25"/>
      <c r="G31" s="25">
        <f t="shared" si="0"/>
        <v>95.661527341033789</v>
      </c>
      <c r="I31" t="s">
        <v>121</v>
      </c>
      <c r="J31" s="62">
        <f>G31</f>
        <v>95.661527341033789</v>
      </c>
      <c r="K31" s="67">
        <f t="shared" si="7"/>
        <v>4.2499999999999998E-4</v>
      </c>
      <c r="N31" s="62"/>
      <c r="O31" s="69"/>
      <c r="Q31" s="65">
        <f>ROUND(J31*Q$6,2)</f>
        <v>2487.1999999999998</v>
      </c>
      <c r="R31" s="67">
        <f t="shared" si="8"/>
        <v>4.2999999999999999E-4</v>
      </c>
      <c r="S31" s="62">
        <v>2216.3200000000002</v>
      </c>
      <c r="T31" s="67">
        <f t="shared" si="9"/>
        <v>4.3199999999999998E-4</v>
      </c>
      <c r="U31" s="67"/>
    </row>
    <row r="32" spans="1:24" x14ac:dyDescent="0.45">
      <c r="A32" t="s">
        <v>39</v>
      </c>
      <c r="B32" s="21" t="s">
        <v>14</v>
      </c>
      <c r="C32">
        <v>1800</v>
      </c>
      <c r="D32" s="25">
        <v>27.144961968399091</v>
      </c>
      <c r="E32" s="59"/>
      <c r="F32" s="25"/>
      <c r="G32" s="25">
        <f t="shared" si="0"/>
        <v>27.144961968399091</v>
      </c>
      <c r="I32" t="s">
        <v>122</v>
      </c>
      <c r="J32" s="62">
        <f>G32</f>
        <v>27.144961968399091</v>
      </c>
      <c r="K32" s="67">
        <f t="shared" si="7"/>
        <v>1.21E-4</v>
      </c>
      <c r="M32" t="s">
        <v>161</v>
      </c>
      <c r="N32" s="62">
        <f>J31+J32</f>
        <v>122.80648930943288</v>
      </c>
      <c r="O32" s="67">
        <f>ROUND(N32/N$97,6)</f>
        <v>5.4600000000000004E-4</v>
      </c>
      <c r="Q32" s="65">
        <f>ROUND(J32*Q$6,2)</f>
        <v>705.77</v>
      </c>
      <c r="R32" s="67">
        <f t="shared" si="8"/>
        <v>1.22E-4</v>
      </c>
      <c r="S32" s="62">
        <f>8313.56+652.42</f>
        <v>8965.98</v>
      </c>
      <c r="T32" s="67">
        <f t="shared" si="9"/>
        <v>1.7489999999999999E-3</v>
      </c>
      <c r="U32" s="67"/>
    </row>
    <row r="33" spans="1:21" x14ac:dyDescent="0.45">
      <c r="A33" t="s">
        <v>40</v>
      </c>
      <c r="B33" s="21" t="s">
        <v>14</v>
      </c>
      <c r="C33">
        <v>1800</v>
      </c>
      <c r="D33" s="25">
        <v>10707.057103699915</v>
      </c>
      <c r="E33" s="59">
        <f>'clearing &amp; stores accounts'!F55+'clearing &amp; stores accounts'!F71</f>
        <v>3889.9091262679358</v>
      </c>
      <c r="F33" s="25"/>
      <c r="G33" s="25">
        <f t="shared" si="0"/>
        <v>14596.966229967851</v>
      </c>
      <c r="J33" s="62"/>
      <c r="K33" s="69"/>
      <c r="N33" s="62"/>
      <c r="O33" s="69"/>
      <c r="Q33" s="65"/>
      <c r="R33" s="67"/>
      <c r="S33" s="62"/>
      <c r="T33" s="69"/>
      <c r="U33" s="69"/>
    </row>
    <row r="34" spans="1:21" x14ac:dyDescent="0.45">
      <c r="A34" t="s">
        <v>40</v>
      </c>
      <c r="B34" s="21" t="s">
        <v>14</v>
      </c>
      <c r="C34">
        <v>1800</v>
      </c>
      <c r="D34" s="25">
        <v>243.68131754436178</v>
      </c>
      <c r="E34" s="59"/>
      <c r="F34" s="25"/>
      <c r="G34" s="25">
        <f t="shared" si="0"/>
        <v>243.68131754436178</v>
      </c>
      <c r="I34" t="s">
        <v>123</v>
      </c>
      <c r="J34" s="62">
        <f>G33+G34</f>
        <v>14840.647547512213</v>
      </c>
      <c r="K34" s="67">
        <f t="shared" ref="K34:K35" si="10">ROUND(J34/J$97,6)</f>
        <v>6.5930000000000002E-2</v>
      </c>
      <c r="N34" s="62"/>
      <c r="O34" s="69"/>
      <c r="Q34" s="65"/>
      <c r="R34" s="67"/>
      <c r="S34" s="62"/>
      <c r="T34" s="69"/>
      <c r="U34" s="69"/>
    </row>
    <row r="35" spans="1:21" x14ac:dyDescent="0.45">
      <c r="A35" s="24">
        <v>501010</v>
      </c>
      <c r="B35" s="21" t="s">
        <v>14</v>
      </c>
      <c r="C35">
        <v>1800</v>
      </c>
      <c r="D35" s="25"/>
      <c r="E35" s="59">
        <f>'clearing &amp; stores accounts'!F88+'clearing &amp; stores accounts'!F96</f>
        <v>1802.053606273058</v>
      </c>
      <c r="F35" s="25"/>
      <c r="G35" s="25">
        <f t="shared" si="0"/>
        <v>1802.053606273058</v>
      </c>
      <c r="I35" s="91" t="s">
        <v>124</v>
      </c>
      <c r="J35" s="92">
        <f>G35</f>
        <v>1802.053606273058</v>
      </c>
      <c r="K35" s="67">
        <f t="shared" si="10"/>
        <v>8.0059999999999992E-3</v>
      </c>
      <c r="N35" s="62"/>
      <c r="O35" s="69"/>
      <c r="Q35" s="65"/>
      <c r="R35" s="67"/>
      <c r="S35" s="62"/>
      <c r="T35" s="69"/>
      <c r="U35" s="69"/>
    </row>
    <row r="36" spans="1:21" x14ac:dyDescent="0.45">
      <c r="A36" t="s">
        <v>41</v>
      </c>
      <c r="B36" s="21" t="s">
        <v>14</v>
      </c>
      <c r="C36">
        <v>1800</v>
      </c>
      <c r="D36" s="25">
        <v>12855.840889614636</v>
      </c>
      <c r="E36" s="59"/>
      <c r="F36" s="25"/>
      <c r="G36" s="25">
        <f t="shared" si="0"/>
        <v>12855.840889614636</v>
      </c>
      <c r="J36" s="62"/>
      <c r="K36" s="69"/>
      <c r="N36" s="62"/>
      <c r="O36" s="69"/>
      <c r="Q36" s="65"/>
      <c r="R36" s="67"/>
      <c r="S36" s="62"/>
      <c r="T36" s="69"/>
      <c r="U36" s="69"/>
    </row>
    <row r="37" spans="1:21" x14ac:dyDescent="0.45">
      <c r="A37" t="s">
        <v>41</v>
      </c>
      <c r="B37" s="21" t="s">
        <v>14</v>
      </c>
      <c r="C37">
        <v>1800</v>
      </c>
      <c r="D37" s="25">
        <v>3056.6097849338871</v>
      </c>
      <c r="E37" s="59"/>
      <c r="F37" s="25"/>
      <c r="G37" s="25">
        <f t="shared" si="0"/>
        <v>3056.6097849338871</v>
      </c>
      <c r="I37" t="s">
        <v>125</v>
      </c>
      <c r="J37" s="62">
        <f>G36+G37</f>
        <v>15912.450674548523</v>
      </c>
      <c r="K37" s="67">
        <f>ROUND(J37/J$97,6)</f>
        <v>7.0692000000000005E-2</v>
      </c>
      <c r="N37" s="62"/>
      <c r="O37" s="69"/>
      <c r="Q37" s="65"/>
      <c r="R37" s="67"/>
      <c r="S37" s="62"/>
      <c r="T37" s="69"/>
      <c r="U37" s="69"/>
    </row>
    <row r="38" spans="1:21" x14ac:dyDescent="0.45">
      <c r="A38" t="s">
        <v>42</v>
      </c>
      <c r="B38" s="21" t="s">
        <v>14</v>
      </c>
      <c r="C38">
        <v>1800</v>
      </c>
      <c r="D38" s="25">
        <v>10220.582092686909</v>
      </c>
      <c r="E38" s="59"/>
      <c r="F38" s="25"/>
      <c r="G38" s="25">
        <f t="shared" si="0"/>
        <v>10220.582092686909</v>
      </c>
      <c r="J38" s="62"/>
      <c r="K38" s="69"/>
      <c r="N38" s="62"/>
      <c r="O38" s="69"/>
      <c r="Q38" s="65"/>
      <c r="R38" s="67"/>
      <c r="S38" s="62"/>
      <c r="T38" s="69"/>
      <c r="U38" s="69"/>
    </row>
    <row r="39" spans="1:21" x14ac:dyDescent="0.45">
      <c r="A39" t="s">
        <v>42</v>
      </c>
      <c r="B39" s="21" t="s">
        <v>14</v>
      </c>
      <c r="C39">
        <v>1800</v>
      </c>
      <c r="D39" s="25">
        <v>2765.510695476461</v>
      </c>
      <c r="E39" s="59"/>
      <c r="F39" s="25"/>
      <c r="G39" s="25">
        <f t="shared" si="0"/>
        <v>2765.510695476461</v>
      </c>
      <c r="I39" t="s">
        <v>126</v>
      </c>
      <c r="J39" s="62">
        <f>G38+G39</f>
        <v>12986.092788163371</v>
      </c>
      <c r="K39" s="67">
        <f>ROUND(J39/J$97,6)</f>
        <v>5.7690999999999999E-2</v>
      </c>
      <c r="N39" s="62"/>
      <c r="O39" s="69"/>
      <c r="Q39" s="65"/>
      <c r="R39" s="67"/>
      <c r="S39" s="62"/>
      <c r="T39" s="69"/>
      <c r="U39" s="69"/>
    </row>
    <row r="40" spans="1:21" x14ac:dyDescent="0.45">
      <c r="A40" t="s">
        <v>43</v>
      </c>
      <c r="B40" s="21" t="s">
        <v>14</v>
      </c>
      <c r="C40">
        <v>1800</v>
      </c>
      <c r="D40" s="25">
        <v>5667.0536330919767</v>
      </c>
      <c r="E40" s="59">
        <f>'clearing &amp; stores accounts'!M24</f>
        <v>30.196484883543803</v>
      </c>
      <c r="F40" s="25"/>
      <c r="G40" s="25">
        <f t="shared" si="0"/>
        <v>5697.2501179755209</v>
      </c>
      <c r="J40" s="62"/>
      <c r="K40" s="69"/>
      <c r="N40" s="62"/>
      <c r="O40" s="69"/>
      <c r="Q40" s="65"/>
      <c r="R40" s="67"/>
      <c r="S40" s="62"/>
      <c r="T40" s="69"/>
      <c r="U40" s="69"/>
    </row>
    <row r="41" spans="1:21" x14ac:dyDescent="0.45">
      <c r="A41" t="s">
        <v>44</v>
      </c>
      <c r="B41" s="21" t="s">
        <v>14</v>
      </c>
      <c r="C41">
        <v>1800</v>
      </c>
      <c r="D41" s="25">
        <v>470.19959143711725</v>
      </c>
      <c r="E41" s="59">
        <f>'clearing &amp; stores accounts'!F46</f>
        <v>5347.639117988514</v>
      </c>
      <c r="F41" s="25"/>
      <c r="G41" s="25">
        <f t="shared" si="0"/>
        <v>5817.8387094256314</v>
      </c>
      <c r="J41" s="62"/>
      <c r="K41" s="69"/>
      <c r="N41" s="62"/>
      <c r="O41" s="69"/>
      <c r="Q41" s="65"/>
      <c r="R41" s="67"/>
      <c r="S41" s="62"/>
      <c r="T41" s="69"/>
      <c r="U41" s="69"/>
    </row>
    <row r="42" spans="1:21" x14ac:dyDescent="0.45">
      <c r="A42" t="s">
        <v>44</v>
      </c>
      <c r="B42" s="21" t="s">
        <v>14</v>
      </c>
      <c r="C42">
        <v>1800</v>
      </c>
      <c r="D42" s="25">
        <v>19.593993268702494</v>
      </c>
      <c r="E42" s="59"/>
      <c r="F42" s="25"/>
      <c r="G42" s="25">
        <f t="shared" si="0"/>
        <v>19.593993268702494</v>
      </c>
      <c r="I42" t="s">
        <v>127</v>
      </c>
      <c r="J42" s="62">
        <f>SUM(G40:G42)</f>
        <v>11534.682820669856</v>
      </c>
      <c r="K42" s="67">
        <f t="shared" ref="K42:K43" si="11">ROUND(J42/J$97,6)</f>
        <v>5.1242999999999997E-2</v>
      </c>
      <c r="N42" s="62"/>
      <c r="O42" s="69"/>
      <c r="Q42" s="65"/>
      <c r="R42" s="67"/>
      <c r="S42" s="62"/>
      <c r="T42" s="69"/>
      <c r="U42" s="69"/>
    </row>
    <row r="43" spans="1:21" x14ac:dyDescent="0.45">
      <c r="A43" t="s">
        <v>45</v>
      </c>
      <c r="B43" s="21" t="s">
        <v>14</v>
      </c>
      <c r="C43">
        <v>1800</v>
      </c>
      <c r="D43" s="25">
        <v>7308.7551980066146</v>
      </c>
      <c r="E43" s="59"/>
      <c r="F43" s="25"/>
      <c r="G43" s="25">
        <f t="shared" si="0"/>
        <v>7308.7551980066146</v>
      </c>
      <c r="I43" t="s">
        <v>128</v>
      </c>
      <c r="J43" s="62">
        <f>G43</f>
        <v>7308.7551980066146</v>
      </c>
      <c r="K43" s="67">
        <f t="shared" si="11"/>
        <v>3.2468999999999998E-2</v>
      </c>
      <c r="N43" s="62"/>
      <c r="O43" s="69"/>
      <c r="Q43" s="65"/>
      <c r="R43" s="67"/>
      <c r="S43" s="62"/>
      <c r="T43" s="69"/>
      <c r="U43" s="69"/>
    </row>
    <row r="44" spans="1:21" x14ac:dyDescent="0.45">
      <c r="A44" t="s">
        <v>46</v>
      </c>
      <c r="B44" s="21" t="s">
        <v>14</v>
      </c>
      <c r="C44">
        <v>1800</v>
      </c>
      <c r="D44" s="25">
        <v>3101.8308413609479</v>
      </c>
      <c r="E44" s="59">
        <f>'clearing &amp; stores accounts'!M25</f>
        <v>12.563618580550033</v>
      </c>
      <c r="F44" s="25"/>
      <c r="G44" s="25">
        <f t="shared" si="0"/>
        <v>3114.3944599414981</v>
      </c>
      <c r="J44" s="62"/>
      <c r="K44" s="69"/>
      <c r="N44" s="62"/>
      <c r="O44" s="69"/>
      <c r="Q44" s="65"/>
      <c r="R44" s="67"/>
      <c r="S44" s="62"/>
      <c r="T44" s="69"/>
      <c r="U44" s="69"/>
    </row>
    <row r="45" spans="1:21" x14ac:dyDescent="0.45">
      <c r="A45" t="s">
        <v>46</v>
      </c>
      <c r="B45" s="21" t="s">
        <v>14</v>
      </c>
      <c r="C45">
        <v>1800</v>
      </c>
      <c r="D45" s="25">
        <v>202.76893631818933</v>
      </c>
      <c r="E45" s="59"/>
      <c r="F45" s="25"/>
      <c r="G45" s="25">
        <f t="shared" si="0"/>
        <v>202.76893631818933</v>
      </c>
      <c r="I45" t="s">
        <v>129</v>
      </c>
      <c r="J45" s="62">
        <f>G44+G45</f>
        <v>3317.1633962596875</v>
      </c>
      <c r="K45" s="67">
        <f>ROUND(J45/J$97,6)</f>
        <v>1.4737E-2</v>
      </c>
      <c r="N45" s="62"/>
      <c r="O45" s="69"/>
      <c r="Q45" s="65"/>
      <c r="R45" s="67"/>
      <c r="S45" s="62"/>
      <c r="T45" s="69"/>
      <c r="U45" s="69"/>
    </row>
    <row r="46" spans="1:21" x14ac:dyDescent="0.45">
      <c r="A46" t="s">
        <v>47</v>
      </c>
      <c r="B46" s="21" t="s">
        <v>14</v>
      </c>
      <c r="C46">
        <v>1800</v>
      </c>
      <c r="D46" s="25">
        <v>11087.864012830767</v>
      </c>
      <c r="E46" s="59">
        <f>'clearing &amp; stores accounts'!M26</f>
        <v>809.76915887822474</v>
      </c>
      <c r="F46" s="25"/>
      <c r="G46" s="25">
        <f t="shared" si="0"/>
        <v>11897.633171708992</v>
      </c>
      <c r="J46" s="62"/>
      <c r="K46" s="69"/>
      <c r="N46" s="62"/>
      <c r="O46" s="69"/>
      <c r="Q46" s="65"/>
      <c r="R46" s="67"/>
      <c r="S46" s="62"/>
      <c r="T46" s="69"/>
      <c r="U46" s="69"/>
    </row>
    <row r="47" spans="1:21" x14ac:dyDescent="0.45">
      <c r="A47" t="s">
        <v>47</v>
      </c>
      <c r="B47" s="21" t="s">
        <v>14</v>
      </c>
      <c r="C47">
        <v>1800</v>
      </c>
      <c r="D47" s="25">
        <v>1526.7997070225704</v>
      </c>
      <c r="E47" s="59"/>
      <c r="F47" s="25"/>
      <c r="G47" s="25">
        <f t="shared" si="0"/>
        <v>1526.7997070225704</v>
      </c>
      <c r="I47" s="91" t="s">
        <v>130</v>
      </c>
      <c r="J47" s="92">
        <f>G46+G47</f>
        <v>13424.432878731563</v>
      </c>
      <c r="K47" s="67">
        <f>ROUND(J47/J$97,6)</f>
        <v>5.9638999999999998E-2</v>
      </c>
      <c r="N47" s="62"/>
      <c r="O47" s="69"/>
      <c r="Q47" s="65"/>
      <c r="R47" s="67"/>
      <c r="S47" s="62"/>
      <c r="T47" s="69"/>
      <c r="U47" s="69"/>
    </row>
    <row r="48" spans="1:21" x14ac:dyDescent="0.45">
      <c r="A48" t="s">
        <v>48</v>
      </c>
      <c r="B48" s="21" t="s">
        <v>14</v>
      </c>
      <c r="C48">
        <v>1800</v>
      </c>
      <c r="D48" s="25">
        <v>1702.568536690273</v>
      </c>
      <c r="E48" s="59">
        <f>'clearing &amp; stores accounts'!M27</f>
        <v>18.394208410415658</v>
      </c>
      <c r="F48" s="25"/>
      <c r="G48" s="25">
        <f t="shared" si="0"/>
        <v>1720.9627451006886</v>
      </c>
      <c r="J48" s="62"/>
      <c r="K48" s="69"/>
      <c r="N48" s="62"/>
      <c r="O48" s="69"/>
      <c r="Q48" s="65"/>
      <c r="R48" s="67"/>
      <c r="S48" s="62"/>
      <c r="T48" s="69"/>
      <c r="U48" s="69"/>
    </row>
    <row r="49" spans="1:21" x14ac:dyDescent="0.45">
      <c r="A49" t="s">
        <v>48</v>
      </c>
      <c r="B49" s="21" t="s">
        <v>14</v>
      </c>
      <c r="C49">
        <v>1800</v>
      </c>
      <c r="D49" s="25">
        <v>322.027240845775</v>
      </c>
      <c r="E49" s="59"/>
      <c r="F49" s="25"/>
      <c r="G49" s="25">
        <f t="shared" si="0"/>
        <v>322.027240845775</v>
      </c>
      <c r="I49" t="s">
        <v>131</v>
      </c>
      <c r="J49" s="62">
        <f>G48+G49</f>
        <v>2042.9899859464635</v>
      </c>
      <c r="K49" s="67">
        <f>ROUND(J49/J$97,6)</f>
        <v>9.0760000000000007E-3</v>
      </c>
      <c r="M49" t="s">
        <v>162</v>
      </c>
      <c r="N49" s="92">
        <f>SUM(J33:J49)</f>
        <v>83169.268896111345</v>
      </c>
      <c r="O49" s="67">
        <f>ROUND(N49/N$97,6)</f>
        <v>0.36948199999999998</v>
      </c>
      <c r="Q49" s="93">
        <f>N131</f>
        <v>2097330.9900000002</v>
      </c>
      <c r="R49" s="67">
        <f>ROUND(Q49/Q$97,6)</f>
        <v>0.36239300000000002</v>
      </c>
      <c r="S49" s="62">
        <v>2108611.63</v>
      </c>
      <c r="T49" s="67">
        <f t="shared" ref="T49" si="12">ROUND(S49/S$97,6)</f>
        <v>0.41139799999999999</v>
      </c>
      <c r="U49" s="67"/>
    </row>
    <row r="50" spans="1:21" x14ac:dyDescent="0.45">
      <c r="A50" t="s">
        <v>49</v>
      </c>
      <c r="B50" s="21" t="s">
        <v>14</v>
      </c>
      <c r="C50">
        <v>1800</v>
      </c>
      <c r="D50" s="25">
        <v>2200.7575657789394</v>
      </c>
      <c r="E50" s="59">
        <f>'clearing &amp; stores accounts'!F56+'clearing &amp; stores accounts'!F64+'clearing &amp; stores accounts'!F72</f>
        <v>4125.8417300772508</v>
      </c>
      <c r="F50" s="25"/>
      <c r="G50" s="25">
        <f t="shared" si="0"/>
        <v>6326.5992958561901</v>
      </c>
      <c r="J50" s="62"/>
      <c r="K50" s="69"/>
      <c r="N50" s="62"/>
      <c r="O50" s="69"/>
      <c r="Q50" s="65"/>
      <c r="R50" s="67"/>
      <c r="S50" s="62"/>
      <c r="T50" s="69"/>
      <c r="U50" s="69"/>
    </row>
    <row r="51" spans="1:21" x14ac:dyDescent="0.45">
      <c r="A51" t="s">
        <v>49</v>
      </c>
      <c r="B51" s="21" t="s">
        <v>14</v>
      </c>
      <c r="C51">
        <v>1800</v>
      </c>
      <c r="D51" s="25">
        <v>10.129855662746035</v>
      </c>
      <c r="E51" s="59"/>
      <c r="F51" s="25"/>
      <c r="G51" s="25">
        <f t="shared" si="0"/>
        <v>10.129855662746035</v>
      </c>
      <c r="I51" t="s">
        <v>132</v>
      </c>
      <c r="J51" s="62">
        <f>G50+G51</f>
        <v>6336.7291515189363</v>
      </c>
      <c r="K51" s="67">
        <f t="shared" ref="K51:K52" si="13">ROUND(J51/J$97,6)</f>
        <v>2.8150999999999999E-2</v>
      </c>
      <c r="N51" s="62"/>
      <c r="O51" s="69"/>
      <c r="Q51" s="65"/>
      <c r="R51" s="67"/>
      <c r="S51" s="62"/>
      <c r="T51" s="69"/>
      <c r="U51" s="69"/>
    </row>
    <row r="52" spans="1:21" x14ac:dyDescent="0.45">
      <c r="A52" s="24">
        <v>547030</v>
      </c>
      <c r="B52" s="21" t="s">
        <v>14</v>
      </c>
      <c r="C52">
        <v>1800</v>
      </c>
      <c r="D52" s="25"/>
      <c r="E52" s="59">
        <f>'clearing &amp; stores accounts'!F89</f>
        <v>263.85521613445275</v>
      </c>
      <c r="F52" s="25"/>
      <c r="G52" s="25">
        <f t="shared" si="0"/>
        <v>263.85521613445275</v>
      </c>
      <c r="I52" t="s">
        <v>133</v>
      </c>
      <c r="J52" s="62">
        <f>G52</f>
        <v>263.85521613445275</v>
      </c>
      <c r="K52" s="67">
        <f t="shared" si="13"/>
        <v>1.1720000000000001E-3</v>
      </c>
      <c r="N52" s="62"/>
      <c r="O52" s="69"/>
      <c r="Q52" s="65"/>
      <c r="R52" s="67"/>
      <c r="S52" s="62"/>
      <c r="T52" s="69"/>
      <c r="U52" s="69"/>
    </row>
    <row r="53" spans="1:21" x14ac:dyDescent="0.45">
      <c r="A53" t="s">
        <v>50</v>
      </c>
      <c r="B53" s="21" t="s">
        <v>14</v>
      </c>
      <c r="C53">
        <v>1800</v>
      </c>
      <c r="D53" s="25">
        <v>4209.7405597678498</v>
      </c>
      <c r="E53" s="59"/>
      <c r="F53" s="25"/>
      <c r="G53" s="25">
        <f t="shared" si="0"/>
        <v>4209.7405597678498</v>
      </c>
      <c r="J53" s="62"/>
      <c r="K53" s="69"/>
      <c r="N53" s="62"/>
      <c r="O53" s="69"/>
      <c r="Q53" s="65"/>
      <c r="R53" s="67"/>
      <c r="S53" s="62"/>
      <c r="T53" s="69"/>
      <c r="U53" s="69"/>
    </row>
    <row r="54" spans="1:21" x14ac:dyDescent="0.45">
      <c r="A54" t="s">
        <v>50</v>
      </c>
      <c r="B54" s="21" t="s">
        <v>14</v>
      </c>
      <c r="C54">
        <v>1800</v>
      </c>
      <c r="D54" s="25">
        <v>2082.0917811421768</v>
      </c>
      <c r="E54" s="59"/>
      <c r="F54" s="25"/>
      <c r="G54" s="25">
        <f t="shared" si="0"/>
        <v>2082.0917811421768</v>
      </c>
      <c r="I54" t="s">
        <v>134</v>
      </c>
      <c r="J54" s="62">
        <f>G53+G54</f>
        <v>6291.8323409100267</v>
      </c>
      <c r="K54" s="67">
        <f>ROUND(J54/J$97,6)</f>
        <v>2.7952000000000001E-2</v>
      </c>
      <c r="N54" s="62"/>
      <c r="O54" s="69"/>
      <c r="Q54" s="65"/>
      <c r="R54" s="67"/>
      <c r="S54" s="62"/>
      <c r="T54" s="69"/>
      <c r="U54" s="69"/>
    </row>
    <row r="55" spans="1:21" x14ac:dyDescent="0.45">
      <c r="A55" t="s">
        <v>51</v>
      </c>
      <c r="B55" s="21" t="s">
        <v>14</v>
      </c>
      <c r="C55">
        <v>1800</v>
      </c>
      <c r="D55" s="25">
        <v>330.97436824790526</v>
      </c>
      <c r="E55" s="59"/>
      <c r="F55" s="25"/>
      <c r="G55" s="25">
        <f t="shared" si="0"/>
        <v>330.97436824790526</v>
      </c>
      <c r="J55" s="62"/>
      <c r="K55" s="69"/>
      <c r="N55" s="62"/>
      <c r="O55" s="69"/>
      <c r="Q55" s="65"/>
      <c r="R55" s="67"/>
      <c r="S55" s="62"/>
      <c r="T55" s="69"/>
      <c r="U55" s="69"/>
    </row>
    <row r="56" spans="1:21" x14ac:dyDescent="0.45">
      <c r="A56" t="s">
        <v>51</v>
      </c>
      <c r="B56" s="21" t="s">
        <v>14</v>
      </c>
      <c r="C56">
        <v>1800</v>
      </c>
      <c r="D56" s="25">
        <v>33.208081631451385</v>
      </c>
      <c r="E56" s="59"/>
      <c r="F56" s="25"/>
      <c r="G56" s="25">
        <f t="shared" si="0"/>
        <v>33.208081631451385</v>
      </c>
      <c r="J56" s="62"/>
      <c r="K56" s="69"/>
      <c r="N56" s="62"/>
      <c r="O56" s="69"/>
      <c r="Q56" s="65"/>
      <c r="R56" s="67"/>
      <c r="S56" s="62"/>
      <c r="T56" s="69"/>
      <c r="U56" s="69"/>
    </row>
    <row r="57" spans="1:21" x14ac:dyDescent="0.45">
      <c r="A57" t="s">
        <v>52</v>
      </c>
      <c r="B57" s="21" t="s">
        <v>14</v>
      </c>
      <c r="C57">
        <v>1800</v>
      </c>
      <c r="D57" s="25">
        <v>591.09984640338178</v>
      </c>
      <c r="E57" s="59">
        <f>'clearing &amp; stores accounts'!F47</f>
        <v>1985.2052111841531</v>
      </c>
      <c r="F57" s="25"/>
      <c r="G57" s="25">
        <f t="shared" si="0"/>
        <v>2576.305057587535</v>
      </c>
      <c r="J57" s="62"/>
      <c r="K57" s="69"/>
      <c r="N57" s="62"/>
      <c r="O57" s="69"/>
      <c r="Q57" s="65"/>
      <c r="R57" s="67"/>
      <c r="S57" s="62"/>
      <c r="T57" s="69"/>
      <c r="U57" s="69"/>
    </row>
    <row r="58" spans="1:21" x14ac:dyDescent="0.45">
      <c r="A58" t="s">
        <v>52</v>
      </c>
      <c r="B58" s="21" t="s">
        <v>14</v>
      </c>
      <c r="C58">
        <v>1800</v>
      </c>
      <c r="D58" s="25">
        <v>28.839306883769787</v>
      </c>
      <c r="E58" s="59"/>
      <c r="F58" s="25"/>
      <c r="G58" s="25">
        <f t="shared" si="0"/>
        <v>28.839306883769787</v>
      </c>
      <c r="I58" t="s">
        <v>135</v>
      </c>
      <c r="J58" s="62">
        <f>SUM(G55:G58)</f>
        <v>2969.3268143506616</v>
      </c>
      <c r="K58" s="67">
        <f t="shared" ref="K58:K59" si="14">ROUND(J58/J$97,6)</f>
        <v>1.3191E-2</v>
      </c>
      <c r="N58" s="62"/>
      <c r="O58" s="69"/>
      <c r="Q58" s="65"/>
      <c r="R58" s="67"/>
      <c r="S58" s="62"/>
      <c r="T58" s="69"/>
      <c r="U58" s="69"/>
    </row>
    <row r="59" spans="1:21" x14ac:dyDescent="0.45">
      <c r="A59" t="s">
        <v>53</v>
      </c>
      <c r="B59" s="21" t="s">
        <v>14</v>
      </c>
      <c r="C59">
        <v>1800</v>
      </c>
      <c r="D59" s="25">
        <v>1157.2198555369509</v>
      </c>
      <c r="E59" s="59"/>
      <c r="F59" s="25"/>
      <c r="G59" s="25">
        <f t="shared" si="0"/>
        <v>1157.2198555369509</v>
      </c>
      <c r="I59" t="s">
        <v>136</v>
      </c>
      <c r="J59" s="62">
        <f>G59</f>
        <v>1157.2198555369509</v>
      </c>
      <c r="K59" s="67">
        <f t="shared" si="14"/>
        <v>5.1409999999999997E-3</v>
      </c>
      <c r="N59" s="62"/>
      <c r="O59" s="69"/>
      <c r="Q59" s="65"/>
      <c r="R59" s="67"/>
      <c r="S59" s="62"/>
      <c r="T59" s="69"/>
      <c r="U59" s="69"/>
    </row>
    <row r="60" spans="1:21" x14ac:dyDescent="0.45">
      <c r="A60" t="s">
        <v>54</v>
      </c>
      <c r="B60" s="21" t="s">
        <v>14</v>
      </c>
      <c r="C60">
        <v>1800</v>
      </c>
      <c r="D60" s="25">
        <v>365.23188042721245</v>
      </c>
      <c r="E60" s="59"/>
      <c r="F60" s="25"/>
      <c r="G60" s="25">
        <f t="shared" si="0"/>
        <v>365.23188042721245</v>
      </c>
      <c r="J60" s="62"/>
      <c r="K60" s="69"/>
      <c r="N60" s="62"/>
      <c r="O60" s="69"/>
      <c r="Q60" s="65"/>
      <c r="R60" s="67"/>
      <c r="S60" s="62"/>
      <c r="T60" s="69"/>
      <c r="U60" s="69"/>
    </row>
    <row r="61" spans="1:21" x14ac:dyDescent="0.45">
      <c r="A61" t="s">
        <v>54</v>
      </c>
      <c r="B61" s="21" t="s">
        <v>14</v>
      </c>
      <c r="C61">
        <v>1800</v>
      </c>
      <c r="D61" s="25">
        <v>182.26959731253339</v>
      </c>
      <c r="E61" s="59"/>
      <c r="F61" s="25"/>
      <c r="G61" s="25">
        <f t="shared" si="0"/>
        <v>182.26959731253339</v>
      </c>
      <c r="I61" t="s">
        <v>137</v>
      </c>
      <c r="J61" s="62">
        <f>G60+G61</f>
        <v>547.50147773974584</v>
      </c>
      <c r="K61" s="67">
        <f>ROUND(J61/J$97,6)</f>
        <v>2.4320000000000001E-3</v>
      </c>
      <c r="N61" s="62"/>
      <c r="O61" s="69"/>
      <c r="Q61" s="65"/>
      <c r="R61" s="67"/>
      <c r="S61" s="62"/>
      <c r="T61" s="69"/>
      <c r="U61" s="69"/>
    </row>
    <row r="62" spans="1:21" x14ac:dyDescent="0.45">
      <c r="A62" t="s">
        <v>55</v>
      </c>
      <c r="B62" s="21" t="s">
        <v>14</v>
      </c>
      <c r="C62">
        <v>1800</v>
      </c>
      <c r="D62" s="25">
        <v>2335.540816054503</v>
      </c>
      <c r="E62" s="59">
        <v>167.15</v>
      </c>
      <c r="F62" s="25"/>
      <c r="G62" s="25">
        <f t="shared" si="0"/>
        <v>2502.6908160545031</v>
      </c>
      <c r="J62" s="62"/>
      <c r="K62" s="69"/>
      <c r="N62" s="62"/>
      <c r="O62" s="69"/>
      <c r="Q62" s="65"/>
      <c r="R62" s="67"/>
      <c r="S62" s="62"/>
      <c r="T62" s="69"/>
      <c r="U62" s="69"/>
    </row>
    <row r="63" spans="1:21" x14ac:dyDescent="0.45">
      <c r="A63" t="s">
        <v>55</v>
      </c>
      <c r="B63" s="21" t="s">
        <v>14</v>
      </c>
      <c r="C63">
        <v>1800</v>
      </c>
      <c r="D63" s="25">
        <v>1383.482321102329</v>
      </c>
      <c r="E63" s="59"/>
      <c r="F63" s="25"/>
      <c r="G63" s="25">
        <f t="shared" si="0"/>
        <v>1383.482321102329</v>
      </c>
      <c r="I63" t="s">
        <v>138</v>
      </c>
      <c r="J63" s="62">
        <f>G62+G63</f>
        <v>3886.1731371568321</v>
      </c>
      <c r="K63" s="67">
        <f>ROUND(J63/J$97,6)</f>
        <v>1.7264000000000002E-2</v>
      </c>
      <c r="M63" t="s">
        <v>163</v>
      </c>
      <c r="N63" s="62">
        <f>SUM(J50:J63)</f>
        <v>21452.637993347602</v>
      </c>
      <c r="O63" s="67">
        <f>ROUND(N63/N$97,6)</f>
        <v>9.5304E-2</v>
      </c>
      <c r="Q63" s="65">
        <f>ROUND(N63*Q$6,2)</f>
        <v>557768.59</v>
      </c>
      <c r="R63" s="67">
        <f>ROUND(Q63/Q$97,6)</f>
        <v>9.6376000000000003E-2</v>
      </c>
      <c r="S63" s="62">
        <f>115090.1+6118.36+101485.91+8645.87+48031.11+21376.09+20987.74+73086.68</f>
        <v>394821.86</v>
      </c>
      <c r="T63" s="67">
        <f t="shared" ref="T63" si="15">ROUND(S63/S$97,6)</f>
        <v>7.7031000000000002E-2</v>
      </c>
      <c r="U63" s="67"/>
    </row>
    <row r="64" spans="1:21" x14ac:dyDescent="0.45">
      <c r="A64" t="s">
        <v>56</v>
      </c>
      <c r="B64" s="21" t="s">
        <v>14</v>
      </c>
      <c r="C64">
        <v>1800</v>
      </c>
      <c r="D64" s="25">
        <v>8113.5597867235729</v>
      </c>
      <c r="E64" s="59"/>
      <c r="F64" s="25"/>
      <c r="G64" s="25">
        <f t="shared" si="0"/>
        <v>8113.5597867235729</v>
      </c>
      <c r="J64" s="62"/>
      <c r="K64" s="69"/>
      <c r="N64" s="62"/>
      <c r="O64" s="69"/>
      <c r="Q64" s="65"/>
      <c r="R64" s="67"/>
      <c r="S64" s="62"/>
      <c r="T64" s="69"/>
      <c r="U64" s="69"/>
    </row>
    <row r="65" spans="1:21" x14ac:dyDescent="0.45">
      <c r="A65" t="s">
        <v>56</v>
      </c>
      <c r="B65" s="21" t="s">
        <v>14</v>
      </c>
      <c r="C65">
        <v>1800</v>
      </c>
      <c r="D65" s="25">
        <v>28.669795341531696</v>
      </c>
      <c r="E65" s="59"/>
      <c r="F65" s="25"/>
      <c r="G65" s="25">
        <f t="shared" si="0"/>
        <v>28.669795341531696</v>
      </c>
      <c r="I65" t="s">
        <v>139</v>
      </c>
      <c r="J65" s="62">
        <f>G64+G65</f>
        <v>8142.2295820651043</v>
      </c>
      <c r="K65" s="67">
        <f>ROUND(J65/J$97,6)</f>
        <v>3.6172000000000003E-2</v>
      </c>
      <c r="N65" s="62"/>
      <c r="O65" s="69"/>
      <c r="Q65" s="65"/>
      <c r="R65" s="67"/>
      <c r="S65" s="62"/>
      <c r="T65" s="69"/>
      <c r="U65" s="69"/>
    </row>
    <row r="66" spans="1:21" x14ac:dyDescent="0.45">
      <c r="A66" t="s">
        <v>57</v>
      </c>
      <c r="B66" s="21" t="s">
        <v>14</v>
      </c>
      <c r="C66">
        <v>1800</v>
      </c>
      <c r="D66" s="25">
        <v>1057.1656677309202</v>
      </c>
      <c r="E66" s="59"/>
      <c r="F66" s="25"/>
      <c r="G66" s="25">
        <f t="shared" si="0"/>
        <v>1057.1656677309202</v>
      </c>
      <c r="J66" s="62"/>
      <c r="K66" s="69"/>
      <c r="N66" s="62"/>
      <c r="O66" s="69"/>
      <c r="Q66" s="65"/>
      <c r="R66" s="67"/>
      <c r="S66" s="62"/>
      <c r="T66" s="69"/>
      <c r="U66" s="69"/>
    </row>
    <row r="67" spans="1:21" x14ac:dyDescent="0.45">
      <c r="A67" t="s">
        <v>58</v>
      </c>
      <c r="B67" s="21" t="s">
        <v>14</v>
      </c>
      <c r="C67">
        <v>1800</v>
      </c>
      <c r="D67" s="25">
        <v>894.03315303005672</v>
      </c>
      <c r="E67" s="59"/>
      <c r="F67" s="25"/>
      <c r="G67" s="25">
        <f t="shared" si="0"/>
        <v>894.03315303005672</v>
      </c>
      <c r="I67" t="s">
        <v>140</v>
      </c>
      <c r="J67" s="62">
        <f>G66+G67</f>
        <v>1951.198820760977</v>
      </c>
      <c r="K67" s="67">
        <f t="shared" ref="K67:K68" si="16">ROUND(J67/J$97,6)</f>
        <v>8.6680000000000004E-3</v>
      </c>
      <c r="M67" t="s">
        <v>164</v>
      </c>
      <c r="N67" s="62">
        <f>SUM(J64:J67)</f>
        <v>10093.428402826081</v>
      </c>
      <c r="O67" s="67">
        <f>ROUND(N67/N$97,6)</f>
        <v>4.4839999999999998E-2</v>
      </c>
      <c r="Q67" s="65">
        <f>ROUND(N67*Q$6,2)</f>
        <v>262429.14</v>
      </c>
      <c r="R67" s="67">
        <f>ROUND(Q67/Q$97,6)</f>
        <v>4.5345000000000003E-2</v>
      </c>
      <c r="S67" s="62">
        <f>187063.96+26375.41+21813.46</f>
        <v>235252.83</v>
      </c>
      <c r="T67" s="67">
        <f t="shared" ref="T67" si="17">ROUND(S67/S$97,6)</f>
        <v>4.5899000000000002E-2</v>
      </c>
      <c r="U67" s="67"/>
    </row>
    <row r="68" spans="1:21" x14ac:dyDescent="0.45">
      <c r="A68" t="s">
        <v>59</v>
      </c>
      <c r="B68" s="21" t="s">
        <v>14</v>
      </c>
      <c r="C68">
        <v>1800</v>
      </c>
      <c r="D68" s="25">
        <v>16516.319363124494</v>
      </c>
      <c r="E68" s="59"/>
      <c r="F68" s="25"/>
      <c r="G68" s="25">
        <f t="shared" si="0"/>
        <v>16516.319363124494</v>
      </c>
      <c r="I68" t="s">
        <v>141</v>
      </c>
      <c r="J68" s="62">
        <f>G68</f>
        <v>16516.319363124494</v>
      </c>
      <c r="K68" s="67">
        <f t="shared" si="16"/>
        <v>7.3373999999999995E-2</v>
      </c>
      <c r="N68" s="62"/>
      <c r="O68" s="69"/>
      <c r="Q68" s="65"/>
      <c r="R68" s="67"/>
      <c r="S68" s="62"/>
      <c r="T68" s="69"/>
      <c r="U68" s="69"/>
    </row>
    <row r="69" spans="1:21" x14ac:dyDescent="0.45">
      <c r="A69" t="s">
        <v>60</v>
      </c>
      <c r="B69" s="21" t="s">
        <v>14</v>
      </c>
      <c r="C69">
        <v>1800</v>
      </c>
      <c r="D69" s="25">
        <v>7958.1284895893887</v>
      </c>
      <c r="E69" s="59"/>
      <c r="F69" s="25"/>
      <c r="G69" s="25">
        <f t="shared" si="0"/>
        <v>7958.1284895893887</v>
      </c>
      <c r="J69" s="62"/>
      <c r="K69" s="69"/>
      <c r="N69" s="62"/>
      <c r="O69" s="69"/>
      <c r="Q69" s="65"/>
      <c r="R69" s="67"/>
      <c r="S69" s="62"/>
      <c r="T69" s="69"/>
      <c r="U69" s="69"/>
    </row>
    <row r="70" spans="1:21" x14ac:dyDescent="0.45">
      <c r="A70" t="s">
        <v>60</v>
      </c>
      <c r="B70" s="21" t="s">
        <v>14</v>
      </c>
      <c r="C70">
        <v>1800</v>
      </c>
      <c r="D70" s="25">
        <v>34.076443031916497</v>
      </c>
      <c r="E70" s="59"/>
      <c r="F70" s="25"/>
      <c r="G70" s="25">
        <f t="shared" si="0"/>
        <v>34.076443031916497</v>
      </c>
      <c r="I70" t="s">
        <v>142</v>
      </c>
      <c r="J70" s="62">
        <f>G69+G70</f>
        <v>7992.2049326213055</v>
      </c>
      <c r="K70" s="67">
        <f>ROUND(J70/J$97,6)</f>
        <v>3.5506000000000003E-2</v>
      </c>
      <c r="N70" s="62"/>
      <c r="O70" s="69"/>
      <c r="Q70" s="65"/>
      <c r="R70" s="67"/>
      <c r="S70" s="62"/>
      <c r="T70" s="69"/>
      <c r="U70" s="69"/>
    </row>
    <row r="71" spans="1:21" x14ac:dyDescent="0.45">
      <c r="A71" t="s">
        <v>61</v>
      </c>
      <c r="B71" s="21" t="s">
        <v>14</v>
      </c>
      <c r="C71">
        <v>1800</v>
      </c>
      <c r="D71" s="25">
        <v>2963.6974266051511</v>
      </c>
      <c r="E71" s="59"/>
      <c r="F71" s="25"/>
      <c r="G71" s="25">
        <f t="shared" si="0"/>
        <v>2963.6974266051511</v>
      </c>
      <c r="J71" s="62"/>
      <c r="K71" s="69"/>
      <c r="N71" s="62"/>
      <c r="O71" s="69"/>
      <c r="Q71" s="65"/>
      <c r="R71" s="67"/>
      <c r="S71" s="62"/>
      <c r="T71" s="69"/>
      <c r="U71" s="69"/>
    </row>
    <row r="72" spans="1:21" x14ac:dyDescent="0.45">
      <c r="A72" t="s">
        <v>61</v>
      </c>
      <c r="B72" s="21" t="s">
        <v>14</v>
      </c>
      <c r="C72">
        <v>1800</v>
      </c>
      <c r="D72" s="25">
        <v>564.06660795145785</v>
      </c>
      <c r="E72" s="59"/>
      <c r="F72" s="25"/>
      <c r="G72" s="25">
        <f t="shared" si="0"/>
        <v>564.06660795145785</v>
      </c>
      <c r="I72" t="s">
        <v>143</v>
      </c>
      <c r="J72" s="62">
        <f>G71+G72</f>
        <v>3527.7640345566087</v>
      </c>
      <c r="K72" s="67">
        <f>ROUND(J72/J$97,6)</f>
        <v>1.5671999999999998E-2</v>
      </c>
      <c r="N72" s="62"/>
      <c r="O72" s="69"/>
      <c r="Q72" s="65"/>
      <c r="R72" s="67"/>
      <c r="S72" s="62"/>
      <c r="T72" s="69"/>
      <c r="U72" s="69"/>
    </row>
    <row r="73" spans="1:21" x14ac:dyDescent="0.45">
      <c r="A73" t="s">
        <v>62</v>
      </c>
      <c r="B73" s="21" t="s">
        <v>14</v>
      </c>
      <c r="C73">
        <v>1800</v>
      </c>
      <c r="D73" s="25">
        <v>2389.6881961944196</v>
      </c>
      <c r="E73" s="59">
        <f>'clearing &amp; stores accounts'!F7</f>
        <v>0.49585261316464896</v>
      </c>
      <c r="F73" s="25"/>
      <c r="G73" s="25">
        <f t="shared" si="0"/>
        <v>2390.1840488075841</v>
      </c>
      <c r="J73" s="62"/>
      <c r="K73" s="69"/>
      <c r="N73" s="62"/>
      <c r="O73" s="69"/>
      <c r="Q73" s="65"/>
      <c r="R73" s="67"/>
      <c r="S73" s="62"/>
      <c r="T73" s="69"/>
      <c r="U73" s="69"/>
    </row>
    <row r="74" spans="1:21" x14ac:dyDescent="0.45">
      <c r="A74" t="s">
        <v>62</v>
      </c>
      <c r="B74" s="21" t="s">
        <v>14</v>
      </c>
      <c r="C74">
        <v>1800</v>
      </c>
      <c r="D74" s="25">
        <v>81.729219583083406</v>
      </c>
      <c r="E74" s="59"/>
      <c r="F74" s="25"/>
      <c r="G74" s="25">
        <f t="shared" si="0"/>
        <v>81.729219583083406</v>
      </c>
      <c r="I74" t="s">
        <v>144</v>
      </c>
      <c r="J74" s="62">
        <f>G73+G74</f>
        <v>2471.9132683906673</v>
      </c>
      <c r="K74" s="67">
        <f t="shared" ref="K74:K76" si="18">ROUND(J74/J$97,6)</f>
        <v>1.0982E-2</v>
      </c>
      <c r="N74" s="62"/>
      <c r="O74" s="69"/>
      <c r="Q74" s="65"/>
      <c r="R74" s="67"/>
      <c r="S74" s="62"/>
      <c r="T74" s="69"/>
      <c r="U74" s="69"/>
    </row>
    <row r="75" spans="1:21" x14ac:dyDescent="0.45">
      <c r="A75" t="s">
        <v>63</v>
      </c>
      <c r="B75" s="21" t="s">
        <v>14</v>
      </c>
      <c r="C75">
        <v>1800</v>
      </c>
      <c r="D75" s="25">
        <v>599.02451100301232</v>
      </c>
      <c r="E75" s="59"/>
      <c r="F75" s="25"/>
      <c r="G75" s="25">
        <f t="shared" ref="G75:G96" si="19">SUM(D75:F75)</f>
        <v>599.02451100301232</v>
      </c>
      <c r="I75" t="s">
        <v>145</v>
      </c>
      <c r="J75" s="62">
        <f>G75</f>
        <v>599.02451100301232</v>
      </c>
      <c r="K75" s="67">
        <f t="shared" si="18"/>
        <v>2.6610000000000002E-3</v>
      </c>
      <c r="N75" s="62"/>
      <c r="O75" s="69"/>
      <c r="Q75" s="65"/>
      <c r="R75" s="67"/>
      <c r="S75" s="62"/>
      <c r="T75" s="69"/>
      <c r="U75" s="69"/>
    </row>
    <row r="76" spans="1:21" x14ac:dyDescent="0.45">
      <c r="A76" t="s">
        <v>64</v>
      </c>
      <c r="B76" s="21" t="s">
        <v>14</v>
      </c>
      <c r="C76">
        <v>1800</v>
      </c>
      <c r="D76" s="25">
        <v>490.0979349748381</v>
      </c>
      <c r="E76" s="59"/>
      <c r="F76" s="25"/>
      <c r="G76" s="25">
        <f t="shared" si="19"/>
        <v>490.0979349748381</v>
      </c>
      <c r="I76" t="s">
        <v>146</v>
      </c>
      <c r="J76" s="62">
        <f>G76</f>
        <v>490.0979349748381</v>
      </c>
      <c r="K76" s="67">
        <f t="shared" si="18"/>
        <v>2.1770000000000001E-3</v>
      </c>
      <c r="N76" s="62"/>
      <c r="O76" s="69"/>
      <c r="Q76" s="65"/>
      <c r="R76" s="67"/>
      <c r="S76" s="62"/>
      <c r="T76" s="69"/>
      <c r="U76" s="69"/>
    </row>
    <row r="77" spans="1:21" x14ac:dyDescent="0.45">
      <c r="A77" t="s">
        <v>65</v>
      </c>
      <c r="B77" s="21" t="s">
        <v>14</v>
      </c>
      <c r="C77">
        <v>1800</v>
      </c>
      <c r="D77" s="25">
        <v>1708.3365521684291</v>
      </c>
      <c r="E77" s="59"/>
      <c r="F77" s="25"/>
      <c r="G77" s="25">
        <f t="shared" si="19"/>
        <v>1708.3365521684291</v>
      </c>
      <c r="J77" s="62"/>
      <c r="K77" s="69"/>
      <c r="N77" s="62"/>
      <c r="O77" s="69"/>
      <c r="Q77" s="65"/>
      <c r="R77" s="67"/>
      <c r="S77" s="62"/>
      <c r="T77" s="69"/>
      <c r="U77" s="69"/>
    </row>
    <row r="78" spans="1:21" x14ac:dyDescent="0.45">
      <c r="A78" t="s">
        <v>65</v>
      </c>
      <c r="B78" s="21" t="s">
        <v>14</v>
      </c>
      <c r="C78">
        <v>1800</v>
      </c>
      <c r="D78" s="25">
        <v>579.51758502645941</v>
      </c>
      <c r="E78" s="59"/>
      <c r="F78" s="25"/>
      <c r="G78" s="25">
        <f t="shared" si="19"/>
        <v>579.51758502645941</v>
      </c>
      <c r="I78" t="s">
        <v>147</v>
      </c>
      <c r="J78" s="62">
        <f>G77+G78</f>
        <v>2287.8541371948886</v>
      </c>
      <c r="K78" s="67">
        <f>ROUND(J78/J$97,6)</f>
        <v>1.0163999999999999E-2</v>
      </c>
      <c r="N78" s="62"/>
      <c r="O78" s="69"/>
      <c r="Q78" s="65"/>
      <c r="R78" s="67"/>
      <c r="S78" s="62"/>
      <c r="T78" s="69"/>
      <c r="U78" s="69"/>
    </row>
    <row r="79" spans="1:21" x14ac:dyDescent="0.45">
      <c r="A79" t="s">
        <v>66</v>
      </c>
      <c r="B79" s="21" t="s">
        <v>14</v>
      </c>
      <c r="C79">
        <v>1800</v>
      </c>
      <c r="D79" s="25">
        <v>1999.0249613894327</v>
      </c>
      <c r="E79" s="59">
        <f>'clearing &amp; stores accounts'!F9</f>
        <v>10.740559956794716</v>
      </c>
      <c r="F79" s="25"/>
      <c r="G79" s="25">
        <f t="shared" si="19"/>
        <v>2009.7655213462274</v>
      </c>
      <c r="J79" s="62"/>
      <c r="K79" s="69"/>
      <c r="N79" s="62"/>
      <c r="O79" s="69"/>
      <c r="Q79" s="65"/>
      <c r="R79" s="67"/>
      <c r="S79" s="62"/>
      <c r="T79" s="69"/>
      <c r="U79" s="69"/>
    </row>
    <row r="80" spans="1:21" x14ac:dyDescent="0.45">
      <c r="A80" t="s">
        <v>66</v>
      </c>
      <c r="B80" s="21" t="s">
        <v>14</v>
      </c>
      <c r="C80">
        <v>1800</v>
      </c>
      <c r="D80" s="25">
        <v>295.87469190647886</v>
      </c>
      <c r="E80" s="59"/>
      <c r="F80" s="25"/>
      <c r="G80" s="25">
        <f t="shared" si="19"/>
        <v>295.87469190647886</v>
      </c>
      <c r="I80" t="s">
        <v>148</v>
      </c>
      <c r="J80" s="62">
        <f>G79+G80</f>
        <v>2305.6402132527064</v>
      </c>
      <c r="K80" s="67">
        <f>ROUND(J80/J$97,6)</f>
        <v>1.0243E-2</v>
      </c>
      <c r="M80" t="s">
        <v>165</v>
      </c>
      <c r="N80" s="62">
        <f>SUM(J68:J80)</f>
        <v>36190.81839511852</v>
      </c>
      <c r="O80" s="67">
        <f>ROUND(N80/N$97,6)</f>
        <v>0.16077900000000001</v>
      </c>
      <c r="Q80" s="65">
        <f>ROUND(N80*Q$6,2)</f>
        <v>940961.28000000003</v>
      </c>
      <c r="R80" s="67">
        <f>ROUND(Q80/Q$97,6)</f>
        <v>0.16258700000000001</v>
      </c>
      <c r="S80" s="62">
        <f>392917.07+181787.26+80634.47+51857.24+13150.9+11741.34+62084.81+48362.55+148.94</f>
        <v>842684.58000000007</v>
      </c>
      <c r="T80" s="67">
        <f t="shared" ref="T80" si="20">ROUND(S80/S$97,6)</f>
        <v>0.164411</v>
      </c>
      <c r="U80" s="67"/>
    </row>
    <row r="81" spans="1:21" x14ac:dyDescent="0.45">
      <c r="A81" t="s">
        <v>67</v>
      </c>
      <c r="B81" s="21" t="s">
        <v>14</v>
      </c>
      <c r="C81">
        <v>1800</v>
      </c>
      <c r="D81" s="25">
        <v>211.63747200528195</v>
      </c>
      <c r="E81" s="59"/>
      <c r="F81" s="25"/>
      <c r="G81" s="25">
        <f t="shared" si="19"/>
        <v>211.63747200528195</v>
      </c>
      <c r="J81" s="62"/>
      <c r="K81" s="69"/>
      <c r="N81" s="62"/>
      <c r="O81" s="69"/>
      <c r="Q81" s="65"/>
      <c r="R81" s="67"/>
      <c r="S81" s="62"/>
      <c r="T81" s="69"/>
      <c r="U81" s="69"/>
    </row>
    <row r="82" spans="1:21" x14ac:dyDescent="0.45">
      <c r="A82" t="s">
        <v>67</v>
      </c>
      <c r="B82" s="21" t="s">
        <v>14</v>
      </c>
      <c r="C82">
        <v>1800</v>
      </c>
      <c r="D82" s="25">
        <v>1.9555467918193836</v>
      </c>
      <c r="E82" s="59"/>
      <c r="F82" s="25"/>
      <c r="G82" s="25">
        <f t="shared" si="19"/>
        <v>1.9555467918193836</v>
      </c>
      <c r="I82" t="s">
        <v>149</v>
      </c>
      <c r="J82" s="62">
        <f>G81+G82</f>
        <v>213.59301879710134</v>
      </c>
      <c r="K82" s="67">
        <f>ROUND(J82/J$97,6)</f>
        <v>9.4899999999999997E-4</v>
      </c>
      <c r="N82" s="62"/>
      <c r="O82" s="69"/>
      <c r="Q82" s="65"/>
      <c r="R82" s="67"/>
      <c r="S82" s="62"/>
      <c r="T82" s="69"/>
      <c r="U82" s="69"/>
    </row>
    <row r="83" spans="1:21" x14ac:dyDescent="0.45">
      <c r="A83" t="s">
        <v>68</v>
      </c>
      <c r="B83" s="21" t="s">
        <v>14</v>
      </c>
      <c r="C83">
        <v>1800</v>
      </c>
      <c r="D83" s="25">
        <v>907.19110124278313</v>
      </c>
      <c r="E83" s="59">
        <f>'clearing &amp; stores accounts'!F10</f>
        <v>8.3183856496371735</v>
      </c>
      <c r="F83" s="25"/>
      <c r="G83" s="25">
        <f t="shared" si="19"/>
        <v>915.50948689242034</v>
      </c>
      <c r="J83" s="62"/>
      <c r="K83" s="69"/>
      <c r="N83" s="62"/>
      <c r="O83" s="69"/>
      <c r="Q83" s="65"/>
      <c r="R83" s="67"/>
      <c r="S83" s="62"/>
      <c r="T83" s="69"/>
      <c r="U83" s="69"/>
    </row>
    <row r="84" spans="1:21" x14ac:dyDescent="0.45">
      <c r="A84" t="s">
        <v>68</v>
      </c>
      <c r="B84" s="21" t="s">
        <v>14</v>
      </c>
      <c r="C84">
        <v>1800</v>
      </c>
      <c r="D84" s="25">
        <v>157.14875725985911</v>
      </c>
      <c r="E84" s="59"/>
      <c r="F84" s="25"/>
      <c r="G84" s="25">
        <f t="shared" si="19"/>
        <v>157.14875725985911</v>
      </c>
      <c r="I84" t="s">
        <v>150</v>
      </c>
      <c r="J84" s="62">
        <f>G83+G84</f>
        <v>1072.6582441522794</v>
      </c>
      <c r="K84" s="67">
        <f>ROUND(J84/J$97,6)</f>
        <v>4.7650000000000001E-3</v>
      </c>
      <c r="N84" s="62"/>
      <c r="O84" s="69"/>
      <c r="Q84" s="65"/>
      <c r="R84" s="67"/>
      <c r="S84" s="62"/>
      <c r="T84" s="69"/>
      <c r="U84" s="69"/>
    </row>
    <row r="85" spans="1:21" x14ac:dyDescent="0.45">
      <c r="A85" t="s">
        <v>69</v>
      </c>
      <c r="B85" s="21" t="s">
        <v>14</v>
      </c>
      <c r="C85">
        <v>1800</v>
      </c>
      <c r="D85" s="25">
        <v>1394.648508693758</v>
      </c>
      <c r="E85" s="59">
        <f>'clearing &amp; stores accounts'!F11</f>
        <v>14.931652195608958</v>
      </c>
      <c r="F85" s="25"/>
      <c r="G85" s="25">
        <f t="shared" si="19"/>
        <v>1409.5801608893669</v>
      </c>
      <c r="J85" s="62"/>
      <c r="K85" s="69"/>
      <c r="N85" s="62"/>
      <c r="O85" s="69"/>
      <c r="Q85" s="65"/>
      <c r="R85" s="67"/>
      <c r="S85" s="62"/>
      <c r="T85" s="69"/>
      <c r="U85" s="69"/>
    </row>
    <row r="86" spans="1:21" x14ac:dyDescent="0.45">
      <c r="A86" t="s">
        <v>69</v>
      </c>
      <c r="B86" s="21" t="s">
        <v>14</v>
      </c>
      <c r="C86">
        <v>1800</v>
      </c>
      <c r="D86" s="25">
        <v>204.2059318921622</v>
      </c>
      <c r="E86" s="59"/>
      <c r="F86" s="25"/>
      <c r="G86" s="25">
        <f t="shared" si="19"/>
        <v>204.2059318921622</v>
      </c>
      <c r="I86" t="s">
        <v>151</v>
      </c>
      <c r="J86" s="62">
        <f>G85+G86</f>
        <v>1613.7860927815291</v>
      </c>
      <c r="K86" s="67">
        <f t="shared" ref="K86:K89" si="21">ROUND(J86/J$97,6)</f>
        <v>7.169E-3</v>
      </c>
      <c r="M86" t="s">
        <v>166</v>
      </c>
      <c r="N86" s="62">
        <f>SUM(J81:J86)</f>
        <v>2900.0373557309099</v>
      </c>
      <c r="O86" s="67">
        <f>ROUND(N86/N$97,6)</f>
        <v>1.2884E-2</v>
      </c>
      <c r="Q86" s="65">
        <f>ROUND(N86*Q$6,2)</f>
        <v>75400.97</v>
      </c>
      <c r="R86" s="67">
        <f>ROUND(Q86/Q$97,6)</f>
        <v>1.3028E-2</v>
      </c>
      <c r="S86" s="62">
        <f>5849.45+34311.57+36157.37</f>
        <v>76318.39</v>
      </c>
      <c r="T86" s="67">
        <f t="shared" ref="T86:T89" si="22">ROUND(S86/S$97,6)</f>
        <v>1.489E-2</v>
      </c>
      <c r="U86" s="67"/>
    </row>
    <row r="87" spans="1:21" x14ac:dyDescent="0.45">
      <c r="A87" t="s">
        <v>70</v>
      </c>
      <c r="B87" s="21" t="s">
        <v>14</v>
      </c>
      <c r="C87">
        <v>1800</v>
      </c>
      <c r="D87" s="25">
        <v>4555.4131197418174</v>
      </c>
      <c r="E87" s="59"/>
      <c r="F87" s="25"/>
      <c r="G87" s="25">
        <f t="shared" si="19"/>
        <v>4555.4131197418174</v>
      </c>
      <c r="I87" t="s">
        <v>152</v>
      </c>
      <c r="J87" s="62">
        <f>G87</f>
        <v>4555.4131197418174</v>
      </c>
      <c r="K87" s="67">
        <f t="shared" si="21"/>
        <v>2.0237999999999999E-2</v>
      </c>
      <c r="N87" s="62"/>
      <c r="O87" s="69"/>
      <c r="Q87" s="65"/>
      <c r="R87" s="67"/>
      <c r="S87" s="62"/>
      <c r="T87" s="69"/>
      <c r="U87" s="69"/>
    </row>
    <row r="88" spans="1:21" x14ac:dyDescent="0.45">
      <c r="A88" t="s">
        <v>71</v>
      </c>
      <c r="B88" s="21" t="s">
        <v>14</v>
      </c>
      <c r="C88">
        <v>1800</v>
      </c>
      <c r="D88" s="25">
        <v>92.814503938444105</v>
      </c>
      <c r="E88" s="59"/>
      <c r="F88" s="25"/>
      <c r="G88" s="25">
        <f t="shared" si="19"/>
        <v>92.814503938444105</v>
      </c>
      <c r="I88" t="s">
        <v>153</v>
      </c>
      <c r="J88" s="62">
        <f>G88</f>
        <v>92.814503938444105</v>
      </c>
      <c r="K88" s="67">
        <f t="shared" si="21"/>
        <v>4.1199999999999999E-4</v>
      </c>
      <c r="M88" t="s">
        <v>167</v>
      </c>
      <c r="N88" s="62">
        <f>J87+J88</f>
        <v>4648.2276236802618</v>
      </c>
      <c r="O88" s="67">
        <f t="shared" ref="O88:O89" si="23">ROUND(N88/N$97,6)</f>
        <v>2.0650000000000002E-2</v>
      </c>
      <c r="Q88" s="65">
        <f t="shared" ref="Q88:Q89" si="24">ROUND(N88*Q$6,2)</f>
        <v>120853.92</v>
      </c>
      <c r="R88" s="67">
        <f t="shared" ref="R88:R89" si="25">ROUND(Q88/Q$97,6)</f>
        <v>2.0882000000000001E-2</v>
      </c>
      <c r="S88" s="62">
        <f>106039.66+2124.64</f>
        <v>108164.3</v>
      </c>
      <c r="T88" s="67">
        <f t="shared" si="22"/>
        <v>2.1103E-2</v>
      </c>
      <c r="U88" s="67"/>
    </row>
    <row r="89" spans="1:21" x14ac:dyDescent="0.45">
      <c r="A89" t="s">
        <v>72</v>
      </c>
      <c r="B89" s="21" t="s">
        <v>14</v>
      </c>
      <c r="C89">
        <v>1800</v>
      </c>
      <c r="D89" s="25">
        <v>61.725316584968809</v>
      </c>
      <c r="E89" s="59"/>
      <c r="F89" s="25"/>
      <c r="G89" s="25">
        <f t="shared" si="19"/>
        <v>61.725316584968809</v>
      </c>
      <c r="I89" t="s">
        <v>154</v>
      </c>
      <c r="J89" s="62">
        <f>G89</f>
        <v>61.725316584968809</v>
      </c>
      <c r="K89" s="67">
        <f t="shared" si="21"/>
        <v>2.7399999999999999E-4</v>
      </c>
      <c r="M89" t="s">
        <v>168</v>
      </c>
      <c r="N89" s="62">
        <f>J89</f>
        <v>61.725316584968809</v>
      </c>
      <c r="O89" s="67">
        <f t="shared" si="23"/>
        <v>2.7399999999999999E-4</v>
      </c>
      <c r="Q89" s="65">
        <f t="shared" si="24"/>
        <v>1604.86</v>
      </c>
      <c r="R89" s="67">
        <f t="shared" si="25"/>
        <v>2.7700000000000001E-4</v>
      </c>
      <c r="S89" s="62">
        <v>1425.64</v>
      </c>
      <c r="T89" s="67">
        <f t="shared" si="22"/>
        <v>2.7799999999999998E-4</v>
      </c>
      <c r="U89" s="67"/>
    </row>
    <row r="90" spans="1:21" x14ac:dyDescent="0.45">
      <c r="A90" t="s">
        <v>73</v>
      </c>
      <c r="B90" s="21" t="s">
        <v>14</v>
      </c>
      <c r="C90">
        <v>1800</v>
      </c>
      <c r="D90" s="25">
        <v>38691.219864257102</v>
      </c>
      <c r="E90" s="59"/>
      <c r="F90" s="25"/>
      <c r="G90" s="25">
        <f t="shared" si="19"/>
        <v>38691.219864257102</v>
      </c>
      <c r="J90" s="62"/>
      <c r="K90" s="69"/>
      <c r="N90" s="62"/>
      <c r="O90" s="69"/>
      <c r="Q90" s="65"/>
      <c r="R90" s="67"/>
      <c r="S90" s="62"/>
      <c r="T90" s="69"/>
      <c r="U90" s="69"/>
    </row>
    <row r="91" spans="1:21" x14ac:dyDescent="0.45">
      <c r="A91" t="s">
        <v>73</v>
      </c>
      <c r="B91" s="21" t="s">
        <v>14</v>
      </c>
      <c r="C91">
        <v>1800</v>
      </c>
      <c r="D91" s="25">
        <v>47.150405980534039</v>
      </c>
      <c r="E91" s="59"/>
      <c r="F91" s="25"/>
      <c r="G91" s="25">
        <f t="shared" si="19"/>
        <v>47.150405980534039</v>
      </c>
      <c r="I91" t="s">
        <v>155</v>
      </c>
      <c r="J91" s="62">
        <f>G90+G91</f>
        <v>38738.370270237639</v>
      </c>
      <c r="K91" s="67">
        <f>ROUND(J91/J$97,6)</f>
        <v>0.172097</v>
      </c>
      <c r="N91" s="62"/>
      <c r="O91" s="69"/>
      <c r="Q91" s="65"/>
      <c r="R91" s="67"/>
      <c r="S91" s="62"/>
      <c r="T91" s="69"/>
      <c r="U91" s="69"/>
    </row>
    <row r="92" spans="1:21" x14ac:dyDescent="0.45">
      <c r="A92" t="s">
        <v>74</v>
      </c>
      <c r="B92" s="21" t="s">
        <v>14</v>
      </c>
      <c r="C92">
        <v>1800</v>
      </c>
      <c r="D92" s="25">
        <v>207.73408349174494</v>
      </c>
      <c r="E92" s="59"/>
      <c r="F92" s="25"/>
      <c r="G92" s="25">
        <f t="shared" si="19"/>
        <v>207.73408349174494</v>
      </c>
      <c r="J92" s="62"/>
      <c r="K92" s="69"/>
      <c r="N92" s="62"/>
      <c r="O92" s="69"/>
      <c r="Q92" s="65"/>
      <c r="R92" s="67"/>
      <c r="S92" s="62"/>
      <c r="T92" s="69"/>
      <c r="U92" s="69"/>
    </row>
    <row r="93" spans="1:21" x14ac:dyDescent="0.45">
      <c r="A93" t="s">
        <v>75</v>
      </c>
      <c r="B93" s="21" t="s">
        <v>14</v>
      </c>
      <c r="C93">
        <v>1800</v>
      </c>
      <c r="D93" s="25">
        <v>1158.0697247691719</v>
      </c>
      <c r="E93" s="59"/>
      <c r="F93" s="25"/>
      <c r="G93" s="25">
        <f t="shared" si="19"/>
        <v>1158.0697247691719</v>
      </c>
      <c r="J93" s="62"/>
      <c r="K93" s="69"/>
      <c r="N93" s="62"/>
      <c r="O93" s="69"/>
      <c r="Q93" s="65"/>
      <c r="R93" s="67"/>
      <c r="S93" s="62"/>
      <c r="T93" s="69"/>
      <c r="U93" s="69"/>
    </row>
    <row r="94" spans="1:21" x14ac:dyDescent="0.45">
      <c r="A94" t="s">
        <v>76</v>
      </c>
      <c r="B94" s="21" t="s">
        <v>14</v>
      </c>
      <c r="C94">
        <v>1800</v>
      </c>
      <c r="D94" s="25">
        <v>112.43854698054335</v>
      </c>
      <c r="E94" s="59"/>
      <c r="F94" s="25"/>
      <c r="G94" s="25">
        <f t="shared" si="19"/>
        <v>112.43854698054335</v>
      </c>
      <c r="I94" t="s">
        <v>156</v>
      </c>
      <c r="J94" s="62">
        <f>SUM(G92:G94)</f>
        <v>1478.2423552414602</v>
      </c>
      <c r="K94" s="67">
        <f>ROUND(J94/J$97,6)</f>
        <v>6.5669999999999999E-3</v>
      </c>
      <c r="N94" s="62"/>
      <c r="O94" s="69"/>
      <c r="Q94" s="65"/>
      <c r="R94" s="67"/>
      <c r="S94" s="62"/>
      <c r="T94" s="69"/>
      <c r="U94" s="69"/>
    </row>
    <row r="95" spans="1:21" x14ac:dyDescent="0.45">
      <c r="A95" t="s">
        <v>77</v>
      </c>
      <c r="B95" s="21" t="s">
        <v>14</v>
      </c>
      <c r="C95">
        <v>1800</v>
      </c>
      <c r="D95" s="25">
        <v>1005.7944243486578</v>
      </c>
      <c r="E95" s="59"/>
      <c r="F95" s="25"/>
      <c r="G95" s="25">
        <f t="shared" si="19"/>
        <v>1005.7944243486578</v>
      </c>
      <c r="J95" s="62"/>
      <c r="K95" s="69"/>
      <c r="N95" s="62"/>
      <c r="O95" s="69"/>
      <c r="Q95" s="65"/>
      <c r="R95" s="67"/>
      <c r="S95" s="62"/>
      <c r="T95" s="69"/>
      <c r="U95" s="69"/>
    </row>
    <row r="96" spans="1:21" x14ac:dyDescent="0.45">
      <c r="A96" t="s">
        <v>77</v>
      </c>
      <c r="B96" s="21" t="s">
        <v>14</v>
      </c>
      <c r="C96">
        <v>1800</v>
      </c>
      <c r="D96" s="28">
        <v>265.26784194137196</v>
      </c>
      <c r="E96" s="60"/>
      <c r="F96" s="28"/>
      <c r="G96" s="28">
        <f t="shared" si="19"/>
        <v>265.26784194137196</v>
      </c>
      <c r="I96" t="s">
        <v>157</v>
      </c>
      <c r="J96" s="62">
        <f>G95+G96</f>
        <v>1271.0622662900298</v>
      </c>
      <c r="K96" s="67">
        <f>ROUND(J96/J$97,6)</f>
        <v>5.6470000000000001E-3</v>
      </c>
      <c r="M96" t="s">
        <v>169</v>
      </c>
      <c r="N96" s="62">
        <f>SUM(J90:J96)</f>
        <v>41487.674891769129</v>
      </c>
      <c r="O96" s="67">
        <f>ROUND(N96/N$97,6)</f>
        <v>0.18431</v>
      </c>
      <c r="Q96" s="65">
        <f>ROUND(N96*Q$6,2)</f>
        <v>1078679.55</v>
      </c>
      <c r="R96" s="67">
        <f>ROUND(Q96/Q$97,6)</f>
        <v>0.18638299999999999</v>
      </c>
      <c r="S96" s="62">
        <f>891979.24+59.82+4913.74+28504.87+2628.11+34815.83</f>
        <v>962901.60999999987</v>
      </c>
      <c r="T96" s="67">
        <f t="shared" ref="T96" si="26">ROUND(S96/S$97,6)</f>
        <v>0.18786600000000001</v>
      </c>
      <c r="U96" s="67"/>
    </row>
    <row r="97" spans="1:21" ht="14.65" thickBot="1" x14ac:dyDescent="0.5">
      <c r="D97" s="29">
        <f>SUM(D10:D96)</f>
        <v>225096.69000000009</v>
      </c>
      <c r="E97" s="61">
        <f t="shared" ref="E97:G97" si="27">SUM(E10:E96)</f>
        <v>19378.561248789218</v>
      </c>
      <c r="F97" s="29">
        <f t="shared" si="27"/>
        <v>-19378.568822407513</v>
      </c>
      <c r="G97" s="29">
        <f t="shared" si="27"/>
        <v>225096.68242638177</v>
      </c>
      <c r="J97" s="70">
        <f t="shared" ref="J97" si="28">SUM(J10:J96)</f>
        <v>225096.68242638183</v>
      </c>
      <c r="K97" s="71">
        <f>SUM(K10:K96)</f>
        <v>0.99999999999999978</v>
      </c>
      <c r="N97" s="70">
        <f t="shared" ref="N97" si="29">SUM(N10:N96)</f>
        <v>225096.68242638177</v>
      </c>
      <c r="O97" s="71">
        <f>SUM(O10:O96)</f>
        <v>0.99999999999999989</v>
      </c>
      <c r="Q97" s="70">
        <f t="shared" ref="Q97" si="30">SUM(Q10:Q96)</f>
        <v>5787443.75</v>
      </c>
      <c r="R97" s="71">
        <f>SUM(R10:R96)</f>
        <v>0.99999899999999997</v>
      </c>
      <c r="S97" s="70">
        <f t="shared" ref="S97" si="31">SUM(S10:S96)</f>
        <v>5125476.46</v>
      </c>
      <c r="T97" s="71">
        <f>SUM(T10:T96)</f>
        <v>0.99999799999999983</v>
      </c>
      <c r="U97" s="67">
        <f t="shared" ref="U97:U103" si="32">ROUND((Q97-S97)/S97,6)</f>
        <v>0.12915199999999999</v>
      </c>
    </row>
    <row r="98" spans="1:21" ht="14.65" thickTop="1" x14ac:dyDescent="0.45">
      <c r="D98" s="77"/>
      <c r="E98" s="73"/>
      <c r="F98" s="77"/>
      <c r="G98" s="77"/>
      <c r="J98" s="78"/>
      <c r="K98" s="72"/>
      <c r="N98" s="78"/>
      <c r="O98" s="72"/>
      <c r="Q98" s="78"/>
      <c r="R98" s="72"/>
      <c r="S98" s="72">
        <f>ROUND((Q97-S97)/S97,6)</f>
        <v>0.12915199999999999</v>
      </c>
      <c r="T98" s="72"/>
      <c r="U98" s="67"/>
    </row>
    <row r="99" spans="1:21" x14ac:dyDescent="0.45">
      <c r="D99" s="25"/>
      <c r="E99" s="25"/>
      <c r="F99" s="25"/>
      <c r="G99" s="25"/>
      <c r="J99" s="62"/>
      <c r="K99" s="69"/>
      <c r="N99" s="62"/>
      <c r="O99" s="69"/>
      <c r="Q99" s="65"/>
      <c r="R99" s="67"/>
      <c r="S99" s="62"/>
      <c r="T99" s="69"/>
      <c r="U99" s="69"/>
    </row>
    <row r="100" spans="1:21" x14ac:dyDescent="0.45">
      <c r="J100" s="62"/>
      <c r="K100" s="69"/>
      <c r="M100" t="s">
        <v>171</v>
      </c>
      <c r="N100" s="62">
        <f>SUM(N11:N33)</f>
        <v>25092.863551212959</v>
      </c>
      <c r="O100" s="69">
        <f>ROUND(N100/N103,6)</f>
        <v>0.11147600000000001</v>
      </c>
      <c r="Q100" s="62">
        <f>SUM(Q11:Q33)</f>
        <v>652414.44999999995</v>
      </c>
      <c r="R100" s="69">
        <f>ROUND(Q100/Q103,6)</f>
        <v>0.112729</v>
      </c>
      <c r="S100" s="62">
        <f>SUM(S11:S33)</f>
        <v>395295.62</v>
      </c>
      <c r="T100" s="69">
        <f>ROUND(S100/S103,6)</f>
        <v>7.7123999999999998E-2</v>
      </c>
      <c r="U100" s="67">
        <f t="shared" si="32"/>
        <v>0.650447</v>
      </c>
    </row>
    <row r="101" spans="1:21" x14ac:dyDescent="0.45">
      <c r="J101" s="62"/>
      <c r="K101" s="72"/>
      <c r="M101" t="s">
        <v>172</v>
      </c>
      <c r="N101" s="62">
        <f>SUM(N34:N96)</f>
        <v>200003.8188751688</v>
      </c>
      <c r="O101" s="69">
        <f>ROUND(N101/N103,6)</f>
        <v>0.88852399999999998</v>
      </c>
      <c r="Q101" s="62">
        <f>SUM(Q34:Q96)</f>
        <v>5135029.3</v>
      </c>
      <c r="R101" s="69">
        <f>ROUND(Q101/Q103,6)</f>
        <v>0.88727100000000003</v>
      </c>
      <c r="S101" s="62">
        <f>SUM(S34:S96)</f>
        <v>4730180.84</v>
      </c>
      <c r="T101" s="69">
        <f>ROUND(S101/S103,6)</f>
        <v>0.92287600000000003</v>
      </c>
      <c r="U101" s="67">
        <f t="shared" si="32"/>
        <v>8.5587999999999997E-2</v>
      </c>
    </row>
    <row r="102" spans="1:21" x14ac:dyDescent="0.45">
      <c r="J102" s="62"/>
      <c r="K102" s="69"/>
      <c r="N102" s="62"/>
      <c r="O102" s="69"/>
      <c r="Q102" s="62"/>
      <c r="R102" s="69"/>
      <c r="S102" s="62"/>
      <c r="T102" s="69"/>
      <c r="U102" s="69"/>
    </row>
    <row r="103" spans="1:21" x14ac:dyDescent="0.45">
      <c r="J103" s="62"/>
      <c r="M103" t="s">
        <v>173</v>
      </c>
      <c r="N103" s="62">
        <f>N100+N101</f>
        <v>225096.68242638177</v>
      </c>
      <c r="O103" s="69">
        <f>O100+O101</f>
        <v>1</v>
      </c>
      <c r="Q103" s="62">
        <f>Q100+Q101</f>
        <v>5787443.75</v>
      </c>
      <c r="R103" s="69">
        <f>R100+R101</f>
        <v>1</v>
      </c>
      <c r="S103" s="62">
        <f>S100+S101</f>
        <v>5125476.46</v>
      </c>
      <c r="T103" s="69">
        <f>T100+T101</f>
        <v>1</v>
      </c>
      <c r="U103" s="67">
        <f t="shared" si="32"/>
        <v>0.12915199999999999</v>
      </c>
    </row>
    <row r="104" spans="1:21" ht="15" customHeight="1" x14ac:dyDescent="0.45">
      <c r="A104" s="100" t="s">
        <v>84</v>
      </c>
      <c r="B104" s="100"/>
      <c r="C104" s="100"/>
      <c r="D104" s="100"/>
      <c r="E104" s="100"/>
      <c r="F104" s="100"/>
      <c r="G104" s="100"/>
    </row>
    <row r="105" spans="1:21" x14ac:dyDescent="0.45">
      <c r="M105" s="79" t="s">
        <v>178</v>
      </c>
    </row>
    <row r="106" spans="1:21" x14ac:dyDescent="0.45">
      <c r="A106">
        <v>408200</v>
      </c>
      <c r="B106" t="s">
        <v>85</v>
      </c>
      <c r="D106" t="s">
        <v>85</v>
      </c>
      <c r="G106" s="17">
        <f>'Sept 18th payroll taxes'!I3</f>
        <v>23.99</v>
      </c>
      <c r="N106" t="s">
        <v>171</v>
      </c>
      <c r="Q106" s="62">
        <f>Q100-S100</f>
        <v>257118.82999999996</v>
      </c>
    </row>
    <row r="107" spans="1:21" x14ac:dyDescent="0.45">
      <c r="A107">
        <v>408300</v>
      </c>
      <c r="B107" t="s">
        <v>86</v>
      </c>
      <c r="D107" t="s">
        <v>86</v>
      </c>
      <c r="G107" s="17">
        <f>'Sept 18th payroll taxes'!I4</f>
        <v>225008.79</v>
      </c>
      <c r="N107" t="s">
        <v>172</v>
      </c>
      <c r="Q107" s="80">
        <f>Q101-S101</f>
        <v>404848.45999999996</v>
      </c>
    </row>
    <row r="108" spans="1:21" x14ac:dyDescent="0.45">
      <c r="A108">
        <v>408400</v>
      </c>
      <c r="B108" t="s">
        <v>87</v>
      </c>
      <c r="D108" t="s">
        <v>87</v>
      </c>
      <c r="G108" s="20">
        <f>'Sept 18th payroll taxes'!I5</f>
        <v>63.91</v>
      </c>
      <c r="N108" t="s">
        <v>179</v>
      </c>
      <c r="Q108" s="62">
        <f>Q106+Q107</f>
        <v>661967.28999999992</v>
      </c>
    </row>
    <row r="109" spans="1:21" ht="14.65" thickBot="1" x14ac:dyDescent="0.5">
      <c r="A109" s="22" t="s">
        <v>88</v>
      </c>
      <c r="B109" s="22"/>
      <c r="C109" s="22"/>
      <c r="D109" s="22"/>
      <c r="G109" s="34">
        <f>SUM(G106:G108)</f>
        <v>225096.69</v>
      </c>
    </row>
    <row r="110" spans="1:21" ht="14.65" thickTop="1" x14ac:dyDescent="0.45">
      <c r="I110" s="94" t="s">
        <v>211</v>
      </c>
      <c r="J110" s="95"/>
      <c r="K110" s="95"/>
      <c r="L110" s="95"/>
    </row>
    <row r="111" spans="1:21" x14ac:dyDescent="0.45">
      <c r="I111" s="94" t="s">
        <v>212</v>
      </c>
      <c r="J111" s="95"/>
      <c r="K111" s="95"/>
      <c r="L111" s="95"/>
    </row>
    <row r="112" spans="1:21" x14ac:dyDescent="0.45">
      <c r="I112" s="94" t="s">
        <v>213</v>
      </c>
      <c r="J112" s="95"/>
      <c r="K112" s="95"/>
      <c r="L112" s="95"/>
    </row>
    <row r="113" spans="9:14" x14ac:dyDescent="0.45">
      <c r="I113" s="96" t="s">
        <v>194</v>
      </c>
      <c r="J113" s="95"/>
      <c r="K113" s="95"/>
      <c r="L113" s="95"/>
    </row>
    <row r="114" spans="9:14" x14ac:dyDescent="0.45">
      <c r="I114" s="97" t="s">
        <v>195</v>
      </c>
      <c r="J114" s="95"/>
      <c r="K114" s="95"/>
      <c r="L114" s="95"/>
    </row>
    <row r="115" spans="9:14" x14ac:dyDescent="0.45">
      <c r="I115" s="97" t="s">
        <v>196</v>
      </c>
      <c r="J115" s="95"/>
      <c r="K115" s="95"/>
      <c r="L115" s="95"/>
    </row>
    <row r="116" spans="9:14" x14ac:dyDescent="0.45">
      <c r="I116" s="95"/>
      <c r="J116" s="95"/>
      <c r="K116" s="97" t="s">
        <v>197</v>
      </c>
      <c r="L116" s="95"/>
    </row>
    <row r="117" spans="9:14" x14ac:dyDescent="0.45">
      <c r="I117" s="95"/>
      <c r="J117" s="95"/>
      <c r="K117" s="98" t="s">
        <v>198</v>
      </c>
      <c r="L117" s="99"/>
      <c r="M117" s="91"/>
      <c r="N117" s="62">
        <f>J35</f>
        <v>1802.053606273058</v>
      </c>
    </row>
    <row r="118" spans="9:14" x14ac:dyDescent="0.45">
      <c r="I118" s="95"/>
      <c r="J118" s="95"/>
      <c r="K118" s="97" t="s">
        <v>199</v>
      </c>
      <c r="L118" s="95"/>
      <c r="N118" s="62">
        <f>ROUND(N117*26,2)</f>
        <v>46853.39</v>
      </c>
    </row>
    <row r="119" spans="9:14" x14ac:dyDescent="0.45">
      <c r="I119" s="95"/>
      <c r="J119" s="95"/>
      <c r="K119" s="97" t="s">
        <v>200</v>
      </c>
      <c r="L119" s="95"/>
      <c r="N119" s="85">
        <v>3.1000000000000001E-5</v>
      </c>
    </row>
    <row r="120" spans="9:14" ht="14.65" thickBot="1" x14ac:dyDescent="0.5">
      <c r="I120" s="95"/>
      <c r="J120" s="95"/>
      <c r="K120" s="97" t="s">
        <v>201</v>
      </c>
      <c r="L120" s="95"/>
      <c r="N120" s="70">
        <f>ROUND(N118*N119,2)</f>
        <v>1.45</v>
      </c>
    </row>
    <row r="121" spans="9:14" ht="14.65" thickTop="1" x14ac:dyDescent="0.45">
      <c r="I121" s="95"/>
      <c r="J121" s="95"/>
      <c r="K121" s="97" t="s">
        <v>202</v>
      </c>
      <c r="L121" s="95"/>
    </row>
    <row r="122" spans="9:14" x14ac:dyDescent="0.45">
      <c r="I122" s="95"/>
      <c r="J122" s="95"/>
      <c r="K122" s="98" t="s">
        <v>198</v>
      </c>
      <c r="L122" s="99"/>
      <c r="M122" s="91"/>
      <c r="N122" s="62">
        <f>J47</f>
        <v>13424.432878731563</v>
      </c>
    </row>
    <row r="123" spans="9:14" x14ac:dyDescent="0.45">
      <c r="I123" s="95"/>
      <c r="J123" s="95"/>
      <c r="K123" s="97" t="s">
        <v>199</v>
      </c>
      <c r="L123" s="95"/>
      <c r="N123" s="62">
        <f>ROUND(N122*26,2)</f>
        <v>349035.25</v>
      </c>
    </row>
    <row r="124" spans="9:14" x14ac:dyDescent="0.45">
      <c r="I124" s="95"/>
      <c r="J124" s="95"/>
      <c r="K124" s="97" t="s">
        <v>200</v>
      </c>
      <c r="L124" s="95"/>
      <c r="N124" s="69">
        <v>0.18642400000000001</v>
      </c>
    </row>
    <row r="125" spans="9:14" ht="14.65" thickBot="1" x14ac:dyDescent="0.5">
      <c r="I125" s="95"/>
      <c r="J125" s="95"/>
      <c r="K125" s="97" t="s">
        <v>201</v>
      </c>
      <c r="L125" s="95"/>
      <c r="N125" s="70">
        <f>ROUND(N123*N124,2)</f>
        <v>65068.55</v>
      </c>
    </row>
    <row r="126" spans="9:14" ht="14.65" thickTop="1" x14ac:dyDescent="0.45">
      <c r="I126" s="95"/>
      <c r="J126" s="95"/>
      <c r="K126" s="97" t="s">
        <v>203</v>
      </c>
      <c r="L126" s="95"/>
    </row>
    <row r="127" spans="9:14" x14ac:dyDescent="0.45">
      <c r="I127" s="95"/>
      <c r="J127" s="95"/>
      <c r="K127" s="97" t="s">
        <v>204</v>
      </c>
      <c r="L127" s="95"/>
      <c r="N127" s="62">
        <f>N49</f>
        <v>83169.268896111345</v>
      </c>
    </row>
    <row r="128" spans="9:14" x14ac:dyDescent="0.45">
      <c r="I128" s="95"/>
      <c r="J128" s="95"/>
      <c r="K128" s="97" t="s">
        <v>199</v>
      </c>
      <c r="L128" s="95"/>
      <c r="N128" s="62">
        <f>ROUND(N127*26,2)</f>
        <v>2162400.9900000002</v>
      </c>
    </row>
    <row r="129" spans="9:14" x14ac:dyDescent="0.45">
      <c r="I129" s="95"/>
      <c r="J129" s="95"/>
      <c r="K129" s="97" t="s">
        <v>205</v>
      </c>
      <c r="L129" s="95"/>
      <c r="N129" s="62">
        <f>-N120</f>
        <v>-1.45</v>
      </c>
    </row>
    <row r="130" spans="9:14" x14ac:dyDescent="0.45">
      <c r="I130" s="95"/>
      <c r="J130" s="95"/>
      <c r="K130" s="97" t="s">
        <v>206</v>
      </c>
      <c r="L130" s="95"/>
      <c r="N130" s="80">
        <f>-N125</f>
        <v>-65068.55</v>
      </c>
    </row>
    <row r="131" spans="9:14" ht="14.65" thickBot="1" x14ac:dyDescent="0.5">
      <c r="I131" s="95"/>
      <c r="J131" s="95"/>
      <c r="K131" s="98" t="s">
        <v>207</v>
      </c>
      <c r="L131" s="99"/>
      <c r="M131" s="91"/>
      <c r="N131" s="70">
        <f>N128+N129+N130</f>
        <v>2097330.9900000002</v>
      </c>
    </row>
    <row r="132" spans="9:14" ht="14.65" thickTop="1" x14ac:dyDescent="0.45"/>
  </sheetData>
  <mergeCells count="2">
    <mergeCell ref="A104:G104"/>
    <mergeCell ref="I8:R8"/>
  </mergeCells>
  <pageMargins left="0.7" right="0.7" top="0.75" bottom="0.75" header="0.3" footer="0.3"/>
  <pageSetup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"/>
  <sheetViews>
    <sheetView workbookViewId="0">
      <selection activeCell="A2" sqref="A2"/>
    </sheetView>
  </sheetViews>
  <sheetFormatPr defaultColWidth="9.73046875" defaultRowHeight="14.25" x14ac:dyDescent="0.45"/>
  <cols>
    <col min="1" max="1" width="6.73046875" style="13" bestFit="1" customWidth="1"/>
    <col min="2" max="2" width="9.59765625" style="14" bestFit="1" customWidth="1"/>
    <col min="3" max="3" width="11.1328125" bestFit="1" customWidth="1"/>
    <col min="4" max="4" width="8.265625" bestFit="1" customWidth="1"/>
    <col min="5" max="5" width="9.3984375" bestFit="1" customWidth="1"/>
    <col min="6" max="6" width="5.1328125" bestFit="1" customWidth="1"/>
    <col min="7" max="7" width="12.3984375" bestFit="1" customWidth="1"/>
    <col min="8" max="8" width="7.265625" bestFit="1" customWidth="1"/>
    <col min="9" max="9" width="10.59765625" style="17" bestFit="1" customWidth="1"/>
    <col min="10" max="10" width="12.86328125" bestFit="1" customWidth="1"/>
    <col min="11" max="11" width="8.59765625" style="15" bestFit="1" customWidth="1"/>
    <col min="12" max="12" width="7.265625" bestFit="1" customWidth="1"/>
    <col min="13" max="13" width="6.73046875" bestFit="1" customWidth="1"/>
  </cols>
  <sheetData>
    <row r="1" spans="1:13" x14ac:dyDescent="0.45">
      <c r="A1" t="str">
        <f>'Sept 18th payroll tax alloc'!A1</f>
        <v>Workpaper 1.08 Payroll Tax FINAL.xlsx</v>
      </c>
      <c r="B1"/>
      <c r="I1"/>
      <c r="K1"/>
    </row>
    <row r="2" spans="1:13" x14ac:dyDescent="0.45">
      <c r="A2" s="1" t="s">
        <v>0</v>
      </c>
      <c r="B2" s="2" t="s">
        <v>1</v>
      </c>
      <c r="C2" s="3" t="s">
        <v>2</v>
      </c>
      <c r="D2" s="4" t="s">
        <v>3</v>
      </c>
      <c r="E2" s="5" t="s">
        <v>4</v>
      </c>
      <c r="F2" s="6" t="s">
        <v>5</v>
      </c>
      <c r="G2" s="7" t="s">
        <v>6</v>
      </c>
      <c r="H2" s="8" t="s">
        <v>7</v>
      </c>
      <c r="I2" s="16" t="s">
        <v>8</v>
      </c>
      <c r="J2" s="9" t="s">
        <v>9</v>
      </c>
      <c r="K2" s="10" t="s">
        <v>10</v>
      </c>
      <c r="L2" s="11" t="s">
        <v>11</v>
      </c>
      <c r="M2" s="12" t="s">
        <v>12</v>
      </c>
    </row>
    <row r="3" spans="1:13" x14ac:dyDescent="0.45">
      <c r="A3" s="13">
        <v>9</v>
      </c>
      <c r="B3" s="14">
        <v>44104</v>
      </c>
      <c r="C3" t="s">
        <v>20</v>
      </c>
      <c r="D3" t="s">
        <v>13</v>
      </c>
      <c r="F3" t="s">
        <v>14</v>
      </c>
      <c r="I3" s="17">
        <v>23.99</v>
      </c>
      <c r="J3" t="s">
        <v>15</v>
      </c>
      <c r="K3" s="15">
        <v>0</v>
      </c>
      <c r="L3" t="s">
        <v>16</v>
      </c>
      <c r="M3" t="s">
        <v>17</v>
      </c>
    </row>
    <row r="4" spans="1:13" x14ac:dyDescent="0.45">
      <c r="A4" s="13">
        <v>9</v>
      </c>
      <c r="B4" s="14">
        <v>44104</v>
      </c>
      <c r="C4" t="s">
        <v>20</v>
      </c>
      <c r="D4" t="s">
        <v>18</v>
      </c>
      <c r="F4" t="s">
        <v>14</v>
      </c>
      <c r="I4" s="17">
        <v>225008.79</v>
      </c>
      <c r="J4" t="s">
        <v>15</v>
      </c>
      <c r="K4" s="15">
        <v>0</v>
      </c>
      <c r="L4" t="s">
        <v>16</v>
      </c>
      <c r="M4" t="s">
        <v>17</v>
      </c>
    </row>
    <row r="5" spans="1:13" x14ac:dyDescent="0.45">
      <c r="A5" s="13">
        <v>9</v>
      </c>
      <c r="B5" s="14">
        <v>44104</v>
      </c>
      <c r="C5" t="s">
        <v>20</v>
      </c>
      <c r="D5" t="s">
        <v>19</v>
      </c>
      <c r="F5" t="s">
        <v>14</v>
      </c>
      <c r="I5" s="17">
        <v>63.91</v>
      </c>
      <c r="J5" t="s">
        <v>15</v>
      </c>
      <c r="K5" s="15">
        <v>0</v>
      </c>
      <c r="L5" t="s">
        <v>16</v>
      </c>
      <c r="M5" t="s">
        <v>17</v>
      </c>
    </row>
    <row r="6" spans="1:13" x14ac:dyDescent="0.45">
      <c r="I6" s="17">
        <f>SUM(I3:I5)</f>
        <v>225096.69</v>
      </c>
    </row>
  </sheetData>
  <sortState xmlns:xlrd2="http://schemas.microsoft.com/office/spreadsheetml/2017/richdata2" ref="A2:M16">
    <sortCondition ref="C2:C16"/>
    <sortCondition ref="D2:D16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01"/>
  <sheetViews>
    <sheetView zoomScaleNormal="100" workbookViewId="0">
      <selection activeCell="A2" sqref="A2"/>
    </sheetView>
  </sheetViews>
  <sheetFormatPr defaultColWidth="10.265625" defaultRowHeight="14.25" x14ac:dyDescent="0.45"/>
  <cols>
    <col min="1" max="1" width="7" style="13" bestFit="1" customWidth="1"/>
    <col min="2" max="2" width="9.73046875" style="14" bestFit="1" customWidth="1"/>
    <col min="3" max="3" width="11.265625" bestFit="1" customWidth="1"/>
    <col min="4" max="4" width="8.265625" bestFit="1" customWidth="1"/>
    <col min="5" max="5" width="8.1328125" customWidth="1"/>
    <col min="6" max="6" width="12.73046875" bestFit="1" customWidth="1"/>
    <col min="7" max="7" width="7.3984375" bestFit="1" customWidth="1"/>
    <col min="8" max="8" width="5.86328125" customWidth="1"/>
    <col min="9" max="9" width="11.73046875" style="31" bestFit="1" customWidth="1"/>
    <col min="11" max="11" width="10.73046875" customWidth="1"/>
    <col min="12" max="15" width="15.73046875" customWidth="1"/>
    <col min="16" max="16" width="12.73046875" bestFit="1" customWidth="1"/>
  </cols>
  <sheetData>
    <row r="1" spans="1:15" x14ac:dyDescent="0.45">
      <c r="A1" s="13" t="str">
        <f>'Sept 18th payroll tax alloc'!A1</f>
        <v>Workpaper 1.08 Payroll Tax FINAL.xlsx</v>
      </c>
    </row>
    <row r="2" spans="1:15" x14ac:dyDescent="0.45">
      <c r="A2" s="33" t="s">
        <v>93</v>
      </c>
    </row>
    <row r="3" spans="1:15" ht="14.65" thickBot="1" x14ac:dyDescent="0.5"/>
    <row r="4" spans="1:15" ht="48" customHeight="1" thickTop="1" thickBot="1" x14ac:dyDescent="0.5">
      <c r="A4" s="18" t="s">
        <v>0</v>
      </c>
      <c r="B4" s="18" t="s">
        <v>1</v>
      </c>
      <c r="C4" s="18" t="s">
        <v>2</v>
      </c>
      <c r="D4" s="18" t="s">
        <v>3</v>
      </c>
      <c r="E4" s="23" t="s">
        <v>6</v>
      </c>
      <c r="F4" s="27" t="s">
        <v>90</v>
      </c>
      <c r="G4" s="18" t="s">
        <v>11</v>
      </c>
      <c r="I4" s="30" t="s">
        <v>82</v>
      </c>
      <c r="K4" s="81" t="s">
        <v>3</v>
      </c>
      <c r="L4" s="82" t="s">
        <v>182</v>
      </c>
      <c r="M4" s="82" t="s">
        <v>180</v>
      </c>
      <c r="N4" s="82" t="s">
        <v>183</v>
      </c>
      <c r="O4" s="82" t="s">
        <v>181</v>
      </c>
    </row>
    <row r="5" spans="1:15" ht="14.65" thickTop="1" x14ac:dyDescent="0.45">
      <c r="A5" s="13">
        <v>9</v>
      </c>
      <c r="B5" s="14">
        <v>44104</v>
      </c>
      <c r="C5" t="s">
        <v>20</v>
      </c>
      <c r="D5" t="s">
        <v>21</v>
      </c>
      <c r="E5" t="s">
        <v>22</v>
      </c>
      <c r="F5" s="17">
        <v>182821.65</v>
      </c>
      <c r="G5" t="s">
        <v>16</v>
      </c>
      <c r="I5" s="31">
        <f>F5*$F$93</f>
        <v>14086.536293641695</v>
      </c>
      <c r="L5" s="62"/>
      <c r="M5" s="69"/>
      <c r="N5" s="62"/>
      <c r="O5" s="69"/>
    </row>
    <row r="6" spans="1:15" x14ac:dyDescent="0.45">
      <c r="A6" s="13">
        <v>9</v>
      </c>
      <c r="B6" s="14">
        <v>44104</v>
      </c>
      <c r="C6" t="s">
        <v>20</v>
      </c>
      <c r="D6" t="s">
        <v>21</v>
      </c>
      <c r="E6" t="s">
        <v>23</v>
      </c>
      <c r="F6" s="17">
        <v>21948.94</v>
      </c>
      <c r="G6" t="s">
        <v>16</v>
      </c>
      <c r="I6" s="31">
        <f t="shared" ref="I6:I69" si="0">F6*$F$93</f>
        <v>1691.1812135869245</v>
      </c>
      <c r="K6" t="s">
        <v>114</v>
      </c>
      <c r="L6" s="62">
        <f>I5</f>
        <v>14086.536293641695</v>
      </c>
      <c r="M6" s="69">
        <f>ROUND(L6/L$90,6)</f>
        <v>6.8135000000000001E-2</v>
      </c>
      <c r="N6" s="62">
        <f>I6</f>
        <v>1691.1812135869245</v>
      </c>
      <c r="O6" s="69">
        <f>ROUND(N6/N$90,6)</f>
        <v>9.2147999999999994E-2</v>
      </c>
    </row>
    <row r="7" spans="1:15" x14ac:dyDescent="0.45">
      <c r="A7" s="13">
        <v>9</v>
      </c>
      <c r="B7" s="14">
        <v>44104</v>
      </c>
      <c r="C7" t="s">
        <v>20</v>
      </c>
      <c r="D7" t="s">
        <v>24</v>
      </c>
      <c r="E7" t="s">
        <v>22</v>
      </c>
      <c r="F7" s="17">
        <v>102.34</v>
      </c>
      <c r="G7" t="s">
        <v>16</v>
      </c>
      <c r="I7" s="31">
        <f t="shared" si="0"/>
        <v>7.8853687421117318</v>
      </c>
      <c r="K7" t="s">
        <v>115</v>
      </c>
      <c r="L7" s="62">
        <f>I7</f>
        <v>7.8853687421117318</v>
      </c>
      <c r="M7" s="69">
        <f t="shared" ref="M7:M8" si="1">ROUND(L7/L$90,6)</f>
        <v>3.8000000000000002E-5</v>
      </c>
      <c r="N7" s="62">
        <v>0</v>
      </c>
      <c r="O7" s="69">
        <f t="shared" ref="O7:O8" si="2">ROUND(N7/N$90,6)</f>
        <v>0</v>
      </c>
    </row>
    <row r="8" spans="1:15" x14ac:dyDescent="0.45">
      <c r="A8" s="13">
        <v>9</v>
      </c>
      <c r="B8" s="14">
        <v>44104</v>
      </c>
      <c r="C8" t="s">
        <v>20</v>
      </c>
      <c r="D8" t="s">
        <v>25</v>
      </c>
      <c r="E8" t="s">
        <v>22</v>
      </c>
      <c r="F8" s="17">
        <v>3487.47</v>
      </c>
      <c r="G8" t="s">
        <v>16</v>
      </c>
      <c r="I8" s="31">
        <f t="shared" si="0"/>
        <v>268.71200827684578</v>
      </c>
      <c r="K8" t="s">
        <v>116</v>
      </c>
      <c r="L8" s="62">
        <f>I8</f>
        <v>268.71200827684578</v>
      </c>
      <c r="M8" s="69">
        <f t="shared" si="1"/>
        <v>1.2999999999999999E-3</v>
      </c>
      <c r="N8" s="62">
        <v>0</v>
      </c>
      <c r="O8" s="69">
        <f t="shared" si="2"/>
        <v>0</v>
      </c>
    </row>
    <row r="9" spans="1:15" x14ac:dyDescent="0.45">
      <c r="A9" s="13">
        <v>9</v>
      </c>
      <c r="B9" s="14">
        <v>44104</v>
      </c>
      <c r="C9" t="s">
        <v>20</v>
      </c>
      <c r="D9" t="s">
        <v>26</v>
      </c>
      <c r="E9" t="s">
        <v>22</v>
      </c>
      <c r="F9" s="17">
        <v>79169.55</v>
      </c>
      <c r="G9" t="s">
        <v>16</v>
      </c>
      <c r="I9" s="31">
        <f t="shared" si="0"/>
        <v>6100.0693267251499</v>
      </c>
      <c r="L9" s="62"/>
      <c r="M9" s="69"/>
      <c r="N9" s="62"/>
      <c r="O9" s="69"/>
    </row>
    <row r="10" spans="1:15" x14ac:dyDescent="0.45">
      <c r="A10" s="13">
        <v>9</v>
      </c>
      <c r="B10" s="14">
        <v>44104</v>
      </c>
      <c r="C10" t="s">
        <v>20</v>
      </c>
      <c r="D10" t="s">
        <v>26</v>
      </c>
      <c r="E10" t="s">
        <v>23</v>
      </c>
      <c r="F10" s="17">
        <v>24630.799999999999</v>
      </c>
      <c r="G10" t="s">
        <v>16</v>
      </c>
      <c r="I10" s="31">
        <f t="shared" si="0"/>
        <v>1897.8204066172134</v>
      </c>
      <c r="L10" s="62"/>
      <c r="M10" s="69"/>
      <c r="N10" s="62"/>
      <c r="O10" s="69"/>
    </row>
    <row r="11" spans="1:15" x14ac:dyDescent="0.45">
      <c r="A11" s="13">
        <v>9</v>
      </c>
      <c r="B11" s="14">
        <v>44104</v>
      </c>
      <c r="C11" t="s">
        <v>20</v>
      </c>
      <c r="D11" t="s">
        <v>27</v>
      </c>
      <c r="E11" t="s">
        <v>22</v>
      </c>
      <c r="F11" s="17">
        <v>21121.27</v>
      </c>
      <c r="G11" t="s">
        <v>16</v>
      </c>
      <c r="I11" s="31">
        <f t="shared" si="0"/>
        <v>1627.4086598759259</v>
      </c>
      <c r="L11" s="62"/>
      <c r="M11" s="69"/>
      <c r="N11" s="62"/>
      <c r="O11" s="69"/>
    </row>
    <row r="12" spans="1:15" x14ac:dyDescent="0.45">
      <c r="A12" s="13">
        <v>9</v>
      </c>
      <c r="B12" s="14">
        <v>44104</v>
      </c>
      <c r="C12" t="s">
        <v>20</v>
      </c>
      <c r="D12" t="s">
        <v>27</v>
      </c>
      <c r="E12" t="s">
        <v>23</v>
      </c>
      <c r="F12" s="17">
        <v>228.06</v>
      </c>
      <c r="G12" t="s">
        <v>16</v>
      </c>
      <c r="I12" s="31">
        <f t="shared" si="0"/>
        <v>17.57218287400822</v>
      </c>
      <c r="L12" s="62"/>
      <c r="M12" s="69"/>
      <c r="N12" s="62"/>
      <c r="O12" s="69"/>
    </row>
    <row r="13" spans="1:15" x14ac:dyDescent="0.45">
      <c r="A13" s="13">
        <v>9</v>
      </c>
      <c r="B13" s="14">
        <v>44104</v>
      </c>
      <c r="C13" t="s">
        <v>20</v>
      </c>
      <c r="D13" t="s">
        <v>28</v>
      </c>
      <c r="E13" t="s">
        <v>22</v>
      </c>
      <c r="F13" s="17">
        <v>4166.7</v>
      </c>
      <c r="G13" t="s">
        <v>16</v>
      </c>
      <c r="I13" s="31">
        <f t="shared" si="0"/>
        <v>321.04715592883474</v>
      </c>
      <c r="L13" s="62"/>
      <c r="M13" s="69"/>
      <c r="N13" s="62"/>
      <c r="O13" s="69"/>
    </row>
    <row r="14" spans="1:15" x14ac:dyDescent="0.45">
      <c r="A14" s="13">
        <v>9</v>
      </c>
      <c r="B14" s="14">
        <v>44104</v>
      </c>
      <c r="C14" t="s">
        <v>20</v>
      </c>
      <c r="D14" t="s">
        <v>28</v>
      </c>
      <c r="E14" t="s">
        <v>23</v>
      </c>
      <c r="F14" s="17">
        <v>1296.3</v>
      </c>
      <c r="G14" t="s">
        <v>16</v>
      </c>
      <c r="I14" s="31">
        <f t="shared" si="0"/>
        <v>99.880823728741817</v>
      </c>
      <c r="K14" t="s">
        <v>117</v>
      </c>
      <c r="L14" s="62">
        <f>I9+I11+I13</f>
        <v>8048.5251425299102</v>
      </c>
      <c r="M14" s="69">
        <f>ROUND(L14/L$90,6)</f>
        <v>3.8929999999999999E-2</v>
      </c>
      <c r="N14" s="62">
        <f>I10+I12+I14</f>
        <v>2015.2734132199635</v>
      </c>
      <c r="O14" s="69">
        <f>ROUND(N14/N$90,6)</f>
        <v>0.109807</v>
      </c>
    </row>
    <row r="15" spans="1:15" x14ac:dyDescent="0.45">
      <c r="A15" s="13">
        <v>9</v>
      </c>
      <c r="B15" s="14">
        <v>44104</v>
      </c>
      <c r="C15" t="s">
        <v>20</v>
      </c>
      <c r="D15" t="s">
        <v>29</v>
      </c>
      <c r="E15" t="s">
        <v>22</v>
      </c>
      <c r="F15" s="17">
        <v>11870.21</v>
      </c>
      <c r="G15" t="s">
        <v>16</v>
      </c>
      <c r="I15" s="31">
        <f t="shared" si="0"/>
        <v>914.60800172270945</v>
      </c>
      <c r="L15" s="62"/>
      <c r="M15" s="69"/>
      <c r="N15" s="62"/>
      <c r="O15" s="69"/>
    </row>
    <row r="16" spans="1:15" x14ac:dyDescent="0.45">
      <c r="A16" s="13">
        <v>9</v>
      </c>
      <c r="B16" s="14">
        <v>44104</v>
      </c>
      <c r="C16" t="s">
        <v>20</v>
      </c>
      <c r="D16" t="s">
        <v>30</v>
      </c>
      <c r="E16" t="s">
        <v>22</v>
      </c>
      <c r="F16" s="17">
        <v>2321.5700000000002</v>
      </c>
      <c r="G16" t="s">
        <v>16</v>
      </c>
      <c r="I16" s="31">
        <f t="shared" si="0"/>
        <v>178.87859596076152</v>
      </c>
      <c r="L16" s="62"/>
      <c r="M16" s="69"/>
      <c r="N16" s="62"/>
      <c r="O16" s="69"/>
    </row>
    <row r="17" spans="1:15" x14ac:dyDescent="0.45">
      <c r="A17" s="13">
        <v>9</v>
      </c>
      <c r="B17" s="14">
        <v>44104</v>
      </c>
      <c r="C17" t="s">
        <v>20</v>
      </c>
      <c r="D17" t="s">
        <v>31</v>
      </c>
      <c r="E17" t="s">
        <v>22</v>
      </c>
      <c r="F17" s="17">
        <v>9129.33</v>
      </c>
      <c r="G17" t="s">
        <v>16</v>
      </c>
      <c r="I17" s="31">
        <f t="shared" si="0"/>
        <v>703.42127631837889</v>
      </c>
      <c r="L17" s="62"/>
      <c r="M17" s="69"/>
      <c r="N17" s="62"/>
      <c r="O17" s="69"/>
    </row>
    <row r="18" spans="1:15" x14ac:dyDescent="0.45">
      <c r="A18" s="13">
        <v>9</v>
      </c>
      <c r="B18" s="14">
        <v>44104</v>
      </c>
      <c r="C18" t="s">
        <v>20</v>
      </c>
      <c r="D18" t="s">
        <v>32</v>
      </c>
      <c r="E18" t="s">
        <v>22</v>
      </c>
      <c r="F18" s="17">
        <v>2169.4</v>
      </c>
      <c r="G18" t="s">
        <v>16</v>
      </c>
      <c r="I18" s="31">
        <f t="shared" si="0"/>
        <v>167.1537907869571</v>
      </c>
      <c r="K18" t="s">
        <v>118</v>
      </c>
      <c r="L18" s="62">
        <f>I15+I16+I17+I18</f>
        <v>1964.0616647888071</v>
      </c>
      <c r="M18" s="69">
        <f t="shared" ref="M18:M19" si="3">ROUND(L18/L$90,6)</f>
        <v>9.4999999999999998E-3</v>
      </c>
      <c r="N18" s="62">
        <v>0</v>
      </c>
      <c r="O18" s="69">
        <f t="shared" ref="O18:O19" si="4">ROUND(N18/N$90,6)</f>
        <v>0</v>
      </c>
    </row>
    <row r="19" spans="1:15" x14ac:dyDescent="0.45">
      <c r="A19" s="13">
        <v>9</v>
      </c>
      <c r="B19" s="14">
        <v>44104</v>
      </c>
      <c r="C19" t="s">
        <v>20</v>
      </c>
      <c r="D19" t="s">
        <v>33</v>
      </c>
      <c r="E19" t="s">
        <v>22</v>
      </c>
      <c r="F19" s="17">
        <v>342.09</v>
      </c>
      <c r="G19" t="s">
        <v>16</v>
      </c>
      <c r="I19" s="31">
        <f t="shared" si="0"/>
        <v>26.35827431101233</v>
      </c>
      <c r="K19" t="s">
        <v>119</v>
      </c>
      <c r="L19" s="62">
        <f>I19</f>
        <v>26.35827431101233</v>
      </c>
      <c r="M19" s="69">
        <f t="shared" si="3"/>
        <v>1.27E-4</v>
      </c>
      <c r="N19" s="62">
        <v>0</v>
      </c>
      <c r="O19" s="69">
        <f t="shared" si="4"/>
        <v>0</v>
      </c>
    </row>
    <row r="20" spans="1:15" x14ac:dyDescent="0.45">
      <c r="A20" s="13">
        <v>9</v>
      </c>
      <c r="B20" s="14">
        <v>44104</v>
      </c>
      <c r="C20" t="s">
        <v>20</v>
      </c>
      <c r="D20" t="s">
        <v>34</v>
      </c>
      <c r="E20" t="s">
        <v>22</v>
      </c>
      <c r="F20" s="17">
        <v>95169.08</v>
      </c>
      <c r="G20" t="s">
        <v>16</v>
      </c>
      <c r="I20" s="31">
        <f t="shared" si="0"/>
        <v>7332.8443291726671</v>
      </c>
      <c r="L20" s="62"/>
      <c r="M20" s="69"/>
      <c r="N20" s="62"/>
      <c r="O20" s="69"/>
    </row>
    <row r="21" spans="1:15" x14ac:dyDescent="0.45">
      <c r="A21" s="13">
        <v>9</v>
      </c>
      <c r="B21" s="14">
        <v>44104</v>
      </c>
      <c r="C21" t="s">
        <v>20</v>
      </c>
      <c r="D21" t="s">
        <v>35</v>
      </c>
      <c r="E21" t="s">
        <v>22</v>
      </c>
      <c r="F21" s="17">
        <v>15618.75</v>
      </c>
      <c r="G21" t="s">
        <v>16</v>
      </c>
      <c r="I21" s="31">
        <f t="shared" si="0"/>
        <v>1203.435636514145</v>
      </c>
      <c r="L21" s="62"/>
      <c r="M21" s="69"/>
      <c r="N21" s="62"/>
      <c r="O21" s="69"/>
    </row>
    <row r="22" spans="1:15" x14ac:dyDescent="0.45">
      <c r="A22" s="13">
        <v>9</v>
      </c>
      <c r="B22" s="14">
        <v>44104</v>
      </c>
      <c r="C22" t="s">
        <v>20</v>
      </c>
      <c r="D22" t="s">
        <v>36</v>
      </c>
      <c r="E22" t="s">
        <v>22</v>
      </c>
      <c r="F22" s="17">
        <v>10685.14</v>
      </c>
      <c r="G22" t="s">
        <v>16</v>
      </c>
      <c r="I22" s="31">
        <f t="shared" si="0"/>
        <v>823.29752746812335</v>
      </c>
      <c r="L22" s="62"/>
      <c r="M22" s="69"/>
      <c r="N22" s="62"/>
      <c r="O22" s="69"/>
    </row>
    <row r="23" spans="1:15" x14ac:dyDescent="0.45">
      <c r="A23" s="13">
        <v>9</v>
      </c>
      <c r="B23" s="14">
        <v>44104</v>
      </c>
      <c r="C23" t="s">
        <v>20</v>
      </c>
      <c r="D23" t="s">
        <v>36</v>
      </c>
      <c r="E23" t="s">
        <v>23</v>
      </c>
      <c r="F23" s="17">
        <v>2916.24</v>
      </c>
      <c r="G23" t="s">
        <v>16</v>
      </c>
      <c r="I23" s="31">
        <f t="shared" si="0"/>
        <v>224.69833633472652</v>
      </c>
      <c r="L23" s="62"/>
      <c r="M23" s="69"/>
      <c r="N23" s="62"/>
      <c r="O23" s="69"/>
    </row>
    <row r="24" spans="1:15" x14ac:dyDescent="0.45">
      <c r="A24" s="13">
        <v>9</v>
      </c>
      <c r="B24" s="14">
        <v>44104</v>
      </c>
      <c r="C24" t="s">
        <v>20</v>
      </c>
      <c r="D24" t="s">
        <v>37</v>
      </c>
      <c r="E24" t="s">
        <v>22</v>
      </c>
      <c r="F24" s="17">
        <v>70852.69</v>
      </c>
      <c r="G24" t="s">
        <v>16</v>
      </c>
      <c r="I24" s="31">
        <f t="shared" si="0"/>
        <v>5459.249433462307</v>
      </c>
      <c r="L24" s="62"/>
      <c r="M24" s="69"/>
      <c r="N24" s="62"/>
      <c r="O24" s="69"/>
    </row>
    <row r="25" spans="1:15" x14ac:dyDescent="0.45">
      <c r="A25" s="13">
        <v>9</v>
      </c>
      <c r="B25" s="14">
        <v>44104</v>
      </c>
      <c r="C25" t="s">
        <v>20</v>
      </c>
      <c r="D25" t="s">
        <v>37</v>
      </c>
      <c r="E25" t="s">
        <v>23</v>
      </c>
      <c r="F25" s="17">
        <v>3959.34</v>
      </c>
      <c r="G25" t="s">
        <v>16</v>
      </c>
      <c r="I25" s="31">
        <f t="shared" si="0"/>
        <v>305.06992256588489</v>
      </c>
      <c r="K25" t="s">
        <v>120</v>
      </c>
      <c r="L25" s="62">
        <f>I20+I21+I22+I24</f>
        <v>14818.826926617243</v>
      </c>
      <c r="M25" s="69">
        <f t="shared" ref="M25:M27" si="5">ROUND(L25/L$90,6)</f>
        <v>7.1677000000000005E-2</v>
      </c>
      <c r="N25" s="62">
        <f>I23+I25</f>
        <v>529.76825890061139</v>
      </c>
      <c r="O25" s="69">
        <f t="shared" ref="O25:O27" si="6">ROUND(N25/N$90,6)</f>
        <v>2.8865999999999999E-2</v>
      </c>
    </row>
    <row r="26" spans="1:15" x14ac:dyDescent="0.45">
      <c r="A26" s="13">
        <v>9</v>
      </c>
      <c r="B26" s="14">
        <v>44104</v>
      </c>
      <c r="C26" t="s">
        <v>20</v>
      </c>
      <c r="D26" t="s">
        <v>38</v>
      </c>
      <c r="E26" t="s">
        <v>22</v>
      </c>
      <c r="F26" s="17">
        <v>1241.54</v>
      </c>
      <c r="G26" t="s">
        <v>16</v>
      </c>
      <c r="I26" s="31">
        <f t="shared" si="0"/>
        <v>95.661527341033789</v>
      </c>
      <c r="K26" t="s">
        <v>121</v>
      </c>
      <c r="L26" s="62">
        <f>I26</f>
        <v>95.661527341033789</v>
      </c>
      <c r="M26" s="69">
        <f t="shared" si="5"/>
        <v>4.6299999999999998E-4</v>
      </c>
      <c r="N26" s="62">
        <v>0</v>
      </c>
      <c r="O26" s="69">
        <f t="shared" si="6"/>
        <v>0</v>
      </c>
    </row>
    <row r="27" spans="1:15" x14ac:dyDescent="0.45">
      <c r="A27" s="13">
        <v>9</v>
      </c>
      <c r="B27" s="14">
        <v>44104</v>
      </c>
      <c r="C27" t="s">
        <v>20</v>
      </c>
      <c r="D27" t="s">
        <v>39</v>
      </c>
      <c r="E27" t="s">
        <v>22</v>
      </c>
      <c r="F27" s="17">
        <v>352.3</v>
      </c>
      <c r="G27" t="s">
        <v>16</v>
      </c>
      <c r="I27" s="31">
        <f t="shared" si="0"/>
        <v>27.144961968399091</v>
      </c>
      <c r="K27" t="s">
        <v>122</v>
      </c>
      <c r="L27" s="62">
        <f>I27</f>
        <v>27.144961968399091</v>
      </c>
      <c r="M27" s="69">
        <f t="shared" si="5"/>
        <v>1.3100000000000001E-4</v>
      </c>
      <c r="N27" s="62">
        <v>0</v>
      </c>
      <c r="O27" s="69">
        <f t="shared" si="6"/>
        <v>0</v>
      </c>
    </row>
    <row r="28" spans="1:15" x14ac:dyDescent="0.45">
      <c r="A28" s="13">
        <v>9</v>
      </c>
      <c r="B28" s="14">
        <v>44104</v>
      </c>
      <c r="C28" t="s">
        <v>20</v>
      </c>
      <c r="D28" t="s">
        <v>40</v>
      </c>
      <c r="E28" t="s">
        <v>22</v>
      </c>
      <c r="F28" s="17">
        <v>138961.19</v>
      </c>
      <c r="G28" t="s">
        <v>16</v>
      </c>
      <c r="I28" s="31">
        <f t="shared" si="0"/>
        <v>10707.057103699915</v>
      </c>
      <c r="L28" s="62"/>
      <c r="M28" s="69"/>
      <c r="N28" s="62"/>
      <c r="O28" s="69"/>
    </row>
    <row r="29" spans="1:15" x14ac:dyDescent="0.45">
      <c r="A29" s="13">
        <v>9</v>
      </c>
      <c r="B29" s="14">
        <v>44104</v>
      </c>
      <c r="C29" t="s">
        <v>20</v>
      </c>
      <c r="D29" t="s">
        <v>40</v>
      </c>
      <c r="E29" t="s">
        <v>23</v>
      </c>
      <c r="F29" s="17">
        <v>3162.61</v>
      </c>
      <c r="G29" t="s">
        <v>16</v>
      </c>
      <c r="I29" s="31">
        <f t="shared" si="0"/>
        <v>243.68131754436178</v>
      </c>
      <c r="K29" t="s">
        <v>123</v>
      </c>
      <c r="L29" s="62">
        <f>I28</f>
        <v>10707.057103699915</v>
      </c>
      <c r="M29" s="69">
        <f>ROUND(L29/L$90,6)</f>
        <v>5.1789000000000002E-2</v>
      </c>
      <c r="N29" s="62">
        <f>I29</f>
        <v>243.68131754436178</v>
      </c>
      <c r="O29" s="69">
        <f>ROUND(N29/N$90,6)</f>
        <v>1.3278E-2</v>
      </c>
    </row>
    <row r="30" spans="1:15" x14ac:dyDescent="0.45">
      <c r="A30" s="13">
        <v>9</v>
      </c>
      <c r="B30" s="14">
        <v>44104</v>
      </c>
      <c r="C30" t="s">
        <v>20</v>
      </c>
      <c r="D30" t="s">
        <v>41</v>
      </c>
      <c r="E30" t="s">
        <v>22</v>
      </c>
      <c r="F30" s="17">
        <v>166849.10999999999</v>
      </c>
      <c r="G30" t="s">
        <v>16</v>
      </c>
      <c r="I30" s="31">
        <f t="shared" si="0"/>
        <v>12855.840889614636</v>
      </c>
      <c r="L30" s="62"/>
      <c r="M30" s="69"/>
      <c r="N30" s="62"/>
      <c r="O30" s="69"/>
    </row>
    <row r="31" spans="1:15" x14ac:dyDescent="0.45">
      <c r="A31" s="13">
        <v>9</v>
      </c>
      <c r="B31" s="14">
        <v>44104</v>
      </c>
      <c r="C31" t="s">
        <v>20</v>
      </c>
      <c r="D31" t="s">
        <v>41</v>
      </c>
      <c r="E31" t="s">
        <v>23</v>
      </c>
      <c r="F31" s="17">
        <v>39670.11</v>
      </c>
      <c r="G31" t="s">
        <v>16</v>
      </c>
      <c r="I31" s="31">
        <f t="shared" si="0"/>
        <v>3056.6097849338871</v>
      </c>
      <c r="K31" t="s">
        <v>125</v>
      </c>
      <c r="L31" s="62">
        <f>I30</f>
        <v>12855.840889614636</v>
      </c>
      <c r="M31" s="69">
        <f>ROUND(L31/L$90,6)</f>
        <v>6.2182000000000001E-2</v>
      </c>
      <c r="N31" s="62">
        <f>I31</f>
        <v>3056.6097849338871</v>
      </c>
      <c r="O31" s="69">
        <f>ROUND(N31/N$90,6)</f>
        <v>0.166546</v>
      </c>
    </row>
    <row r="32" spans="1:15" x14ac:dyDescent="0.45">
      <c r="A32" s="13">
        <v>9</v>
      </c>
      <c r="B32" s="14">
        <v>44104</v>
      </c>
      <c r="C32" t="s">
        <v>20</v>
      </c>
      <c r="D32" t="s">
        <v>42</v>
      </c>
      <c r="E32" t="s">
        <v>22</v>
      </c>
      <c r="F32" s="17">
        <v>132647.49</v>
      </c>
      <c r="G32" t="s">
        <v>16</v>
      </c>
      <c r="I32" s="31">
        <f t="shared" si="0"/>
        <v>10220.582092686909</v>
      </c>
      <c r="L32" s="62"/>
      <c r="M32" s="69"/>
      <c r="N32" s="62"/>
      <c r="O32" s="69"/>
    </row>
    <row r="33" spans="1:15" x14ac:dyDescent="0.45">
      <c r="A33" s="13">
        <v>9</v>
      </c>
      <c r="B33" s="14">
        <v>44104</v>
      </c>
      <c r="C33" t="s">
        <v>20</v>
      </c>
      <c r="D33" t="s">
        <v>42</v>
      </c>
      <c r="E33" t="s">
        <v>23</v>
      </c>
      <c r="F33" s="17">
        <v>35892.089999999997</v>
      </c>
      <c r="G33" t="s">
        <v>16</v>
      </c>
      <c r="I33" s="31">
        <f t="shared" si="0"/>
        <v>2765.510695476461</v>
      </c>
      <c r="K33" t="s">
        <v>126</v>
      </c>
      <c r="L33" s="62">
        <f>I32</f>
        <v>10220.582092686909</v>
      </c>
      <c r="M33" s="69">
        <f>ROUND(L33/L$90,6)</f>
        <v>4.9436000000000001E-2</v>
      </c>
      <c r="N33" s="62">
        <f>I33</f>
        <v>2765.510695476461</v>
      </c>
      <c r="O33" s="69">
        <f>ROUND(N33/N$90,6)</f>
        <v>0.15068500000000001</v>
      </c>
    </row>
    <row r="34" spans="1:15" x14ac:dyDescent="0.45">
      <c r="A34" s="13">
        <v>9</v>
      </c>
      <c r="B34" s="14">
        <v>44104</v>
      </c>
      <c r="C34" t="s">
        <v>20</v>
      </c>
      <c r="D34" t="s">
        <v>43</v>
      </c>
      <c r="E34" t="s">
        <v>22</v>
      </c>
      <c r="F34" s="17">
        <v>73549.67</v>
      </c>
      <c r="G34" t="s">
        <v>16</v>
      </c>
      <c r="I34" s="31">
        <f t="shared" si="0"/>
        <v>5667.0536330919767</v>
      </c>
      <c r="L34" s="62"/>
      <c r="M34" s="69"/>
      <c r="N34" s="62"/>
      <c r="O34" s="69"/>
    </row>
    <row r="35" spans="1:15" x14ac:dyDescent="0.45">
      <c r="A35" s="13">
        <v>9</v>
      </c>
      <c r="B35" s="14">
        <v>44104</v>
      </c>
      <c r="C35" t="s">
        <v>20</v>
      </c>
      <c r="D35" t="s">
        <v>44</v>
      </c>
      <c r="E35" t="s">
        <v>22</v>
      </c>
      <c r="F35" s="17">
        <v>6102.47</v>
      </c>
      <c r="G35" t="s">
        <v>16</v>
      </c>
      <c r="I35" s="31">
        <f t="shared" si="0"/>
        <v>470.19959143711725</v>
      </c>
      <c r="L35" s="62"/>
      <c r="M35" s="69"/>
      <c r="N35" s="62"/>
      <c r="O35" s="69"/>
    </row>
    <row r="36" spans="1:15" x14ac:dyDescent="0.45">
      <c r="A36" s="13">
        <v>9</v>
      </c>
      <c r="B36" s="14">
        <v>44104</v>
      </c>
      <c r="C36" t="s">
        <v>20</v>
      </c>
      <c r="D36" t="s">
        <v>44</v>
      </c>
      <c r="E36" t="s">
        <v>23</v>
      </c>
      <c r="F36" s="17">
        <v>254.3</v>
      </c>
      <c r="G36" t="s">
        <v>16</v>
      </c>
      <c r="I36" s="31">
        <f t="shared" si="0"/>
        <v>19.593993268702494</v>
      </c>
      <c r="K36" t="s">
        <v>127</v>
      </c>
      <c r="L36" s="62">
        <f>I34+I35</f>
        <v>6137.253224529094</v>
      </c>
      <c r="M36" s="69">
        <f>ROUND(L36/L$90,6)</f>
        <v>2.9685E-2</v>
      </c>
      <c r="N36" s="62">
        <f>I36</f>
        <v>19.593993268702494</v>
      </c>
      <c r="O36" s="69">
        <f>ROUND(N36/N$90,6)</f>
        <v>1.0679999999999999E-3</v>
      </c>
    </row>
    <row r="37" spans="1:15" x14ac:dyDescent="0.45">
      <c r="A37" s="13">
        <v>9</v>
      </c>
      <c r="B37" s="14">
        <v>44104</v>
      </c>
      <c r="C37" t="s">
        <v>20</v>
      </c>
      <c r="D37" t="s">
        <v>45</v>
      </c>
      <c r="E37" t="s">
        <v>22</v>
      </c>
      <c r="F37" s="17">
        <v>94856.44</v>
      </c>
      <c r="G37" t="s">
        <v>16</v>
      </c>
      <c r="I37" s="31">
        <f t="shared" si="0"/>
        <v>7308.7551980066146</v>
      </c>
      <c r="K37" t="s">
        <v>128</v>
      </c>
      <c r="L37" s="62">
        <f>I37</f>
        <v>7308.7551980066146</v>
      </c>
      <c r="M37" s="69">
        <f>ROUND(L37/L$90,6)</f>
        <v>3.5352000000000001E-2</v>
      </c>
      <c r="N37" s="62">
        <v>0</v>
      </c>
      <c r="O37" s="69">
        <f>ROUND(N37/N$90,6)</f>
        <v>0</v>
      </c>
    </row>
    <row r="38" spans="1:15" x14ac:dyDescent="0.45">
      <c r="A38" s="13">
        <v>9</v>
      </c>
      <c r="B38" s="14">
        <v>44104</v>
      </c>
      <c r="C38" t="s">
        <v>20</v>
      </c>
      <c r="D38" t="s">
        <v>46</v>
      </c>
      <c r="E38" t="s">
        <v>22</v>
      </c>
      <c r="F38" s="17">
        <v>40257.01</v>
      </c>
      <c r="G38" t="s">
        <v>16</v>
      </c>
      <c r="I38" s="31">
        <f t="shared" si="0"/>
        <v>3101.8308413609479</v>
      </c>
      <c r="L38" s="62"/>
      <c r="M38" s="69"/>
      <c r="N38" s="62"/>
      <c r="O38" s="69"/>
    </row>
    <row r="39" spans="1:15" x14ac:dyDescent="0.45">
      <c r="A39" s="13">
        <v>9</v>
      </c>
      <c r="B39" s="14">
        <v>44104</v>
      </c>
      <c r="C39" t="s">
        <v>20</v>
      </c>
      <c r="D39" t="s">
        <v>46</v>
      </c>
      <c r="E39" t="s">
        <v>23</v>
      </c>
      <c r="F39" s="17">
        <v>2631.63</v>
      </c>
      <c r="G39" t="s">
        <v>16</v>
      </c>
      <c r="I39" s="31">
        <f t="shared" si="0"/>
        <v>202.76893631818933</v>
      </c>
      <c r="K39" t="s">
        <v>129</v>
      </c>
      <c r="L39" s="62">
        <f>I38</f>
        <v>3101.8308413609479</v>
      </c>
      <c r="M39" s="69">
        <f>ROUND(L39/L$90,6)</f>
        <v>1.5003000000000001E-2</v>
      </c>
      <c r="N39" s="62">
        <f>I39</f>
        <v>202.76893631818933</v>
      </c>
      <c r="O39" s="69">
        <f>ROUND(N39/N$90,6)</f>
        <v>1.1048000000000001E-2</v>
      </c>
    </row>
    <row r="40" spans="1:15" x14ac:dyDescent="0.45">
      <c r="A40" s="13">
        <v>9</v>
      </c>
      <c r="B40" s="14">
        <v>44104</v>
      </c>
      <c r="C40" t="s">
        <v>20</v>
      </c>
      <c r="D40" t="s">
        <v>47</v>
      </c>
      <c r="E40" t="s">
        <v>22</v>
      </c>
      <c r="F40" s="17">
        <v>143903.48000000001</v>
      </c>
      <c r="G40" t="s">
        <v>16</v>
      </c>
      <c r="I40" s="31">
        <f t="shared" si="0"/>
        <v>11087.864012830767</v>
      </c>
      <c r="L40" s="62"/>
      <c r="M40" s="69"/>
      <c r="N40" s="62"/>
      <c r="O40" s="69"/>
    </row>
    <row r="41" spans="1:15" x14ac:dyDescent="0.45">
      <c r="A41" s="13">
        <v>9</v>
      </c>
      <c r="B41" s="14">
        <v>44104</v>
      </c>
      <c r="C41" t="s">
        <v>20</v>
      </c>
      <c r="D41" t="s">
        <v>47</v>
      </c>
      <c r="E41" t="s">
        <v>23</v>
      </c>
      <c r="F41" s="17">
        <v>19815.52</v>
      </c>
      <c r="G41" t="s">
        <v>16</v>
      </c>
      <c r="I41" s="31">
        <f t="shared" si="0"/>
        <v>1526.7997070225704</v>
      </c>
      <c r="K41" t="s">
        <v>130</v>
      </c>
      <c r="L41" s="62">
        <f>I40</f>
        <v>11087.864012830767</v>
      </c>
      <c r="M41" s="69">
        <f>ROUND(L41/L$90,6)</f>
        <v>5.3630999999999998E-2</v>
      </c>
      <c r="N41" s="62">
        <f>I41</f>
        <v>1526.7997070225704</v>
      </c>
      <c r="O41" s="69">
        <f>ROUND(N41/N$90,6)</f>
        <v>8.3191000000000001E-2</v>
      </c>
    </row>
    <row r="42" spans="1:15" x14ac:dyDescent="0.45">
      <c r="A42" s="13">
        <v>9</v>
      </c>
      <c r="B42" s="14">
        <v>44104</v>
      </c>
      <c r="C42" t="s">
        <v>20</v>
      </c>
      <c r="D42" t="s">
        <v>48</v>
      </c>
      <c r="E42" t="s">
        <v>22</v>
      </c>
      <c r="F42" s="17">
        <v>22096.73</v>
      </c>
      <c r="G42" t="s">
        <v>16</v>
      </c>
      <c r="I42" s="31">
        <f t="shared" si="0"/>
        <v>1702.568536690273</v>
      </c>
      <c r="L42" s="62"/>
      <c r="M42" s="69"/>
      <c r="N42" s="62"/>
      <c r="O42" s="69"/>
    </row>
    <row r="43" spans="1:15" x14ac:dyDescent="0.45">
      <c r="A43" s="13">
        <v>9</v>
      </c>
      <c r="B43" s="14">
        <v>44104</v>
      </c>
      <c r="C43" t="s">
        <v>20</v>
      </c>
      <c r="D43" t="s">
        <v>48</v>
      </c>
      <c r="E43" t="s">
        <v>23</v>
      </c>
      <c r="F43" s="17">
        <v>4179.42</v>
      </c>
      <c r="G43" t="s">
        <v>16</v>
      </c>
      <c r="I43" s="31">
        <f t="shared" si="0"/>
        <v>322.027240845775</v>
      </c>
      <c r="K43" t="s">
        <v>131</v>
      </c>
      <c r="L43" s="62">
        <f>I42</f>
        <v>1702.568536690273</v>
      </c>
      <c r="M43" s="69">
        <f>ROUND(L43/L$90,6)</f>
        <v>8.2349999999999993E-3</v>
      </c>
      <c r="N43" s="62">
        <f>I43</f>
        <v>322.027240845775</v>
      </c>
      <c r="O43" s="69">
        <f>ROUND(N43/N$90,6)</f>
        <v>1.7545999999999999E-2</v>
      </c>
    </row>
    <row r="44" spans="1:15" x14ac:dyDescent="0.45">
      <c r="A44" s="13">
        <v>9</v>
      </c>
      <c r="B44" s="14">
        <v>44104</v>
      </c>
      <c r="C44" t="s">
        <v>20</v>
      </c>
      <c r="D44" t="s">
        <v>49</v>
      </c>
      <c r="E44" t="s">
        <v>22</v>
      </c>
      <c r="F44" s="17">
        <v>28562.46</v>
      </c>
      <c r="G44" t="s">
        <v>16</v>
      </c>
      <c r="I44" s="31">
        <f t="shared" si="0"/>
        <v>2200.7575657789394</v>
      </c>
      <c r="L44" s="62"/>
      <c r="M44" s="69"/>
      <c r="N44" s="62"/>
      <c r="O44" s="69"/>
    </row>
    <row r="45" spans="1:15" x14ac:dyDescent="0.45">
      <c r="A45" s="13">
        <v>9</v>
      </c>
      <c r="B45" s="14">
        <v>44104</v>
      </c>
      <c r="C45" t="s">
        <v>20</v>
      </c>
      <c r="D45" t="s">
        <v>49</v>
      </c>
      <c r="E45" t="s">
        <v>23</v>
      </c>
      <c r="F45" s="17">
        <v>131.47</v>
      </c>
      <c r="G45" t="s">
        <v>16</v>
      </c>
      <c r="I45" s="31">
        <f t="shared" si="0"/>
        <v>10.129855662746035</v>
      </c>
      <c r="K45" t="s">
        <v>132</v>
      </c>
      <c r="L45" s="62">
        <f>I44</f>
        <v>2200.7575657789394</v>
      </c>
      <c r="M45" s="69">
        <f>ROUND(L45/L$90,6)</f>
        <v>1.0645E-2</v>
      </c>
      <c r="N45" s="62">
        <f>I45</f>
        <v>10.129855662746035</v>
      </c>
      <c r="O45" s="69">
        <f>ROUND(N45/N$90,6)</f>
        <v>5.5199999999999997E-4</v>
      </c>
    </row>
    <row r="46" spans="1:15" x14ac:dyDescent="0.45">
      <c r="A46" s="13">
        <v>9</v>
      </c>
      <c r="B46" s="14">
        <v>44104</v>
      </c>
      <c r="C46" t="s">
        <v>20</v>
      </c>
      <c r="D46" t="s">
        <v>50</v>
      </c>
      <c r="E46" t="s">
        <v>22</v>
      </c>
      <c r="F46" s="17">
        <v>54635.98</v>
      </c>
      <c r="G46" t="s">
        <v>16</v>
      </c>
      <c r="I46" s="31">
        <f t="shared" si="0"/>
        <v>4209.7405597678498</v>
      </c>
      <c r="L46" s="62"/>
      <c r="M46" s="69"/>
      <c r="N46" s="62"/>
      <c r="O46" s="69"/>
    </row>
    <row r="47" spans="1:15" x14ac:dyDescent="0.45">
      <c r="A47" s="13">
        <v>9</v>
      </c>
      <c r="B47" s="14">
        <v>44104</v>
      </c>
      <c r="C47" t="s">
        <v>20</v>
      </c>
      <c r="D47" t="s">
        <v>50</v>
      </c>
      <c r="E47" t="s">
        <v>23</v>
      </c>
      <c r="F47" s="17">
        <v>27022.36</v>
      </c>
      <c r="G47" t="s">
        <v>16</v>
      </c>
      <c r="I47" s="31">
        <f t="shared" si="0"/>
        <v>2082.0917811421768</v>
      </c>
      <c r="K47" t="s">
        <v>134</v>
      </c>
      <c r="L47" s="62">
        <f>I46</f>
        <v>4209.7405597678498</v>
      </c>
      <c r="M47" s="69">
        <f>ROUND(L47/L$90,6)</f>
        <v>2.0362000000000002E-2</v>
      </c>
      <c r="N47" s="62">
        <f>I47</f>
        <v>2082.0917811421768</v>
      </c>
      <c r="O47" s="69">
        <f>ROUND(N47/N$90,6)</f>
        <v>0.11344799999999999</v>
      </c>
    </row>
    <row r="48" spans="1:15" x14ac:dyDescent="0.45">
      <c r="A48" s="13">
        <v>9</v>
      </c>
      <c r="B48" s="14">
        <v>44104</v>
      </c>
      <c r="C48" t="s">
        <v>20</v>
      </c>
      <c r="D48" t="s">
        <v>51</v>
      </c>
      <c r="E48" t="s">
        <v>22</v>
      </c>
      <c r="F48" s="17">
        <v>4295.54</v>
      </c>
      <c r="G48" t="s">
        <v>16</v>
      </c>
      <c r="I48" s="31">
        <f t="shared" si="0"/>
        <v>330.97436824790526</v>
      </c>
      <c r="L48" s="62"/>
      <c r="M48" s="69"/>
      <c r="N48" s="62"/>
      <c r="O48" s="69"/>
    </row>
    <row r="49" spans="1:15" x14ac:dyDescent="0.45">
      <c r="A49" s="13">
        <v>9</v>
      </c>
      <c r="B49" s="14">
        <v>44104</v>
      </c>
      <c r="C49" t="s">
        <v>20</v>
      </c>
      <c r="D49" t="s">
        <v>51</v>
      </c>
      <c r="E49" t="s">
        <v>23</v>
      </c>
      <c r="F49" s="17">
        <v>430.99</v>
      </c>
      <c r="G49" t="s">
        <v>16</v>
      </c>
      <c r="I49" s="31">
        <f t="shared" si="0"/>
        <v>33.208081631451385</v>
      </c>
      <c r="L49" s="62"/>
      <c r="M49" s="69"/>
      <c r="N49" s="62"/>
      <c r="O49" s="69"/>
    </row>
    <row r="50" spans="1:15" x14ac:dyDescent="0.45">
      <c r="A50" s="13">
        <v>9</v>
      </c>
      <c r="B50" s="14">
        <v>44104</v>
      </c>
      <c r="C50" t="s">
        <v>20</v>
      </c>
      <c r="D50" t="s">
        <v>52</v>
      </c>
      <c r="E50" t="s">
        <v>22</v>
      </c>
      <c r="F50" s="17">
        <v>7671.57</v>
      </c>
      <c r="G50" t="s">
        <v>16</v>
      </c>
      <c r="I50" s="31">
        <f t="shared" si="0"/>
        <v>591.09984640338178</v>
      </c>
      <c r="L50" s="62"/>
      <c r="M50" s="69"/>
      <c r="N50" s="62"/>
      <c r="O50" s="69"/>
    </row>
    <row r="51" spans="1:15" x14ac:dyDescent="0.45">
      <c r="A51" s="13">
        <v>9</v>
      </c>
      <c r="B51" s="14">
        <v>44104</v>
      </c>
      <c r="C51" t="s">
        <v>20</v>
      </c>
      <c r="D51" t="s">
        <v>52</v>
      </c>
      <c r="E51" t="s">
        <v>23</v>
      </c>
      <c r="F51" s="17">
        <v>374.29</v>
      </c>
      <c r="G51" t="s">
        <v>16</v>
      </c>
      <c r="I51" s="31">
        <f t="shared" si="0"/>
        <v>28.839306883769787</v>
      </c>
      <c r="K51" t="s">
        <v>135</v>
      </c>
      <c r="L51" s="62">
        <f>I48+I50</f>
        <v>922.07421465128709</v>
      </c>
      <c r="M51" s="69">
        <f t="shared" ref="M51:M52" si="7">ROUND(L51/L$90,6)</f>
        <v>4.4600000000000004E-3</v>
      </c>
      <c r="N51" s="62">
        <f>I49+I51</f>
        <v>62.047388515221172</v>
      </c>
      <c r="O51" s="69">
        <f t="shared" ref="O51:O52" si="8">ROUND(N51/N$90,6)</f>
        <v>3.3809999999999999E-3</v>
      </c>
    </row>
    <row r="52" spans="1:15" x14ac:dyDescent="0.45">
      <c r="A52" s="13">
        <v>9</v>
      </c>
      <c r="B52" s="14">
        <v>44104</v>
      </c>
      <c r="C52" t="s">
        <v>20</v>
      </c>
      <c r="D52" t="s">
        <v>53</v>
      </c>
      <c r="E52" t="s">
        <v>22</v>
      </c>
      <c r="F52" s="17">
        <v>15018.94</v>
      </c>
      <c r="G52" t="s">
        <v>16</v>
      </c>
      <c r="I52" s="31">
        <f t="shared" si="0"/>
        <v>1157.2198555369509</v>
      </c>
      <c r="K52" t="s">
        <v>136</v>
      </c>
      <c r="L52" s="62">
        <f>I52</f>
        <v>1157.2198555369509</v>
      </c>
      <c r="M52" s="69">
        <f t="shared" si="7"/>
        <v>5.5970000000000004E-3</v>
      </c>
      <c r="N52" s="62">
        <v>0</v>
      </c>
      <c r="O52" s="69">
        <f t="shared" si="8"/>
        <v>0</v>
      </c>
    </row>
    <row r="53" spans="1:15" x14ac:dyDescent="0.45">
      <c r="A53" s="13">
        <v>9</v>
      </c>
      <c r="B53" s="14">
        <v>44104</v>
      </c>
      <c r="C53" t="s">
        <v>20</v>
      </c>
      <c r="D53" t="s">
        <v>54</v>
      </c>
      <c r="E53" t="s">
        <v>22</v>
      </c>
      <c r="F53" s="17">
        <v>4740.1499999999996</v>
      </c>
      <c r="G53" t="s">
        <v>16</v>
      </c>
      <c r="I53" s="31">
        <f t="shared" si="0"/>
        <v>365.23188042721245</v>
      </c>
      <c r="L53" s="62"/>
      <c r="M53" s="69"/>
      <c r="N53" s="62"/>
      <c r="O53" s="69"/>
    </row>
    <row r="54" spans="1:15" x14ac:dyDescent="0.45">
      <c r="A54" s="13">
        <v>9</v>
      </c>
      <c r="B54" s="14">
        <v>44104</v>
      </c>
      <c r="C54" t="s">
        <v>20</v>
      </c>
      <c r="D54" t="s">
        <v>54</v>
      </c>
      <c r="E54" t="s">
        <v>23</v>
      </c>
      <c r="F54" s="17">
        <v>2365.58</v>
      </c>
      <c r="G54" t="s">
        <v>16</v>
      </c>
      <c r="I54" s="31">
        <f t="shared" si="0"/>
        <v>182.26959731253339</v>
      </c>
      <c r="K54" t="s">
        <v>137</v>
      </c>
      <c r="L54" s="62">
        <f>I53</f>
        <v>365.23188042721245</v>
      </c>
      <c r="M54" s="69">
        <f>ROUND(L54/L$90,6)</f>
        <v>1.7669999999999999E-3</v>
      </c>
      <c r="N54" s="62">
        <f>I54</f>
        <v>182.26959731253339</v>
      </c>
      <c r="O54" s="69">
        <f>ROUND(N54/N$90,6)</f>
        <v>9.9310000000000006E-3</v>
      </c>
    </row>
    <row r="55" spans="1:15" x14ac:dyDescent="0.45">
      <c r="A55" s="13">
        <v>9</v>
      </c>
      <c r="B55" s="14">
        <v>44104</v>
      </c>
      <c r="C55" t="s">
        <v>20</v>
      </c>
      <c r="D55" t="s">
        <v>55</v>
      </c>
      <c r="E55" t="s">
        <v>22</v>
      </c>
      <c r="F55" s="17">
        <v>30311.74</v>
      </c>
      <c r="G55" t="s">
        <v>16</v>
      </c>
      <c r="I55" s="31">
        <f t="shared" si="0"/>
        <v>2335.540816054503</v>
      </c>
      <c r="L55" s="62"/>
      <c r="M55" s="69"/>
      <c r="N55" s="62"/>
      <c r="O55" s="69"/>
    </row>
    <row r="56" spans="1:15" x14ac:dyDescent="0.45">
      <c r="A56" s="13">
        <v>9</v>
      </c>
      <c r="B56" s="14">
        <v>44104</v>
      </c>
      <c r="C56" t="s">
        <v>20</v>
      </c>
      <c r="D56" t="s">
        <v>55</v>
      </c>
      <c r="E56" t="s">
        <v>23</v>
      </c>
      <c r="F56" s="17">
        <v>17955.48</v>
      </c>
      <c r="G56" t="s">
        <v>16</v>
      </c>
      <c r="I56" s="31">
        <f t="shared" si="0"/>
        <v>1383.482321102329</v>
      </c>
      <c r="K56" t="s">
        <v>138</v>
      </c>
      <c r="L56" s="62">
        <f>I55</f>
        <v>2335.540816054503</v>
      </c>
      <c r="M56" s="69">
        <f>ROUND(L56/L$90,6)</f>
        <v>1.1297E-2</v>
      </c>
      <c r="N56" s="62">
        <f>I56</f>
        <v>1383.482321102329</v>
      </c>
      <c r="O56" s="69">
        <f>ROUND(N56/N$90,6)</f>
        <v>7.5382000000000005E-2</v>
      </c>
    </row>
    <row r="57" spans="1:15" x14ac:dyDescent="0.45">
      <c r="A57" s="13">
        <v>9</v>
      </c>
      <c r="B57" s="14">
        <v>44104</v>
      </c>
      <c r="C57" t="s">
        <v>20</v>
      </c>
      <c r="D57" t="s">
        <v>56</v>
      </c>
      <c r="E57" t="s">
        <v>22</v>
      </c>
      <c r="F57" s="17">
        <v>105301.57</v>
      </c>
      <c r="G57" t="s">
        <v>16</v>
      </c>
      <c r="I57" s="31">
        <f t="shared" si="0"/>
        <v>8113.5597867235729</v>
      </c>
      <c r="L57" s="62"/>
      <c r="M57" s="69"/>
      <c r="N57" s="62"/>
      <c r="O57" s="69"/>
    </row>
    <row r="58" spans="1:15" x14ac:dyDescent="0.45">
      <c r="A58" s="13">
        <v>9</v>
      </c>
      <c r="B58" s="14">
        <v>44104</v>
      </c>
      <c r="C58" t="s">
        <v>20</v>
      </c>
      <c r="D58" t="s">
        <v>56</v>
      </c>
      <c r="E58" t="s">
        <v>23</v>
      </c>
      <c r="F58" s="17">
        <v>372.09</v>
      </c>
      <c r="G58" t="s">
        <v>16</v>
      </c>
      <c r="I58" s="31">
        <f t="shared" si="0"/>
        <v>28.669795341531696</v>
      </c>
      <c r="K58" t="s">
        <v>139</v>
      </c>
      <c r="L58" s="62">
        <f>I57</f>
        <v>8113.5597867235729</v>
      </c>
      <c r="M58" s="69">
        <f>ROUND(L58/L$90,6)</f>
        <v>3.9245000000000002E-2</v>
      </c>
      <c r="N58" s="62">
        <f>I58</f>
        <v>28.669795341531696</v>
      </c>
      <c r="O58" s="69">
        <f>ROUND(N58/N$90,6)</f>
        <v>1.562E-3</v>
      </c>
    </row>
    <row r="59" spans="1:15" x14ac:dyDescent="0.45">
      <c r="A59" s="13">
        <v>9</v>
      </c>
      <c r="B59" s="14">
        <v>44104</v>
      </c>
      <c r="C59" t="s">
        <v>20</v>
      </c>
      <c r="D59" t="s">
        <v>57</v>
      </c>
      <c r="E59" t="s">
        <v>22</v>
      </c>
      <c r="F59" s="17">
        <v>13720.39</v>
      </c>
      <c r="G59" t="s">
        <v>16</v>
      </c>
      <c r="I59" s="31">
        <f t="shared" si="0"/>
        <v>1057.1656677309202</v>
      </c>
      <c r="L59" s="62"/>
      <c r="M59" s="69"/>
      <c r="N59" s="62"/>
      <c r="O59" s="69"/>
    </row>
    <row r="60" spans="1:15" x14ac:dyDescent="0.45">
      <c r="A60" s="13">
        <v>9</v>
      </c>
      <c r="B60" s="14">
        <v>44104</v>
      </c>
      <c r="C60" t="s">
        <v>20</v>
      </c>
      <c r="D60" t="s">
        <v>58</v>
      </c>
      <c r="E60" t="s">
        <v>22</v>
      </c>
      <c r="F60" s="17">
        <v>11603.18</v>
      </c>
      <c r="G60" t="s">
        <v>16</v>
      </c>
      <c r="I60" s="31">
        <f t="shared" si="0"/>
        <v>894.03315303005672</v>
      </c>
      <c r="K60" t="s">
        <v>140</v>
      </c>
      <c r="L60" s="62">
        <f>I59+I60</f>
        <v>1951.198820760977</v>
      </c>
      <c r="M60" s="69">
        <f t="shared" ref="M60:M61" si="9">ROUND(L60/L$90,6)</f>
        <v>9.4380000000000002E-3</v>
      </c>
      <c r="N60" s="62">
        <v>0</v>
      </c>
      <c r="O60" s="69">
        <f t="shared" ref="O60:O61" si="10">ROUND(N60/N$90,6)</f>
        <v>0</v>
      </c>
    </row>
    <row r="61" spans="1:15" x14ac:dyDescent="0.45">
      <c r="A61" s="13">
        <v>9</v>
      </c>
      <c r="B61" s="14">
        <v>44104</v>
      </c>
      <c r="C61" t="s">
        <v>20</v>
      </c>
      <c r="D61" t="s">
        <v>59</v>
      </c>
      <c r="E61" t="s">
        <v>22</v>
      </c>
      <c r="F61" s="17">
        <v>214356.51</v>
      </c>
      <c r="G61" t="s">
        <v>16</v>
      </c>
      <c r="I61" s="31">
        <f t="shared" si="0"/>
        <v>16516.319363124494</v>
      </c>
      <c r="K61" t="s">
        <v>141</v>
      </c>
      <c r="L61" s="62">
        <f>I61</f>
        <v>16516.319363124494</v>
      </c>
      <c r="M61" s="69">
        <f t="shared" si="9"/>
        <v>7.9888000000000001E-2</v>
      </c>
      <c r="N61" s="62">
        <v>0</v>
      </c>
      <c r="O61" s="69">
        <f t="shared" si="10"/>
        <v>0</v>
      </c>
    </row>
    <row r="62" spans="1:15" x14ac:dyDescent="0.45">
      <c r="A62" s="13">
        <v>9</v>
      </c>
      <c r="B62" s="14">
        <v>44104</v>
      </c>
      <c r="C62" t="s">
        <v>20</v>
      </c>
      <c r="D62" t="s">
        <v>60</v>
      </c>
      <c r="E62" t="s">
        <v>22</v>
      </c>
      <c r="F62" s="17">
        <v>103284.31</v>
      </c>
      <c r="G62" t="s">
        <v>16</v>
      </c>
      <c r="I62" s="31">
        <f t="shared" si="0"/>
        <v>7958.1284895893887</v>
      </c>
      <c r="L62" s="62"/>
      <c r="M62" s="69"/>
      <c r="N62" s="62"/>
      <c r="O62" s="69"/>
    </row>
    <row r="63" spans="1:15" x14ac:dyDescent="0.45">
      <c r="A63" s="13">
        <v>9</v>
      </c>
      <c r="B63" s="14">
        <v>44104</v>
      </c>
      <c r="C63" t="s">
        <v>20</v>
      </c>
      <c r="D63" t="s">
        <v>60</v>
      </c>
      <c r="E63" t="s">
        <v>23</v>
      </c>
      <c r="F63" s="17">
        <v>442.26</v>
      </c>
      <c r="G63" t="s">
        <v>16</v>
      </c>
      <c r="I63" s="31">
        <f t="shared" si="0"/>
        <v>34.076443031916497</v>
      </c>
      <c r="K63" t="s">
        <v>142</v>
      </c>
      <c r="L63" s="62">
        <f>I62</f>
        <v>7958.1284895893887</v>
      </c>
      <c r="M63" s="69">
        <f>ROUND(L63/L$90,6)</f>
        <v>3.8492999999999999E-2</v>
      </c>
      <c r="N63" s="62">
        <f>I63</f>
        <v>34.076443031916497</v>
      </c>
      <c r="O63" s="69">
        <f>ROUND(N63/N$90,6)</f>
        <v>1.8569999999999999E-3</v>
      </c>
    </row>
    <row r="64" spans="1:15" x14ac:dyDescent="0.45">
      <c r="A64" s="13">
        <v>9</v>
      </c>
      <c r="B64" s="14">
        <v>44104</v>
      </c>
      <c r="C64" t="s">
        <v>20</v>
      </c>
      <c r="D64" t="s">
        <v>61</v>
      </c>
      <c r="E64" t="s">
        <v>22</v>
      </c>
      <c r="F64" s="17">
        <v>38464.25</v>
      </c>
      <c r="G64" t="s">
        <v>16</v>
      </c>
      <c r="I64" s="31">
        <f t="shared" si="0"/>
        <v>2963.6974266051511</v>
      </c>
      <c r="L64" s="62"/>
      <c r="M64" s="69"/>
      <c r="N64" s="62"/>
      <c r="O64" s="69"/>
    </row>
    <row r="65" spans="1:15" x14ac:dyDescent="0.45">
      <c r="A65" s="13">
        <v>9</v>
      </c>
      <c r="B65" s="14">
        <v>44104</v>
      </c>
      <c r="C65" t="s">
        <v>20</v>
      </c>
      <c r="D65" t="s">
        <v>61</v>
      </c>
      <c r="E65" t="s">
        <v>23</v>
      </c>
      <c r="F65" s="17">
        <v>7320.72</v>
      </c>
      <c r="G65" t="s">
        <v>16</v>
      </c>
      <c r="I65" s="31">
        <f t="shared" si="0"/>
        <v>564.06660795145785</v>
      </c>
      <c r="K65" t="s">
        <v>143</v>
      </c>
      <c r="L65" s="62">
        <f>I64</f>
        <v>2963.6974266051511</v>
      </c>
      <c r="M65" s="69">
        <f>ROUND(L65/L$90,6)</f>
        <v>1.4335000000000001E-2</v>
      </c>
      <c r="N65" s="62">
        <f>I65</f>
        <v>564.06660795145785</v>
      </c>
      <c r="O65" s="69">
        <f>ROUND(N65/N$90,6)</f>
        <v>3.0734000000000001E-2</v>
      </c>
    </row>
    <row r="66" spans="1:15" x14ac:dyDescent="0.45">
      <c r="A66" s="13">
        <v>9</v>
      </c>
      <c r="B66" s="14">
        <v>44104</v>
      </c>
      <c r="C66" t="s">
        <v>20</v>
      </c>
      <c r="D66" t="s">
        <v>62</v>
      </c>
      <c r="E66" t="s">
        <v>22</v>
      </c>
      <c r="F66" s="17">
        <v>31014.49</v>
      </c>
      <c r="G66" t="s">
        <v>16</v>
      </c>
      <c r="I66" s="31">
        <f t="shared" si="0"/>
        <v>2389.6881961944196</v>
      </c>
      <c r="L66" s="62"/>
      <c r="M66" s="69"/>
      <c r="N66" s="62"/>
      <c r="O66" s="69"/>
    </row>
    <row r="67" spans="1:15" x14ac:dyDescent="0.45">
      <c r="A67" s="13">
        <v>9</v>
      </c>
      <c r="B67" s="14">
        <v>44104</v>
      </c>
      <c r="C67" t="s">
        <v>20</v>
      </c>
      <c r="D67" t="s">
        <v>62</v>
      </c>
      <c r="E67" t="s">
        <v>23</v>
      </c>
      <c r="F67" s="17">
        <v>1060.72</v>
      </c>
      <c r="G67" t="s">
        <v>16</v>
      </c>
      <c r="I67" s="31">
        <f t="shared" si="0"/>
        <v>81.729219583083406</v>
      </c>
      <c r="K67" t="s">
        <v>144</v>
      </c>
      <c r="L67" s="62">
        <f>I66</f>
        <v>2389.6881961944196</v>
      </c>
      <c r="M67" s="69">
        <f t="shared" ref="M67:M69" si="11">ROUND(L67/L$90,6)</f>
        <v>1.1559E-2</v>
      </c>
      <c r="N67" s="62">
        <f>I67</f>
        <v>81.729219583083406</v>
      </c>
      <c r="O67" s="69">
        <f t="shared" ref="O67:O69" si="12">ROUND(N67/N$90,6)</f>
        <v>4.4530000000000004E-3</v>
      </c>
    </row>
    <row r="68" spans="1:15" x14ac:dyDescent="0.45">
      <c r="A68" s="13">
        <v>9</v>
      </c>
      <c r="B68" s="14">
        <v>44104</v>
      </c>
      <c r="C68" t="s">
        <v>20</v>
      </c>
      <c r="D68" t="s">
        <v>63</v>
      </c>
      <c r="E68" t="s">
        <v>22</v>
      </c>
      <c r="F68" s="17">
        <v>7774.42</v>
      </c>
      <c r="G68" t="s">
        <v>16</v>
      </c>
      <c r="I68" s="31">
        <f t="shared" si="0"/>
        <v>599.02451100301232</v>
      </c>
      <c r="K68" t="s">
        <v>145</v>
      </c>
      <c r="L68" s="62">
        <f>I68</f>
        <v>599.02451100301232</v>
      </c>
      <c r="M68" s="69">
        <f t="shared" si="11"/>
        <v>2.8969999999999998E-3</v>
      </c>
      <c r="N68" s="62">
        <v>0</v>
      </c>
      <c r="O68" s="69">
        <f t="shared" si="12"/>
        <v>0</v>
      </c>
    </row>
    <row r="69" spans="1:15" x14ac:dyDescent="0.45">
      <c r="A69" s="13">
        <v>9</v>
      </c>
      <c r="B69" s="14">
        <v>44104</v>
      </c>
      <c r="C69" t="s">
        <v>20</v>
      </c>
      <c r="D69" t="s">
        <v>64</v>
      </c>
      <c r="E69" t="s">
        <v>22</v>
      </c>
      <c r="F69" s="17">
        <v>6360.72</v>
      </c>
      <c r="G69" t="s">
        <v>16</v>
      </c>
      <c r="I69" s="31">
        <f t="shared" si="0"/>
        <v>490.0979349748381</v>
      </c>
      <c r="K69" t="s">
        <v>146</v>
      </c>
      <c r="L69" s="62">
        <f>I69</f>
        <v>490.0979349748381</v>
      </c>
      <c r="M69" s="69">
        <f t="shared" si="11"/>
        <v>2.3709999999999998E-3</v>
      </c>
      <c r="N69" s="62">
        <v>0</v>
      </c>
      <c r="O69" s="69">
        <f t="shared" si="12"/>
        <v>0</v>
      </c>
    </row>
    <row r="70" spans="1:15" x14ac:dyDescent="0.45">
      <c r="A70" s="13">
        <v>9</v>
      </c>
      <c r="B70" s="14">
        <v>44104</v>
      </c>
      <c r="C70" t="s">
        <v>20</v>
      </c>
      <c r="D70" t="s">
        <v>65</v>
      </c>
      <c r="E70" t="s">
        <v>22</v>
      </c>
      <c r="F70" s="17">
        <v>22171.59</v>
      </c>
      <c r="G70" t="s">
        <v>16</v>
      </c>
      <c r="I70" s="31">
        <f t="shared" ref="I70:I89" si="13">F70*$F$93</f>
        <v>1708.3365521684291</v>
      </c>
      <c r="L70" s="62"/>
      <c r="M70" s="69"/>
      <c r="N70" s="62"/>
      <c r="O70" s="69"/>
    </row>
    <row r="71" spans="1:15" x14ac:dyDescent="0.45">
      <c r="A71" s="13">
        <v>9</v>
      </c>
      <c r="B71" s="14">
        <v>44104</v>
      </c>
      <c r="C71" t="s">
        <v>20</v>
      </c>
      <c r="D71" t="s">
        <v>65</v>
      </c>
      <c r="E71" t="s">
        <v>23</v>
      </c>
      <c r="F71" s="17">
        <v>7521.25</v>
      </c>
      <c r="G71" t="s">
        <v>16</v>
      </c>
      <c r="I71" s="31">
        <f t="shared" si="13"/>
        <v>579.51758502645941</v>
      </c>
      <c r="K71" t="s">
        <v>147</v>
      </c>
      <c r="L71" s="62">
        <f>I70</f>
        <v>1708.3365521684291</v>
      </c>
      <c r="M71" s="69">
        <f>ROUND(L71/L$90,6)</f>
        <v>8.2629999999999995E-3</v>
      </c>
      <c r="N71" s="62">
        <f>I71</f>
        <v>579.51758502645941</v>
      </c>
      <c r="O71" s="69">
        <f>ROUND(N71/N$90,6)</f>
        <v>3.1576E-2</v>
      </c>
    </row>
    <row r="72" spans="1:15" x14ac:dyDescent="0.45">
      <c r="A72" s="13">
        <v>9</v>
      </c>
      <c r="B72" s="14">
        <v>44104</v>
      </c>
      <c r="C72" t="s">
        <v>20</v>
      </c>
      <c r="D72" t="s">
        <v>66</v>
      </c>
      <c r="E72" t="s">
        <v>22</v>
      </c>
      <c r="F72" s="17">
        <v>25944.28</v>
      </c>
      <c r="G72" t="s">
        <v>16</v>
      </c>
      <c r="I72" s="31">
        <f t="shared" si="13"/>
        <v>1999.0249613894327</v>
      </c>
      <c r="L72" s="62"/>
      <c r="M72" s="69"/>
      <c r="N72" s="62"/>
      <c r="O72" s="69"/>
    </row>
    <row r="73" spans="1:15" x14ac:dyDescent="0.45">
      <c r="A73" s="13">
        <v>9</v>
      </c>
      <c r="B73" s="14">
        <v>44104</v>
      </c>
      <c r="C73" t="s">
        <v>20</v>
      </c>
      <c r="D73" t="s">
        <v>66</v>
      </c>
      <c r="E73" t="s">
        <v>23</v>
      </c>
      <c r="F73" s="17">
        <v>3840</v>
      </c>
      <c r="G73" t="s">
        <v>16</v>
      </c>
      <c r="I73" s="31">
        <f t="shared" si="13"/>
        <v>295.87469190647886</v>
      </c>
      <c r="K73" t="s">
        <v>148</v>
      </c>
      <c r="L73" s="62">
        <f>I72</f>
        <v>1999.0249613894327</v>
      </c>
      <c r="M73" s="69">
        <f>ROUND(L73/L$90,6)</f>
        <v>9.6690000000000005E-3</v>
      </c>
      <c r="N73" s="62">
        <f>I73</f>
        <v>295.87469190647886</v>
      </c>
      <c r="O73" s="69">
        <f>ROUND(N73/N$90,6)</f>
        <v>1.6121E-2</v>
      </c>
    </row>
    <row r="74" spans="1:15" x14ac:dyDescent="0.45">
      <c r="A74" s="13">
        <v>9</v>
      </c>
      <c r="B74" s="14">
        <v>44104</v>
      </c>
      <c r="C74" t="s">
        <v>20</v>
      </c>
      <c r="D74" t="s">
        <v>67</v>
      </c>
      <c r="E74" t="s">
        <v>22</v>
      </c>
      <c r="F74" s="17">
        <v>2746.73</v>
      </c>
      <c r="G74" t="s">
        <v>16</v>
      </c>
      <c r="I74" s="31">
        <f t="shared" si="13"/>
        <v>211.63747200528195</v>
      </c>
      <c r="L74" s="62"/>
      <c r="M74" s="69"/>
      <c r="N74" s="62"/>
      <c r="O74" s="69"/>
    </row>
    <row r="75" spans="1:15" x14ac:dyDescent="0.45">
      <c r="A75" s="13">
        <v>9</v>
      </c>
      <c r="B75" s="14">
        <v>44104</v>
      </c>
      <c r="C75" t="s">
        <v>20</v>
      </c>
      <c r="D75" t="s">
        <v>67</v>
      </c>
      <c r="E75" t="s">
        <v>23</v>
      </c>
      <c r="F75" s="17">
        <v>25.38</v>
      </c>
      <c r="G75" t="s">
        <v>16</v>
      </c>
      <c r="I75" s="31">
        <f t="shared" si="13"/>
        <v>1.9555467918193836</v>
      </c>
      <c r="K75" t="s">
        <v>149</v>
      </c>
      <c r="L75" s="62">
        <f>I74</f>
        <v>211.63747200528195</v>
      </c>
      <c r="M75" s="69">
        <f>ROUND(L75/L$90,6)</f>
        <v>1.024E-3</v>
      </c>
      <c r="N75" s="62">
        <f>I75</f>
        <v>1.9555467918193836</v>
      </c>
      <c r="O75" s="69">
        <f>ROUND(N75/N$90,6)</f>
        <v>1.07E-4</v>
      </c>
    </row>
    <row r="76" spans="1:15" x14ac:dyDescent="0.45">
      <c r="A76" s="13">
        <v>9</v>
      </c>
      <c r="B76" s="14">
        <v>44104</v>
      </c>
      <c r="C76" t="s">
        <v>20</v>
      </c>
      <c r="D76" t="s">
        <v>68</v>
      </c>
      <c r="E76" t="s">
        <v>22</v>
      </c>
      <c r="F76" s="17">
        <v>11773.95</v>
      </c>
      <c r="G76" t="s">
        <v>16</v>
      </c>
      <c r="I76" s="31">
        <f t="shared" si="13"/>
        <v>907.19110124278313</v>
      </c>
      <c r="L76" s="62"/>
      <c r="M76" s="69"/>
      <c r="N76" s="62"/>
      <c r="O76" s="69"/>
    </row>
    <row r="77" spans="1:15" x14ac:dyDescent="0.45">
      <c r="A77" s="13">
        <v>9</v>
      </c>
      <c r="B77" s="14">
        <v>44104</v>
      </c>
      <c r="C77" t="s">
        <v>20</v>
      </c>
      <c r="D77" t="s">
        <v>68</v>
      </c>
      <c r="E77" t="s">
        <v>23</v>
      </c>
      <c r="F77" s="17">
        <v>2039.55</v>
      </c>
      <c r="G77" t="s">
        <v>16</v>
      </c>
      <c r="I77" s="31">
        <f t="shared" si="13"/>
        <v>157.14875725985911</v>
      </c>
      <c r="K77" t="s">
        <v>150</v>
      </c>
      <c r="L77" s="62">
        <f>I76</f>
        <v>907.19110124278313</v>
      </c>
      <c r="M77" s="69">
        <f>ROUND(L77/L$90,6)</f>
        <v>4.3880000000000004E-3</v>
      </c>
      <c r="N77" s="62">
        <f>I77</f>
        <v>157.14875725985911</v>
      </c>
      <c r="O77" s="69">
        <f>ROUND(N77/N$90,6)</f>
        <v>8.5629999999999994E-3</v>
      </c>
    </row>
    <row r="78" spans="1:15" x14ac:dyDescent="0.45">
      <c r="A78" s="13">
        <v>9</v>
      </c>
      <c r="B78" s="14">
        <v>44104</v>
      </c>
      <c r="C78" t="s">
        <v>20</v>
      </c>
      <c r="D78" t="s">
        <v>69</v>
      </c>
      <c r="E78" t="s">
        <v>22</v>
      </c>
      <c r="F78" s="17">
        <v>18100.400000000001</v>
      </c>
      <c r="G78" t="s">
        <v>16</v>
      </c>
      <c r="I78" s="31">
        <f t="shared" si="13"/>
        <v>1394.648508693758</v>
      </c>
      <c r="L78" s="62"/>
      <c r="M78" s="69"/>
      <c r="N78" s="62"/>
      <c r="O78" s="69"/>
    </row>
    <row r="79" spans="1:15" x14ac:dyDescent="0.45">
      <c r="A79" s="13">
        <v>9</v>
      </c>
      <c r="B79" s="14">
        <v>44104</v>
      </c>
      <c r="C79" t="s">
        <v>20</v>
      </c>
      <c r="D79" t="s">
        <v>69</v>
      </c>
      <c r="E79" t="s">
        <v>23</v>
      </c>
      <c r="F79" s="17">
        <v>2650.28</v>
      </c>
      <c r="G79" t="s">
        <v>16</v>
      </c>
      <c r="I79" s="31">
        <f t="shared" si="13"/>
        <v>204.2059318921622</v>
      </c>
      <c r="K79" t="s">
        <v>151</v>
      </c>
      <c r="L79" s="62">
        <f>I78</f>
        <v>1394.648508693758</v>
      </c>
      <c r="M79" s="69">
        <f t="shared" ref="M79:M82" si="14">ROUND(L79/L$90,6)</f>
        <v>6.7460000000000003E-3</v>
      </c>
      <c r="N79" s="62">
        <f>I79</f>
        <v>204.2059318921622</v>
      </c>
      <c r="O79" s="69">
        <f t="shared" ref="O79:O82" si="15">ROUND(N79/N$90,6)</f>
        <v>1.1127E-2</v>
      </c>
    </row>
    <row r="80" spans="1:15" x14ac:dyDescent="0.45">
      <c r="A80" s="13">
        <v>9</v>
      </c>
      <c r="B80" s="14">
        <v>44104</v>
      </c>
      <c r="C80" t="s">
        <v>20</v>
      </c>
      <c r="D80" t="s">
        <v>70</v>
      </c>
      <c r="E80" t="s">
        <v>22</v>
      </c>
      <c r="F80" s="17">
        <v>59122.28</v>
      </c>
      <c r="G80" t="s">
        <v>16</v>
      </c>
      <c r="I80" s="31">
        <f t="shared" si="13"/>
        <v>4555.4131197418174</v>
      </c>
      <c r="K80" t="s">
        <v>152</v>
      </c>
      <c r="L80" s="62">
        <f>I80</f>
        <v>4555.4131197418174</v>
      </c>
      <c r="M80" s="69">
        <f t="shared" si="14"/>
        <v>2.2034000000000002E-2</v>
      </c>
      <c r="N80" s="62">
        <v>0</v>
      </c>
      <c r="O80" s="69">
        <f t="shared" si="15"/>
        <v>0</v>
      </c>
    </row>
    <row r="81" spans="1:16" x14ac:dyDescent="0.45">
      <c r="A81" s="13">
        <v>9</v>
      </c>
      <c r="B81" s="14">
        <v>44104</v>
      </c>
      <c r="C81" t="s">
        <v>20</v>
      </c>
      <c r="D81" t="s">
        <v>71</v>
      </c>
      <c r="E81" t="s">
        <v>22</v>
      </c>
      <c r="F81" s="17">
        <v>1204.5899999999999</v>
      </c>
      <c r="G81" t="s">
        <v>16</v>
      </c>
      <c r="I81" s="31">
        <f t="shared" si="13"/>
        <v>92.814503938444105</v>
      </c>
      <c r="K81" t="s">
        <v>153</v>
      </c>
      <c r="L81" s="62">
        <f>I81</f>
        <v>92.814503938444105</v>
      </c>
      <c r="M81" s="69">
        <f t="shared" si="14"/>
        <v>4.4900000000000002E-4</v>
      </c>
      <c r="N81" s="62">
        <v>0</v>
      </c>
      <c r="O81" s="69">
        <f t="shared" si="15"/>
        <v>0</v>
      </c>
    </row>
    <row r="82" spans="1:16" x14ac:dyDescent="0.45">
      <c r="A82" s="13">
        <v>9</v>
      </c>
      <c r="B82" s="14">
        <v>44104</v>
      </c>
      <c r="C82" t="s">
        <v>20</v>
      </c>
      <c r="D82" t="s">
        <v>72</v>
      </c>
      <c r="E82" t="s">
        <v>22</v>
      </c>
      <c r="F82" s="17">
        <v>801.1</v>
      </c>
      <c r="G82" t="s">
        <v>16</v>
      </c>
      <c r="I82" s="31">
        <f t="shared" si="13"/>
        <v>61.725316584968809</v>
      </c>
      <c r="K82" t="s">
        <v>154</v>
      </c>
      <c r="L82" s="62">
        <f>I82</f>
        <v>61.725316584968809</v>
      </c>
      <c r="M82" s="69">
        <f t="shared" si="14"/>
        <v>2.99E-4</v>
      </c>
      <c r="N82" s="62">
        <v>0</v>
      </c>
      <c r="O82" s="69">
        <f t="shared" si="15"/>
        <v>0</v>
      </c>
    </row>
    <row r="83" spans="1:16" x14ac:dyDescent="0.45">
      <c r="A83" s="13">
        <v>9</v>
      </c>
      <c r="B83" s="14">
        <v>44104</v>
      </c>
      <c r="C83" t="s">
        <v>20</v>
      </c>
      <c r="D83" t="s">
        <v>73</v>
      </c>
      <c r="E83" t="s">
        <v>22</v>
      </c>
      <c r="F83" s="17">
        <v>502152.73</v>
      </c>
      <c r="G83" t="s">
        <v>16</v>
      </c>
      <c r="I83" s="31">
        <f t="shared" si="13"/>
        <v>38691.219864257102</v>
      </c>
      <c r="L83" s="62"/>
      <c r="M83" s="69"/>
      <c r="N83" s="62"/>
      <c r="O83" s="69"/>
    </row>
    <row r="84" spans="1:16" x14ac:dyDescent="0.45">
      <c r="A84" s="13">
        <v>9</v>
      </c>
      <c r="B84" s="14">
        <v>44104</v>
      </c>
      <c r="C84" t="s">
        <v>20</v>
      </c>
      <c r="D84" t="s">
        <v>73</v>
      </c>
      <c r="E84" t="s">
        <v>23</v>
      </c>
      <c r="F84" s="17">
        <v>611.94000000000005</v>
      </c>
      <c r="G84" t="s">
        <v>16</v>
      </c>
      <c r="I84" s="31">
        <f t="shared" si="13"/>
        <v>47.150405980534039</v>
      </c>
      <c r="K84" t="s">
        <v>155</v>
      </c>
      <c r="L84" s="62">
        <f>I83</f>
        <v>38691.219864257102</v>
      </c>
      <c r="M84" s="69">
        <f>ROUND(L84/L$90,6)</f>
        <v>0.18714600000000001</v>
      </c>
      <c r="N84" s="62">
        <f>I84</f>
        <v>47.150405980534039</v>
      </c>
      <c r="O84" s="69">
        <f>ROUND(N84/N$90,6)</f>
        <v>2.5690000000000001E-3</v>
      </c>
    </row>
    <row r="85" spans="1:16" x14ac:dyDescent="0.45">
      <c r="A85" s="13">
        <v>9</v>
      </c>
      <c r="B85" s="14">
        <v>44104</v>
      </c>
      <c r="C85" t="s">
        <v>20</v>
      </c>
      <c r="D85" t="s">
        <v>74</v>
      </c>
      <c r="E85" t="s">
        <v>22</v>
      </c>
      <c r="F85" s="17">
        <v>2696.07</v>
      </c>
      <c r="G85" t="s">
        <v>16</v>
      </c>
      <c r="I85" s="31">
        <f t="shared" si="13"/>
        <v>207.73408349174494</v>
      </c>
      <c r="L85" s="62"/>
      <c r="M85" s="69"/>
      <c r="N85" s="62"/>
      <c r="O85" s="69"/>
    </row>
    <row r="86" spans="1:16" x14ac:dyDescent="0.45">
      <c r="A86" s="13">
        <v>9</v>
      </c>
      <c r="B86" s="14">
        <v>44104</v>
      </c>
      <c r="C86" t="s">
        <v>20</v>
      </c>
      <c r="D86" t="s">
        <v>75</v>
      </c>
      <c r="E86" t="s">
        <v>22</v>
      </c>
      <c r="F86" s="17">
        <v>15029.97</v>
      </c>
      <c r="G86" t="s">
        <v>16</v>
      </c>
      <c r="I86" s="31">
        <f t="shared" si="13"/>
        <v>1158.0697247691719</v>
      </c>
      <c r="L86" s="62"/>
      <c r="M86" s="69"/>
      <c r="N86" s="62"/>
      <c r="O86" s="69"/>
    </row>
    <row r="87" spans="1:16" x14ac:dyDescent="0.45">
      <c r="A87" s="13">
        <v>9</v>
      </c>
      <c r="B87" s="14">
        <v>44104</v>
      </c>
      <c r="C87" t="s">
        <v>20</v>
      </c>
      <c r="D87" t="s">
        <v>76</v>
      </c>
      <c r="E87" t="s">
        <v>22</v>
      </c>
      <c r="F87" s="17">
        <v>1459.28</v>
      </c>
      <c r="G87" t="s">
        <v>16</v>
      </c>
      <c r="I87" s="31">
        <f t="shared" si="13"/>
        <v>112.43854698054335</v>
      </c>
      <c r="K87" t="s">
        <v>156</v>
      </c>
      <c r="L87" s="62">
        <f>I85+I86+I87</f>
        <v>1478.2423552414602</v>
      </c>
      <c r="M87" s="69">
        <f>ROUND(L87/L$90,6)</f>
        <v>7.1500000000000001E-3</v>
      </c>
      <c r="N87" s="62">
        <v>0</v>
      </c>
      <c r="O87" s="69">
        <f>ROUND(N87/N$90,6)</f>
        <v>0</v>
      </c>
    </row>
    <row r="88" spans="1:16" x14ac:dyDescent="0.45">
      <c r="A88" s="13">
        <v>9</v>
      </c>
      <c r="B88" s="14">
        <v>44104</v>
      </c>
      <c r="C88" t="s">
        <v>20</v>
      </c>
      <c r="D88" t="s">
        <v>77</v>
      </c>
      <c r="E88" t="s">
        <v>22</v>
      </c>
      <c r="F88" s="17">
        <v>13053.67</v>
      </c>
      <c r="G88" t="s">
        <v>16</v>
      </c>
      <c r="I88" s="31">
        <f t="shared" si="13"/>
        <v>1005.7944243486578</v>
      </c>
      <c r="L88" s="62"/>
      <c r="M88" s="69"/>
      <c r="N88" s="62"/>
      <c r="O88" s="69"/>
    </row>
    <row r="89" spans="1:16" x14ac:dyDescent="0.45">
      <c r="A89" s="13">
        <v>9</v>
      </c>
      <c r="B89" s="14">
        <v>44104</v>
      </c>
      <c r="C89" t="s">
        <v>20</v>
      </c>
      <c r="D89" t="s">
        <v>77</v>
      </c>
      <c r="E89" t="s">
        <v>23</v>
      </c>
      <c r="F89" s="20">
        <v>3442.77</v>
      </c>
      <c r="G89" t="s">
        <v>16</v>
      </c>
      <c r="I89" s="31">
        <f t="shared" si="13"/>
        <v>265.26784194137196</v>
      </c>
      <c r="K89" t="s">
        <v>157</v>
      </c>
      <c r="L89" s="80">
        <f>I88</f>
        <v>1005.7944243486578</v>
      </c>
      <c r="M89" s="85">
        <f>ROUND(L89/L$90,6)</f>
        <v>4.8650000000000004E-3</v>
      </c>
      <c r="N89" s="80">
        <f>I89</f>
        <v>265.26784194137196</v>
      </c>
      <c r="O89" s="85">
        <f>ROUND(N89/N$90,6)</f>
        <v>1.4454E-2</v>
      </c>
    </row>
    <row r="90" spans="1:16" x14ac:dyDescent="0.45">
      <c r="A90"/>
      <c r="B90" s="22" t="s">
        <v>95</v>
      </c>
      <c r="C90" s="22"/>
      <c r="D90" s="22"/>
      <c r="E90" s="22"/>
      <c r="F90" s="35">
        <f>SUM(F5:F89)</f>
        <v>2921410.0199999991</v>
      </c>
      <c r="I90" s="31">
        <f>SUM(I5:I89)</f>
        <v>225096.69000000009</v>
      </c>
      <c r="L90" s="83">
        <f>SUM(L5:L89)</f>
        <v>206743.79166844091</v>
      </c>
      <c r="M90" s="84">
        <f>SUM(M5:M89)</f>
        <v>1.0000009999999999</v>
      </c>
      <c r="N90" s="83">
        <f>SUM(N5:N89)</f>
        <v>18352.898331559132</v>
      </c>
      <c r="O90" s="84">
        <f>SUM(O5:O89)</f>
        <v>1</v>
      </c>
      <c r="P90" s="62"/>
    </row>
    <row r="91" spans="1:16" x14ac:dyDescent="0.45">
      <c r="L91" s="62"/>
      <c r="M91" s="69"/>
      <c r="N91" s="62"/>
      <c r="O91" s="69"/>
    </row>
    <row r="92" spans="1:16" x14ac:dyDescent="0.45">
      <c r="B92" s="14" t="s">
        <v>96</v>
      </c>
      <c r="F92" s="17">
        <f>'Sept 18th payroll tax alloc'!G109</f>
        <v>225096.69</v>
      </c>
      <c r="I92" s="31">
        <f>ROUND(I90*26,2)</f>
        <v>5852513.9400000004</v>
      </c>
      <c r="J92" t="s">
        <v>184</v>
      </c>
      <c r="L92" s="62">
        <f>SUM(L6:L27)</f>
        <v>39343.712168217062</v>
      </c>
      <c r="M92" s="69">
        <f>ROUND(L92/L94,6)</f>
        <v>0.190302</v>
      </c>
      <c r="N92" s="62">
        <f>SUM(N6:N27)</f>
        <v>4236.2228857074997</v>
      </c>
      <c r="O92" s="69">
        <f>ROUND(N92/N94,6)</f>
        <v>0.23082</v>
      </c>
    </row>
    <row r="93" spans="1:16" x14ac:dyDescent="0.45">
      <c r="B93" s="14" t="s">
        <v>97</v>
      </c>
      <c r="F93">
        <f>F92/F90</f>
        <v>7.7050701017312206E-2</v>
      </c>
      <c r="J93" t="s">
        <v>172</v>
      </c>
      <c r="L93" s="80">
        <f>SUM(L29:L89)</f>
        <v>167400.07950022392</v>
      </c>
      <c r="M93" s="85">
        <f>ROUND(L93/L94,6)</f>
        <v>0.80969800000000003</v>
      </c>
      <c r="N93" s="80">
        <f>SUM(N29:N89)</f>
        <v>14116.675445851626</v>
      </c>
      <c r="O93" s="85">
        <f>ROUND(N93/N94,6)</f>
        <v>0.76917999999999997</v>
      </c>
    </row>
    <row r="94" spans="1:16" x14ac:dyDescent="0.45">
      <c r="J94" t="s">
        <v>179</v>
      </c>
      <c r="L94" s="62">
        <f>L92+L93</f>
        <v>206743.79166844097</v>
      </c>
      <c r="M94" s="69">
        <f>M92+M93</f>
        <v>1</v>
      </c>
      <c r="N94" s="62">
        <f>N92+N93</f>
        <v>18352.898331559125</v>
      </c>
      <c r="O94" s="69">
        <f>O92+O93</f>
        <v>1</v>
      </c>
    </row>
    <row r="95" spans="1:16" x14ac:dyDescent="0.45">
      <c r="L95" s="69">
        <f>ROUND(L94/L99,6)</f>
        <v>0.91846700000000003</v>
      </c>
      <c r="M95" s="69"/>
      <c r="N95" s="69">
        <f>ROUND(N94/L99,6)</f>
        <v>8.1532999999999994E-2</v>
      </c>
      <c r="O95" s="69"/>
    </row>
    <row r="96" spans="1:16" x14ac:dyDescent="0.45">
      <c r="J96" t="s">
        <v>185</v>
      </c>
    </row>
    <row r="97" spans="10:13" x14ac:dyDescent="0.45">
      <c r="J97" t="s">
        <v>184</v>
      </c>
      <c r="L97" s="62">
        <f>L92+N92</f>
        <v>43579.935053924564</v>
      </c>
      <c r="M97" s="69">
        <f>ROUND(L97/L99,6)</f>
        <v>0.193605</v>
      </c>
    </row>
    <row r="98" spans="10:13" x14ac:dyDescent="0.45">
      <c r="J98" t="s">
        <v>172</v>
      </c>
      <c r="L98" s="80">
        <f>L93+N93</f>
        <v>181516.75494607555</v>
      </c>
      <c r="M98" s="85">
        <f>ROUND(L98/L99,6)</f>
        <v>0.80639499999999997</v>
      </c>
    </row>
    <row r="99" spans="10:13" x14ac:dyDescent="0.45">
      <c r="J99" t="s">
        <v>179</v>
      </c>
      <c r="L99" s="62">
        <f>L97+L98</f>
        <v>225096.69000000012</v>
      </c>
      <c r="M99" s="69">
        <f>M97+M98</f>
        <v>1</v>
      </c>
    </row>
    <row r="101" spans="10:13" x14ac:dyDescent="0.45">
      <c r="J101" t="s">
        <v>186</v>
      </c>
    </row>
  </sheetData>
  <sortState xmlns:xlrd2="http://schemas.microsoft.com/office/spreadsheetml/2017/richdata2" ref="A2:Q974">
    <sortCondition ref="D2:D974"/>
    <sortCondition ref="E2:E974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103"/>
  <sheetViews>
    <sheetView workbookViewId="0">
      <selection activeCell="A94" sqref="A94"/>
    </sheetView>
  </sheetViews>
  <sheetFormatPr defaultRowHeight="14.25" x14ac:dyDescent="0.45"/>
  <cols>
    <col min="2" max="2" width="15.73046875" style="17" customWidth="1"/>
    <col min="3" max="3" width="4.265625" customWidth="1"/>
    <col min="5" max="5" width="3.86328125" customWidth="1"/>
    <col min="6" max="6" width="14.3984375" customWidth="1"/>
  </cols>
  <sheetData>
    <row r="1" spans="1:7" x14ac:dyDescent="0.45">
      <c r="A1" t="str">
        <f>'Sept 18th payroll tax alloc'!A1</f>
        <v>Workpaper 1.08 Payroll Tax FINAL.xlsx</v>
      </c>
    </row>
    <row r="2" spans="1:7" x14ac:dyDescent="0.45">
      <c r="A2" s="22" t="s">
        <v>94</v>
      </c>
    </row>
    <row r="4" spans="1:7" x14ac:dyDescent="0.45">
      <c r="A4" s="39" t="s">
        <v>101</v>
      </c>
      <c r="B4" s="40"/>
    </row>
    <row r="5" spans="1:7" ht="63.75" customHeight="1" x14ac:dyDescent="0.45">
      <c r="A5" s="37" t="s">
        <v>3</v>
      </c>
      <c r="B5" s="38" t="s">
        <v>100</v>
      </c>
      <c r="C5" s="37"/>
      <c r="D5" s="36" t="s">
        <v>99</v>
      </c>
      <c r="E5" s="37"/>
      <c r="F5" s="36" t="s">
        <v>98</v>
      </c>
    </row>
    <row r="6" spans="1:7" x14ac:dyDescent="0.45">
      <c r="A6">
        <v>107200</v>
      </c>
      <c r="B6" s="17">
        <v>32280.89</v>
      </c>
      <c r="D6">
        <f>B6/-$B$12</f>
        <v>0.96229304413667272</v>
      </c>
      <c r="F6" s="17">
        <f>'Sept 18th payroll tax alloc'!$D$20*'clearing &amp; stores accounts'!D6</f>
        <v>880.12091816950533</v>
      </c>
    </row>
    <row r="7" spans="1:7" x14ac:dyDescent="0.45">
      <c r="A7">
        <v>563000</v>
      </c>
      <c r="B7" s="17">
        <v>17.82</v>
      </c>
      <c r="D7">
        <f t="shared" ref="D7:D11" si="0">B7/-$B$12</f>
        <v>5.3121404169821553E-4</v>
      </c>
      <c r="F7" s="17">
        <f>'Sept 18th payroll tax alloc'!$D$20*'clearing &amp; stores accounts'!D7+0.01</f>
        <v>0.49585261316464896</v>
      </c>
    </row>
    <row r="8" spans="1:7" x14ac:dyDescent="0.45">
      <c r="A8">
        <v>570000</v>
      </c>
      <c r="B8" s="17">
        <v>0.39</v>
      </c>
      <c r="D8">
        <f t="shared" si="0"/>
        <v>1.1625896535482832E-5</v>
      </c>
      <c r="F8" s="17">
        <v>0</v>
      </c>
      <c r="G8" t="s">
        <v>214</v>
      </c>
    </row>
    <row r="9" spans="1:7" x14ac:dyDescent="0.45">
      <c r="A9">
        <v>571000</v>
      </c>
      <c r="B9" s="17">
        <v>393.94</v>
      </c>
      <c r="D9">
        <f t="shared" si="0"/>
        <v>1.1743347900482325E-2</v>
      </c>
      <c r="F9" s="17">
        <f>'Sept 18th payroll tax alloc'!$D$20*'clearing &amp; stores accounts'!D9</f>
        <v>10.740559956794716</v>
      </c>
    </row>
    <row r="10" spans="1:7" x14ac:dyDescent="0.45">
      <c r="A10">
        <v>582000</v>
      </c>
      <c r="B10" s="17">
        <v>305.10000000000002</v>
      </c>
      <c r="D10">
        <f t="shared" si="0"/>
        <v>9.0950282896815702E-3</v>
      </c>
      <c r="F10" s="17">
        <f>'Sept 18th payroll tax alloc'!$D$20*'clearing &amp; stores accounts'!D10</f>
        <v>8.3183856496371735</v>
      </c>
    </row>
    <row r="11" spans="1:7" x14ac:dyDescent="0.45">
      <c r="A11">
        <v>592000</v>
      </c>
      <c r="B11" s="17">
        <v>547.66</v>
      </c>
      <c r="D11">
        <f t="shared" si="0"/>
        <v>1.6325739734929557E-2</v>
      </c>
      <c r="F11" s="17">
        <f>'Sept 18th payroll tax alloc'!$D$20*'clearing &amp; stores accounts'!D11</f>
        <v>14.931652195608958</v>
      </c>
    </row>
    <row r="12" spans="1:7" ht="14.65" thickBot="1" x14ac:dyDescent="0.5">
      <c r="A12">
        <v>163000</v>
      </c>
      <c r="B12" s="17">
        <v>-33545.800000000003</v>
      </c>
      <c r="D12" s="55">
        <f>SUM(D6:D11)</f>
        <v>0.99999999999999989</v>
      </c>
      <c r="F12" s="53">
        <f>SUM(F6:F11)</f>
        <v>914.60736858471091</v>
      </c>
    </row>
    <row r="13" spans="1:7" ht="14.65" thickTop="1" x14ac:dyDescent="0.45"/>
    <row r="16" spans="1:7" x14ac:dyDescent="0.45">
      <c r="A16" s="39" t="s">
        <v>102</v>
      </c>
      <c r="B16" s="40"/>
    </row>
    <row r="17" spans="1:13" ht="63.75" customHeight="1" x14ac:dyDescent="0.45">
      <c r="A17" s="37" t="s">
        <v>3</v>
      </c>
      <c r="B17" s="38" t="s">
        <v>100</v>
      </c>
      <c r="C17" s="37"/>
      <c r="D17" s="36" t="s">
        <v>99</v>
      </c>
      <c r="E17" s="37"/>
      <c r="F17" s="36" t="s">
        <v>98</v>
      </c>
    </row>
    <row r="18" spans="1:13" x14ac:dyDescent="0.45">
      <c r="A18">
        <v>511000</v>
      </c>
      <c r="B18" s="17">
        <v>660.41</v>
      </c>
      <c r="D18">
        <f>B18/-$B$21</f>
        <v>9.5794755157013106E-2</v>
      </c>
      <c r="F18" s="17">
        <f>'Sept 18th payroll tax alloc'!$D$21*'clearing &amp; stores accounts'!D18</f>
        <v>17.135631302891422</v>
      </c>
    </row>
    <row r="19" spans="1:13" x14ac:dyDescent="0.45">
      <c r="A19">
        <v>512000</v>
      </c>
      <c r="B19" s="17">
        <v>5593.73</v>
      </c>
      <c r="D19">
        <f t="shared" ref="D19:D20" si="1">B19/-$B$21</f>
        <v>0.81138988774312759</v>
      </c>
      <c r="F19" s="17">
        <f>'Sept 18th payroll tax alloc'!$D$21*'clearing &amp; stores accounts'!D19</f>
        <v>145.14028389625057</v>
      </c>
    </row>
    <row r="20" spans="1:13" x14ac:dyDescent="0.45">
      <c r="A20">
        <v>513000</v>
      </c>
      <c r="B20" s="17">
        <v>639.87</v>
      </c>
      <c r="D20">
        <f t="shared" si="1"/>
        <v>9.281535709985915E-2</v>
      </c>
      <c r="F20" s="17">
        <f>'Sept 18th payroll tax alloc'!$D$21*'clearing &amp; stores accounts'!D20</f>
        <v>16.602680761619503</v>
      </c>
    </row>
    <row r="21" spans="1:13" ht="14.65" thickBot="1" x14ac:dyDescent="0.5">
      <c r="A21">
        <v>163030</v>
      </c>
      <c r="B21" s="17">
        <v>-6894.01</v>
      </c>
      <c r="D21" s="55">
        <f>SUM(D18:D20)</f>
        <v>0.99999999999999978</v>
      </c>
      <c r="F21" s="53">
        <f>SUM(F18:F20)</f>
        <v>178.87859596076149</v>
      </c>
    </row>
    <row r="22" spans="1:13" ht="14.65" thickTop="1" x14ac:dyDescent="0.45">
      <c r="K22" t="s">
        <v>89</v>
      </c>
    </row>
    <row r="23" spans="1:13" x14ac:dyDescent="0.45">
      <c r="K23">
        <v>107200</v>
      </c>
      <c r="M23" s="17">
        <f>F27</f>
        <v>11.376401526406198</v>
      </c>
    </row>
    <row r="24" spans="1:13" x14ac:dyDescent="0.45">
      <c r="K24">
        <v>506001</v>
      </c>
      <c r="M24" s="17">
        <f>F28</f>
        <v>30.196484883543803</v>
      </c>
    </row>
    <row r="25" spans="1:13" x14ac:dyDescent="0.45">
      <c r="A25" s="39" t="s">
        <v>103</v>
      </c>
      <c r="B25" s="40"/>
      <c r="K25">
        <v>511000</v>
      </c>
      <c r="M25" s="17">
        <f>F18+F29</f>
        <v>12.563618580550033</v>
      </c>
    </row>
    <row r="26" spans="1:13" ht="55.5" customHeight="1" x14ac:dyDescent="0.45">
      <c r="A26" s="37" t="s">
        <v>3</v>
      </c>
      <c r="B26" s="38" t="s">
        <v>100</v>
      </c>
      <c r="C26" s="37"/>
      <c r="D26" s="36" t="s">
        <v>99</v>
      </c>
      <c r="E26" s="37"/>
      <c r="F26" s="36" t="s">
        <v>98</v>
      </c>
      <c r="K26">
        <v>512000</v>
      </c>
      <c r="M26" s="17">
        <f>F30+F19</f>
        <v>809.76915887822474</v>
      </c>
    </row>
    <row r="27" spans="1:13" x14ac:dyDescent="0.45">
      <c r="A27">
        <v>107200</v>
      </c>
      <c r="B27" s="17">
        <v>452.89</v>
      </c>
      <c r="D27">
        <f>B27/-$B$32</f>
        <v>1.6172956248848337E-2</v>
      </c>
      <c r="F27" s="17">
        <f>'Sept 18th payroll tax alloc'!$D$22*'clearing &amp; stores accounts'!D27</f>
        <v>11.376401526406198</v>
      </c>
      <c r="K27">
        <v>513000</v>
      </c>
      <c r="M27" s="17">
        <f>F20+F31</f>
        <v>18.394208410415658</v>
      </c>
    </row>
    <row r="28" spans="1:13" x14ac:dyDescent="0.45">
      <c r="A28">
        <v>506001</v>
      </c>
      <c r="B28" s="17">
        <v>1202.1099999999999</v>
      </c>
      <c r="D28">
        <f t="shared" ref="D28:D31" si="2">B28/-$B$32</f>
        <v>4.2928023220435582E-2</v>
      </c>
      <c r="F28" s="17">
        <f>'Sept 18th payroll tax alloc'!$D$22*'clearing &amp; stores accounts'!D28</f>
        <v>30.196484883543803</v>
      </c>
    </row>
    <row r="29" spans="1:13" x14ac:dyDescent="0.45">
      <c r="A29">
        <v>511000</v>
      </c>
      <c r="B29" s="17">
        <v>-182.01</v>
      </c>
      <c r="D29">
        <f t="shared" si="2"/>
        <v>-6.4996793191567162E-3</v>
      </c>
      <c r="F29" s="17">
        <f>'Sept 18th payroll tax alloc'!$D$22*'clearing &amp; stores accounts'!D29</f>
        <v>-4.5720127223413893</v>
      </c>
    </row>
    <row r="30" spans="1:13" x14ac:dyDescent="0.45">
      <c r="A30">
        <v>512000</v>
      </c>
      <c r="B30" s="17">
        <v>26458.61</v>
      </c>
      <c r="D30">
        <f t="shared" si="2"/>
        <v>0.94485182259564371</v>
      </c>
      <c r="F30" s="17">
        <f>'Sept 18th payroll tax alloc'!$D$22*'clearing &amp; stores accounts'!D30</f>
        <v>664.62887498197415</v>
      </c>
    </row>
    <row r="31" spans="1:13" x14ac:dyDescent="0.45">
      <c r="A31">
        <v>513000</v>
      </c>
      <c r="B31" s="17">
        <v>71.319999999999993</v>
      </c>
      <c r="D31">
        <f t="shared" si="2"/>
        <v>2.5468772542292018E-3</v>
      </c>
      <c r="F31" s="17">
        <f>'Sept 18th payroll tax alloc'!$D$22*'clearing &amp; stores accounts'!D31</f>
        <v>1.7915276487961536</v>
      </c>
    </row>
    <row r="32" spans="1:13" ht="14.65" thickBot="1" x14ac:dyDescent="0.5">
      <c r="A32">
        <v>163040</v>
      </c>
      <c r="B32" s="17">
        <v>-28002.92</v>
      </c>
      <c r="D32" s="55">
        <f>SUM(D27:D31)</f>
        <v>1.0000000000000002</v>
      </c>
      <c r="F32" s="53">
        <f>SUM(F27:F31)</f>
        <v>703.421276318379</v>
      </c>
    </row>
    <row r="33" spans="1:10" ht="14.65" thickTop="1" x14ac:dyDescent="0.45"/>
    <row r="36" spans="1:10" x14ac:dyDescent="0.45">
      <c r="A36" s="22" t="s">
        <v>104</v>
      </c>
    </row>
    <row r="37" spans="1:10" ht="69" customHeight="1" x14ac:dyDescent="0.45">
      <c r="A37" s="37" t="s">
        <v>3</v>
      </c>
      <c r="B37" s="38" t="s">
        <v>100</v>
      </c>
      <c r="C37" s="37"/>
      <c r="D37" s="36" t="s">
        <v>99</v>
      </c>
      <c r="E37" s="37"/>
      <c r="F37" s="36" t="s">
        <v>98</v>
      </c>
    </row>
    <row r="38" spans="1:10" x14ac:dyDescent="0.45">
      <c r="A38" s="41">
        <v>553000</v>
      </c>
      <c r="B38" s="17">
        <v>6452.59</v>
      </c>
      <c r="D38">
        <v>1</v>
      </c>
      <c r="F38" s="17">
        <f>'Sept 18th payroll tax alloc'!D23*'clearing &amp; stores accounts'!D38</f>
        <v>167.1537907869571</v>
      </c>
    </row>
    <row r="39" spans="1:10" x14ac:dyDescent="0.45">
      <c r="A39">
        <v>163050</v>
      </c>
      <c r="B39" s="17">
        <v>-6452.59</v>
      </c>
    </row>
    <row r="41" spans="1:10" x14ac:dyDescent="0.45">
      <c r="A41" s="57"/>
      <c r="B41" s="58"/>
      <c r="C41" s="57"/>
      <c r="D41" s="57"/>
      <c r="E41" s="57"/>
      <c r="F41" s="57"/>
      <c r="G41" s="57"/>
      <c r="H41" s="57"/>
      <c r="I41" s="57"/>
      <c r="J41" s="57"/>
    </row>
    <row r="43" spans="1:10" s="22" customFormat="1" x14ac:dyDescent="0.45">
      <c r="A43" s="22" t="s">
        <v>111</v>
      </c>
      <c r="B43" s="35"/>
    </row>
    <row r="45" spans="1:10" ht="62.25" customHeight="1" x14ac:dyDescent="0.45">
      <c r="A45" s="37" t="s">
        <v>3</v>
      </c>
      <c r="B45" s="38" t="s">
        <v>100</v>
      </c>
      <c r="C45" s="37"/>
      <c r="D45" s="36" t="s">
        <v>99</v>
      </c>
      <c r="E45" s="37"/>
      <c r="F45" s="36" t="s">
        <v>98</v>
      </c>
    </row>
    <row r="46" spans="1:10" x14ac:dyDescent="0.45">
      <c r="A46">
        <v>506002</v>
      </c>
      <c r="B46" s="17">
        <v>10045.33</v>
      </c>
      <c r="D46" s="15">
        <f>B46/-B48</f>
        <v>0.72927214569572962</v>
      </c>
      <c r="F46" s="25">
        <f>'Sept 18th payroll tax alloc'!$D$25*'clearing &amp; stores accounts'!D46</f>
        <v>5347.639117988514</v>
      </c>
    </row>
    <row r="47" spans="1:10" x14ac:dyDescent="0.45">
      <c r="A47">
        <v>549002</v>
      </c>
      <c r="B47" s="17">
        <v>3729.13</v>
      </c>
      <c r="D47" s="15">
        <f>B47/-B48</f>
        <v>0.27072785430427038</v>
      </c>
      <c r="F47" s="25">
        <f>'Sept 18th payroll tax alloc'!$D$25*'clearing &amp; stores accounts'!D47</f>
        <v>1985.2052111841531</v>
      </c>
    </row>
    <row r="48" spans="1:10" ht="14.65" thickBot="1" x14ac:dyDescent="0.5">
      <c r="A48">
        <v>184222</v>
      </c>
      <c r="B48" s="17">
        <v>-13774.46</v>
      </c>
      <c r="D48" s="56">
        <f>SUM(D46:D47)</f>
        <v>1</v>
      </c>
      <c r="F48" s="29">
        <f>SUM(F46:F47)</f>
        <v>7332.8443291726671</v>
      </c>
    </row>
    <row r="49" spans="1:6" ht="14.65" thickTop="1" x14ac:dyDescent="0.45"/>
    <row r="52" spans="1:6" x14ac:dyDescent="0.45">
      <c r="A52" s="22" t="s">
        <v>106</v>
      </c>
    </row>
    <row r="53" spans="1:6" x14ac:dyDescent="0.45">
      <c r="A53" s="41"/>
    </row>
    <row r="54" spans="1:6" ht="63" customHeight="1" x14ac:dyDescent="0.45">
      <c r="A54" s="37" t="s">
        <v>3</v>
      </c>
      <c r="B54" s="38" t="s">
        <v>100</v>
      </c>
      <c r="C54" s="37"/>
      <c r="D54" s="36" t="s">
        <v>99</v>
      </c>
      <c r="E54" s="37"/>
      <c r="F54" s="36" t="s">
        <v>98</v>
      </c>
    </row>
    <row r="55" spans="1:6" x14ac:dyDescent="0.45">
      <c r="A55">
        <v>500000</v>
      </c>
      <c r="B55" s="17">
        <v>25521.96</v>
      </c>
      <c r="D55" s="15">
        <f>B55/-B57</f>
        <v>0.55000063572777136</v>
      </c>
      <c r="F55" s="17">
        <f>'Sept 18th payroll tax alloc'!$D$26*'clearing &amp; stores accounts'!D55</f>
        <v>661.89036514023496</v>
      </c>
    </row>
    <row r="56" spans="1:6" x14ac:dyDescent="0.45">
      <c r="A56">
        <v>546000</v>
      </c>
      <c r="B56" s="17">
        <v>20881.55</v>
      </c>
      <c r="D56" s="15">
        <f>B56/-B57</f>
        <v>0.44999936427222853</v>
      </c>
      <c r="F56" s="17">
        <f>'Sept 18th payroll tax alloc'!$D$26*'clearing &amp; stores accounts'!D56</f>
        <v>541.54527137390994</v>
      </c>
    </row>
    <row r="57" spans="1:6" ht="14.65" thickBot="1" x14ac:dyDescent="0.5">
      <c r="A57">
        <v>184224</v>
      </c>
      <c r="B57" s="17">
        <v>-46403.51</v>
      </c>
      <c r="D57" s="56">
        <f>SUM(D55:D56)</f>
        <v>0.99999999999999989</v>
      </c>
      <c r="F57" s="53">
        <f>SUM(F55:F56)</f>
        <v>1203.4356365141448</v>
      </c>
    </row>
    <row r="58" spans="1:6" ht="14.65" thickTop="1" x14ac:dyDescent="0.45"/>
    <row r="61" spans="1:6" x14ac:dyDescent="0.45">
      <c r="A61" s="22" t="s">
        <v>107</v>
      </c>
    </row>
    <row r="62" spans="1:6" x14ac:dyDescent="0.45">
      <c r="A62" s="41"/>
    </row>
    <row r="63" spans="1:6" ht="57.75" customHeight="1" x14ac:dyDescent="0.45">
      <c r="A63" s="37" t="s">
        <v>3</v>
      </c>
      <c r="B63" s="38" t="s">
        <v>100</v>
      </c>
      <c r="C63" s="37"/>
      <c r="D63" s="36" t="s">
        <v>99</v>
      </c>
      <c r="E63" s="37"/>
      <c r="F63" s="36" t="s">
        <v>98</v>
      </c>
    </row>
    <row r="64" spans="1:6" x14ac:dyDescent="0.45">
      <c r="A64">
        <v>546000</v>
      </c>
      <c r="B64" s="17">
        <v>38451.03</v>
      </c>
      <c r="D64">
        <v>1</v>
      </c>
      <c r="F64" s="17">
        <f>'Sept 18th payroll tax alloc'!D27+'Sept 18th payroll tax alloc'!D28*D64</f>
        <v>1047.99586380285</v>
      </c>
    </row>
    <row r="65" spans="1:6" x14ac:dyDescent="0.45">
      <c r="A65">
        <v>184226</v>
      </c>
      <c r="B65" s="17">
        <v>-38451.03</v>
      </c>
    </row>
    <row r="68" spans="1:6" s="22" customFormat="1" x14ac:dyDescent="0.45">
      <c r="A68" s="22" t="s">
        <v>108</v>
      </c>
      <c r="B68" s="35"/>
    </row>
    <row r="69" spans="1:6" s="22" customFormat="1" x14ac:dyDescent="0.45">
      <c r="A69" s="41"/>
      <c r="B69" s="35"/>
    </row>
    <row r="70" spans="1:6" s="22" customFormat="1" ht="57" customHeight="1" x14ac:dyDescent="0.45">
      <c r="A70" s="37" t="s">
        <v>3</v>
      </c>
      <c r="B70" s="38" t="s">
        <v>100</v>
      </c>
      <c r="C70" s="37"/>
      <c r="D70" s="36" t="s">
        <v>99</v>
      </c>
      <c r="E70" s="37"/>
      <c r="F70" s="36" t="s">
        <v>98</v>
      </c>
    </row>
    <row r="71" spans="1:6" x14ac:dyDescent="0.45">
      <c r="A71">
        <v>500000</v>
      </c>
      <c r="B71" s="17">
        <v>165014.57999999999</v>
      </c>
      <c r="D71">
        <f>B71/-B73</f>
        <v>0.55999998642544213</v>
      </c>
      <c r="F71" s="17">
        <f>('Sept 18th payroll tax alloc'!D29+'Sept 18th payroll tax alloc'!D30)*D71</f>
        <v>3228.0187611277006</v>
      </c>
    </row>
    <row r="72" spans="1:6" x14ac:dyDescent="0.45">
      <c r="A72">
        <v>546000</v>
      </c>
      <c r="B72" s="17">
        <v>129654.32</v>
      </c>
      <c r="D72">
        <f>B72/-B73</f>
        <v>0.44000001357455776</v>
      </c>
      <c r="F72" s="17">
        <f>('Sept 18th payroll tax alloc'!D29+'Sept 18th payroll tax alloc'!D30)*'clearing &amp; stores accounts'!D72</f>
        <v>2536.3005949004905</v>
      </c>
    </row>
    <row r="73" spans="1:6" ht="14.65" thickBot="1" x14ac:dyDescent="0.5">
      <c r="A73">
        <v>184228</v>
      </c>
      <c r="B73" s="17">
        <v>-294668.90000000002</v>
      </c>
      <c r="D73" s="55">
        <f>SUM(D71:D72)</f>
        <v>0.99999999999999989</v>
      </c>
      <c r="F73" s="53">
        <f>SUM(F71:F72)</f>
        <v>5764.3193560281907</v>
      </c>
    </row>
    <row r="74" spans="1:6" ht="14.65" thickTop="1" x14ac:dyDescent="0.45"/>
    <row r="75" spans="1:6" x14ac:dyDescent="0.45">
      <c r="A75" s="42" t="s">
        <v>112</v>
      </c>
      <c r="B75" s="43"/>
      <c r="C75" s="44"/>
      <c r="D75" s="44"/>
      <c r="E75" s="44"/>
      <c r="F75" s="45"/>
    </row>
    <row r="76" spans="1:6" x14ac:dyDescent="0.45">
      <c r="A76" s="46">
        <v>500000</v>
      </c>
      <c r="B76" s="47"/>
      <c r="C76" s="48"/>
      <c r="D76" s="48"/>
      <c r="E76" s="48"/>
      <c r="F76" s="51">
        <f>SUM(F71,F55)</f>
        <v>3889.9091262679358</v>
      </c>
    </row>
    <row r="77" spans="1:6" x14ac:dyDescent="0.45">
      <c r="A77" s="46">
        <v>506002</v>
      </c>
      <c r="B77" s="47"/>
      <c r="C77" s="48"/>
      <c r="D77" s="48"/>
      <c r="E77" s="48"/>
      <c r="F77" s="52">
        <f>SUM(F46)</f>
        <v>5347.639117988514</v>
      </c>
    </row>
    <row r="78" spans="1:6" x14ac:dyDescent="0.45">
      <c r="A78" s="46">
        <v>546000</v>
      </c>
      <c r="B78" s="47"/>
      <c r="C78" s="48"/>
      <c r="D78" s="48"/>
      <c r="E78" s="48"/>
      <c r="F78" s="51">
        <f>SUM(F72,F64,F56)</f>
        <v>4125.8417300772498</v>
      </c>
    </row>
    <row r="79" spans="1:6" x14ac:dyDescent="0.45">
      <c r="A79" s="46">
        <v>549002</v>
      </c>
      <c r="B79" s="47"/>
      <c r="C79" s="48"/>
      <c r="D79" s="48"/>
      <c r="E79" s="48"/>
      <c r="F79" s="52">
        <f>SUM(F47)</f>
        <v>1985.2052111841531</v>
      </c>
    </row>
    <row r="80" spans="1:6" ht="14.65" thickBot="1" x14ac:dyDescent="0.5">
      <c r="A80" s="49"/>
      <c r="B80" s="20"/>
      <c r="C80" s="50"/>
      <c r="D80" s="50"/>
      <c r="E80" s="50"/>
      <c r="F80" s="54">
        <f>SUM(F76:F79)</f>
        <v>15348.595185517852</v>
      </c>
    </row>
    <row r="81" spans="1:11" ht="14.65" thickTop="1" x14ac:dyDescent="0.45"/>
    <row r="82" spans="1:11" x14ac:dyDescent="0.45">
      <c r="A82" s="57"/>
      <c r="B82" s="58"/>
      <c r="C82" s="57"/>
      <c r="D82" s="57"/>
      <c r="E82" s="57"/>
      <c r="F82" s="57"/>
      <c r="G82" s="57"/>
      <c r="H82" s="57"/>
      <c r="I82" s="57"/>
      <c r="J82" s="57"/>
      <c r="K82" s="57"/>
    </row>
    <row r="85" spans="1:11" s="22" customFormat="1" x14ac:dyDescent="0.45">
      <c r="A85" s="22" t="s">
        <v>109</v>
      </c>
      <c r="B85" s="35"/>
    </row>
    <row r="86" spans="1:11" s="22" customFormat="1" x14ac:dyDescent="0.45">
      <c r="B86" s="35"/>
    </row>
    <row r="87" spans="1:11" ht="62.25" customHeight="1" x14ac:dyDescent="0.45">
      <c r="A87" s="37" t="s">
        <v>3</v>
      </c>
      <c r="B87" s="38" t="s">
        <v>100</v>
      </c>
      <c r="C87" s="37"/>
      <c r="D87" s="36" t="s">
        <v>99</v>
      </c>
      <c r="E87" s="37"/>
      <c r="F87" s="36" t="s">
        <v>98</v>
      </c>
    </row>
    <row r="88" spans="1:11" x14ac:dyDescent="0.45">
      <c r="A88">
        <v>501010</v>
      </c>
      <c r="B88" s="17">
        <v>57337.120000000003</v>
      </c>
      <c r="D88" s="15">
        <f>B88/-B90</f>
        <v>0.83959982433998281</v>
      </c>
      <c r="F88" s="17">
        <f>('Sept 18th payroll tax alloc'!D16+'Sept 18th payroll tax alloc'!D17)*'clearing &amp; stores accounts'!D88</f>
        <v>1381.1256266154815</v>
      </c>
    </row>
    <row r="89" spans="1:11" x14ac:dyDescent="0.45">
      <c r="A89">
        <v>547030</v>
      </c>
      <c r="B89" s="17">
        <v>10953.89</v>
      </c>
      <c r="D89" s="15">
        <f>B89/-B90</f>
        <v>0.16040017566001732</v>
      </c>
      <c r="F89" s="17">
        <f>('Sept 18th payroll tax alloc'!D16+'Sept 18th payroll tax alloc'!D17)*'clearing &amp; stores accounts'!D89</f>
        <v>263.85521613445275</v>
      </c>
    </row>
    <row r="90" spans="1:11" x14ac:dyDescent="0.45">
      <c r="A90">
        <v>152002</v>
      </c>
      <c r="B90" s="17">
        <v>-68291.009999999995</v>
      </c>
      <c r="F90" s="17"/>
    </row>
    <row r="91" spans="1:11" x14ac:dyDescent="0.45">
      <c r="F91" s="17"/>
    </row>
    <row r="92" spans="1:11" x14ac:dyDescent="0.45">
      <c r="F92" s="17"/>
    </row>
    <row r="93" spans="1:11" s="22" customFormat="1" x14ac:dyDescent="0.45">
      <c r="A93" s="22" t="s">
        <v>110</v>
      </c>
      <c r="B93" s="35"/>
      <c r="F93" s="35"/>
    </row>
    <row r="94" spans="1:11" s="22" customFormat="1" x14ac:dyDescent="0.45">
      <c r="A94" s="41"/>
      <c r="B94" s="35"/>
      <c r="F94" s="35"/>
    </row>
    <row r="95" spans="1:11" ht="64.5" customHeight="1" x14ac:dyDescent="0.45">
      <c r="A95" s="37" t="s">
        <v>3</v>
      </c>
      <c r="B95" s="38" t="s">
        <v>100</v>
      </c>
      <c r="C95" s="37"/>
      <c r="D95" s="36" t="s">
        <v>99</v>
      </c>
      <c r="E95" s="37"/>
      <c r="F95" s="36" t="s">
        <v>98</v>
      </c>
    </row>
    <row r="96" spans="1:11" x14ac:dyDescent="0.45">
      <c r="A96">
        <v>501010</v>
      </c>
      <c r="B96" s="17">
        <v>14125.91</v>
      </c>
      <c r="D96">
        <v>1</v>
      </c>
      <c r="F96" s="17">
        <f>'Sept 18th payroll tax alloc'!D18+'Sept 18th payroll tax alloc'!D19</f>
        <v>420.92797965757654</v>
      </c>
    </row>
    <row r="97" spans="1:6" x14ac:dyDescent="0.45">
      <c r="A97">
        <v>152003</v>
      </c>
      <c r="B97" s="17">
        <v>-14125.91</v>
      </c>
      <c r="F97" s="17"/>
    </row>
    <row r="98" spans="1:6" x14ac:dyDescent="0.45">
      <c r="F98" s="17"/>
    </row>
    <row r="99" spans="1:6" x14ac:dyDescent="0.45">
      <c r="A99" s="42" t="s">
        <v>113</v>
      </c>
      <c r="B99" s="43"/>
      <c r="C99" s="44"/>
      <c r="D99" s="44"/>
      <c r="E99" s="44"/>
      <c r="F99" s="45"/>
    </row>
    <row r="100" spans="1:6" x14ac:dyDescent="0.45">
      <c r="A100" s="46">
        <v>501010</v>
      </c>
      <c r="B100" s="47"/>
      <c r="C100" s="48"/>
      <c r="D100" s="48"/>
      <c r="E100" s="48"/>
      <c r="F100" s="51">
        <f>SUM(F96,F88)</f>
        <v>1802.053606273058</v>
      </c>
    </row>
    <row r="101" spans="1:6" x14ac:dyDescent="0.45">
      <c r="A101" s="46">
        <v>547030</v>
      </c>
      <c r="B101" s="47"/>
      <c r="C101" s="48"/>
      <c r="D101" s="48"/>
      <c r="E101" s="48"/>
      <c r="F101" s="52">
        <f>SUM(F89)</f>
        <v>263.85521613445275</v>
      </c>
    </row>
    <row r="102" spans="1:6" ht="14.65" thickBot="1" x14ac:dyDescent="0.5">
      <c r="A102" s="49"/>
      <c r="B102" s="20"/>
      <c r="C102" s="50"/>
      <c r="D102" s="50"/>
      <c r="E102" s="50"/>
      <c r="F102" s="54">
        <f>SUM(F100:F101)</f>
        <v>2065.9088224075108</v>
      </c>
    </row>
    <row r="103" spans="1:6" ht="14.65" thickTop="1" x14ac:dyDescent="0.45">
      <c r="F103" s="17"/>
    </row>
  </sheetData>
  <pageMargins left="0.7" right="0.7" top="0.75" bottom="0.75" header="0.3" footer="0.3"/>
  <pageSetup scale="7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Sept 18th payroll tax alloc</vt:lpstr>
      <vt:lpstr>Sept 18th payroll taxes</vt:lpstr>
      <vt:lpstr>Sept 18th payroll by acct</vt:lpstr>
      <vt:lpstr>clearing &amp; stores accounts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Allyson Honaker</cp:lastModifiedBy>
  <cp:lastPrinted>2020-10-31T15:51:09Z</cp:lastPrinted>
  <dcterms:created xsi:type="dcterms:W3CDTF">2020-10-14T23:42:21Z</dcterms:created>
  <dcterms:modified xsi:type="dcterms:W3CDTF">2021-03-30T16:56:51Z</dcterms:modified>
</cp:coreProperties>
</file>