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2668\Documents\Rate Case 2020\Data Request Round 3\"/>
    </mc:Choice>
  </mc:AlternateContent>
  <bookViews>
    <workbookView xWindow="0" yWindow="0" windowWidth="28800" windowHeight="14100"/>
  </bookViews>
  <sheets>
    <sheet name="Benefits Annualization" sheetId="28" r:id="rId1"/>
    <sheet name="Annual Adjustments" sheetId="29" r:id="rId2"/>
    <sheet name="12.19 Cost by Account" sheetId="18" r:id="rId3"/>
    <sheet name="ES Summary - Normalized" sheetId="25" r:id="rId4"/>
    <sheet name="Allocated Benefits by Account" sheetId="30" r:id="rId5"/>
    <sheet name="Stores Summary" sheetId="10" r:id="rId6"/>
    <sheet name="12.19 Stores Allocation" sheetId="5" r:id="rId7"/>
    <sheet name="PIVOT 163 Balances by Dept." sheetId="7" state="hidden" r:id="rId8"/>
  </sheets>
  <externalReferences>
    <externalReference r:id="rId9"/>
    <externalReference r:id="rId10"/>
    <externalReference r:id="rId11"/>
  </externalReferences>
  <definedNames>
    <definedName name="_xlnm._FilterDatabase" localSheetId="2" hidden="1">'12.19 Cost by Account'!$A$15:$L$86</definedName>
    <definedName name="APN" localSheetId="2">'[1]2'!#REF!</definedName>
    <definedName name="APN" localSheetId="5">#REF!</definedName>
    <definedName name="APN">#REF!</definedName>
    <definedName name="ASD" localSheetId="2">#REF!</definedName>
    <definedName name="ASD" localSheetId="5">#REF!</definedName>
    <definedName name="ASD">#REF!</definedName>
    <definedName name="NvsASD" localSheetId="2">"V2017-12-31"</definedName>
    <definedName name="NvsASD">"V2019-04-30"</definedName>
    <definedName name="NvsAutoDrillOk">"VN"</definedName>
    <definedName name="NvsElapsedTime" localSheetId="2">0.0000578703693463467</definedName>
    <definedName name="NvsElapsedTime">0.0000231481462833472</definedName>
    <definedName name="NvsEndTime" localSheetId="2">43140.5014351852</definedName>
    <definedName name="NvsEndTime">43595.6765162037</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 localSheetId="2">"V1997-01-03"</definedName>
    <definedName name="NvsPanelEffdt">"V1900-01-01"</definedName>
    <definedName name="NvsPanelSetid">"VEKPC"</definedName>
    <definedName name="NvsReqBU">"VEKPC"</definedName>
    <definedName name="NvsReqBUOnly">"VY"</definedName>
    <definedName name="NvsTransLed">"VN"</definedName>
    <definedName name="NvsTreeASD" localSheetId="2">"V2017-12-31"</definedName>
    <definedName name="NvsTreeASD">"V2019-04-30"</definedName>
    <definedName name="NvsValTbl.ACCOUNT">"GL_ACCOUNT_TBL"</definedName>
    <definedName name="NvsValTbl.PRODUCT">"PRODUCT_TBL"</definedName>
    <definedName name="runtime" localSheetId="2">#REF!</definedName>
    <definedName name="runtime" localSheetId="5">#REF!</definedName>
    <definedName name="runtime">#REF!</definedName>
  </definedNames>
  <calcPr calcId="162913"/>
  <pivotCaches>
    <pivotCache cacheId="0" r:id="rId12"/>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8" i="28" l="1"/>
  <c r="D19" i="28"/>
  <c r="D37" i="28"/>
  <c r="D29" i="28"/>
  <c r="D27" i="28"/>
  <c r="D12" i="28"/>
  <c r="D10" i="28"/>
  <c r="D9" i="28"/>
  <c r="D8" i="28"/>
  <c r="O99" i="18"/>
  <c r="C48" i="25"/>
  <c r="D48" i="25"/>
  <c r="F20" i="25"/>
  <c r="C20" i="25"/>
  <c r="D20" i="25"/>
  <c r="B84" i="18" l="1"/>
  <c r="B85" i="18"/>
  <c r="B86" i="18"/>
  <c r="B83" i="18"/>
  <c r="B78" i="18"/>
  <c r="B79" i="18"/>
  <c r="B80" i="18"/>
  <c r="B81" i="18"/>
  <c r="B77" i="18"/>
  <c r="B71" i="18"/>
  <c r="B72" i="18"/>
  <c r="B73" i="18"/>
  <c r="B74" i="18"/>
  <c r="B75" i="18"/>
  <c r="B76" i="18"/>
  <c r="B70" i="18"/>
  <c r="B43" i="18"/>
  <c r="B44" i="18"/>
  <c r="B45" i="18"/>
  <c r="B46" i="18"/>
  <c r="B47" i="18"/>
  <c r="B48" i="18"/>
  <c r="B49" i="18"/>
  <c r="B50" i="18"/>
  <c r="B51" i="18"/>
  <c r="B52" i="18"/>
  <c r="B53" i="18"/>
  <c r="B54" i="18"/>
  <c r="B55" i="18"/>
  <c r="B56" i="18"/>
  <c r="B57" i="18"/>
  <c r="B58" i="18"/>
  <c r="B59" i="18"/>
  <c r="B60" i="18"/>
  <c r="B61" i="18"/>
  <c r="B62" i="18"/>
  <c r="B63" i="18"/>
  <c r="B64" i="18"/>
  <c r="B65" i="18"/>
  <c r="B66" i="18"/>
  <c r="B67" i="18"/>
  <c r="B68" i="18"/>
  <c r="B42" i="18"/>
  <c r="B37" i="18"/>
  <c r="B38" i="18"/>
  <c r="B39" i="18"/>
  <c r="B40" i="18"/>
  <c r="B36" i="18"/>
  <c r="B29" i="18"/>
  <c r="B30" i="18"/>
  <c r="B28" i="18"/>
  <c r="B21" i="18"/>
  <c r="B22" i="18"/>
  <c r="B23" i="18"/>
  <c r="B24" i="18"/>
  <c r="B25" i="18"/>
  <c r="B26" i="18"/>
  <c r="B20" i="18"/>
  <c r="B18" i="18"/>
  <c r="B17" i="18"/>
  <c r="B16" i="18"/>
  <c r="M71" i="18"/>
  <c r="M72" i="18"/>
  <c r="M73" i="18"/>
  <c r="M74" i="18"/>
  <c r="M75" i="18"/>
  <c r="M76" i="18"/>
  <c r="M77" i="18"/>
  <c r="M78" i="18"/>
  <c r="M79" i="18"/>
  <c r="M80" i="18"/>
  <c r="M81" i="18"/>
  <c r="M82" i="18"/>
  <c r="M83" i="18"/>
  <c r="M84" i="18"/>
  <c r="M85" i="18"/>
  <c r="M86" i="18"/>
  <c r="M70" i="18"/>
  <c r="M43" i="18"/>
  <c r="M44" i="18"/>
  <c r="M45" i="18"/>
  <c r="M46" i="18"/>
  <c r="M47" i="18"/>
  <c r="M48" i="18"/>
  <c r="M49" i="18"/>
  <c r="M50" i="18"/>
  <c r="M51" i="18"/>
  <c r="M52" i="18"/>
  <c r="M53" i="18"/>
  <c r="M54" i="18"/>
  <c r="M55" i="18"/>
  <c r="M56" i="18"/>
  <c r="M57" i="18"/>
  <c r="M58" i="18"/>
  <c r="M59" i="18"/>
  <c r="M60" i="18"/>
  <c r="M61" i="18"/>
  <c r="M62" i="18"/>
  <c r="M63" i="18"/>
  <c r="M64" i="18"/>
  <c r="M65" i="18"/>
  <c r="M66" i="18"/>
  <c r="M67" i="18"/>
  <c r="M68" i="18"/>
  <c r="M42" i="18"/>
  <c r="M39" i="18"/>
  <c r="M17" i="18"/>
  <c r="M16" i="18"/>
  <c r="I21" i="29"/>
  <c r="D48" i="28" l="1"/>
  <c r="C48" i="28"/>
  <c r="E47" i="28"/>
  <c r="B47" i="28"/>
  <c r="E46" i="28"/>
  <c r="B46" i="28"/>
  <c r="E45" i="28"/>
  <c r="B45" i="28"/>
  <c r="E44" i="28"/>
  <c r="B44" i="28"/>
  <c r="E43" i="28"/>
  <c r="B43" i="28"/>
  <c r="E42" i="28"/>
  <c r="B42" i="28"/>
  <c r="E41" i="28"/>
  <c r="B41" i="28"/>
  <c r="E40" i="28"/>
  <c r="B40" i="28"/>
  <c r="E39" i="28"/>
  <c r="B39" i="28"/>
  <c r="E38" i="28"/>
  <c r="B38" i="28"/>
  <c r="E37" i="28"/>
  <c r="B37" i="28"/>
  <c r="E36" i="28"/>
  <c r="B36" i="28"/>
  <c r="E35" i="28"/>
  <c r="B35" i="28"/>
  <c r="E34" i="28"/>
  <c r="B34" i="28"/>
  <c r="E33" i="28"/>
  <c r="B33" i="28"/>
  <c r="E32" i="28"/>
  <c r="B32" i="28"/>
  <c r="E31" i="28"/>
  <c r="B31" i="28"/>
  <c r="E30" i="28"/>
  <c r="B30" i="28"/>
  <c r="E29" i="28"/>
  <c r="B29" i="28"/>
  <c r="E28" i="28"/>
  <c r="B28" i="28"/>
  <c r="E27" i="28"/>
  <c r="E26" i="28"/>
  <c r="B26" i="28"/>
  <c r="E25" i="28"/>
  <c r="B25" i="28"/>
  <c r="E24" i="28"/>
  <c r="B24" i="28"/>
  <c r="E23" i="28"/>
  <c r="B23" i="28"/>
  <c r="E22" i="28"/>
  <c r="B22" i="28"/>
  <c r="E21" i="28"/>
  <c r="B21" i="28"/>
  <c r="E20" i="28"/>
  <c r="B20" i="28"/>
  <c r="E19" i="28"/>
  <c r="B19" i="28"/>
  <c r="E18" i="28"/>
  <c r="E17" i="28"/>
  <c r="B17" i="28"/>
  <c r="E16" i="28"/>
  <c r="B16" i="28"/>
  <c r="E15" i="28"/>
  <c r="B15" i="28"/>
  <c r="E14" i="28"/>
  <c r="B14" i="28"/>
  <c r="E13" i="28"/>
  <c r="B13" i="28"/>
  <c r="E12" i="28"/>
  <c r="B12" i="28"/>
  <c r="E11" i="28"/>
  <c r="B11" i="28"/>
  <c r="E10" i="28"/>
  <c r="B10" i="28"/>
  <c r="E9" i="28"/>
  <c r="B9" i="28"/>
  <c r="E8" i="28"/>
  <c r="B8" i="28"/>
  <c r="E48" i="28" l="1"/>
  <c r="O100" i="18"/>
  <c r="E55" i="28" s="1"/>
  <c r="E51" i="28"/>
  <c r="I13" i="28" l="1"/>
  <c r="K13" i="28" s="1"/>
  <c r="I9" i="28" l="1"/>
  <c r="M87" i="18"/>
  <c r="M89" i="18" s="1"/>
  <c r="K9" i="28" l="1"/>
  <c r="E87" i="18" l="1"/>
  <c r="K75" i="18" l="1"/>
  <c r="O75" i="18" s="1"/>
  <c r="J87" i="18" l="1"/>
  <c r="G87" i="18"/>
  <c r="F87" i="18"/>
  <c r="D87" i="18"/>
  <c r="B87" i="18"/>
  <c r="I86" i="18"/>
  <c r="K86" i="18" s="1"/>
  <c r="O86" i="18" s="1"/>
  <c r="I85" i="18"/>
  <c r="K85" i="18" s="1"/>
  <c r="O85" i="18" s="1"/>
  <c r="I84" i="18"/>
  <c r="K84" i="18" s="1"/>
  <c r="O84" i="18" s="1"/>
  <c r="I83" i="18"/>
  <c r="K83" i="18" s="1"/>
  <c r="O83" i="18" s="1"/>
  <c r="I82" i="18"/>
  <c r="K82" i="18" s="1"/>
  <c r="O82" i="18" s="1"/>
  <c r="I81" i="18"/>
  <c r="K81" i="18" s="1"/>
  <c r="O81" i="18" s="1"/>
  <c r="I80" i="18"/>
  <c r="K80" i="18" s="1"/>
  <c r="O80" i="18" s="1"/>
  <c r="I79" i="18"/>
  <c r="K79" i="18" s="1"/>
  <c r="O79" i="18" s="1"/>
  <c r="I78" i="18"/>
  <c r="K78" i="18" s="1"/>
  <c r="O78" i="18" s="1"/>
  <c r="I77" i="18"/>
  <c r="K77" i="18" s="1"/>
  <c r="O77" i="18" s="1"/>
  <c r="K76" i="18"/>
  <c r="O76" i="18" s="1"/>
  <c r="I74" i="18"/>
  <c r="K74" i="18" s="1"/>
  <c r="O74" i="18" s="1"/>
  <c r="I73" i="18"/>
  <c r="K73" i="18" s="1"/>
  <c r="O73" i="18" s="1"/>
  <c r="K72" i="18"/>
  <c r="O72" i="18" s="1"/>
  <c r="K71" i="18"/>
  <c r="O71" i="18" s="1"/>
  <c r="I70" i="18"/>
  <c r="K70" i="18" s="1"/>
  <c r="O70" i="18" s="1"/>
  <c r="I69" i="18"/>
  <c r="K69" i="18" s="1"/>
  <c r="O69" i="18" s="1"/>
  <c r="I68" i="18"/>
  <c r="K68" i="18" s="1"/>
  <c r="O68" i="18" s="1"/>
  <c r="K67" i="18"/>
  <c r="O67" i="18" s="1"/>
  <c r="K66" i="18"/>
  <c r="O66" i="18" s="1"/>
  <c r="I65" i="18"/>
  <c r="K65" i="18" s="1"/>
  <c r="O65" i="18" s="1"/>
  <c r="I64" i="18"/>
  <c r="K64" i="18" s="1"/>
  <c r="O64" i="18" s="1"/>
  <c r="I63" i="18"/>
  <c r="K63" i="18" s="1"/>
  <c r="O63" i="18" s="1"/>
  <c r="I62" i="18"/>
  <c r="K62" i="18" s="1"/>
  <c r="O62" i="18" s="1"/>
  <c r="I61" i="18"/>
  <c r="K61" i="18" s="1"/>
  <c r="O61" i="18" s="1"/>
  <c r="K60" i="18"/>
  <c r="O60" i="18" s="1"/>
  <c r="K59" i="18"/>
  <c r="O59" i="18" s="1"/>
  <c r="I58" i="18"/>
  <c r="K58" i="18" s="1"/>
  <c r="O58" i="18" s="1"/>
  <c r="I57" i="18"/>
  <c r="K57" i="18" s="1"/>
  <c r="O57" i="18" s="1"/>
  <c r="I56" i="18"/>
  <c r="K56" i="18" s="1"/>
  <c r="O56" i="18" s="1"/>
  <c r="I55" i="18"/>
  <c r="K55" i="18" s="1"/>
  <c r="O55" i="18" s="1"/>
  <c r="I54" i="18"/>
  <c r="K54" i="18" s="1"/>
  <c r="O54" i="18" s="1"/>
  <c r="I53" i="18"/>
  <c r="K53" i="18" s="1"/>
  <c r="O53" i="18" s="1"/>
  <c r="K52" i="18"/>
  <c r="O52" i="18" s="1"/>
  <c r="K51" i="18"/>
  <c r="O51" i="18" s="1"/>
  <c r="K50" i="18"/>
  <c r="O50" i="18" s="1"/>
  <c r="I49" i="18"/>
  <c r="K49" i="18" s="1"/>
  <c r="O49" i="18" s="1"/>
  <c r="I48" i="18"/>
  <c r="K48" i="18" s="1"/>
  <c r="O48" i="18" s="1"/>
  <c r="K47" i="18"/>
  <c r="O47" i="18" s="1"/>
  <c r="I46" i="18"/>
  <c r="K46" i="18" s="1"/>
  <c r="O46" i="18" s="1"/>
  <c r="I45" i="18"/>
  <c r="K45" i="18" s="1"/>
  <c r="O45" i="18" s="1"/>
  <c r="I44" i="18"/>
  <c r="K44" i="18" s="1"/>
  <c r="O44" i="18" s="1"/>
  <c r="I43" i="18"/>
  <c r="K43" i="18" s="1"/>
  <c r="O43" i="18" s="1"/>
  <c r="I42" i="18"/>
  <c r="K42" i="18" s="1"/>
  <c r="O42" i="18" s="1"/>
  <c r="I41" i="18"/>
  <c r="K41" i="18" s="1"/>
  <c r="O41" i="18" s="1"/>
  <c r="I40" i="18"/>
  <c r="K40" i="18" s="1"/>
  <c r="O40" i="18" s="1"/>
  <c r="I39" i="18"/>
  <c r="K39" i="18" s="1"/>
  <c r="O39" i="18" s="1"/>
  <c r="I38" i="18"/>
  <c r="K38" i="18" s="1"/>
  <c r="O38" i="18" s="1"/>
  <c r="I37" i="18"/>
  <c r="K37" i="18" s="1"/>
  <c r="O37" i="18" s="1"/>
  <c r="I36" i="18"/>
  <c r="K36" i="18" s="1"/>
  <c r="O36" i="18" s="1"/>
  <c r="I35" i="18"/>
  <c r="K35" i="18" s="1"/>
  <c r="O35" i="18" s="1"/>
  <c r="I34" i="18"/>
  <c r="K34" i="18" s="1"/>
  <c r="O34" i="18" s="1"/>
  <c r="I33" i="18"/>
  <c r="K33" i="18" s="1"/>
  <c r="O33" i="18" s="1"/>
  <c r="I32" i="18"/>
  <c r="K32" i="18" s="1"/>
  <c r="O32" i="18" s="1"/>
  <c r="I31" i="18"/>
  <c r="K31" i="18" s="1"/>
  <c r="O31" i="18" s="1"/>
  <c r="I30" i="18"/>
  <c r="K30" i="18" s="1"/>
  <c r="O30" i="18" s="1"/>
  <c r="I29" i="18"/>
  <c r="K29" i="18" s="1"/>
  <c r="O29" i="18" s="1"/>
  <c r="I28" i="18"/>
  <c r="K28" i="18" s="1"/>
  <c r="O28" i="18" s="1"/>
  <c r="I27" i="18"/>
  <c r="K27" i="18" s="1"/>
  <c r="O27" i="18" s="1"/>
  <c r="K26" i="18"/>
  <c r="O26" i="18" s="1"/>
  <c r="K25" i="18"/>
  <c r="O25" i="18" s="1"/>
  <c r="K24" i="18"/>
  <c r="O24" i="18" s="1"/>
  <c r="K23" i="18"/>
  <c r="O23" i="18" s="1"/>
  <c r="I22" i="18"/>
  <c r="K22" i="18" s="1"/>
  <c r="O22" i="18" s="1"/>
  <c r="I21" i="18"/>
  <c r="K21" i="18" s="1"/>
  <c r="O21" i="18" s="1"/>
  <c r="I20" i="18"/>
  <c r="K20" i="18" s="1"/>
  <c r="O20" i="18" s="1"/>
  <c r="I19" i="18"/>
  <c r="K19" i="18" s="1"/>
  <c r="O19" i="18" s="1"/>
  <c r="I18" i="18"/>
  <c r="K18" i="18" s="1"/>
  <c r="O18" i="18" s="1"/>
  <c r="I17" i="18"/>
  <c r="K17" i="18" s="1"/>
  <c r="O17" i="18" s="1"/>
  <c r="K16" i="18"/>
  <c r="O16" i="18" s="1"/>
  <c r="O93" i="18" s="1"/>
  <c r="O94" i="18" l="1"/>
  <c r="E56" i="28" s="1"/>
  <c r="E54" i="28" s="1"/>
  <c r="O87" i="18"/>
  <c r="O89" i="18" s="1"/>
  <c r="K87" i="18"/>
  <c r="I87" i="18"/>
  <c r="C87" i="18"/>
  <c r="F8" i="10"/>
  <c r="F7" i="10"/>
  <c r="F6" i="10"/>
  <c r="F5" i="10"/>
  <c r="D21" i="10"/>
  <c r="B21" i="10"/>
  <c r="G69" i="5"/>
  <c r="F69" i="5"/>
  <c r="E69" i="5"/>
  <c r="E60" i="5"/>
  <c r="F75" i="5" s="1"/>
  <c r="E49" i="5"/>
  <c r="F77" i="5" s="1"/>
  <c r="E42" i="5"/>
  <c r="F76" i="5" s="1"/>
  <c r="E24" i="5"/>
  <c r="E5" i="5"/>
  <c r="E52" i="28" l="1"/>
  <c r="E50" i="28" s="1"/>
  <c r="K89" i="18"/>
  <c r="O95" i="18"/>
  <c r="O97" i="18" s="1"/>
  <c r="E74" i="5"/>
  <c r="H17" i="5" s="1"/>
  <c r="E62" i="5"/>
  <c r="F74" i="5"/>
  <c r="I15" i="5" s="1"/>
  <c r="F21" i="10"/>
  <c r="I56" i="5"/>
  <c r="I59" i="5"/>
  <c r="I53" i="5"/>
  <c r="I54" i="5"/>
  <c r="I58" i="5"/>
  <c r="I52" i="5"/>
  <c r="I55" i="5"/>
  <c r="I57" i="5"/>
  <c r="I51" i="5"/>
  <c r="I48" i="5"/>
  <c r="I47" i="5"/>
  <c r="I44" i="5"/>
  <c r="I46" i="5"/>
  <c r="I45" i="5"/>
  <c r="I36" i="5"/>
  <c r="I28" i="5"/>
  <c r="I41" i="5"/>
  <c r="I33" i="5"/>
  <c r="I37" i="5"/>
  <c r="I38" i="5"/>
  <c r="I30" i="5"/>
  <c r="I40" i="5"/>
  <c r="I32" i="5"/>
  <c r="I26" i="5"/>
  <c r="I35" i="5"/>
  <c r="I27" i="5"/>
  <c r="I29" i="5"/>
  <c r="I34" i="5"/>
  <c r="I39" i="5"/>
  <c r="I31" i="5"/>
  <c r="E76" i="5"/>
  <c r="E75" i="5"/>
  <c r="E77" i="5"/>
  <c r="I12" i="28" l="1"/>
  <c r="K91" i="18"/>
  <c r="I21" i="5"/>
  <c r="I14" i="5"/>
  <c r="I11" i="5"/>
  <c r="H15" i="5"/>
  <c r="J15" i="5" s="1"/>
  <c r="I7" i="5"/>
  <c r="I23" i="5"/>
  <c r="I4" i="5"/>
  <c r="I5" i="5" s="1"/>
  <c r="H10" i="5"/>
  <c r="H7" i="5"/>
  <c r="H14" i="5"/>
  <c r="H21" i="5"/>
  <c r="H11" i="5"/>
  <c r="H9" i="5"/>
  <c r="H22" i="5"/>
  <c r="H8" i="5"/>
  <c r="H20" i="5"/>
  <c r="H18" i="5"/>
  <c r="H16" i="5"/>
  <c r="H12" i="5"/>
  <c r="H4" i="5"/>
  <c r="H5" i="5" s="1"/>
  <c r="H23" i="5"/>
  <c r="H19" i="5"/>
  <c r="H13" i="5"/>
  <c r="I16" i="5"/>
  <c r="I13" i="5"/>
  <c r="I10" i="5"/>
  <c r="I19" i="5"/>
  <c r="I8" i="5"/>
  <c r="I18" i="5"/>
  <c r="I42" i="5"/>
  <c r="I49" i="5"/>
  <c r="I22" i="5"/>
  <c r="I20" i="5"/>
  <c r="I9" i="5"/>
  <c r="I17" i="5"/>
  <c r="J17" i="5" s="1"/>
  <c r="I12" i="5"/>
  <c r="H45" i="5"/>
  <c r="J45" i="5" s="1"/>
  <c r="H48" i="5"/>
  <c r="J48" i="5" s="1"/>
  <c r="H47" i="5"/>
  <c r="J47" i="5" s="1"/>
  <c r="H44" i="5"/>
  <c r="H46" i="5"/>
  <c r="J46" i="5" s="1"/>
  <c r="H39" i="5"/>
  <c r="J39" i="5" s="1"/>
  <c r="H31" i="5"/>
  <c r="J31" i="5" s="1"/>
  <c r="H34" i="5"/>
  <c r="J34" i="5" s="1"/>
  <c r="H36" i="5"/>
  <c r="J36" i="5" s="1"/>
  <c r="H28" i="5"/>
  <c r="J28" i="5" s="1"/>
  <c r="H35" i="5"/>
  <c r="J35" i="5" s="1"/>
  <c r="H37" i="5"/>
  <c r="J37" i="5" s="1"/>
  <c r="H29" i="5"/>
  <c r="J29" i="5" s="1"/>
  <c r="H41" i="5"/>
  <c r="J41" i="5" s="1"/>
  <c r="H33" i="5"/>
  <c r="J33" i="5" s="1"/>
  <c r="H27" i="5"/>
  <c r="J27" i="5" s="1"/>
  <c r="H32" i="5"/>
  <c r="J32" i="5" s="1"/>
  <c r="H38" i="5"/>
  <c r="J38" i="5" s="1"/>
  <c r="H30" i="5"/>
  <c r="J30" i="5" s="1"/>
  <c r="H40" i="5"/>
  <c r="J40" i="5" s="1"/>
  <c r="H26" i="5"/>
  <c r="H59" i="5"/>
  <c r="J59" i="5" s="1"/>
  <c r="H51" i="5"/>
  <c r="H57" i="5"/>
  <c r="J57" i="5" s="1"/>
  <c r="H54" i="5"/>
  <c r="J54" i="5" s="1"/>
  <c r="H56" i="5"/>
  <c r="J56" i="5" s="1"/>
  <c r="H55" i="5"/>
  <c r="J55" i="5" s="1"/>
  <c r="H53" i="5"/>
  <c r="J53" i="5" s="1"/>
  <c r="H52" i="5"/>
  <c r="J52" i="5" s="1"/>
  <c r="H58" i="5"/>
  <c r="J58" i="5" s="1"/>
  <c r="I60" i="5"/>
  <c r="I14" i="28" l="1"/>
  <c r="K12" i="28"/>
  <c r="K14" i="28" s="1"/>
  <c r="J21" i="5"/>
  <c r="J14" i="5"/>
  <c r="J11" i="5"/>
  <c r="J16" i="5"/>
  <c r="J23" i="5"/>
  <c r="J12" i="5"/>
  <c r="J20" i="5"/>
  <c r="J13" i="5"/>
  <c r="J7" i="5"/>
  <c r="J18" i="5"/>
  <c r="J8" i="5"/>
  <c r="H24" i="5"/>
  <c r="J10" i="5"/>
  <c r="J4" i="5"/>
  <c r="J5" i="5" s="1"/>
  <c r="J19" i="5"/>
  <c r="J9" i="5"/>
  <c r="J22" i="5"/>
  <c r="I24" i="5"/>
  <c r="I62" i="5" s="1"/>
  <c r="I63" i="5" s="1"/>
  <c r="J26" i="5"/>
  <c r="J42" i="5" s="1"/>
  <c r="H42" i="5"/>
  <c r="J44" i="5"/>
  <c r="J49" i="5" s="1"/>
  <c r="H49" i="5"/>
  <c r="H60" i="5"/>
  <c r="J51" i="5"/>
  <c r="J60" i="5" s="1"/>
  <c r="J24" i="5" l="1"/>
  <c r="J62" i="5" s="1"/>
  <c r="J63" i="5" s="1"/>
  <c r="H62" i="5"/>
  <c r="H63" i="5" s="1"/>
  <c r="I8" i="28" l="1"/>
  <c r="E58" i="28"/>
  <c r="E60" i="28" s="1"/>
  <c r="K8" i="28" l="1"/>
  <c r="K10" i="28" s="1"/>
  <c r="K16" i="28" s="1"/>
  <c r="I10" i="28"/>
  <c r="I16" i="28" s="1"/>
</calcChain>
</file>

<file path=xl/sharedStrings.xml><?xml version="1.0" encoding="utf-8"?>
<sst xmlns="http://schemas.openxmlformats.org/spreadsheetml/2006/main" count="730" uniqueCount="277">
  <si>
    <t>CK_STORES_ALLOC_BASIS</t>
  </si>
  <si>
    <t xml:space="preserve"> 50</t>
  </si>
  <si>
    <t>Group</t>
  </si>
  <si>
    <t>Account</t>
  </si>
  <si>
    <t>Dept</t>
  </si>
  <si>
    <t>Oper Unit</t>
  </si>
  <si>
    <t>Sum Amount</t>
  </si>
  <si>
    <t>Unit</t>
  </si>
  <si>
    <t>Status</t>
  </si>
  <si>
    <t>Tax Allocation</t>
  </si>
  <si>
    <t>Benefit Allocation</t>
  </si>
  <si>
    <t>Total</t>
  </si>
  <si>
    <t>030</t>
  </si>
  <si>
    <t>107200</t>
  </si>
  <si>
    <t>120</t>
  </si>
  <si>
    <t>WIN</t>
  </si>
  <si>
    <t>D</t>
  </si>
  <si>
    <t xml:space="preserve">WIN TOTAL </t>
  </si>
  <si>
    <t>562000</t>
  </si>
  <si>
    <t>125</t>
  </si>
  <si>
    <t>0000</t>
  </si>
  <si>
    <t>570000</t>
  </si>
  <si>
    <t>131</t>
  </si>
  <si>
    <t>571000</t>
  </si>
  <si>
    <t>141</t>
  </si>
  <si>
    <t>582000</t>
  </si>
  <si>
    <t>592000</t>
  </si>
  <si>
    <t>563000</t>
  </si>
  <si>
    <t>142</t>
  </si>
  <si>
    <t>143</t>
  </si>
  <si>
    <t>144</t>
  </si>
  <si>
    <t>145</t>
  </si>
  <si>
    <t>160</t>
  </si>
  <si>
    <t>231</t>
  </si>
  <si>
    <t>SPUR</t>
  </si>
  <si>
    <t>506001</t>
  </si>
  <si>
    <t>400</t>
  </si>
  <si>
    <t>SP00</t>
  </si>
  <si>
    <t>511000</t>
  </si>
  <si>
    <t>512000</t>
  </si>
  <si>
    <t>513000</t>
  </si>
  <si>
    <t>SP01</t>
  </si>
  <si>
    <t>SP02</t>
  </si>
  <si>
    <t>SP03</t>
  </si>
  <si>
    <t>SP04</t>
  </si>
  <si>
    <t>SP20</t>
  </si>
  <si>
    <t>SP21</t>
  </si>
  <si>
    <t>SP22</t>
  </si>
  <si>
    <t xml:space="preserve">SPUR TOTAL </t>
  </si>
  <si>
    <t>552000</t>
  </si>
  <si>
    <t>500</t>
  </si>
  <si>
    <t>SM50</t>
  </si>
  <si>
    <t>SMITH</t>
  </si>
  <si>
    <t>553000</t>
  </si>
  <si>
    <t>SM54</t>
  </si>
  <si>
    <t>SM55</t>
  </si>
  <si>
    <t>SM57</t>
  </si>
  <si>
    <t>SM60</t>
  </si>
  <si>
    <t xml:space="preserve">SMITH TOTAL </t>
  </si>
  <si>
    <t>300</t>
  </si>
  <si>
    <t>CP00</t>
  </si>
  <si>
    <t>COOP</t>
  </si>
  <si>
    <t>CP01</t>
  </si>
  <si>
    <t>CP02</t>
  </si>
  <si>
    <t>CP22</t>
  </si>
  <si>
    <t xml:space="preserve">COOP TOTAL </t>
  </si>
  <si>
    <t xml:space="preserve">GRAND TOTAL </t>
  </si>
  <si>
    <t>TAXES (007)</t>
  </si>
  <si>
    <t>BENEFITS (010)</t>
  </si>
  <si>
    <t>TOTAL</t>
  </si>
  <si>
    <t>Winchester</t>
  </si>
  <si>
    <t>Cooper</t>
  </si>
  <si>
    <t>Spurlock</t>
  </si>
  <si>
    <t>Smith</t>
  </si>
  <si>
    <t>Stores Total</t>
  </si>
  <si>
    <t>accts / total above</t>
  </si>
  <si>
    <t>163000 / win total</t>
  </si>
  <si>
    <t>163030 / coop total</t>
  </si>
  <si>
    <t>163040 / spur total</t>
  </si>
  <si>
    <t>163050 / smith total</t>
  </si>
  <si>
    <t>Sum of Sum Amount</t>
  </si>
  <si>
    <t>Period</t>
  </si>
  <si>
    <t>007</t>
  </si>
  <si>
    <t>010</t>
  </si>
  <si>
    <t>Grand Total</t>
  </si>
  <si>
    <t>163000</t>
  </si>
  <si>
    <t>163030</t>
  </si>
  <si>
    <t>163040</t>
  </si>
  <si>
    <t>163050</t>
  </si>
  <si>
    <t>Row Labels</t>
  </si>
  <si>
    <t>Budget Code</t>
  </si>
  <si>
    <t>1800</t>
  </si>
  <si>
    <t>(All)</t>
  </si>
  <si>
    <t>Allocation Pool</t>
  </si>
  <si>
    <t>Allocated Tax (007)</t>
  </si>
  <si>
    <t>Allocated Benefit (010)</t>
  </si>
  <si>
    <t>E</t>
  </si>
  <si>
    <t>H</t>
  </si>
  <si>
    <t>F</t>
  </si>
  <si>
    <t>G</t>
  </si>
  <si>
    <t>Journal ID</t>
  </si>
  <si>
    <t>Date</t>
  </si>
  <si>
    <t>Line #</t>
  </si>
  <si>
    <t>Amount</t>
  </si>
  <si>
    <t>Line Descr</t>
  </si>
  <si>
    <t>935000</t>
  </si>
  <si>
    <t>930204</t>
  </si>
  <si>
    <t>930202</t>
  </si>
  <si>
    <t>930100</t>
  </si>
  <si>
    <t>926000</t>
  </si>
  <si>
    <t>LTD Liability</t>
  </si>
  <si>
    <t>1806</t>
  </si>
  <si>
    <t>WRKCMPLTD</t>
  </si>
  <si>
    <t>Workers Comp</t>
  </si>
  <si>
    <t>1825</t>
  </si>
  <si>
    <t>1812</t>
  </si>
  <si>
    <t>Payroll</t>
  </si>
  <si>
    <t>1837</t>
  </si>
  <si>
    <t>1804</t>
  </si>
  <si>
    <t>To adjsut dental reserves</t>
  </si>
  <si>
    <t>MED_ADJ2</t>
  </si>
  <si>
    <t>NRECA annual true-up 2018</t>
  </si>
  <si>
    <t>1802</t>
  </si>
  <si>
    <t>NRECA19</t>
  </si>
  <si>
    <t>Adj Grandfathered Sick Reserve</t>
  </si>
  <si>
    <t>1803</t>
  </si>
  <si>
    <t>GF_SICK</t>
  </si>
  <si>
    <t>1842</t>
  </si>
  <si>
    <t>Actuary post retire adj.</t>
  </si>
  <si>
    <t>ACTUARIAL</t>
  </si>
  <si>
    <t>Adj Vision Reserves</t>
  </si>
  <si>
    <t>MED_ADJ</t>
  </si>
  <si>
    <t>Adj PPO &amp; Rx Retiree Reserves</t>
  </si>
  <si>
    <t>Adj PPO &amp; Rx Active Reserves</t>
  </si>
  <si>
    <t>Adj Dental Reserves</t>
  </si>
  <si>
    <t>921000</t>
  </si>
  <si>
    <t>920000</t>
  </si>
  <si>
    <t>12/31/18 SERP Liability</t>
  </si>
  <si>
    <t>1822</t>
  </si>
  <si>
    <t>SERP_DC</t>
  </si>
  <si>
    <t>DC Adjustment</t>
  </si>
  <si>
    <t>SERP_DC2</t>
  </si>
  <si>
    <t>913000</t>
  </si>
  <si>
    <t>909000</t>
  </si>
  <si>
    <t>908000</t>
  </si>
  <si>
    <t>581000</t>
  </si>
  <si>
    <t>573000</t>
  </si>
  <si>
    <t>568000</t>
  </si>
  <si>
    <t>566000</t>
  </si>
  <si>
    <t>561000</t>
  </si>
  <si>
    <t>560000</t>
  </si>
  <si>
    <t>557002</t>
  </si>
  <si>
    <t>557001</t>
  </si>
  <si>
    <t>556000</t>
  </si>
  <si>
    <t>551000</t>
  </si>
  <si>
    <t>549002</t>
  </si>
  <si>
    <t>549001</t>
  </si>
  <si>
    <t>548000</t>
  </si>
  <si>
    <t>547030</t>
  </si>
  <si>
    <t>546000</t>
  </si>
  <si>
    <t>510000</t>
  </si>
  <si>
    <t>506002</t>
  </si>
  <si>
    <t>505000</t>
  </si>
  <si>
    <t>502000</t>
  </si>
  <si>
    <t>501010</t>
  </si>
  <si>
    <t>500000</t>
  </si>
  <si>
    <t>426400</t>
  </si>
  <si>
    <t>421000</t>
  </si>
  <si>
    <t>417103</t>
  </si>
  <si>
    <t>413200</t>
  </si>
  <si>
    <t>413102</t>
  </si>
  <si>
    <t>413100</t>
  </si>
  <si>
    <t>184228</t>
  </si>
  <si>
    <t>184226</t>
  </si>
  <si>
    <t>184224</t>
  </si>
  <si>
    <t>184222</t>
  </si>
  <si>
    <t>152003</t>
  </si>
  <si>
    <t>152002</t>
  </si>
  <si>
    <t>152000</t>
  </si>
  <si>
    <t>143005</t>
  </si>
  <si>
    <t>108800</t>
  </si>
  <si>
    <t>0S463</t>
  </si>
  <si>
    <t>0S427</t>
  </si>
  <si>
    <t>0S476</t>
  </si>
  <si>
    <t>Sum of Amount</t>
  </si>
  <si>
    <t>All Allocated Benefits by Acct</t>
  </si>
  <si>
    <t>EAST KENTUCKY POWER COOPERATIVE</t>
  </si>
  <si>
    <t>Clearing of stores accounts (163000, 163030, 163040, 163050).  Given these accounts don't retain their budget code when allocated, EKPC manually allocated benefit and tax budget codes based upon monthly allocation rates for this specific data request.</t>
  </si>
  <si>
    <t>Clearing account balances remaining due to rounding are reclassed monthly to appropriate accounts after final allocations.</t>
  </si>
  <si>
    <t>Tickmark Legend</t>
  </si>
  <si>
    <t>*</t>
  </si>
  <si>
    <t>The costs in the Unallocated Benefits column includes benefit activities that would not be included with budget code 1800 activity because they are not included in the benefit allocation steps BEN_ALLOC2 or BEN_ALLOC3. Unallocated benefit budget codes include 1803, 1810, 1822, 1842, 1852, and 1857. Only budget codes with activity for account 926000 are included in this column; otherwise, they are included in the "directly assigned" column.</t>
  </si>
  <si>
    <t>**</t>
  </si>
  <si>
    <t xml:space="preserve">The costs in the Directly Assigned Benefits column includes activity charged to accounts other than 926000 with a benefits budget code. Any activity charged to accounts 926000 with a budget code between 1801 and 1899 (except the codes listed above) would have been allocated. This column is a summary of activity picked up outside the normal benefit allocation process including final allocation outputs, lease reclass expenses, AP accruals, etc. </t>
  </si>
  <si>
    <t>***</t>
  </si>
  <si>
    <t>See "Stores Summary" tab.</t>
  </si>
  <si>
    <t>Allocated Benefits (1800)</t>
  </si>
  <si>
    <r>
      <t>Unallocated Benefits</t>
    </r>
    <r>
      <rPr>
        <b/>
        <sz val="10"/>
        <color rgb="FFFF0000"/>
        <rFont val="Arial Unicode MS"/>
      </rPr>
      <t xml:space="preserve"> *</t>
    </r>
  </si>
  <si>
    <t>Directly Assigned Benefits **</t>
  </si>
  <si>
    <t>Other Reconciling Items (AP Accruals and Reclass)</t>
  </si>
  <si>
    <t>Stores allocation results***</t>
  </si>
  <si>
    <t>Benefit Total by Account</t>
  </si>
  <si>
    <t>Difference:</t>
  </si>
  <si>
    <t>TABULATION OF ANNUAL BENEFIT EXPENSES BY GENERAL LEDGER ACCOUNT FOR DECEMBER 2019</t>
  </si>
  <si>
    <t>DECEMBER</t>
  </si>
  <si>
    <t>s1</t>
  </si>
  <si>
    <t>s2</t>
  </si>
  <si>
    <t>s3</t>
  </si>
  <si>
    <t>s7</t>
  </si>
  <si>
    <t>s4</t>
  </si>
  <si>
    <t>s5</t>
  </si>
  <si>
    <t>s6</t>
  </si>
  <si>
    <t>s8</t>
  </si>
  <si>
    <t>s9</t>
  </si>
  <si>
    <t>s10</t>
  </si>
  <si>
    <t>s11</t>
  </si>
  <si>
    <t>s12</t>
  </si>
  <si>
    <t>s13</t>
  </si>
  <si>
    <t>s14</t>
  </si>
  <si>
    <t>s15</t>
  </si>
  <si>
    <t>s16</t>
  </si>
  <si>
    <t>s17</t>
  </si>
  <si>
    <t>Total December Benefit Cost:</t>
  </si>
  <si>
    <t>ES Expense</t>
  </si>
  <si>
    <t>ES Capital</t>
  </si>
  <si>
    <t>Expense</t>
  </si>
  <si>
    <t>December</t>
  </si>
  <si>
    <t>Spur 512000 SP00</t>
  </si>
  <si>
    <t>Benefits</t>
  </si>
  <si>
    <t>Spur 512000 SP01&amp;02</t>
  </si>
  <si>
    <t>Gilbert</t>
  </si>
  <si>
    <t>Scrubbers</t>
  </si>
  <si>
    <t>Spur 4 Coal &amp; Maint</t>
  </si>
  <si>
    <t>Capital Project</t>
  </si>
  <si>
    <t>0S477</t>
  </si>
  <si>
    <t>0S435</t>
  </si>
  <si>
    <t>0S484</t>
  </si>
  <si>
    <t>0S486</t>
  </si>
  <si>
    <t>0S532</t>
  </si>
  <si>
    <t>0S533</t>
  </si>
  <si>
    <t>0S534</t>
  </si>
  <si>
    <t>ES3</t>
  </si>
  <si>
    <t>ES4</t>
  </si>
  <si>
    <t>East Kentucky Power Cooperative, Inc.</t>
  </si>
  <si>
    <t>Case No. 2021-00103</t>
  </si>
  <si>
    <t>Budget Code Description</t>
  </si>
  <si>
    <t>Postemployment-LTD, WC</t>
  </si>
  <si>
    <t>457(f) SERP</t>
  </si>
  <si>
    <t>TOTAL BENEFIT COST</t>
  </si>
  <si>
    <t>Base Capital Benefit Cost</t>
  </si>
  <si>
    <t>Environmental Surcharge Capital Benefit Cost</t>
  </si>
  <si>
    <t>TOTAL CAPITAL BENEFIT COST</t>
  </si>
  <si>
    <t>Base Expense Benefit Cost</t>
  </si>
  <si>
    <t>Environmental Surcharge Expense Benefit Cost</t>
  </si>
  <si>
    <t>TOTAL EXPENSE BENEFIT COST</t>
  </si>
  <si>
    <t>Benefit Costs for December 2019</t>
  </si>
  <si>
    <t>less Annual Adjustments</t>
  </si>
  <si>
    <t>Total Expense:</t>
  </si>
  <si>
    <t>Total Capital:</t>
  </si>
  <si>
    <t>Normalized December Cost</t>
  </si>
  <si>
    <t>Payroll and Benefits in Environmental Surcharge less year-end adjustments</t>
  </si>
  <si>
    <t>Allocation of Stores Benefit Costs on the Basis of Inventory Transactions Consistent with Monthly Allocation of Stores Expenses</t>
  </si>
  <si>
    <t>Stores expense was manually allocated for this request. The following table is a summary of the expense impacts manually calculated in the following pages. The allocated balances were carried forward to the Worksheet tab.</t>
  </si>
  <si>
    <t>Year-end JE Lines by Account</t>
  </si>
  <si>
    <t>Summary of YE JE's by Type</t>
  </si>
  <si>
    <t>YE Adjustments to Remove from Dec 19 Activity</t>
  </si>
  <si>
    <t>diff</t>
  </si>
  <si>
    <t>AG Nucor DR2 Response 23 Benefits.xlsx</t>
  </si>
  <si>
    <t>Annualization of Benefit Costs</t>
  </si>
  <si>
    <t>Category</t>
  </si>
  <si>
    <t>Pay Periods to Annualize</t>
  </si>
  <si>
    <t>Annualized Benefit Costs</t>
  </si>
  <si>
    <t>TOTAL BENEFIT COSTS</t>
  </si>
  <si>
    <t>Please note:</t>
  </si>
  <si>
    <t xml:space="preserve">    EKPC does not book its benefits costs with each pay period, but monthly.  The amounts provided in </t>
  </si>
  <si>
    <t xml:space="preserve">      this response reflects the December monthly costs, which covers two pay periods.  Thus the</t>
  </si>
  <si>
    <t xml:space="preserve">      multiplier for this annualization is 13 rather than 26.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</si>
</sst>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_);[Red]\(&quot;$&quot;#,##0.00\)"/>
    <numFmt numFmtId="44" formatCode="_(&quot;$&quot;* #,##0.00_);_(&quot;$&quot;* \(#,##0.00\);_(&quot;$&quot;* &quot;-&quot;??_);_(@_)"/>
    <numFmt numFmtId="43" formatCode="_(* #,##0.00_);_(* \(#,##0.00\);_(* &quot;-&quot;??_);_(@_)"/>
    <numFmt numFmtId="164" formatCode="0.000"/>
    <numFmt numFmtId="165" formatCode="[$-409]mmm\-yy;@"/>
  </numFmts>
  <fonts count="24">
    <font>
      <sz val="11"/>
      <color theme="1"/>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sz val="10"/>
      <name val="Arial Unicode MS"/>
    </font>
    <font>
      <b/>
      <sz val="10"/>
      <color indexed="0"/>
      <name val="Arial"/>
      <family val="2"/>
    </font>
    <font>
      <b/>
      <sz val="10"/>
      <name val="Arial Unicode MS"/>
    </font>
    <font>
      <sz val="11"/>
      <color indexed="8"/>
      <name val="Calibri"/>
      <family val="2"/>
      <scheme val="minor"/>
    </font>
    <font>
      <b/>
      <sz val="11"/>
      <color rgb="FFFF0000"/>
      <name val="Calibri"/>
      <family val="2"/>
      <scheme val="minor"/>
    </font>
    <font>
      <b/>
      <sz val="11"/>
      <color rgb="FFFF0000"/>
      <name val="Calibri"/>
      <family val="2"/>
    </font>
    <font>
      <b/>
      <sz val="11"/>
      <name val="Calibri"/>
      <family val="2"/>
      <scheme val="minor"/>
    </font>
    <font>
      <sz val="11"/>
      <name val="Calibri"/>
      <family val="2"/>
      <scheme val="minor"/>
    </font>
    <font>
      <b/>
      <sz val="10"/>
      <name val="Arial Unicode MS"/>
      <family val="2"/>
    </font>
    <font>
      <b/>
      <sz val="10"/>
      <color rgb="FFFF0000"/>
      <name val="Arial Unicode MS"/>
    </font>
    <font>
      <sz val="10"/>
      <name val="Calibri"/>
      <family val="2"/>
      <scheme val="minor"/>
    </font>
    <font>
      <b/>
      <sz val="10"/>
      <color rgb="FFFF0000"/>
      <name val="Calibri"/>
      <family val="2"/>
      <scheme val="minor"/>
    </font>
    <font>
      <b/>
      <i/>
      <sz val="10"/>
      <name val="Arial Unicode MS"/>
    </font>
    <font>
      <sz val="10"/>
      <color rgb="FFFF0000"/>
      <name val="Arial Unicode MS"/>
    </font>
    <font>
      <sz val="11"/>
      <name val="Calibri"/>
      <family val="2"/>
    </font>
    <font>
      <b/>
      <sz val="11"/>
      <color theme="1"/>
      <name val="Calibri"/>
      <family val="2"/>
    </font>
    <font>
      <b/>
      <i/>
      <sz val="11"/>
      <color theme="1"/>
      <name val="Calibri"/>
      <family val="2"/>
    </font>
  </fonts>
  <fills count="10">
    <fill>
      <patternFill patternType="none"/>
    </fill>
    <fill>
      <patternFill patternType="gray125"/>
    </fill>
    <fill>
      <patternFill patternType="solid">
        <fgColor indexed="22"/>
        <bgColor indexed="55"/>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D9F1F9"/>
        <bgColor indexed="64"/>
      </patternFill>
    </fill>
    <fill>
      <patternFill patternType="solid">
        <fgColor rgb="FFFFFFCC"/>
        <bgColor indexed="64"/>
      </patternFill>
    </fill>
    <fill>
      <patternFill patternType="solid">
        <fgColor theme="4" tint="0.79998168889431442"/>
        <bgColor indexed="64"/>
      </patternFill>
    </fill>
    <fill>
      <patternFill patternType="solid">
        <fgColor rgb="FFCCCCFF"/>
        <bgColor indexed="64"/>
      </patternFill>
    </fill>
  </fills>
  <borders count="13">
    <border>
      <left/>
      <right/>
      <top/>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double">
        <color auto="1"/>
      </bottom>
      <diagonal/>
    </border>
    <border>
      <left/>
      <right/>
      <top style="medium">
        <color indexed="64"/>
      </top>
      <bottom style="double">
        <color auto="1"/>
      </bottom>
      <diagonal/>
    </border>
    <border>
      <left/>
      <right style="medium">
        <color indexed="64"/>
      </right>
      <top style="medium">
        <color indexed="64"/>
      </top>
      <bottom style="double">
        <color auto="1"/>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4">
    <xf numFmtId="0" fontId="0" fillId="0" borderId="0"/>
    <xf numFmtId="43" fontId="4" fillId="0" borderId="0" applyFont="0" applyFill="0" applyBorder="0" applyAlignment="0" applyProtection="0"/>
    <xf numFmtId="0" fontId="7" fillId="0" borderId="0"/>
    <xf numFmtId="43" fontId="9" fillId="0" borderId="0" applyFont="0" applyFill="0" applyBorder="0" applyAlignment="0" applyProtection="0"/>
    <xf numFmtId="43" fontId="3" fillId="0" borderId="0" applyFont="0" applyFill="0" applyBorder="0" applyAlignment="0" applyProtection="0"/>
    <xf numFmtId="43" fontId="10" fillId="0" borderId="0" applyFont="0" applyFill="0" applyBorder="0" applyAlignment="0" applyProtection="0"/>
    <xf numFmtId="9" fontId="3" fillId="0" borderId="0" applyFont="0" applyFill="0" applyBorder="0" applyAlignment="0" applyProtection="0"/>
    <xf numFmtId="0" fontId="10" fillId="0" borderId="0"/>
    <xf numFmtId="0" fontId="3" fillId="0" borderId="0"/>
    <xf numFmtId="43" fontId="10" fillId="0" borderId="0" applyFont="0" applyFill="0" applyBorder="0" applyAlignment="0" applyProtection="0"/>
    <xf numFmtId="0" fontId="10" fillId="0" borderId="0"/>
    <xf numFmtId="0" fontId="7" fillId="0" borderId="0"/>
    <xf numFmtId="43" fontId="9" fillId="0" borderId="0" applyFont="0" applyFill="0" applyBorder="0" applyAlignment="0" applyProtection="0"/>
    <xf numFmtId="44" fontId="7" fillId="0" borderId="0" applyFont="0" applyFill="0" applyBorder="0" applyAlignment="0" applyProtection="0"/>
    <xf numFmtId="43" fontId="6" fillId="0" borderId="0" applyFont="0" applyFill="0" applyBorder="0" applyAlignment="0" applyProtection="0"/>
    <xf numFmtId="0" fontId="6"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10" fillId="0" borderId="0"/>
    <xf numFmtId="44" fontId="6" fillId="0" borderId="0" applyFont="0" applyFill="0" applyBorder="0" applyAlignment="0" applyProtection="0"/>
    <xf numFmtId="43" fontId="1" fillId="0" borderId="0" applyFont="0" applyFill="0" applyBorder="0" applyAlignment="0" applyProtection="0"/>
    <xf numFmtId="0" fontId="1" fillId="0" borderId="0"/>
  </cellStyleXfs>
  <cellXfs count="181">
    <xf numFmtId="0" fontId="0" fillId="0" borderId="0" xfId="0"/>
    <xf numFmtId="0" fontId="8" fillId="2" borderId="1" xfId="2" applyFont="1" applyFill="1" applyBorder="1"/>
    <xf numFmtId="0" fontId="7" fillId="0" borderId="0" xfId="2"/>
    <xf numFmtId="43" fontId="0" fillId="0" borderId="0" xfId="3" applyFont="1"/>
    <xf numFmtId="43" fontId="8" fillId="2" borderId="1" xfId="3" applyFont="1" applyFill="1" applyBorder="1"/>
    <xf numFmtId="43" fontId="0" fillId="0" borderId="0" xfId="4" applyFont="1"/>
    <xf numFmtId="43" fontId="7" fillId="0" borderId="0" xfId="2" applyNumberFormat="1"/>
    <xf numFmtId="43" fontId="0" fillId="0" borderId="2" xfId="3" applyFont="1" applyBorder="1"/>
    <xf numFmtId="43" fontId="7" fillId="0" borderId="2" xfId="2" applyNumberFormat="1" applyBorder="1"/>
    <xf numFmtId="43" fontId="0" fillId="0" borderId="3" xfId="3" applyFont="1" applyBorder="1"/>
    <xf numFmtId="43" fontId="5" fillId="0" borderId="3" xfId="3" applyFont="1" applyBorder="1"/>
    <xf numFmtId="43" fontId="5" fillId="0" borderId="4" xfId="3" applyFont="1" applyBorder="1" applyAlignment="1">
      <alignment horizontal="center"/>
    </xf>
    <xf numFmtId="0" fontId="9" fillId="0" borderId="4" xfId="2" applyFont="1" applyBorder="1" applyAlignment="1">
      <alignment horizontal="center"/>
    </xf>
    <xf numFmtId="43" fontId="0" fillId="0" borderId="0" xfId="5" applyFont="1"/>
    <xf numFmtId="43" fontId="0" fillId="0" borderId="2" xfId="4" applyFont="1" applyBorder="1"/>
    <xf numFmtId="0" fontId="7" fillId="0" borderId="0" xfId="2" applyAlignment="1">
      <alignment horizontal="right"/>
    </xf>
    <xf numFmtId="10" fontId="0" fillId="0" borderId="0" xfId="6" applyNumberFormat="1" applyFont="1"/>
    <xf numFmtId="0" fontId="10" fillId="0" borderId="0" xfId="7"/>
    <xf numFmtId="1" fontId="10" fillId="0" borderId="0" xfId="7" applyNumberFormat="1"/>
    <xf numFmtId="0" fontId="3" fillId="0" borderId="0" xfId="8"/>
    <xf numFmtId="0" fontId="3" fillId="0" borderId="0" xfId="8" applyAlignment="1">
      <alignment horizontal="left"/>
    </xf>
    <xf numFmtId="0" fontId="8" fillId="2" borderId="1" xfId="7" applyFont="1" applyFill="1" applyBorder="1"/>
    <xf numFmtId="0" fontId="10" fillId="0" borderId="0" xfId="7" applyFill="1"/>
    <xf numFmtId="0" fontId="0" fillId="0" borderId="0" xfId="0" pivotButton="1"/>
    <xf numFmtId="1" fontId="0" fillId="0" borderId="0" xfId="0" applyNumberFormat="1" applyAlignment="1">
      <alignment horizontal="left"/>
    </xf>
    <xf numFmtId="43" fontId="0" fillId="0" borderId="0" xfId="0" applyNumberFormat="1"/>
    <xf numFmtId="0" fontId="0" fillId="0" borderId="0" xfId="0" applyAlignment="1">
      <alignment horizontal="left"/>
    </xf>
    <xf numFmtId="0" fontId="5" fillId="0" borderId="4" xfId="8" applyFont="1" applyBorder="1"/>
    <xf numFmtId="43" fontId="5" fillId="0" borderId="4" xfId="4" applyFont="1" applyBorder="1" applyAlignment="1">
      <alignment horizontal="center"/>
    </xf>
    <xf numFmtId="43" fontId="5" fillId="0" borderId="4" xfId="4" applyFont="1" applyBorder="1"/>
    <xf numFmtId="43" fontId="11" fillId="0" borderId="4" xfId="4" applyFont="1" applyBorder="1" applyAlignment="1">
      <alignment horizontal="center"/>
    </xf>
    <xf numFmtId="43" fontId="11" fillId="0" borderId="0" xfId="4" applyFont="1" applyAlignment="1">
      <alignment horizontal="center"/>
    </xf>
    <xf numFmtId="43" fontId="11" fillId="0" borderId="0" xfId="4" applyFont="1"/>
    <xf numFmtId="14" fontId="10" fillId="0" borderId="0" xfId="7" applyNumberFormat="1"/>
    <xf numFmtId="43" fontId="0" fillId="0" borderId="0" xfId="9" applyFont="1"/>
    <xf numFmtId="43" fontId="8" fillId="2" borderId="1" xfId="9" applyFont="1" applyFill="1" applyBorder="1"/>
    <xf numFmtId="0" fontId="12" fillId="0" borderId="0" xfId="0" applyFont="1"/>
    <xf numFmtId="40" fontId="13" fillId="0" borderId="0" xfId="11" applyNumberFormat="1" applyFont="1" applyFill="1" applyAlignment="1">
      <alignment horizontal="left"/>
    </xf>
    <xf numFmtId="43" fontId="14" fillId="0" borderId="0" xfId="12" applyFont="1"/>
    <xf numFmtId="0" fontId="14" fillId="0" borderId="0" xfId="11" applyFont="1"/>
    <xf numFmtId="0" fontId="11" fillId="0" borderId="0" xfId="11" applyFont="1"/>
    <xf numFmtId="0" fontId="15" fillId="0" borderId="0" xfId="11" applyFont="1"/>
    <xf numFmtId="43" fontId="7" fillId="0" borderId="0" xfId="12" applyFont="1"/>
    <xf numFmtId="0" fontId="7" fillId="0" borderId="0" xfId="11"/>
    <xf numFmtId="0" fontId="16" fillId="0" borderId="0" xfId="11" applyFont="1"/>
    <xf numFmtId="40" fontId="17" fillId="5" borderId="0" xfId="11" applyNumberFormat="1" applyFont="1" applyFill="1" applyAlignment="1">
      <alignment vertical="top"/>
    </xf>
    <xf numFmtId="44" fontId="17" fillId="0" borderId="0" xfId="13" applyFont="1" applyAlignment="1">
      <alignment horizontal="left" wrapText="1"/>
    </xf>
    <xf numFmtId="43" fontId="17" fillId="0" borderId="0" xfId="12" applyFont="1" applyAlignment="1">
      <alignment horizontal="left" wrapText="1"/>
    </xf>
    <xf numFmtId="44" fontId="18" fillId="0" borderId="0" xfId="13" applyFont="1" applyAlignment="1">
      <alignment horizontal="left" wrapText="1"/>
    </xf>
    <xf numFmtId="0" fontId="19" fillId="0" borderId="0" xfId="11" applyFont="1"/>
    <xf numFmtId="43" fontId="7" fillId="0" borderId="0" xfId="12" applyFont="1" applyFill="1"/>
    <xf numFmtId="0" fontId="9" fillId="0" borderId="0" xfId="11" applyFont="1"/>
    <xf numFmtId="0" fontId="7" fillId="0" borderId="0" xfId="11" applyFill="1"/>
    <xf numFmtId="0" fontId="16" fillId="0" borderId="0" xfId="11" applyFont="1" applyFill="1"/>
    <xf numFmtId="16" fontId="16" fillId="0" borderId="0" xfId="11" quotePrefix="1" applyNumberFormat="1" applyFont="1" applyFill="1" applyAlignment="1">
      <alignment horizontal="right" vertical="top"/>
    </xf>
    <xf numFmtId="0" fontId="16" fillId="0" borderId="0" xfId="11" quotePrefix="1" applyFont="1" applyFill="1" applyAlignment="1">
      <alignment horizontal="right" vertical="top"/>
    </xf>
    <xf numFmtId="43" fontId="0" fillId="0" borderId="0" xfId="12" applyFont="1" applyFill="1"/>
    <xf numFmtId="43" fontId="20" fillId="0" borderId="0" xfId="12" applyFont="1" applyBorder="1" applyAlignment="1">
      <alignment horizontal="center"/>
    </xf>
    <xf numFmtId="43" fontId="7" fillId="0" borderId="0" xfId="12" applyFont="1" applyBorder="1" applyAlignment="1">
      <alignment horizontal="center"/>
    </xf>
    <xf numFmtId="43" fontId="9" fillId="6" borderId="1" xfId="12" applyFont="1" applyFill="1" applyBorder="1" applyAlignment="1">
      <alignment horizontal="center" wrapText="1"/>
    </xf>
    <xf numFmtId="43" fontId="16" fillId="6" borderId="1" xfId="12" applyFont="1" applyFill="1" applyBorder="1" applyAlignment="1">
      <alignment horizontal="center" wrapText="1"/>
    </xf>
    <xf numFmtId="0" fontId="7" fillId="0" borderId="0" xfId="11" applyNumberFormat="1"/>
    <xf numFmtId="43" fontId="0" fillId="0" borderId="0" xfId="12" applyFont="1"/>
    <xf numFmtId="43" fontId="7" fillId="4" borderId="0" xfId="12" applyFont="1" applyFill="1"/>
    <xf numFmtId="43" fontId="16" fillId="4" borderId="0" xfId="12" applyFont="1" applyFill="1"/>
    <xf numFmtId="43" fontId="7" fillId="0" borderId="0" xfId="11" applyNumberFormat="1"/>
    <xf numFmtId="0" fontId="7" fillId="0" borderId="0" xfId="11" applyNumberFormat="1" applyFill="1"/>
    <xf numFmtId="44" fontId="16" fillId="4" borderId="0" xfId="11" applyNumberFormat="1" applyFont="1" applyFill="1"/>
    <xf numFmtId="43" fontId="0" fillId="7" borderId="0" xfId="12" applyFont="1" applyFill="1"/>
    <xf numFmtId="43" fontId="12" fillId="4" borderId="0" xfId="12" applyFont="1" applyFill="1"/>
    <xf numFmtId="49" fontId="7" fillId="0" borderId="3" xfId="11" applyNumberFormat="1" applyBorder="1"/>
    <xf numFmtId="43" fontId="7" fillId="0" borderId="3" xfId="11" applyNumberFormat="1" applyBorder="1"/>
    <xf numFmtId="0" fontId="7" fillId="0" borderId="3" xfId="11" applyBorder="1"/>
    <xf numFmtId="0" fontId="9" fillId="0" borderId="0" xfId="11" applyFont="1" applyFill="1" applyAlignment="1">
      <alignment horizontal="right"/>
    </xf>
    <xf numFmtId="0" fontId="9" fillId="0" borderId="0" xfId="11" applyFont="1" applyFill="1"/>
    <xf numFmtId="43" fontId="12" fillId="0" borderId="0" xfId="4" applyFont="1" applyAlignment="1">
      <alignment horizontal="center"/>
    </xf>
    <xf numFmtId="43" fontId="12" fillId="0" borderId="2" xfId="4" applyFont="1" applyBorder="1" applyAlignment="1">
      <alignment horizontal="center"/>
    </xf>
    <xf numFmtId="43" fontId="0" fillId="0" borderId="0" xfId="1" applyFont="1"/>
    <xf numFmtId="43" fontId="14" fillId="0" borderId="0" xfId="1" applyFont="1"/>
    <xf numFmtId="43" fontId="7" fillId="0" borderId="0" xfId="1" applyFont="1"/>
    <xf numFmtId="43" fontId="7" fillId="0" borderId="0" xfId="1" applyFont="1" applyFill="1"/>
    <xf numFmtId="43" fontId="9" fillId="0" borderId="0" xfId="1" applyFont="1"/>
    <xf numFmtId="43" fontId="9" fillId="6" borderId="1" xfId="1" applyFont="1" applyFill="1" applyBorder="1" applyAlignment="1">
      <alignment horizontal="center" wrapText="1"/>
    </xf>
    <xf numFmtId="43" fontId="7" fillId="0" borderId="3" xfId="1" applyFont="1" applyBorder="1"/>
    <xf numFmtId="43" fontId="7" fillId="8" borderId="0" xfId="1" applyFont="1" applyFill="1"/>
    <xf numFmtId="43" fontId="7" fillId="8" borderId="3" xfId="1" applyFont="1" applyFill="1" applyBorder="1"/>
    <xf numFmtId="43" fontId="7" fillId="4" borderId="3" xfId="11" applyNumberFormat="1" applyFill="1" applyBorder="1"/>
    <xf numFmtId="0" fontId="2" fillId="0" borderId="0" xfId="16"/>
    <xf numFmtId="43" fontId="21" fillId="3" borderId="0" xfId="12" applyFont="1" applyFill="1"/>
    <xf numFmtId="43" fontId="0" fillId="3" borderId="0" xfId="12" applyFont="1" applyFill="1"/>
    <xf numFmtId="43" fontId="21" fillId="3" borderId="0" xfId="12" applyFont="1" applyFill="1" applyAlignment="1">
      <alignment horizontal="center"/>
    </xf>
    <xf numFmtId="43" fontId="12" fillId="3" borderId="0" xfId="12" applyFont="1" applyFill="1" applyAlignment="1">
      <alignment horizontal="center"/>
    </xf>
    <xf numFmtId="0" fontId="6" fillId="3" borderId="0" xfId="15" applyFill="1"/>
    <xf numFmtId="43" fontId="7" fillId="3" borderId="0" xfId="12" applyFont="1" applyFill="1" applyAlignment="1">
      <alignment horizontal="center"/>
    </xf>
    <xf numFmtId="43" fontId="16" fillId="3" borderId="0" xfId="12" applyFont="1" applyFill="1" applyAlignment="1">
      <alignment horizontal="center"/>
    </xf>
    <xf numFmtId="43" fontId="7" fillId="3" borderId="3" xfId="11" applyNumberFormat="1" applyFont="1" applyFill="1" applyBorder="1"/>
    <xf numFmtId="43" fontId="7" fillId="3" borderId="3" xfId="11" applyNumberFormat="1" applyFill="1" applyBorder="1"/>
    <xf numFmtId="43" fontId="12" fillId="7" borderId="0" xfId="12" applyFont="1" applyFill="1" applyAlignment="1">
      <alignment horizontal="center"/>
    </xf>
    <xf numFmtId="43" fontId="7" fillId="7" borderId="3" xfId="11" applyNumberFormat="1" applyFill="1" applyBorder="1"/>
    <xf numFmtId="43" fontId="0" fillId="9" borderId="0" xfId="12" applyFont="1" applyFill="1"/>
    <xf numFmtId="43" fontId="7" fillId="9" borderId="3" xfId="11" applyNumberFormat="1" applyFill="1" applyBorder="1"/>
    <xf numFmtId="43" fontId="7" fillId="7" borderId="0" xfId="12" applyFont="1" applyFill="1"/>
    <xf numFmtId="43" fontId="7" fillId="5" borderId="2" xfId="14" applyFont="1" applyFill="1" applyBorder="1"/>
    <xf numFmtId="43" fontId="7" fillId="0" borderId="2" xfId="11" applyNumberFormat="1" applyFill="1" applyBorder="1"/>
    <xf numFmtId="0" fontId="11" fillId="0" borderId="0" xfId="16" applyFont="1"/>
    <xf numFmtId="0" fontId="2" fillId="0" borderId="0" xfId="16" applyAlignment="1">
      <alignment horizontal="center"/>
    </xf>
    <xf numFmtId="0" fontId="5" fillId="0" borderId="0" xfId="16" applyFont="1"/>
    <xf numFmtId="17" fontId="2" fillId="0" borderId="0" xfId="16" applyNumberFormat="1"/>
    <xf numFmtId="0" fontId="9" fillId="0" borderId="4" xfId="11" applyFont="1" applyBorder="1" applyAlignment="1">
      <alignment horizontal="center"/>
    </xf>
    <xf numFmtId="0" fontId="9" fillId="0" borderId="0" xfId="11" applyFont="1" applyAlignment="1">
      <alignment horizontal="center"/>
    </xf>
    <xf numFmtId="1" fontId="7" fillId="0" borderId="0" xfId="11" applyNumberFormat="1"/>
    <xf numFmtId="1" fontId="7" fillId="0" borderId="0" xfId="11" applyNumberFormat="1" applyFont="1"/>
    <xf numFmtId="1" fontId="10" fillId="0" borderId="0" xfId="20" applyNumberFormat="1"/>
    <xf numFmtId="0" fontId="10" fillId="0" borderId="0" xfId="20"/>
    <xf numFmtId="43" fontId="2" fillId="0" borderId="0" xfId="1" applyFont="1"/>
    <xf numFmtId="43" fontId="5" fillId="0" borderId="0" xfId="1" applyFont="1"/>
    <xf numFmtId="43" fontId="0" fillId="0" borderId="0" xfId="1" applyFont="1" applyFill="1"/>
    <xf numFmtId="43" fontId="5" fillId="0" borderId="0" xfId="1" applyFont="1" applyFill="1"/>
    <xf numFmtId="43" fontId="11" fillId="5" borderId="0" xfId="1" applyFont="1" applyFill="1"/>
    <xf numFmtId="43" fontId="13" fillId="5" borderId="0" xfId="1" applyFont="1" applyFill="1"/>
    <xf numFmtId="43" fontId="0" fillId="0" borderId="0" xfId="9" applyFont="1" applyFill="1"/>
    <xf numFmtId="0" fontId="16" fillId="0" borderId="0" xfId="2" applyFont="1"/>
    <xf numFmtId="0" fontId="6" fillId="0" borderId="0" xfId="15"/>
    <xf numFmtId="0" fontId="22" fillId="0" borderId="4" xfId="15" applyFont="1" applyBorder="1" applyAlignment="1">
      <alignment horizontal="center" wrapText="1"/>
    </xf>
    <xf numFmtId="43" fontId="0" fillId="0" borderId="0" xfId="22" applyFont="1"/>
    <xf numFmtId="44" fontId="0" fillId="0" borderId="3" xfId="21" applyFont="1" applyBorder="1"/>
    <xf numFmtId="44" fontId="0" fillId="0" borderId="0" xfId="21" applyFont="1"/>
    <xf numFmtId="44" fontId="0" fillId="0" borderId="2" xfId="21" applyFont="1" applyBorder="1"/>
    <xf numFmtId="44" fontId="10" fillId="0" borderId="3" xfId="21" applyFont="1" applyBorder="1"/>
    <xf numFmtId="0" fontId="1" fillId="0" borderId="0" xfId="23"/>
    <xf numFmtId="43" fontId="1" fillId="0" borderId="0" xfId="23" applyNumberFormat="1"/>
    <xf numFmtId="43" fontId="0" fillId="0" borderId="0" xfId="9" applyFont="1" applyFill="1" applyBorder="1"/>
    <xf numFmtId="43" fontId="0" fillId="0" borderId="4" xfId="9" applyFont="1" applyFill="1" applyBorder="1"/>
    <xf numFmtId="43" fontId="1" fillId="0" borderId="9" xfId="23" applyNumberFormat="1" applyBorder="1"/>
    <xf numFmtId="0" fontId="1" fillId="0" borderId="0" xfId="23" applyFill="1"/>
    <xf numFmtId="43" fontId="1" fillId="0" borderId="0" xfId="23" applyNumberFormat="1" applyFill="1"/>
    <xf numFmtId="43" fontId="7" fillId="8" borderId="2" xfId="14" applyFont="1" applyFill="1" applyBorder="1"/>
    <xf numFmtId="43" fontId="7" fillId="0" borderId="2" xfId="14" applyFont="1" applyFill="1" applyBorder="1"/>
    <xf numFmtId="165" fontId="9" fillId="0" borderId="4" xfId="11" applyNumberFormat="1" applyFont="1" applyFill="1" applyBorder="1" applyAlignment="1">
      <alignment horizontal="center" wrapText="1"/>
    </xf>
    <xf numFmtId="0" fontId="22" fillId="0" borderId="4" xfId="15" applyFont="1" applyFill="1" applyBorder="1" applyAlignment="1">
      <alignment horizontal="center" wrapText="1"/>
    </xf>
    <xf numFmtId="0" fontId="9" fillId="0" borderId="0" xfId="11" applyFont="1" applyFill="1" applyAlignment="1">
      <alignment horizontal="center" wrapText="1"/>
    </xf>
    <xf numFmtId="0" fontId="6" fillId="0" borderId="0" xfId="15" applyFill="1"/>
    <xf numFmtId="44" fontId="7" fillId="0" borderId="0" xfId="21" applyFont="1" applyFill="1"/>
    <xf numFmtId="43" fontId="6" fillId="0" borderId="0" xfId="15" applyNumberFormat="1" applyFill="1"/>
    <xf numFmtId="44" fontId="0" fillId="0" borderId="3" xfId="21" applyFont="1" applyFill="1" applyBorder="1"/>
    <xf numFmtId="44" fontId="0" fillId="0" borderId="0" xfId="21" applyFont="1" applyFill="1"/>
    <xf numFmtId="0" fontId="6" fillId="0" borderId="11" xfId="0" applyFont="1" applyBorder="1" applyAlignment="1">
      <alignment horizontal="center"/>
    </xf>
    <xf numFmtId="0" fontId="6" fillId="0" borderId="11" xfId="0" applyFont="1" applyBorder="1" applyAlignment="1">
      <alignment horizontal="center" wrapText="1"/>
    </xf>
    <xf numFmtId="8" fontId="0" fillId="0" borderId="0" xfId="0" applyNumberFormat="1"/>
    <xf numFmtId="38" fontId="0" fillId="0" borderId="0" xfId="0" applyNumberFormat="1"/>
    <xf numFmtId="8" fontId="0" fillId="0" borderId="4" xfId="0" applyNumberFormat="1" applyBorder="1"/>
    <xf numFmtId="38" fontId="0" fillId="0" borderId="0" xfId="0" applyNumberFormat="1" applyBorder="1"/>
    <xf numFmtId="8" fontId="0" fillId="0" borderId="11" xfId="0" applyNumberFormat="1" applyBorder="1"/>
    <xf numFmtId="0" fontId="10" fillId="0" borderId="0" xfId="20" applyFill="1"/>
    <xf numFmtId="8" fontId="0" fillId="0" borderId="9" xfId="0" applyNumberFormat="1" applyBorder="1"/>
    <xf numFmtId="0" fontId="23" fillId="0" borderId="0" xfId="0" applyFont="1"/>
    <xf numFmtId="0" fontId="14" fillId="0" borderId="0" xfId="11" applyFont="1" applyFill="1"/>
    <xf numFmtId="0" fontId="7" fillId="0" borderId="0" xfId="11" applyFill="1" applyBorder="1"/>
    <xf numFmtId="43" fontId="7" fillId="0" borderId="0" xfId="12" applyFont="1" applyFill="1" applyBorder="1"/>
    <xf numFmtId="43" fontId="7" fillId="0" borderId="0" xfId="1" applyFont="1" applyFill="1" applyBorder="1"/>
    <xf numFmtId="0" fontId="16" fillId="0" borderId="0" xfId="11" applyFont="1" applyFill="1" applyBorder="1"/>
    <xf numFmtId="44" fontId="0" fillId="0" borderId="0" xfId="21" applyFont="1" applyFill="1" applyBorder="1"/>
    <xf numFmtId="44" fontId="10" fillId="0" borderId="0" xfId="21" applyFont="1" applyFill="1" applyBorder="1"/>
    <xf numFmtId="43" fontId="0" fillId="0" borderId="0" xfId="9" applyFont="1" applyBorder="1"/>
    <xf numFmtId="43" fontId="11" fillId="0" borderId="0" xfId="1" applyFont="1" applyFill="1"/>
    <xf numFmtId="43" fontId="13" fillId="0" borderId="0" xfId="1" applyFont="1" applyFill="1"/>
    <xf numFmtId="43" fontId="14" fillId="5" borderId="0" xfId="1" applyFont="1" applyFill="1"/>
    <xf numFmtId="43" fontId="2" fillId="0" borderId="0" xfId="1" applyFont="1" applyFill="1"/>
    <xf numFmtId="0" fontId="15" fillId="0" borderId="0" xfId="11" applyFont="1" applyAlignment="1">
      <alignment horizontal="center"/>
    </xf>
    <xf numFmtId="0" fontId="13" fillId="0" borderId="0" xfId="11" applyFont="1" applyFill="1" applyAlignment="1">
      <alignment horizontal="center"/>
    </xf>
    <xf numFmtId="0" fontId="15" fillId="0" borderId="0" xfId="11" applyFont="1" applyFill="1" applyAlignment="1">
      <alignment horizontal="center"/>
    </xf>
    <xf numFmtId="0" fontId="6" fillId="0" borderId="10" xfId="0" applyFont="1"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43" fontId="20" fillId="0" borderId="5" xfId="12" applyFont="1" applyBorder="1" applyAlignment="1">
      <alignment horizontal="center"/>
    </xf>
    <xf numFmtId="49" fontId="9" fillId="6" borderId="6" xfId="11" applyNumberFormat="1" applyFont="1" applyFill="1" applyBorder="1" applyAlignment="1">
      <alignment horizontal="center"/>
    </xf>
    <xf numFmtId="49" fontId="9" fillId="6" borderId="7" xfId="11" applyNumberFormat="1" applyFont="1" applyFill="1" applyBorder="1" applyAlignment="1">
      <alignment horizontal="center"/>
    </xf>
    <xf numFmtId="49" fontId="9" fillId="6" borderId="8" xfId="11" applyNumberFormat="1" applyFont="1" applyFill="1" applyBorder="1" applyAlignment="1">
      <alignment horizontal="center"/>
    </xf>
    <xf numFmtId="0" fontId="7" fillId="0" borderId="0" xfId="12" applyNumberFormat="1" applyFont="1" applyAlignment="1">
      <alignment horizontal="left" vertical="top" wrapText="1"/>
    </xf>
    <xf numFmtId="40" fontId="17" fillId="4" borderId="0" xfId="11" applyNumberFormat="1" applyFont="1" applyFill="1" applyAlignment="1">
      <alignment horizontal="left" wrapText="1"/>
    </xf>
    <xf numFmtId="0" fontId="11" fillId="0" borderId="0" xfId="8" applyFont="1" applyFill="1" applyAlignment="1">
      <alignment horizontal="left" wrapText="1"/>
    </xf>
  </cellXfs>
  <cellStyles count="24">
    <cellStyle name="Comma" xfId="1" builtinId="3"/>
    <cellStyle name="Comma 2" xfId="14"/>
    <cellStyle name="Comma 2 2" xfId="9"/>
    <cellStyle name="Comma 2 3" xfId="3"/>
    <cellStyle name="Comma 3" xfId="4"/>
    <cellStyle name="Comma 3 2" xfId="5"/>
    <cellStyle name="Comma 3 3" xfId="12"/>
    <cellStyle name="Comma 4" xfId="17"/>
    <cellStyle name="Comma 5" xfId="22"/>
    <cellStyle name="Currency 2" xfId="18"/>
    <cellStyle name="Currency 2 2" xfId="13"/>
    <cellStyle name="Currency 3" xfId="21"/>
    <cellStyle name="Normal" xfId="0" builtinId="0"/>
    <cellStyle name="Normal 2" xfId="2"/>
    <cellStyle name="Normal 2 2" xfId="10"/>
    <cellStyle name="Normal 2 2 2" xfId="11"/>
    <cellStyle name="Normal 3" xfId="7"/>
    <cellStyle name="Normal 3 2" xfId="20"/>
    <cellStyle name="Normal 4" xfId="8"/>
    <cellStyle name="Normal 5" xfId="15"/>
    <cellStyle name="Normal 6" xfId="16"/>
    <cellStyle name="Normal 7" xfId="23"/>
    <cellStyle name="Percent 2" xfId="6"/>
    <cellStyle name="Percent 3" xfId="19"/>
  </cellStyles>
  <dxfs count="1">
    <dxf>
      <numFmt numFmtId="35" formatCode="_(* #,##0.00_);_(* \(#,##0.00\);_(* &quot;-&quot;??_);_(@_)"/>
    </dxf>
  </dxfs>
  <tableStyles count="0" defaultTableStyle="TableStyleMedium2" defaultPivotStyle="PivotStyleLight16"/>
  <colors>
    <mruColors>
      <color rgb="FFCCCCFF"/>
      <color rgb="FFFF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General%20Accounting\GL\GLEK%20Reports\FinRepts\FinRepts_201712%20Final%20Subject%20to%20Audi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General%20Accounting\GL\Rate%20Case\2020\Internal%20Request%20%2312%20(Benefits%20by%20Budget%20Code%20Account%20Dist)\Workpapers\FSX00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General%20Accounting\GL\Rate%20Case\2021\AG%20Nucor%20DR1%20Response%2056%20-%20Benefit%20Costs\2021%20Benefit%20Cost%20Sup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1"/>
      <sheetName val="2"/>
      <sheetName val="3"/>
      <sheetName val="4"/>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9">
          <cell r="A9">
            <v>1000</v>
          </cell>
          <cell r="B9"/>
          <cell r="C9" t="str">
            <v>Labor-Straight Time</v>
          </cell>
          <cell r="D9"/>
          <cell r="E9"/>
          <cell r="F9"/>
        </row>
        <row r="10">
          <cell r="A10">
            <v>1100</v>
          </cell>
          <cell r="B10"/>
          <cell r="C10" t="str">
            <v>Labor-Accrued</v>
          </cell>
          <cell r="D10"/>
          <cell r="E10"/>
          <cell r="F10"/>
        </row>
        <row r="11">
          <cell r="A11">
            <v>1400</v>
          </cell>
          <cell r="B11"/>
          <cell r="C11" t="str">
            <v>Labor-Overtime</v>
          </cell>
          <cell r="D11"/>
          <cell r="E11"/>
          <cell r="F11"/>
        </row>
        <row r="12">
          <cell r="A12">
            <v>1800</v>
          </cell>
          <cell r="B12"/>
          <cell r="C12" t="str">
            <v>Benefits Allocation</v>
          </cell>
          <cell r="D12"/>
          <cell r="E12"/>
          <cell r="F12"/>
        </row>
        <row r="13">
          <cell r="A13">
            <v>1802</v>
          </cell>
          <cell r="B13"/>
          <cell r="C13" t="str">
            <v>Retirement Benefits</v>
          </cell>
          <cell r="D13"/>
          <cell r="E13"/>
          <cell r="F13"/>
        </row>
        <row r="14">
          <cell r="A14">
            <v>1803</v>
          </cell>
          <cell r="B14"/>
          <cell r="C14" t="str">
            <v>Sick Leave Accrual</v>
          </cell>
          <cell r="D14"/>
          <cell r="E14"/>
          <cell r="F14"/>
        </row>
        <row r="15">
          <cell r="A15">
            <v>1804</v>
          </cell>
          <cell r="B15"/>
          <cell r="C15" t="str">
            <v>Dental/Vision Insurance</v>
          </cell>
          <cell r="D15"/>
          <cell r="E15"/>
          <cell r="F15"/>
        </row>
        <row r="16">
          <cell r="A16">
            <v>1805</v>
          </cell>
          <cell r="B16"/>
          <cell r="C16" t="str">
            <v>401K-Employer 2% Contribution</v>
          </cell>
          <cell r="D16"/>
          <cell r="E16"/>
          <cell r="F16"/>
        </row>
        <row r="17">
          <cell r="A17">
            <v>1806</v>
          </cell>
          <cell r="B17"/>
          <cell r="C17" t="str">
            <v>LTD Insurance</v>
          </cell>
          <cell r="D17"/>
          <cell r="E17"/>
          <cell r="F17"/>
        </row>
        <row r="18">
          <cell r="A18">
            <v>1807</v>
          </cell>
          <cell r="B18"/>
          <cell r="C18" t="str">
            <v>Business Travel Insurance</v>
          </cell>
          <cell r="D18"/>
          <cell r="E18"/>
          <cell r="F18"/>
        </row>
        <row r="19">
          <cell r="A19">
            <v>1808</v>
          </cell>
          <cell r="B19"/>
          <cell r="C19" t="str">
            <v>Employee Safety Awards</v>
          </cell>
          <cell r="D19"/>
          <cell r="E19"/>
          <cell r="F19"/>
        </row>
        <row r="20">
          <cell r="A20">
            <v>1809</v>
          </cell>
          <cell r="B20"/>
          <cell r="C20" t="str">
            <v>Group Term Life/AD&amp;D</v>
          </cell>
          <cell r="D20"/>
          <cell r="E20"/>
          <cell r="F20"/>
        </row>
        <row r="21">
          <cell r="A21">
            <v>1810</v>
          </cell>
          <cell r="B21"/>
          <cell r="C21" t="str">
            <v>Retired Employee Life Ins</v>
          </cell>
          <cell r="D21"/>
          <cell r="E21"/>
          <cell r="F21"/>
        </row>
        <row r="22">
          <cell r="A22">
            <v>1811</v>
          </cell>
          <cell r="B22"/>
          <cell r="C22" t="str">
            <v>Vending Supplies</v>
          </cell>
          <cell r="D22"/>
          <cell r="E22"/>
          <cell r="F22"/>
        </row>
        <row r="23">
          <cell r="A23">
            <v>1812</v>
          </cell>
          <cell r="B23"/>
          <cell r="C23" t="str">
            <v>Post Retirement/FASB 106</v>
          </cell>
          <cell r="D23"/>
          <cell r="E23"/>
          <cell r="F23"/>
        </row>
        <row r="24">
          <cell r="A24">
            <v>1813</v>
          </cell>
          <cell r="B24"/>
          <cell r="C24" t="str">
            <v>Postemployment-LTD, WC</v>
          </cell>
          <cell r="D24"/>
          <cell r="E24"/>
          <cell r="F24"/>
        </row>
        <row r="25">
          <cell r="A25">
            <v>1814</v>
          </cell>
          <cell r="B25"/>
          <cell r="C25" t="str">
            <v>Employee Food Certificates</v>
          </cell>
          <cell r="D25"/>
          <cell r="E25"/>
          <cell r="F25"/>
        </row>
        <row r="26">
          <cell r="A26">
            <v>1815</v>
          </cell>
          <cell r="B26"/>
          <cell r="C26" t="str">
            <v>Employee Recreation</v>
          </cell>
          <cell r="D26"/>
          <cell r="E26"/>
          <cell r="F26"/>
        </row>
        <row r="27">
          <cell r="A27">
            <v>1816</v>
          </cell>
          <cell r="B27"/>
          <cell r="C27" t="str">
            <v>Employee Recruiting Relocation</v>
          </cell>
          <cell r="D27"/>
          <cell r="E27"/>
          <cell r="F27"/>
        </row>
        <row r="28">
          <cell r="A28">
            <v>1817</v>
          </cell>
          <cell r="B28"/>
          <cell r="C28" t="str">
            <v>Employee Assn Board Lunches</v>
          </cell>
          <cell r="D28"/>
          <cell r="E28"/>
          <cell r="F28"/>
        </row>
        <row r="29">
          <cell r="A29">
            <v>1818</v>
          </cell>
          <cell r="B29"/>
          <cell r="C29" t="str">
            <v>Employee Service Awards</v>
          </cell>
          <cell r="D29"/>
          <cell r="E29"/>
          <cell r="F29"/>
        </row>
        <row r="30">
          <cell r="A30">
            <v>1819</v>
          </cell>
          <cell r="B30"/>
          <cell r="C30" t="str">
            <v>Employee Physicals</v>
          </cell>
          <cell r="D30"/>
          <cell r="E30"/>
          <cell r="F30"/>
        </row>
        <row r="31">
          <cell r="A31">
            <v>1821</v>
          </cell>
          <cell r="B31"/>
          <cell r="C31" t="str">
            <v>Employee Recognition Dinner</v>
          </cell>
          <cell r="D31"/>
          <cell r="E31"/>
          <cell r="F31"/>
        </row>
        <row r="32">
          <cell r="A32">
            <v>1822</v>
          </cell>
          <cell r="B32"/>
          <cell r="C32" t="str">
            <v>Executive Retirement SERP</v>
          </cell>
          <cell r="D32"/>
          <cell r="E32"/>
          <cell r="F32"/>
        </row>
        <row r="33">
          <cell r="A33">
            <v>1823</v>
          </cell>
          <cell r="B33"/>
          <cell r="C33" t="str">
            <v>Retiree Lunch</v>
          </cell>
          <cell r="D33"/>
          <cell r="E33"/>
          <cell r="F33"/>
        </row>
        <row r="34">
          <cell r="A34">
            <v>1825</v>
          </cell>
          <cell r="B34"/>
          <cell r="C34" t="str">
            <v>Workers Compensation</v>
          </cell>
          <cell r="D34"/>
          <cell r="E34"/>
          <cell r="F34"/>
        </row>
        <row r="35">
          <cell r="A35">
            <v>1826</v>
          </cell>
          <cell r="B35"/>
          <cell r="C35" t="str">
            <v>Retiree Medical-Current Indemn</v>
          </cell>
          <cell r="D35"/>
          <cell r="E35"/>
          <cell r="F35"/>
        </row>
        <row r="36">
          <cell r="A36">
            <v>1827</v>
          </cell>
          <cell r="B36"/>
          <cell r="C36" t="str">
            <v>Key Contributor Award</v>
          </cell>
          <cell r="D36"/>
          <cell r="E36"/>
          <cell r="F36"/>
        </row>
        <row r="37">
          <cell r="A37">
            <v>1829</v>
          </cell>
          <cell r="B37"/>
          <cell r="C37" t="str">
            <v>Employee Assistance Program</v>
          </cell>
          <cell r="D37"/>
          <cell r="E37"/>
          <cell r="F37"/>
        </row>
        <row r="38">
          <cell r="A38">
            <v>1831</v>
          </cell>
          <cell r="B38"/>
          <cell r="C38" t="str">
            <v>Wellness Program</v>
          </cell>
          <cell r="D38"/>
          <cell r="E38"/>
          <cell r="F38"/>
        </row>
        <row r="39">
          <cell r="A39">
            <v>1832</v>
          </cell>
          <cell r="B39"/>
          <cell r="C39" t="str">
            <v>Medical Surveillance</v>
          </cell>
          <cell r="D39"/>
          <cell r="E39"/>
          <cell r="F39"/>
        </row>
        <row r="40">
          <cell r="A40">
            <v>1833</v>
          </cell>
          <cell r="B40"/>
          <cell r="C40" t="str">
            <v>Meals_EE Service Awds/Luncheon</v>
          </cell>
          <cell r="D40"/>
          <cell r="E40"/>
          <cell r="F40"/>
        </row>
        <row r="41">
          <cell r="A41">
            <v>1834</v>
          </cell>
          <cell r="B41"/>
          <cell r="C41" t="str">
            <v>CDL Physicals</v>
          </cell>
          <cell r="D41"/>
          <cell r="E41"/>
          <cell r="F41"/>
        </row>
        <row r="42">
          <cell r="A42">
            <v>1835</v>
          </cell>
          <cell r="B42"/>
          <cell r="C42" t="str">
            <v>CDL Drug &amp; Alcohol Testing</v>
          </cell>
          <cell r="D42"/>
          <cell r="E42"/>
          <cell r="F42"/>
        </row>
        <row r="43">
          <cell r="A43">
            <v>1836</v>
          </cell>
          <cell r="B43"/>
          <cell r="C43" t="str">
            <v>Corporate Drug/Alcohol Testing</v>
          </cell>
          <cell r="D43"/>
          <cell r="E43"/>
          <cell r="F43"/>
        </row>
        <row r="44">
          <cell r="A44">
            <v>1837</v>
          </cell>
          <cell r="B44"/>
          <cell r="C44" t="str">
            <v>Medical Insurance PPO</v>
          </cell>
          <cell r="D44"/>
          <cell r="E44"/>
          <cell r="F44"/>
        </row>
        <row r="45">
          <cell r="A45">
            <v>1839</v>
          </cell>
          <cell r="B45"/>
          <cell r="C45" t="str">
            <v>Drug Charges-Active Employees</v>
          </cell>
          <cell r="D45"/>
          <cell r="E45"/>
          <cell r="F45"/>
        </row>
        <row r="46">
          <cell r="A46">
            <v>1840</v>
          </cell>
          <cell r="B46"/>
          <cell r="C46" t="str">
            <v>Drug Charges-Retirees</v>
          </cell>
          <cell r="D46"/>
          <cell r="E46"/>
          <cell r="F46"/>
        </row>
        <row r="47">
          <cell r="A47">
            <v>1842</v>
          </cell>
          <cell r="B47"/>
          <cell r="C47" t="str">
            <v>Retiree Medical-PPO</v>
          </cell>
          <cell r="D47"/>
          <cell r="E47"/>
          <cell r="F47"/>
        </row>
        <row r="48">
          <cell r="A48">
            <v>1850</v>
          </cell>
          <cell r="B48"/>
          <cell r="C48" t="str">
            <v>401K-Employer 6% Contribution</v>
          </cell>
          <cell r="D48"/>
          <cell r="E48"/>
          <cell r="F48"/>
        </row>
        <row r="49">
          <cell r="A49">
            <v>1851</v>
          </cell>
          <cell r="B49"/>
          <cell r="C49" t="str">
            <v>401K-Employer 4% Contribution</v>
          </cell>
          <cell r="D49"/>
          <cell r="E49"/>
          <cell r="F49"/>
        </row>
        <row r="50">
          <cell r="A50">
            <v>1852</v>
          </cell>
          <cell r="B50"/>
          <cell r="C50" t="str">
            <v>Car Allowance</v>
          </cell>
          <cell r="D50"/>
          <cell r="E50"/>
          <cell r="F50"/>
        </row>
        <row r="51">
          <cell r="A51">
            <v>1853</v>
          </cell>
          <cell r="B51"/>
          <cell r="C51" t="str">
            <v>Retiremnt Benft Debt Reduction</v>
          </cell>
          <cell r="D51"/>
          <cell r="E51"/>
          <cell r="F51"/>
        </row>
        <row r="52">
          <cell r="A52">
            <v>1854</v>
          </cell>
          <cell r="B52"/>
          <cell r="C52" t="str">
            <v>Safety Incentive Program</v>
          </cell>
          <cell r="D52"/>
          <cell r="E52"/>
          <cell r="F52"/>
        </row>
        <row r="53">
          <cell r="A53">
            <v>1856</v>
          </cell>
          <cell r="B53"/>
          <cell r="C53" t="str">
            <v>RS/SERP/DefComp/401K Admin Fee</v>
          </cell>
          <cell r="D53"/>
          <cell r="E53"/>
          <cell r="F53"/>
        </row>
        <row r="54">
          <cell r="A54">
            <v>1857</v>
          </cell>
          <cell r="B54"/>
          <cell r="C54" t="str">
            <v>Section 125-Administrative Fee</v>
          </cell>
          <cell r="D54"/>
          <cell r="E54"/>
          <cell r="F54"/>
        </row>
        <row r="55">
          <cell r="A55">
            <v>1858</v>
          </cell>
          <cell r="B55"/>
          <cell r="C55" t="str">
            <v>HSA Employer Contribution</v>
          </cell>
          <cell r="D55"/>
          <cell r="E55"/>
          <cell r="F55"/>
        </row>
        <row r="56">
          <cell r="A56">
            <v>1859</v>
          </cell>
          <cell r="B56"/>
          <cell r="C56" t="str">
            <v>HRA Benefits</v>
          </cell>
          <cell r="D56"/>
          <cell r="E56"/>
          <cell r="F56"/>
        </row>
        <row r="57">
          <cell r="A57">
            <v>1860</v>
          </cell>
          <cell r="B57"/>
          <cell r="C57" t="str">
            <v>Employer-Paid Short-Term Disab</v>
          </cell>
          <cell r="D57"/>
          <cell r="E57"/>
          <cell r="F57"/>
        </row>
        <row r="58">
          <cell r="A58">
            <v>2200</v>
          </cell>
          <cell r="B58"/>
          <cell r="C58" t="str">
            <v>Travel and Training</v>
          </cell>
          <cell r="D58"/>
          <cell r="E58"/>
          <cell r="F58"/>
        </row>
        <row r="59">
          <cell r="A59">
            <v>2600</v>
          </cell>
          <cell r="B59"/>
          <cell r="C59" t="str">
            <v>Oper Material and Supplies</v>
          </cell>
          <cell r="D59"/>
          <cell r="E59"/>
          <cell r="F59"/>
        </row>
        <row r="60">
          <cell r="A60">
            <v>2605</v>
          </cell>
          <cell r="B60"/>
          <cell r="C60" t="str">
            <v>Lab Supplies and Chemicals</v>
          </cell>
          <cell r="D60"/>
          <cell r="E60"/>
          <cell r="F60"/>
        </row>
        <row r="61">
          <cell r="A61">
            <v>2606</v>
          </cell>
          <cell r="B61"/>
          <cell r="C61" t="str">
            <v>Diesel Fuel _ Fuel Handling Eq</v>
          </cell>
          <cell r="D61"/>
          <cell r="E61"/>
          <cell r="F61"/>
        </row>
        <row r="62">
          <cell r="A62">
            <v>2608</v>
          </cell>
          <cell r="B62"/>
          <cell r="C62" t="str">
            <v>Coal Handling Operations</v>
          </cell>
          <cell r="D62"/>
          <cell r="E62"/>
          <cell r="F62"/>
        </row>
        <row r="63">
          <cell r="A63">
            <v>2609</v>
          </cell>
          <cell r="B63"/>
          <cell r="C63" t="str">
            <v>Hydrogen and Carbon Dioxide</v>
          </cell>
          <cell r="D63"/>
          <cell r="E63"/>
          <cell r="F63"/>
        </row>
        <row r="64">
          <cell r="A64">
            <v>2610</v>
          </cell>
          <cell r="B64"/>
          <cell r="C64" t="str">
            <v>Ash Storage Operations</v>
          </cell>
          <cell r="D64"/>
          <cell r="E64"/>
          <cell r="F64"/>
        </row>
        <row r="65">
          <cell r="A65">
            <v>2611</v>
          </cell>
          <cell r="B65"/>
          <cell r="C65" t="str">
            <v>Ammonia</v>
          </cell>
          <cell r="D65"/>
          <cell r="E65"/>
          <cell r="F65"/>
        </row>
        <row r="66">
          <cell r="A66">
            <v>2613</v>
          </cell>
          <cell r="B66"/>
          <cell r="C66" t="str">
            <v>Stack/Air Monitoring Supplies</v>
          </cell>
          <cell r="D66"/>
          <cell r="E66"/>
          <cell r="F66"/>
        </row>
        <row r="67">
          <cell r="A67">
            <v>2617</v>
          </cell>
          <cell r="B67"/>
          <cell r="C67" t="str">
            <v>Desktops, Laptops and Monitors</v>
          </cell>
          <cell r="D67"/>
          <cell r="E67"/>
          <cell r="F67"/>
        </row>
        <row r="68">
          <cell r="A68">
            <v>3000</v>
          </cell>
          <cell r="B68"/>
          <cell r="C68" t="str">
            <v>Maintenance/Mat'l/Contract Lbr</v>
          </cell>
          <cell r="D68"/>
          <cell r="E68"/>
          <cell r="F68"/>
        </row>
        <row r="69">
          <cell r="A69">
            <v>3400</v>
          </cell>
          <cell r="B69"/>
          <cell r="C69" t="str">
            <v>Utilities</v>
          </cell>
          <cell r="D69"/>
          <cell r="E69"/>
          <cell r="F69"/>
        </row>
        <row r="70">
          <cell r="A70">
            <v>3401</v>
          </cell>
          <cell r="B70"/>
          <cell r="C70" t="str">
            <v>Leased Data Circuits</v>
          </cell>
          <cell r="D70"/>
          <cell r="E70"/>
          <cell r="F70"/>
        </row>
        <row r="71">
          <cell r="A71">
            <v>3402</v>
          </cell>
          <cell r="B71"/>
          <cell r="C71" t="str">
            <v>Leased Voice Circuits</v>
          </cell>
          <cell r="D71"/>
          <cell r="E71"/>
          <cell r="F71"/>
        </row>
        <row r="72">
          <cell r="A72">
            <v>4200</v>
          </cell>
          <cell r="B72"/>
          <cell r="C72" t="str">
            <v>Equip Rental/Mntc&amp;Svc Agreemts</v>
          </cell>
          <cell r="D72"/>
          <cell r="E72"/>
          <cell r="F72"/>
        </row>
        <row r="73">
          <cell r="A73">
            <v>4800</v>
          </cell>
          <cell r="B73"/>
          <cell r="C73" t="str">
            <v>Outside Services</v>
          </cell>
          <cell r="D73"/>
          <cell r="E73"/>
          <cell r="F73"/>
        </row>
        <row r="74">
          <cell r="A74">
            <v>4813</v>
          </cell>
          <cell r="B74"/>
          <cell r="C74" t="str">
            <v>Stack Monitoring (CEM)</v>
          </cell>
          <cell r="D74"/>
          <cell r="E74"/>
          <cell r="F74"/>
        </row>
        <row r="75">
          <cell r="A75">
            <v>5401</v>
          </cell>
          <cell r="B75"/>
          <cell r="C75" t="str">
            <v>Civic Dues</v>
          </cell>
          <cell r="D75"/>
          <cell r="E75"/>
          <cell r="F75"/>
        </row>
        <row r="76">
          <cell r="A76">
            <v>5402</v>
          </cell>
          <cell r="B76"/>
          <cell r="C76" t="str">
            <v>Corporate Dues</v>
          </cell>
          <cell r="D76"/>
          <cell r="E76"/>
          <cell r="F76"/>
        </row>
        <row r="77">
          <cell r="A77">
            <v>5403</v>
          </cell>
          <cell r="B77"/>
          <cell r="C77" t="str">
            <v>Professional Dues</v>
          </cell>
          <cell r="D77"/>
          <cell r="E77"/>
          <cell r="F77"/>
        </row>
        <row r="78">
          <cell r="A78">
            <v>6600</v>
          </cell>
          <cell r="B78"/>
          <cell r="C78" t="str">
            <v>Fuel</v>
          </cell>
          <cell r="D78"/>
          <cell r="E78"/>
          <cell r="F78"/>
        </row>
        <row r="79">
          <cell r="A79">
            <v>6601</v>
          </cell>
          <cell r="B79"/>
          <cell r="C79" t="str">
            <v>Oil-Dist Gen Fuel</v>
          </cell>
          <cell r="D79"/>
          <cell r="E79"/>
          <cell r="F79"/>
        </row>
        <row r="80">
          <cell r="A80">
            <v>6603</v>
          </cell>
          <cell r="B80"/>
          <cell r="C80" t="str">
            <v>Oil-Combustion Turbines</v>
          </cell>
          <cell r="D80"/>
          <cell r="E80"/>
          <cell r="F80"/>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 Nucor Response 56 - 2021"/>
      <sheetName val="2021 Cost by Account Worksheet"/>
      <sheetName val="PIVOT 2021 Ben by Budget Code"/>
      <sheetName val="ES Summary from V.Norwood"/>
      <sheetName val="1R"/>
      <sheetName val="2R"/>
      <sheetName val="3R"/>
      <sheetName val="PIVOT ALLOCATED BENEFITS"/>
      <sheetName val="PIVOT Unallocated and Direc (2"/>
      <sheetName val="PIVOT Unallocated and Direct As"/>
      <sheetName val="2021 BI Detail (1800-1899)"/>
      <sheetName val="2021 GL Detail (1800-1899)"/>
      <sheetName val="2021 GL Detail Criteria"/>
      <sheetName val="FUELSTOCK Balances"/>
      <sheetName val="Stores Summary"/>
      <sheetName val="PIVOT 163s"/>
      <sheetName val="Allocated Stores 163s"/>
      <sheetName val="PIVOT 2021 Allocated Stores"/>
      <sheetName val="Total Stores Allocation"/>
      <sheetName val="01.21"/>
      <sheetName val="02.21"/>
      <sheetName val="03.21"/>
      <sheetName val="04.21"/>
      <sheetName val="PIVOT 163 Balances by Month"/>
      <sheetName val="163 Balances Query"/>
      <sheetName val="163 Balances Criteria"/>
      <sheetName val="BEN_ALLOC2"/>
      <sheetName val="BEN_ALLOC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1">
          <cell r="A11">
            <v>163000</v>
          </cell>
          <cell r="B11">
            <v>-11034.09</v>
          </cell>
          <cell r="C11" t="str">
            <v>S1a</v>
          </cell>
          <cell r="D11">
            <v>-10713.990000000002</v>
          </cell>
          <cell r="E11" t="str">
            <v>S2a</v>
          </cell>
          <cell r="F11">
            <v>-10904.33</v>
          </cell>
          <cell r="G11" t="str">
            <v>S3a</v>
          </cell>
          <cell r="H11">
            <v>-10587.86</v>
          </cell>
          <cell r="I11" t="str">
            <v>S4a</v>
          </cell>
          <cell r="J11">
            <v>-43240.270000000004</v>
          </cell>
        </row>
        <row r="12">
          <cell r="A12">
            <v>163030</v>
          </cell>
          <cell r="B12">
            <v>-2170.08</v>
          </cell>
          <cell r="C12" t="str">
            <v>S1b</v>
          </cell>
          <cell r="D12">
            <v>-2107.13</v>
          </cell>
          <cell r="E12" t="str">
            <v>S2b</v>
          </cell>
          <cell r="F12">
            <v>-2144.4899999999998</v>
          </cell>
          <cell r="G12" t="str">
            <v>S3b</v>
          </cell>
          <cell r="H12">
            <v>-2357.4499999999998</v>
          </cell>
          <cell r="I12" t="str">
            <v>S4b</v>
          </cell>
          <cell r="J12">
            <v>-8779.15</v>
          </cell>
        </row>
        <row r="13">
          <cell r="A13">
            <v>163040</v>
          </cell>
          <cell r="B13">
            <v>-7546.54</v>
          </cell>
          <cell r="C13" t="str">
            <v>S1c</v>
          </cell>
          <cell r="D13">
            <v>-8240.76</v>
          </cell>
          <cell r="E13" t="str">
            <v>S2c</v>
          </cell>
          <cell r="F13">
            <v>-8387.1500000000015</v>
          </cell>
          <cell r="G13" t="str">
            <v>S3c</v>
          </cell>
          <cell r="H13">
            <v>-9223.9699999999993</v>
          </cell>
          <cell r="I13" t="str">
            <v>S4c</v>
          </cell>
          <cell r="J13">
            <v>-33398.42</v>
          </cell>
        </row>
        <row r="14">
          <cell r="A14">
            <v>163050</v>
          </cell>
          <cell r="B14">
            <v>-2038.5300000000002</v>
          </cell>
          <cell r="C14" t="str">
            <v>S1d</v>
          </cell>
          <cell r="D14">
            <v>-1979.4299999999998</v>
          </cell>
          <cell r="E14" t="str">
            <v>S2d</v>
          </cell>
          <cell r="F14">
            <v>-2014.53</v>
          </cell>
          <cell r="G14" t="str">
            <v>S3d</v>
          </cell>
          <cell r="H14">
            <v>-2213.58</v>
          </cell>
          <cell r="I14" t="str">
            <v>S4d</v>
          </cell>
          <cell r="J14">
            <v>-8246.07</v>
          </cell>
        </row>
        <row r="15">
          <cell r="A15">
            <v>107200</v>
          </cell>
          <cell r="B15">
            <v>9558.75</v>
          </cell>
          <cell r="C15" t="str">
            <v>S1e</v>
          </cell>
          <cell r="D15">
            <v>6612.53</v>
          </cell>
          <cell r="E15" t="str">
            <v>S2e</v>
          </cell>
          <cell r="F15">
            <v>8198.8799999999992</v>
          </cell>
          <cell r="G15" t="str">
            <v>S3e</v>
          </cell>
          <cell r="H15">
            <v>9365.23</v>
          </cell>
          <cell r="I15" t="str">
            <v>S4e</v>
          </cell>
          <cell r="J15">
            <v>33735.39</v>
          </cell>
        </row>
        <row r="16">
          <cell r="A16">
            <v>506001</v>
          </cell>
          <cell r="B16">
            <v>112.85</v>
          </cell>
          <cell r="C16" t="str">
            <v>S1f</v>
          </cell>
          <cell r="D16">
            <v>132.82</v>
          </cell>
          <cell r="E16" t="str">
            <v>S2f</v>
          </cell>
          <cell r="F16">
            <v>1977.49</v>
          </cell>
          <cell r="G16" t="str">
            <v>S3f</v>
          </cell>
          <cell r="H16">
            <v>171.89</v>
          </cell>
          <cell r="I16" t="str">
            <v>S4f</v>
          </cell>
          <cell r="J16">
            <v>2395.0499999999997</v>
          </cell>
        </row>
        <row r="17">
          <cell r="A17">
            <v>511000</v>
          </cell>
          <cell r="B17">
            <v>162.51</v>
          </cell>
          <cell r="C17" t="str">
            <v>S1g</v>
          </cell>
          <cell r="D17">
            <v>680</v>
          </cell>
          <cell r="E17" t="str">
            <v>S2g</v>
          </cell>
          <cell r="F17">
            <v>562.79999999999995</v>
          </cell>
          <cell r="G17" t="str">
            <v>S3g</v>
          </cell>
          <cell r="H17">
            <v>427.90999999999997</v>
          </cell>
          <cell r="I17" t="str">
            <v>S4g</v>
          </cell>
          <cell r="J17">
            <v>1833.2199999999998</v>
          </cell>
        </row>
        <row r="18">
          <cell r="A18">
            <v>512000</v>
          </cell>
          <cell r="B18">
            <v>8645.61</v>
          </cell>
          <cell r="C18" t="str">
            <v>S1h</v>
          </cell>
          <cell r="D18">
            <v>6894.1600000000008</v>
          </cell>
          <cell r="E18" t="str">
            <v>S2h</v>
          </cell>
          <cell r="F18">
            <v>12609.23</v>
          </cell>
          <cell r="G18" t="str">
            <v>S3h</v>
          </cell>
          <cell r="H18">
            <v>9894.3499999999967</v>
          </cell>
          <cell r="I18" t="str">
            <v>S4h</v>
          </cell>
          <cell r="J18">
            <v>38043.35</v>
          </cell>
        </row>
        <row r="19">
          <cell r="A19">
            <v>513000</v>
          </cell>
          <cell r="B19">
            <v>682.05</v>
          </cell>
          <cell r="C19" t="str">
            <v>S1i</v>
          </cell>
          <cell r="D19">
            <v>2556.0499999999997</v>
          </cell>
          <cell r="E19" t="str">
            <v>S2i</v>
          </cell>
          <cell r="F19">
            <v>-4641.8</v>
          </cell>
          <cell r="G19" t="str">
            <v>S3i</v>
          </cell>
          <cell r="H19">
            <v>1082.42</v>
          </cell>
          <cell r="I19" t="str">
            <v>S4i</v>
          </cell>
          <cell r="J19">
            <v>-321.28000000000065</v>
          </cell>
        </row>
        <row r="20">
          <cell r="A20">
            <v>552000</v>
          </cell>
          <cell r="B20">
            <v>0</v>
          </cell>
          <cell r="C20" t="str">
            <v>S1j</v>
          </cell>
          <cell r="D20">
            <v>6.77</v>
          </cell>
          <cell r="E20" t="str">
            <v>S2j</v>
          </cell>
          <cell r="F20">
            <v>0</v>
          </cell>
          <cell r="G20" t="str">
            <v>S3j</v>
          </cell>
          <cell r="H20">
            <v>35.94</v>
          </cell>
          <cell r="I20" t="str">
            <v>S4j</v>
          </cell>
          <cell r="J20">
            <v>42.709999999999994</v>
          </cell>
        </row>
        <row r="21">
          <cell r="A21">
            <v>553000</v>
          </cell>
          <cell r="B21">
            <v>2038.52</v>
          </cell>
          <cell r="C21" t="str">
            <v>S1k</v>
          </cell>
          <cell r="D21">
            <v>1972.6699999999998</v>
          </cell>
          <cell r="E21" t="str">
            <v>S2k</v>
          </cell>
          <cell r="F21">
            <v>1958.57</v>
          </cell>
          <cell r="G21" t="str">
            <v>S3k</v>
          </cell>
          <cell r="H21">
            <v>2177.6400000000003</v>
          </cell>
          <cell r="I21" t="str">
            <v>S4k</v>
          </cell>
          <cell r="J21">
            <v>8147.4</v>
          </cell>
        </row>
        <row r="22">
          <cell r="A22">
            <v>563000</v>
          </cell>
          <cell r="B22">
            <v>26.380000000000003</v>
          </cell>
          <cell r="C22" t="str">
            <v>S1l</v>
          </cell>
          <cell r="D22">
            <v>40.36</v>
          </cell>
          <cell r="E22" t="str">
            <v>S2l</v>
          </cell>
          <cell r="F22">
            <v>9.41</v>
          </cell>
          <cell r="G22" t="str">
            <v>S3l</v>
          </cell>
          <cell r="H22">
            <v>2.74</v>
          </cell>
          <cell r="I22" t="str">
            <v>S4l</v>
          </cell>
          <cell r="J22">
            <v>78.89</v>
          </cell>
        </row>
        <row r="23">
          <cell r="A23">
            <v>570000</v>
          </cell>
          <cell r="B23">
            <v>984.42</v>
          </cell>
          <cell r="C23" t="str">
            <v>S1m</v>
          </cell>
          <cell r="D23">
            <v>809.81</v>
          </cell>
          <cell r="E23" t="str">
            <v>S2m</v>
          </cell>
          <cell r="F23">
            <v>471.88</v>
          </cell>
          <cell r="G23" t="str">
            <v>S3m</v>
          </cell>
          <cell r="H23">
            <v>135.49</v>
          </cell>
          <cell r="I23" t="str">
            <v>S4m</v>
          </cell>
          <cell r="J23">
            <v>2401.6000000000004</v>
          </cell>
        </row>
        <row r="24">
          <cell r="A24">
            <v>571000</v>
          </cell>
          <cell r="B24">
            <v>170.7</v>
          </cell>
          <cell r="C24" t="str">
            <v>S1n</v>
          </cell>
          <cell r="D24">
            <v>1632.2700000000002</v>
          </cell>
          <cell r="E24" t="str">
            <v>S2n</v>
          </cell>
          <cell r="F24">
            <v>497.46</v>
          </cell>
          <cell r="G24" t="str">
            <v>S3n</v>
          </cell>
          <cell r="H24">
            <v>523.49</v>
          </cell>
          <cell r="I24" t="str">
            <v>S4n</v>
          </cell>
          <cell r="J24">
            <v>2823.92</v>
          </cell>
        </row>
        <row r="25">
          <cell r="A25">
            <v>582000</v>
          </cell>
          <cell r="B25">
            <v>34.099999999999994</v>
          </cell>
          <cell r="C25" t="str">
            <v>S1o</v>
          </cell>
          <cell r="D25">
            <v>278.29000000000002</v>
          </cell>
          <cell r="E25" t="str">
            <v>S2o</v>
          </cell>
          <cell r="F25">
            <v>149.71999999999997</v>
          </cell>
          <cell r="G25" t="str">
            <v>S3o</v>
          </cell>
          <cell r="H25">
            <v>13.760000000000002</v>
          </cell>
          <cell r="I25" t="str">
            <v>S4o</v>
          </cell>
          <cell r="J25">
            <v>475.86999999999995</v>
          </cell>
        </row>
        <row r="26">
          <cell r="A26">
            <v>592000</v>
          </cell>
          <cell r="B26">
            <v>373.34999999999997</v>
          </cell>
          <cell r="C26" t="str">
            <v>S1p</v>
          </cell>
          <cell r="D26">
            <v>1425.5800000000002</v>
          </cell>
          <cell r="E26" t="str">
            <v>S2p</v>
          </cell>
          <cell r="F26">
            <v>1656.8600000000001</v>
          </cell>
          <cell r="G26" t="str">
            <v>S3p</v>
          </cell>
          <cell r="H26">
            <v>552</v>
          </cell>
          <cell r="I26" t="str">
            <v>S4p</v>
          </cell>
          <cell r="J26">
            <v>4007.79</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PSE%20Request%20#10 - Benefit and Taxes - PSE  Final.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Heather Vaughn" refreshedDate="43948.596342013887" createdVersion="6" refreshedVersion="6" minRefreshableVersion="3" recordCount="96">
  <cacheSource type="worksheet">
    <worksheetSource ref="A2:F98" sheet="163 Balances Query" r:id="rId2"/>
  </cacheSource>
  <cacheFields count="6">
    <cacheField name="Account" numFmtId="0">
      <sharedItems count="4">
        <s v="163000"/>
        <s v="163030"/>
        <s v="163040"/>
        <s v="163050"/>
      </sharedItems>
    </cacheField>
    <cacheField name="Sum Amount" numFmtId="0">
      <sharedItems containsSemiMixedTypes="0" containsString="0" containsNumber="1" minValue="273.75" maxValue="13291.52"/>
    </cacheField>
    <cacheField name="Budget Code" numFmtId="0">
      <sharedItems/>
    </cacheField>
    <cacheField name="Dept" numFmtId="0">
      <sharedItems count="2">
        <s v="007"/>
        <s v="010"/>
      </sharedItems>
    </cacheField>
    <cacheField name="Period" numFmtId="1">
      <sharedItems containsSemiMixedTypes="0" containsString="0" containsNumber="1" containsInteger="1" minValue="1" maxValue="12" count="12">
        <n v="1"/>
        <n v="2"/>
        <n v="3"/>
        <n v="4"/>
        <n v="5"/>
        <n v="6"/>
        <n v="7"/>
        <n v="8"/>
        <n v="9"/>
        <n v="10"/>
        <n v="11"/>
        <n v="12"/>
      </sharedItems>
    </cacheField>
    <cacheField name="Year" numFmtId="1">
      <sharedItems containsSemiMixedTypes="0" containsString="0" containsNumber="1" containsInteger="1" minValue="2019" maxValue="201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6">
  <r>
    <x v="0"/>
    <n v="2056.61"/>
    <s v="1800"/>
    <x v="0"/>
    <x v="0"/>
    <n v="2019"/>
  </r>
  <r>
    <x v="0"/>
    <n v="1823.53"/>
    <s v="1800"/>
    <x v="0"/>
    <x v="1"/>
    <n v="2019"/>
  </r>
  <r>
    <x v="0"/>
    <n v="1762.16"/>
    <s v="1800"/>
    <x v="0"/>
    <x v="2"/>
    <n v="2019"/>
  </r>
  <r>
    <x v="0"/>
    <n v="1827.88"/>
    <s v="1800"/>
    <x v="0"/>
    <x v="3"/>
    <n v="2019"/>
  </r>
  <r>
    <x v="0"/>
    <n v="2746.23"/>
    <s v="1800"/>
    <x v="0"/>
    <x v="4"/>
    <n v="2019"/>
  </r>
  <r>
    <x v="0"/>
    <n v="1755.09"/>
    <s v="1800"/>
    <x v="0"/>
    <x v="5"/>
    <n v="2019"/>
  </r>
  <r>
    <x v="0"/>
    <n v="1809.5"/>
    <s v="1800"/>
    <x v="0"/>
    <x v="6"/>
    <n v="2019"/>
  </r>
  <r>
    <x v="0"/>
    <n v="1842.43"/>
    <s v="1800"/>
    <x v="0"/>
    <x v="7"/>
    <n v="2019"/>
  </r>
  <r>
    <x v="0"/>
    <n v="1635.97"/>
    <s v="1800"/>
    <x v="0"/>
    <x v="8"/>
    <n v="2019"/>
  </r>
  <r>
    <x v="0"/>
    <n v="1402.11"/>
    <s v="1800"/>
    <x v="0"/>
    <x v="9"/>
    <n v="2019"/>
  </r>
  <r>
    <x v="0"/>
    <n v="2433.0100000000002"/>
    <s v="1800"/>
    <x v="0"/>
    <x v="10"/>
    <n v="2019"/>
  </r>
  <r>
    <x v="0"/>
    <n v="1646.95"/>
    <s v="1800"/>
    <x v="0"/>
    <x v="11"/>
    <n v="2019"/>
  </r>
  <r>
    <x v="0"/>
    <n v="13291.52"/>
    <s v="1800"/>
    <x v="1"/>
    <x v="0"/>
    <n v="2019"/>
  </r>
  <r>
    <x v="0"/>
    <n v="12634.65"/>
    <s v="1800"/>
    <x v="1"/>
    <x v="1"/>
    <n v="2019"/>
  </r>
  <r>
    <x v="0"/>
    <n v="12549.01"/>
    <s v="1800"/>
    <x v="1"/>
    <x v="2"/>
    <n v="2019"/>
  </r>
  <r>
    <x v="0"/>
    <n v="13211.12"/>
    <s v="1800"/>
    <x v="1"/>
    <x v="3"/>
    <n v="2019"/>
  </r>
  <r>
    <x v="0"/>
    <n v="13234.62"/>
    <s v="1800"/>
    <x v="1"/>
    <x v="4"/>
    <n v="2019"/>
  </r>
  <r>
    <x v="0"/>
    <n v="12348.98"/>
    <s v="1800"/>
    <x v="1"/>
    <x v="5"/>
    <n v="2019"/>
  </r>
  <r>
    <x v="0"/>
    <n v="12831.89"/>
    <s v="1800"/>
    <x v="1"/>
    <x v="6"/>
    <n v="2019"/>
  </r>
  <r>
    <x v="0"/>
    <n v="12573.09"/>
    <s v="1800"/>
    <x v="1"/>
    <x v="7"/>
    <n v="2019"/>
  </r>
  <r>
    <x v="0"/>
    <n v="7608.81"/>
    <s v="1800"/>
    <x v="1"/>
    <x v="8"/>
    <n v="2019"/>
  </r>
  <r>
    <x v="0"/>
    <n v="6971.91"/>
    <s v="1800"/>
    <x v="1"/>
    <x v="9"/>
    <n v="2019"/>
  </r>
  <r>
    <x v="0"/>
    <n v="8344.56"/>
    <s v="1800"/>
    <x v="1"/>
    <x v="10"/>
    <n v="2019"/>
  </r>
  <r>
    <x v="0"/>
    <n v="10549.64"/>
    <s v="1800"/>
    <x v="1"/>
    <x v="11"/>
    <n v="2019"/>
  </r>
  <r>
    <x v="1"/>
    <n v="380.66"/>
    <s v="1800"/>
    <x v="0"/>
    <x v="0"/>
    <n v="2019"/>
  </r>
  <r>
    <x v="1"/>
    <n v="336.54"/>
    <s v="1800"/>
    <x v="0"/>
    <x v="1"/>
    <n v="2019"/>
  </r>
  <r>
    <x v="1"/>
    <n v="323.04000000000002"/>
    <s v="1800"/>
    <x v="0"/>
    <x v="2"/>
    <n v="2019"/>
  </r>
  <r>
    <x v="1"/>
    <n v="322"/>
    <s v="1800"/>
    <x v="0"/>
    <x v="3"/>
    <n v="2019"/>
  </r>
  <r>
    <x v="1"/>
    <n v="487.57"/>
    <s v="1800"/>
    <x v="0"/>
    <x v="4"/>
    <n v="2019"/>
  </r>
  <r>
    <x v="1"/>
    <n v="320.82"/>
    <s v="1800"/>
    <x v="0"/>
    <x v="5"/>
    <n v="2019"/>
  </r>
  <r>
    <x v="1"/>
    <n v="324.35000000000002"/>
    <s v="1800"/>
    <x v="0"/>
    <x v="6"/>
    <n v="2019"/>
  </r>
  <r>
    <x v="1"/>
    <n v="326.33999999999997"/>
    <s v="1800"/>
    <x v="0"/>
    <x v="7"/>
    <n v="2019"/>
  </r>
  <r>
    <x v="1"/>
    <n v="319.49"/>
    <s v="1800"/>
    <x v="0"/>
    <x v="8"/>
    <n v="2019"/>
  </r>
  <r>
    <x v="1"/>
    <n v="315.35000000000002"/>
    <s v="1800"/>
    <x v="0"/>
    <x v="9"/>
    <n v="2019"/>
  </r>
  <r>
    <x v="1"/>
    <n v="476.64"/>
    <s v="1800"/>
    <x v="0"/>
    <x v="10"/>
    <n v="2019"/>
  </r>
  <r>
    <x v="1"/>
    <n v="293.06"/>
    <s v="1800"/>
    <x v="0"/>
    <x v="11"/>
    <n v="2019"/>
  </r>
  <r>
    <x v="1"/>
    <n v="2617.66"/>
    <s v="1800"/>
    <x v="1"/>
    <x v="0"/>
    <n v="2019"/>
  </r>
  <r>
    <x v="1"/>
    <n v="2488.7800000000002"/>
    <s v="1800"/>
    <x v="1"/>
    <x v="1"/>
    <n v="2019"/>
  </r>
  <r>
    <x v="1"/>
    <n v="2471.46"/>
    <s v="1800"/>
    <x v="1"/>
    <x v="2"/>
    <n v="2019"/>
  </r>
  <r>
    <x v="1"/>
    <n v="2600.64"/>
    <s v="1800"/>
    <x v="1"/>
    <x v="3"/>
    <n v="2019"/>
  </r>
  <r>
    <x v="1"/>
    <n v="2645.79"/>
    <s v="1800"/>
    <x v="1"/>
    <x v="4"/>
    <n v="2019"/>
  </r>
  <r>
    <x v="1"/>
    <n v="2446.46"/>
    <s v="1800"/>
    <x v="1"/>
    <x v="5"/>
    <n v="2019"/>
  </r>
  <r>
    <x v="1"/>
    <n v="2512.89"/>
    <s v="1800"/>
    <x v="1"/>
    <x v="6"/>
    <n v="2019"/>
  </r>
  <r>
    <x v="1"/>
    <n v="2462.39"/>
    <s v="1800"/>
    <x v="1"/>
    <x v="7"/>
    <n v="2019"/>
  </r>
  <r>
    <x v="1"/>
    <n v="1646.76"/>
    <s v="1800"/>
    <x v="1"/>
    <x v="8"/>
    <n v="2019"/>
  </r>
  <r>
    <x v="1"/>
    <n v="1683.49"/>
    <s v="1800"/>
    <x v="1"/>
    <x v="9"/>
    <n v="2019"/>
  </r>
  <r>
    <x v="1"/>
    <n v="1828.18"/>
    <s v="1800"/>
    <x v="1"/>
    <x v="10"/>
    <n v="2019"/>
  </r>
  <r>
    <x v="1"/>
    <n v="2095.3000000000002"/>
    <s v="1800"/>
    <x v="1"/>
    <x v="11"/>
    <n v="2019"/>
  </r>
  <r>
    <x v="2"/>
    <n v="1479.73"/>
    <s v="1800"/>
    <x v="0"/>
    <x v="0"/>
    <n v="2019"/>
  </r>
  <r>
    <x v="2"/>
    <n v="1308.22"/>
    <s v="1800"/>
    <x v="0"/>
    <x v="1"/>
    <n v="2019"/>
  </r>
  <r>
    <x v="2"/>
    <n v="1603.89"/>
    <s v="1800"/>
    <x v="0"/>
    <x v="2"/>
    <n v="2019"/>
  </r>
  <r>
    <x v="2"/>
    <n v="1951.69"/>
    <s v="1800"/>
    <x v="0"/>
    <x v="3"/>
    <n v="2019"/>
  </r>
  <r>
    <x v="2"/>
    <n v="2858.3"/>
    <s v="1800"/>
    <x v="0"/>
    <x v="4"/>
    <n v="2019"/>
  </r>
  <r>
    <x v="2"/>
    <n v="1513.95"/>
    <s v="1800"/>
    <x v="0"/>
    <x v="5"/>
    <n v="2019"/>
  </r>
  <r>
    <x v="2"/>
    <n v="1308.19"/>
    <s v="1800"/>
    <x v="0"/>
    <x v="6"/>
    <n v="2019"/>
  </r>
  <r>
    <x v="2"/>
    <n v="1303.75"/>
    <s v="1800"/>
    <x v="0"/>
    <x v="7"/>
    <n v="2019"/>
  </r>
  <r>
    <x v="2"/>
    <n v="1256.71"/>
    <s v="1800"/>
    <x v="0"/>
    <x v="8"/>
    <n v="2019"/>
  </r>
  <r>
    <x v="2"/>
    <n v="1339.28"/>
    <s v="1800"/>
    <x v="0"/>
    <x v="9"/>
    <n v="2019"/>
  </r>
  <r>
    <x v="2"/>
    <n v="2154.75"/>
    <s v="1800"/>
    <x v="0"/>
    <x v="10"/>
    <n v="2019"/>
  </r>
  <r>
    <x v="2"/>
    <n v="1147.5899999999999"/>
    <s v="1800"/>
    <x v="0"/>
    <x v="11"/>
    <n v="2019"/>
  </r>
  <r>
    <x v="2"/>
    <n v="10177.24"/>
    <s v="1800"/>
    <x v="1"/>
    <x v="0"/>
    <n v="2019"/>
  </r>
  <r>
    <x v="2"/>
    <n v="9676.2099999999991"/>
    <s v="1800"/>
    <x v="1"/>
    <x v="1"/>
    <n v="2019"/>
  </r>
  <r>
    <x v="2"/>
    <n v="9608.84"/>
    <s v="1800"/>
    <x v="1"/>
    <x v="2"/>
    <n v="2019"/>
  </r>
  <r>
    <x v="2"/>
    <n v="10111"/>
    <s v="1800"/>
    <x v="1"/>
    <x v="3"/>
    <n v="2019"/>
  </r>
  <r>
    <x v="2"/>
    <n v="10286.530000000001"/>
    <s v="1800"/>
    <x v="1"/>
    <x v="4"/>
    <n v="2019"/>
  </r>
  <r>
    <x v="2"/>
    <n v="9511.6200000000008"/>
    <s v="1800"/>
    <x v="1"/>
    <x v="5"/>
    <n v="2019"/>
  </r>
  <r>
    <x v="2"/>
    <n v="9814.33"/>
    <s v="1800"/>
    <x v="1"/>
    <x v="6"/>
    <n v="2019"/>
  </r>
  <r>
    <x v="2"/>
    <n v="9616.98"/>
    <s v="1800"/>
    <x v="1"/>
    <x v="7"/>
    <n v="2019"/>
  </r>
  <r>
    <x v="2"/>
    <n v="6420.95"/>
    <s v="1800"/>
    <x v="1"/>
    <x v="8"/>
    <n v="2019"/>
  </r>
  <r>
    <x v="2"/>
    <n v="6565.39"/>
    <s v="1800"/>
    <x v="1"/>
    <x v="9"/>
    <n v="2019"/>
  </r>
  <r>
    <x v="2"/>
    <n v="7130.76"/>
    <s v="1800"/>
    <x v="1"/>
    <x v="10"/>
    <n v="2019"/>
  </r>
  <r>
    <x v="2"/>
    <n v="8164.07"/>
    <s v="1800"/>
    <x v="1"/>
    <x v="11"/>
    <n v="2019"/>
  </r>
  <r>
    <x v="3"/>
    <n v="790.25"/>
    <s v="1800"/>
    <x v="0"/>
    <x v="0"/>
    <n v="2019"/>
  </r>
  <r>
    <x v="3"/>
    <n v="721.47"/>
    <s v="1800"/>
    <x v="0"/>
    <x v="1"/>
    <n v="2019"/>
  </r>
  <r>
    <x v="3"/>
    <n v="693.9"/>
    <s v="1800"/>
    <x v="0"/>
    <x v="2"/>
    <n v="2019"/>
  </r>
  <r>
    <x v="3"/>
    <n v="683.46"/>
    <s v="1800"/>
    <x v="0"/>
    <x v="3"/>
    <n v="2019"/>
  </r>
  <r>
    <x v="3"/>
    <n v="978.46"/>
    <s v="1800"/>
    <x v="0"/>
    <x v="4"/>
    <n v="2019"/>
  </r>
  <r>
    <x v="3"/>
    <n v="634.77"/>
    <s v="1800"/>
    <x v="0"/>
    <x v="5"/>
    <n v="2019"/>
  </r>
  <r>
    <x v="3"/>
    <n v="671.19"/>
    <s v="1800"/>
    <x v="0"/>
    <x v="6"/>
    <n v="2019"/>
  </r>
  <r>
    <x v="3"/>
    <n v="756.02"/>
    <s v="1800"/>
    <x v="0"/>
    <x v="7"/>
    <n v="2019"/>
  </r>
  <r>
    <x v="3"/>
    <n v="662.52"/>
    <s v="1800"/>
    <x v="0"/>
    <x v="8"/>
    <n v="2019"/>
  </r>
  <r>
    <x v="3"/>
    <n v="473.59"/>
    <s v="1800"/>
    <x v="0"/>
    <x v="9"/>
    <n v="2019"/>
  </r>
  <r>
    <x v="3"/>
    <n v="478.31"/>
    <s v="1800"/>
    <x v="0"/>
    <x v="10"/>
    <n v="2019"/>
  </r>
  <r>
    <x v="3"/>
    <n v="273.75"/>
    <s v="1800"/>
    <x v="0"/>
    <x v="11"/>
    <n v="2019"/>
  </r>
  <r>
    <x v="3"/>
    <n v="5086.93"/>
    <s v="1800"/>
    <x v="1"/>
    <x v="0"/>
    <n v="2019"/>
  </r>
  <r>
    <x v="3"/>
    <n v="4834.75"/>
    <s v="1800"/>
    <x v="1"/>
    <x v="1"/>
    <n v="2019"/>
  </r>
  <r>
    <x v="3"/>
    <n v="4802.7"/>
    <s v="1800"/>
    <x v="1"/>
    <x v="2"/>
    <n v="2019"/>
  </r>
  <r>
    <x v="3"/>
    <n v="5058.07"/>
    <s v="1800"/>
    <x v="1"/>
    <x v="3"/>
    <n v="2019"/>
  </r>
  <r>
    <x v="3"/>
    <n v="5147.3100000000004"/>
    <s v="1800"/>
    <x v="1"/>
    <x v="4"/>
    <n v="2019"/>
  </r>
  <r>
    <x v="3"/>
    <n v="4756.09"/>
    <s v="1800"/>
    <x v="1"/>
    <x v="5"/>
    <n v="2019"/>
  </r>
  <r>
    <x v="3"/>
    <n v="4959.1400000000003"/>
    <s v="1800"/>
    <x v="1"/>
    <x v="6"/>
    <n v="2019"/>
  </r>
  <r>
    <x v="3"/>
    <n v="4858.75"/>
    <s v="1800"/>
    <x v="1"/>
    <x v="7"/>
    <n v="2019"/>
  </r>
  <r>
    <x v="3"/>
    <n v="3196.05"/>
    <s v="1800"/>
    <x v="1"/>
    <x v="8"/>
    <n v="2019"/>
  </r>
  <r>
    <x v="3"/>
    <n v="2425.1999999999998"/>
    <s v="1800"/>
    <x v="1"/>
    <x v="9"/>
    <n v="2019"/>
  </r>
  <r>
    <x v="3"/>
    <n v="1711.77"/>
    <s v="1800"/>
    <x v="1"/>
    <x v="10"/>
    <n v="2019"/>
  </r>
  <r>
    <x v="3"/>
    <n v="1967.9"/>
    <s v="1800"/>
    <x v="1"/>
    <x v="11"/>
    <n v="201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4"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4:B9" firstHeaderRow="1" firstDataRow="1" firstDataCol="1" rowPageCount="2" colPageCount="1"/>
  <pivotFields count="6">
    <pivotField axis="axisRow" showAll="0">
      <items count="5">
        <item x="0"/>
        <item x="1"/>
        <item x="2"/>
        <item x="3"/>
        <item t="default"/>
      </items>
    </pivotField>
    <pivotField dataField="1" numFmtId="164" showAll="0"/>
    <pivotField showAll="0"/>
    <pivotField axis="axisPage" showAll="0">
      <items count="3">
        <item x="0"/>
        <item x="1"/>
        <item t="default"/>
      </items>
    </pivotField>
    <pivotField axis="axisPage" numFmtId="1" showAll="0">
      <items count="13">
        <item x="0"/>
        <item x="1"/>
        <item x="2"/>
        <item x="3"/>
        <item x="4"/>
        <item x="5"/>
        <item x="6"/>
        <item x="7"/>
        <item x="8"/>
        <item x="9"/>
        <item x="10"/>
        <item x="11"/>
        <item t="default"/>
      </items>
    </pivotField>
    <pivotField numFmtId="1" showAll="0"/>
  </pivotFields>
  <rowFields count="1">
    <field x="0"/>
  </rowFields>
  <rowItems count="5">
    <i>
      <x/>
    </i>
    <i>
      <x v="1"/>
    </i>
    <i>
      <x v="2"/>
    </i>
    <i>
      <x v="3"/>
    </i>
    <i t="grand">
      <x/>
    </i>
  </rowItems>
  <colItems count="1">
    <i/>
  </colItems>
  <pageFields count="2">
    <pageField fld="4" item="11" hier="-1"/>
    <pageField fld="3" item="1" hier="-1"/>
  </pageFields>
  <dataFields count="1">
    <dataField name="Sum of Sum Amount" fld="1" baseField="0" baseItem="0" numFmtId="43"/>
  </dataFields>
  <formats count="1">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tabSelected="1" workbookViewId="0"/>
  </sheetViews>
  <sheetFormatPr defaultRowHeight="15"/>
  <cols>
    <col min="1" max="1" width="20.5703125" style="122" customWidth="1"/>
    <col min="2" max="2" width="46.5703125" style="122" customWidth="1"/>
    <col min="3" max="3" width="14.5703125" style="122" bestFit="1" customWidth="1"/>
    <col min="4" max="5" width="14.28515625" style="122" bestFit="1" customWidth="1"/>
    <col min="6" max="7" width="9.140625" style="122"/>
    <col min="8" max="8" width="46.7109375" style="122" customWidth="1"/>
    <col min="9" max="9" width="16.42578125" style="122" customWidth="1"/>
    <col min="10" max="10" width="13.5703125" style="122" customWidth="1"/>
    <col min="11" max="11" width="16.5703125" style="122" customWidth="1"/>
    <col min="12" max="16384" width="9.140625" style="122"/>
  </cols>
  <sheetData>
    <row r="1" spans="1:11">
      <c r="A1" t="s">
        <v>267</v>
      </c>
      <c r="B1" t="s">
        <v>267</v>
      </c>
      <c r="C1"/>
    </row>
    <row r="2" spans="1:11">
      <c r="A2" s="168" t="s">
        <v>243</v>
      </c>
      <c r="B2" s="168"/>
      <c r="C2" s="168"/>
    </row>
    <row r="3" spans="1:11">
      <c r="A3" s="169" t="s">
        <v>244</v>
      </c>
      <c r="B3" s="169"/>
      <c r="C3" s="169"/>
    </row>
    <row r="4" spans="1:11">
      <c r="A4" s="170" t="s">
        <v>255</v>
      </c>
      <c r="B4" s="170"/>
      <c r="C4" s="170"/>
    </row>
    <row r="5" spans="1:11">
      <c r="H5" s="171" t="s">
        <v>268</v>
      </c>
      <c r="I5" s="172"/>
      <c r="J5" s="172"/>
      <c r="K5" s="173"/>
    </row>
    <row r="6" spans="1:11" ht="45">
      <c r="A6" s="108" t="s">
        <v>90</v>
      </c>
      <c r="B6" s="108" t="s">
        <v>245</v>
      </c>
      <c r="C6" s="138">
        <v>43800</v>
      </c>
      <c r="D6" s="139" t="s">
        <v>256</v>
      </c>
      <c r="E6" s="123" t="s">
        <v>259</v>
      </c>
      <c r="H6" s="146" t="s">
        <v>269</v>
      </c>
      <c r="I6" s="147" t="s">
        <v>255</v>
      </c>
      <c r="J6" s="147" t="s">
        <v>270</v>
      </c>
      <c r="K6" s="147" t="s">
        <v>271</v>
      </c>
    </row>
    <row r="7" spans="1:11">
      <c r="A7" s="109"/>
      <c r="B7" s="109"/>
      <c r="C7" s="140"/>
      <c r="D7" s="141"/>
      <c r="H7"/>
      <c r="I7"/>
      <c r="J7"/>
      <c r="K7"/>
    </row>
    <row r="8" spans="1:11">
      <c r="A8" s="110">
        <v>1802</v>
      </c>
      <c r="B8" s="43" t="str">
        <f>VLOOKUP(A8,[2]Sheet1!$A$9:$F$80,3,FALSE)</f>
        <v>Retirement Benefits</v>
      </c>
      <c r="C8" s="142">
        <v>-67893.64</v>
      </c>
      <c r="D8" s="143">
        <f>-SUM('Annual Adjustments'!I7)</f>
        <v>67893.64</v>
      </c>
      <c r="E8" s="124">
        <f>SUM(C8:D8)</f>
        <v>0</v>
      </c>
      <c r="H8" s="113" t="s">
        <v>249</v>
      </c>
      <c r="I8" s="148">
        <f>E50</f>
        <v>74998.209999999992</v>
      </c>
      <c r="J8" s="149">
        <v>13</v>
      </c>
      <c r="K8" s="148">
        <f>ROUND(I8*J8,2)</f>
        <v>974976.73</v>
      </c>
    </row>
    <row r="9" spans="1:11">
      <c r="A9" s="110">
        <v>1803</v>
      </c>
      <c r="B9" s="43" t="str">
        <f>VLOOKUP(A9,[2]Sheet1!$A$9:$F$80,3,FALSE)</f>
        <v>Sick Leave Accrual</v>
      </c>
      <c r="C9" s="142">
        <v>6288.62</v>
      </c>
      <c r="D9" s="143">
        <f>-SUM('Annual Adjustments'!I8)</f>
        <v>-6288.62</v>
      </c>
      <c r="E9" s="124">
        <f t="shared" ref="E9:E47" si="0">SUM(C9:D9)</f>
        <v>0</v>
      </c>
      <c r="H9" s="113" t="s">
        <v>250</v>
      </c>
      <c r="I9" s="150">
        <f>E51</f>
        <v>11164.880000000001</v>
      </c>
      <c r="J9" s="151">
        <v>13</v>
      </c>
      <c r="K9" s="150">
        <f>ROUND(I9*J9,2)</f>
        <v>145143.44</v>
      </c>
    </row>
    <row r="10" spans="1:11">
      <c r="A10" s="110">
        <v>1804</v>
      </c>
      <c r="B10" s="43" t="str">
        <f>VLOOKUP(A10,[2]Sheet1!$A$9:$F$80,3,FALSE)</f>
        <v>Dental/Vision Insurance</v>
      </c>
      <c r="C10" s="142">
        <v>92700.93</v>
      </c>
      <c r="D10" s="143">
        <f>-SUM('Annual Adjustments'!I9:I11)</f>
        <v>-72920</v>
      </c>
      <c r="E10" s="124">
        <f t="shared" si="0"/>
        <v>19780.929999999993</v>
      </c>
      <c r="H10" s="113" t="s">
        <v>251</v>
      </c>
      <c r="I10" s="152">
        <f>I8+I9</f>
        <v>86163.09</v>
      </c>
      <c r="J10" s="151"/>
      <c r="K10" s="152">
        <f>K8+K9</f>
        <v>1120120.17</v>
      </c>
    </row>
    <row r="11" spans="1:11">
      <c r="A11" s="110">
        <v>1805</v>
      </c>
      <c r="B11" s="43" t="str">
        <f>VLOOKUP(A11,[2]Sheet1!$A$9:$F$80,3,FALSE)</f>
        <v>401K-Employer 2% Contribution</v>
      </c>
      <c r="C11" s="142">
        <v>38063.82</v>
      </c>
      <c r="D11" s="143">
        <v>0</v>
      </c>
      <c r="E11" s="124">
        <f t="shared" si="0"/>
        <v>38063.82</v>
      </c>
      <c r="H11" s="113"/>
      <c r="I11" s="148"/>
      <c r="J11" s="151"/>
      <c r="K11" s="148"/>
    </row>
    <row r="12" spans="1:11">
      <c r="A12" s="110">
        <v>1806</v>
      </c>
      <c r="B12" s="43" t="str">
        <f>VLOOKUP(A12,[2]Sheet1!$A$9:$F$80,3,FALSE)</f>
        <v>LTD Insurance</v>
      </c>
      <c r="C12" s="142">
        <v>123955.98000000001</v>
      </c>
      <c r="D12" s="143">
        <f>-SUM('Annual Adjustments'!I12)</f>
        <v>-87000</v>
      </c>
      <c r="E12" s="124">
        <f t="shared" si="0"/>
        <v>36955.98000000001</v>
      </c>
      <c r="H12" s="113" t="s">
        <v>252</v>
      </c>
      <c r="I12" s="148">
        <f>E54</f>
        <v>2216870.4699999997</v>
      </c>
      <c r="J12" s="151">
        <v>13</v>
      </c>
      <c r="K12" s="148">
        <f>ROUND(I12*J12,2)</f>
        <v>28819316.109999999</v>
      </c>
    </row>
    <row r="13" spans="1:11">
      <c r="A13" s="110">
        <v>1807</v>
      </c>
      <c r="B13" s="43" t="str">
        <f>VLOOKUP(A13,[2]Sheet1!$A$9:$F$80,3,FALSE)</f>
        <v>Business Travel Insurance</v>
      </c>
      <c r="C13" s="142">
        <v>21.75</v>
      </c>
      <c r="D13" s="143">
        <v>0</v>
      </c>
      <c r="E13" s="124">
        <f t="shared" si="0"/>
        <v>21.75</v>
      </c>
      <c r="H13" s="113" t="s">
        <v>253</v>
      </c>
      <c r="I13" s="150">
        <f>E55</f>
        <v>21211.420000000002</v>
      </c>
      <c r="J13" s="151">
        <v>13</v>
      </c>
      <c r="K13" s="150">
        <f>ROUND(I13*J13,2)</f>
        <v>275748.46000000002</v>
      </c>
    </row>
    <row r="14" spans="1:11">
      <c r="A14" s="110">
        <v>1808</v>
      </c>
      <c r="B14" s="43" t="str">
        <f>VLOOKUP(A14,[2]Sheet1!$A$9:$F$80,3,FALSE)</f>
        <v>Employee Safety Awards</v>
      </c>
      <c r="C14" s="142">
        <v>750</v>
      </c>
      <c r="D14" s="143">
        <v>0</v>
      </c>
      <c r="E14" s="124">
        <f t="shared" si="0"/>
        <v>750</v>
      </c>
      <c r="H14" s="113" t="s">
        <v>254</v>
      </c>
      <c r="I14" s="152">
        <f>I12+I13</f>
        <v>2238081.8899999997</v>
      </c>
      <c r="J14" s="151"/>
      <c r="K14" s="152">
        <f>K12+K13</f>
        <v>29095064.57</v>
      </c>
    </row>
    <row r="15" spans="1:11">
      <c r="A15" s="110">
        <v>1809</v>
      </c>
      <c r="B15" s="43" t="str">
        <f>VLOOKUP(A15,[2]Sheet1!$A$9:$F$80,3,FALSE)</f>
        <v>Group Term Life/AD&amp;D</v>
      </c>
      <c r="C15" s="142">
        <v>27007.61</v>
      </c>
      <c r="D15" s="143">
        <v>0</v>
      </c>
      <c r="E15" s="124">
        <f t="shared" si="0"/>
        <v>27007.61</v>
      </c>
      <c r="H15"/>
      <c r="I15" s="148"/>
      <c r="J15" s="149"/>
      <c r="K15" s="148"/>
    </row>
    <row r="16" spans="1:11" ht="15.75" thickBot="1">
      <c r="A16" s="43">
        <v>1810</v>
      </c>
      <c r="B16" s="43" t="str">
        <f>VLOOKUP(A16,[2]Sheet1!$A$9:$F$80,3,FALSE)</f>
        <v>Retired Employee Life Ins</v>
      </c>
      <c r="C16" s="142">
        <v>4238.2199999999993</v>
      </c>
      <c r="D16" s="143">
        <v>0</v>
      </c>
      <c r="E16" s="124">
        <f t="shared" si="0"/>
        <v>4238.2199999999993</v>
      </c>
      <c r="H16" s="153" t="s">
        <v>272</v>
      </c>
      <c r="I16" s="154">
        <f>I10+I14</f>
        <v>2324244.9799999995</v>
      </c>
      <c r="J16" s="149"/>
      <c r="K16" s="154">
        <f>K10+K14</f>
        <v>30215184.740000002</v>
      </c>
    </row>
    <row r="17" spans="1:11" ht="15.75" thickTop="1">
      <c r="A17" s="110">
        <v>1811</v>
      </c>
      <c r="B17" s="43" t="str">
        <f>VLOOKUP(A17,[2]Sheet1!$A$9:$F$80,3,FALSE)</f>
        <v>Vending Supplies</v>
      </c>
      <c r="C17" s="142">
        <v>5973.2100000000009</v>
      </c>
      <c r="D17" s="143">
        <v>0</v>
      </c>
      <c r="E17" s="124">
        <f t="shared" si="0"/>
        <v>5973.2100000000009</v>
      </c>
      <c r="H17"/>
      <c r="I17"/>
      <c r="J17"/>
      <c r="K17" s="148"/>
    </row>
    <row r="18" spans="1:11">
      <c r="A18" s="110">
        <v>1813</v>
      </c>
      <c r="B18" s="43" t="s">
        <v>246</v>
      </c>
      <c r="C18" s="142">
        <v>0</v>
      </c>
      <c r="D18" s="143">
        <v>0</v>
      </c>
      <c r="E18" s="124">
        <f t="shared" si="0"/>
        <v>0</v>
      </c>
      <c r="H18"/>
      <c r="I18"/>
      <c r="J18"/>
      <c r="K18"/>
    </row>
    <row r="19" spans="1:11">
      <c r="A19" s="110">
        <v>1812</v>
      </c>
      <c r="B19" s="43" t="str">
        <f>VLOOKUP(A19,[2]Sheet1!$A$9:$F$80,3,FALSE)</f>
        <v>Post Retirement/FASB 106</v>
      </c>
      <c r="C19" s="142">
        <v>-2421310.62</v>
      </c>
      <c r="D19" s="143">
        <f>-SUM('Annual Adjustments'!I13)</f>
        <v>2694696.79</v>
      </c>
      <c r="E19" s="124">
        <f t="shared" si="0"/>
        <v>273386.16999999993</v>
      </c>
      <c r="H19" s="155" t="s">
        <v>273</v>
      </c>
      <c r="I19" s="155"/>
      <c r="J19"/>
      <c r="K19"/>
    </row>
    <row r="20" spans="1:11">
      <c r="A20" s="110">
        <v>1814</v>
      </c>
      <c r="B20" s="43" t="str">
        <f>VLOOKUP(A20,[2]Sheet1!$A$9:$F$80,3,FALSE)</f>
        <v>Employee Food Certificates</v>
      </c>
      <c r="C20" s="142">
        <v>0</v>
      </c>
      <c r="D20" s="143">
        <v>0</v>
      </c>
      <c r="E20" s="124">
        <f t="shared" si="0"/>
        <v>0</v>
      </c>
      <c r="H20" s="155" t="s">
        <v>274</v>
      </c>
      <c r="I20" s="155"/>
      <c r="J20"/>
      <c r="K20"/>
    </row>
    <row r="21" spans="1:11">
      <c r="A21" s="110">
        <v>1815</v>
      </c>
      <c r="B21" s="43" t="str">
        <f>VLOOKUP(A21,[2]Sheet1!$A$9:$F$80,3,FALSE)</f>
        <v>Employee Recreation</v>
      </c>
      <c r="C21" s="142">
        <v>0</v>
      </c>
      <c r="D21" s="143">
        <v>0</v>
      </c>
      <c r="E21" s="124">
        <f t="shared" si="0"/>
        <v>0</v>
      </c>
      <c r="H21" s="155" t="s">
        <v>275</v>
      </c>
      <c r="I21" s="155"/>
      <c r="J21"/>
      <c r="K21"/>
    </row>
    <row r="22" spans="1:11">
      <c r="A22" s="110">
        <v>1816</v>
      </c>
      <c r="B22" s="43" t="str">
        <f>VLOOKUP(A22,[2]Sheet1!$A$9:$F$80,3,FALSE)</f>
        <v>Employee Recruiting Relocation</v>
      </c>
      <c r="C22" s="142">
        <v>58506.000000000007</v>
      </c>
      <c r="D22" s="143">
        <v>0</v>
      </c>
      <c r="E22" s="124">
        <f t="shared" si="0"/>
        <v>58506.000000000007</v>
      </c>
      <c r="H22" s="155" t="s">
        <v>276</v>
      </c>
      <c r="I22" s="155"/>
      <c r="J22"/>
      <c r="K22"/>
    </row>
    <row r="23" spans="1:11">
      <c r="A23" s="110">
        <v>1817</v>
      </c>
      <c r="B23" s="43" t="str">
        <f>VLOOKUP(A23,[2]Sheet1!$A$9:$F$80,3,FALSE)</f>
        <v>Employee Assn Board Lunches</v>
      </c>
      <c r="C23" s="142">
        <v>546.54999999999995</v>
      </c>
      <c r="D23" s="143">
        <v>0</v>
      </c>
      <c r="E23" s="124">
        <f t="shared" si="0"/>
        <v>546.54999999999995</v>
      </c>
      <c r="H23"/>
      <c r="I23"/>
      <c r="J23"/>
      <c r="K23"/>
    </row>
    <row r="24" spans="1:11">
      <c r="A24" s="110">
        <v>1818</v>
      </c>
      <c r="B24" s="43" t="str">
        <f>VLOOKUP(A24,[2]Sheet1!$A$9:$F$80,3,FALSE)</f>
        <v>Employee Service Awards</v>
      </c>
      <c r="C24" s="142">
        <v>2750</v>
      </c>
      <c r="D24" s="143">
        <v>0</v>
      </c>
      <c r="E24" s="124">
        <f t="shared" si="0"/>
        <v>2750</v>
      </c>
    </row>
    <row r="25" spans="1:11">
      <c r="A25" s="110">
        <v>1819</v>
      </c>
      <c r="B25" s="43" t="str">
        <f>VLOOKUP(A25,[2]Sheet1!$A$9:$F$80,3,FALSE)</f>
        <v>Employee Physicals</v>
      </c>
      <c r="C25" s="142">
        <v>1712</v>
      </c>
      <c r="D25" s="143">
        <v>0</v>
      </c>
      <c r="E25" s="124">
        <f t="shared" si="0"/>
        <v>1712</v>
      </c>
    </row>
    <row r="26" spans="1:11">
      <c r="A26" s="110">
        <v>1821</v>
      </c>
      <c r="B26" s="43" t="str">
        <f>VLOOKUP(A26,[2]Sheet1!$A$9:$F$80,3,FALSE)</f>
        <v>Employee Recognition Dinner</v>
      </c>
      <c r="C26" s="142">
        <v>92939.85</v>
      </c>
      <c r="D26" s="143">
        <v>0</v>
      </c>
      <c r="E26" s="124">
        <f t="shared" si="0"/>
        <v>92939.85</v>
      </c>
    </row>
    <row r="27" spans="1:11">
      <c r="A27" s="111">
        <v>1822</v>
      </c>
      <c r="B27" s="43" t="s">
        <v>247</v>
      </c>
      <c r="C27" s="142">
        <v>34687.300000000003</v>
      </c>
      <c r="D27" s="143">
        <f>-SUM('Annual Adjustments'!I14:I15)</f>
        <v>-34687.300000000003</v>
      </c>
      <c r="E27" s="124">
        <f t="shared" si="0"/>
        <v>0</v>
      </c>
    </row>
    <row r="28" spans="1:11">
      <c r="A28" s="43">
        <v>1823</v>
      </c>
      <c r="B28" s="43" t="str">
        <f>VLOOKUP(A28,[2]Sheet1!$A$9:$F$80,3,FALSE)</f>
        <v>Retiree Lunch</v>
      </c>
      <c r="C28" s="142">
        <v>3198.39</v>
      </c>
      <c r="D28" s="143">
        <v>0</v>
      </c>
      <c r="E28" s="124">
        <f t="shared" si="0"/>
        <v>3198.39</v>
      </c>
    </row>
    <row r="29" spans="1:11">
      <c r="A29" s="110">
        <v>1825</v>
      </c>
      <c r="B29" s="43" t="str">
        <f>VLOOKUP(A29,[2]Sheet1!$A$9:$F$80,3,FALSE)</f>
        <v>Workers Compensation</v>
      </c>
      <c r="C29" s="142">
        <v>70035.859999999986</v>
      </c>
      <c r="D29" s="143">
        <f>-SUM('Annual Adjustments'!I16:I17)</f>
        <v>-40000</v>
      </c>
      <c r="E29" s="124">
        <f t="shared" si="0"/>
        <v>30035.859999999986</v>
      </c>
    </row>
    <row r="30" spans="1:11">
      <c r="A30" s="110">
        <v>1827</v>
      </c>
      <c r="B30" s="43" t="str">
        <f>VLOOKUP(A30,[2]Sheet1!$A$9:$F$80,3,FALSE)</f>
        <v>Key Contributor Award</v>
      </c>
      <c r="C30" s="142">
        <v>9100</v>
      </c>
      <c r="D30" s="143">
        <v>0</v>
      </c>
      <c r="E30" s="124">
        <f t="shared" si="0"/>
        <v>9100</v>
      </c>
    </row>
    <row r="31" spans="1:11">
      <c r="A31" s="110">
        <v>1829</v>
      </c>
      <c r="B31" s="43" t="str">
        <f>VLOOKUP(A31,[2]Sheet1!$A$9:$F$80,3,FALSE)</f>
        <v>Employee Assistance Program</v>
      </c>
      <c r="C31" s="142">
        <v>-1.89</v>
      </c>
      <c r="D31" s="143">
        <v>0</v>
      </c>
      <c r="E31" s="124">
        <f t="shared" si="0"/>
        <v>-1.89</v>
      </c>
    </row>
    <row r="32" spans="1:11">
      <c r="A32" s="110">
        <v>1831</v>
      </c>
      <c r="B32" s="43" t="str">
        <f>VLOOKUP(A32,[2]Sheet1!$A$9:$F$80,3,FALSE)</f>
        <v>Wellness Program</v>
      </c>
      <c r="C32" s="142">
        <v>33139</v>
      </c>
      <c r="D32" s="143">
        <v>0</v>
      </c>
      <c r="E32" s="124">
        <f t="shared" si="0"/>
        <v>33139</v>
      </c>
    </row>
    <row r="33" spans="1:5">
      <c r="A33" s="110">
        <v>1832</v>
      </c>
      <c r="B33" s="43" t="str">
        <f>VLOOKUP(A33,[2]Sheet1!$A$9:$F$80,3,FALSE)</f>
        <v>Medical Surveillance</v>
      </c>
      <c r="C33" s="142">
        <v>4516.0000000000018</v>
      </c>
      <c r="D33" s="143">
        <v>0</v>
      </c>
      <c r="E33" s="124">
        <f t="shared" si="0"/>
        <v>4516.0000000000018</v>
      </c>
    </row>
    <row r="34" spans="1:5">
      <c r="A34" s="110">
        <v>1834</v>
      </c>
      <c r="B34" s="43" t="str">
        <f>VLOOKUP(A34,[2]Sheet1!$A$9:$F$80,3,FALSE)</f>
        <v>CDL Physicals</v>
      </c>
      <c r="C34" s="142">
        <v>1080</v>
      </c>
      <c r="D34" s="143">
        <v>0</v>
      </c>
      <c r="E34" s="124">
        <f t="shared" si="0"/>
        <v>1080</v>
      </c>
    </row>
    <row r="35" spans="1:5">
      <c r="A35" s="110">
        <v>1835</v>
      </c>
      <c r="B35" s="43" t="str">
        <f>VLOOKUP(A35,[2]Sheet1!$A$9:$F$80,3,FALSE)</f>
        <v>CDL Drug &amp; Alcohol Testing</v>
      </c>
      <c r="C35" s="142">
        <v>130</v>
      </c>
      <c r="D35" s="143">
        <v>0</v>
      </c>
      <c r="E35" s="124">
        <f t="shared" si="0"/>
        <v>130</v>
      </c>
    </row>
    <row r="36" spans="1:5">
      <c r="A36" s="110">
        <v>1836</v>
      </c>
      <c r="B36" s="43" t="str">
        <f>VLOOKUP(A36,[2]Sheet1!$A$9:$F$80,3,FALSE)</f>
        <v>Corporate Drug/Alcohol Testing</v>
      </c>
      <c r="C36" s="142">
        <v>1336</v>
      </c>
      <c r="D36" s="143">
        <v>0</v>
      </c>
      <c r="E36" s="124">
        <f t="shared" si="0"/>
        <v>1336</v>
      </c>
    </row>
    <row r="37" spans="1:5">
      <c r="A37" s="110">
        <v>1837</v>
      </c>
      <c r="B37" s="43" t="str">
        <f>VLOOKUP(A37,[2]Sheet1!$A$9:$F$80,3,FALSE)</f>
        <v>Medical Insurance PPO</v>
      </c>
      <c r="C37" s="142">
        <v>1103369</v>
      </c>
      <c r="D37" s="143">
        <f>-SUM('Annual Adjustments'!I18)</f>
        <v>12223.03</v>
      </c>
      <c r="E37" s="124">
        <f t="shared" si="0"/>
        <v>1115592.03</v>
      </c>
    </row>
    <row r="38" spans="1:5">
      <c r="A38" s="43">
        <v>1842</v>
      </c>
      <c r="B38" s="43" t="str">
        <f>VLOOKUP(A38,[2]Sheet1!$A$9:$F$80,3,FALSE)</f>
        <v>Retiree Medical-PPO</v>
      </c>
      <c r="C38" s="142">
        <v>499020.76</v>
      </c>
      <c r="D38" s="143">
        <f>-SUM('Annual Adjustments'!I19)</f>
        <v>-272192.92</v>
      </c>
      <c r="E38" s="124">
        <f t="shared" si="0"/>
        <v>226827.84000000003</v>
      </c>
    </row>
    <row r="39" spans="1:5">
      <c r="A39" s="110">
        <v>1850</v>
      </c>
      <c r="B39" s="43" t="str">
        <f>VLOOKUP(A39,[2]Sheet1!$A$9:$F$80,3,FALSE)</f>
        <v>401K-Employer 6% Contribution</v>
      </c>
      <c r="C39" s="142">
        <v>170007.49</v>
      </c>
      <c r="D39" s="143">
        <v>0</v>
      </c>
      <c r="E39" s="124">
        <f t="shared" si="0"/>
        <v>170007.49</v>
      </c>
    </row>
    <row r="40" spans="1:5">
      <c r="A40" s="110">
        <v>1851</v>
      </c>
      <c r="B40" s="43" t="str">
        <f>VLOOKUP(A40,[2]Sheet1!$A$9:$F$80,3,FALSE)</f>
        <v>401K-Employer 4% Contribution</v>
      </c>
      <c r="C40" s="142">
        <v>106877.28</v>
      </c>
      <c r="D40" s="143">
        <v>0</v>
      </c>
      <c r="E40" s="124">
        <f t="shared" si="0"/>
        <v>106877.28</v>
      </c>
    </row>
    <row r="41" spans="1:5">
      <c r="A41" s="110">
        <v>1852</v>
      </c>
      <c r="B41" s="43" t="str">
        <f>VLOOKUP(A41,[2]Sheet1!$A$9:$F$80,3,FALSE)</f>
        <v>Car Allowance</v>
      </c>
      <c r="C41" s="142">
        <v>6000</v>
      </c>
      <c r="D41" s="143">
        <v>0</v>
      </c>
      <c r="E41" s="124">
        <f t="shared" si="0"/>
        <v>6000</v>
      </c>
    </row>
    <row r="42" spans="1:5">
      <c r="A42" s="110">
        <v>1854</v>
      </c>
      <c r="B42" s="43" t="str">
        <f>VLOOKUP(A42,[2]Sheet1!$A$9:$F$80,3,FALSE)</f>
        <v>Safety Incentive Program</v>
      </c>
      <c r="C42" s="142">
        <v>4886.84</v>
      </c>
      <c r="D42" s="143">
        <v>0</v>
      </c>
      <c r="E42" s="124">
        <f t="shared" si="0"/>
        <v>4886.84</v>
      </c>
    </row>
    <row r="43" spans="1:5">
      <c r="A43" s="110">
        <v>1856</v>
      </c>
      <c r="B43" s="43" t="str">
        <f>VLOOKUP(A43,[2]Sheet1!$A$9:$F$80,3,FALSE)</f>
        <v>RS/SERP/DefComp/401K Admin Fee</v>
      </c>
      <c r="C43" s="142">
        <v>20015.759999999998</v>
      </c>
      <c r="D43" s="143">
        <v>0</v>
      </c>
      <c r="E43" s="124">
        <f t="shared" si="0"/>
        <v>20015.759999999998</v>
      </c>
    </row>
    <row r="44" spans="1:5">
      <c r="A44" s="110">
        <v>1857</v>
      </c>
      <c r="B44" s="43" t="str">
        <f>VLOOKUP(A44,[2]Sheet1!$A$9:$F$80,3,FALSE)</f>
        <v>Section 125-Administrative Fee</v>
      </c>
      <c r="C44" s="142">
        <v>-225</v>
      </c>
      <c r="D44" s="143">
        <v>0</v>
      </c>
      <c r="E44" s="124">
        <f t="shared" si="0"/>
        <v>-225</v>
      </c>
    </row>
    <row r="45" spans="1:5">
      <c r="A45" s="110">
        <v>1858</v>
      </c>
      <c r="B45" s="43" t="str">
        <f>VLOOKUP(A45,[2]Sheet1!$A$9:$F$80,3,FALSE)</f>
        <v>HSA Employer Contribution</v>
      </c>
      <c r="C45" s="142">
        <v>1040</v>
      </c>
      <c r="D45" s="143">
        <v>0</v>
      </c>
      <c r="E45" s="124">
        <f t="shared" si="0"/>
        <v>1040</v>
      </c>
    </row>
    <row r="46" spans="1:5">
      <c r="A46" s="110">
        <v>1859</v>
      </c>
      <c r="B46" s="43" t="str">
        <f>VLOOKUP(A46,[2]Sheet1!$A$9:$F$80,3,FALSE)</f>
        <v>HRA Benefits</v>
      </c>
      <c r="C46" s="142">
        <v>9928.59</v>
      </c>
      <c r="D46" s="143">
        <v>0</v>
      </c>
      <c r="E46" s="124">
        <f t="shared" si="0"/>
        <v>9928.59</v>
      </c>
    </row>
    <row r="47" spans="1:5">
      <c r="A47" s="112">
        <v>1860</v>
      </c>
      <c r="B47" s="43" t="str">
        <f>VLOOKUP(A47,[2]Sheet1!$A$9:$F$80,3,FALSE)</f>
        <v>Employer-Paid Short-Term Disab</v>
      </c>
      <c r="C47" s="142">
        <v>18128.7</v>
      </c>
      <c r="D47" s="143">
        <v>0</v>
      </c>
      <c r="E47" s="124">
        <f t="shared" si="0"/>
        <v>18128.7</v>
      </c>
    </row>
    <row r="48" spans="1:5" ht="15.75" thickBot="1">
      <c r="A48" s="113"/>
      <c r="B48" s="113" t="s">
        <v>248</v>
      </c>
      <c r="C48" s="144">
        <f>SUM(C8:C47)</f>
        <v>62520.35999999971</v>
      </c>
      <c r="D48" s="144">
        <f t="shared" ref="D48:E48" si="1">SUM(D8:D47)</f>
        <v>2261724.62</v>
      </c>
      <c r="E48" s="125">
        <f t="shared" si="1"/>
        <v>2324244.9799999995</v>
      </c>
    </row>
    <row r="49" spans="1:5" ht="15.75" thickTop="1">
      <c r="A49" s="113"/>
      <c r="B49" s="113"/>
      <c r="C49" s="145"/>
      <c r="D49" s="141"/>
    </row>
    <row r="50" spans="1:5">
      <c r="A50" s="113"/>
      <c r="B50" s="113" t="s">
        <v>249</v>
      </c>
      <c r="C50" s="161"/>
      <c r="D50" s="161"/>
      <c r="E50" s="126">
        <f>E52-E51</f>
        <v>74998.209999999992</v>
      </c>
    </row>
    <row r="51" spans="1:5">
      <c r="A51" s="113"/>
      <c r="B51" s="113" t="s">
        <v>250</v>
      </c>
      <c r="C51" s="161"/>
      <c r="D51" s="161"/>
      <c r="E51" s="126">
        <f>SUM('12.19 Cost by Account'!O99)</f>
        <v>11164.880000000001</v>
      </c>
    </row>
    <row r="52" spans="1:5">
      <c r="A52" s="113"/>
      <c r="B52" s="113" t="s">
        <v>251</v>
      </c>
      <c r="C52" s="161"/>
      <c r="D52" s="161"/>
      <c r="E52" s="127">
        <f>SUM('12.19 Cost by Account'!O93)</f>
        <v>86163.09</v>
      </c>
    </row>
    <row r="53" spans="1:5">
      <c r="A53" s="113"/>
      <c r="B53" s="113"/>
      <c r="C53" s="161"/>
      <c r="D53" s="161"/>
      <c r="E53" s="126"/>
    </row>
    <row r="54" spans="1:5">
      <c r="A54" s="113"/>
      <c r="B54" s="113" t="s">
        <v>252</v>
      </c>
      <c r="C54" s="161"/>
      <c r="D54" s="161"/>
      <c r="E54" s="126">
        <f>E56-E55</f>
        <v>2216870.4699999997</v>
      </c>
    </row>
    <row r="55" spans="1:5">
      <c r="A55" s="113"/>
      <c r="B55" s="113" t="s">
        <v>253</v>
      </c>
      <c r="C55" s="161"/>
      <c r="D55" s="161"/>
      <c r="E55" s="126">
        <f>SUM('12.19 Cost by Account'!O100)</f>
        <v>21211.420000000002</v>
      </c>
    </row>
    <row r="56" spans="1:5">
      <c r="A56" s="113"/>
      <c r="B56" s="113" t="s">
        <v>254</v>
      </c>
      <c r="C56" s="161"/>
      <c r="D56" s="161"/>
      <c r="E56" s="127">
        <f>SUM('12.19 Cost by Account'!O94)</f>
        <v>2238081.8899999997</v>
      </c>
    </row>
    <row r="57" spans="1:5">
      <c r="A57" s="113"/>
      <c r="B57" s="113"/>
      <c r="C57" s="161"/>
      <c r="D57" s="161"/>
      <c r="E57" s="126"/>
    </row>
    <row r="58" spans="1:5" ht="15.75" thickBot="1">
      <c r="A58" s="113"/>
      <c r="B58" s="113" t="s">
        <v>248</v>
      </c>
      <c r="C58" s="162"/>
      <c r="D58" s="162"/>
      <c r="E58" s="128">
        <f t="shared" ref="E58" si="2">E52+E56</f>
        <v>2324244.9799999995</v>
      </c>
    </row>
    <row r="59" spans="1:5" ht="15.75" thickTop="1">
      <c r="A59" s="113"/>
      <c r="B59" s="113"/>
      <c r="C59" s="163"/>
      <c r="D59" s="163"/>
      <c r="E59" s="34"/>
    </row>
    <row r="60" spans="1:5">
      <c r="A60" s="113"/>
      <c r="B60" s="113"/>
      <c r="C60" s="124"/>
      <c r="D60" s="124"/>
      <c r="E60" s="124">
        <f>E58-'12.19 Cost by Account'!O95</f>
        <v>0</v>
      </c>
    </row>
  </sheetData>
  <mergeCells count="4">
    <mergeCell ref="A2:C2"/>
    <mergeCell ref="A3:C3"/>
    <mergeCell ref="A4:C4"/>
    <mergeCell ref="H5:K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workbookViewId="0">
      <selection activeCell="F37" sqref="F37:F38"/>
    </sheetView>
  </sheetViews>
  <sheetFormatPr defaultRowHeight="15"/>
  <cols>
    <col min="1" max="1" width="11.140625" style="129" bestFit="1" customWidth="1"/>
    <col min="2" max="2" width="16.28515625" style="130" bestFit="1" customWidth="1"/>
    <col min="3" max="5" width="9.140625" style="129"/>
    <col min="6" max="6" width="24.5703125" style="129" customWidth="1"/>
    <col min="7" max="7" width="9.140625" style="129"/>
    <col min="8" max="8" width="10.7109375" style="129" bestFit="1" customWidth="1"/>
    <col min="9" max="9" width="14" style="129" bestFit="1" customWidth="1"/>
    <col min="10" max="12" width="9.140625" style="129"/>
    <col min="13" max="13" width="29.42578125" style="129" bestFit="1" customWidth="1"/>
    <col min="14" max="16384" width="9.140625" style="129"/>
  </cols>
  <sheetData>
    <row r="1" spans="1:14">
      <c r="A1" t="s">
        <v>267</v>
      </c>
      <c r="B1" t="s">
        <v>267</v>
      </c>
    </row>
    <row r="2" spans="1:14">
      <c r="A2" s="129" t="s">
        <v>263</v>
      </c>
    </row>
    <row r="4" spans="1:14">
      <c r="A4" s="129" t="s">
        <v>3</v>
      </c>
      <c r="B4" s="130" t="s">
        <v>184</v>
      </c>
      <c r="F4" s="129" t="s">
        <v>264</v>
      </c>
    </row>
    <row r="5" spans="1:14" ht="15.75" thickBot="1">
      <c r="A5" s="129" t="s">
        <v>13</v>
      </c>
      <c r="B5" s="130">
        <v>-68993.360000000015</v>
      </c>
    </row>
    <row r="6" spans="1:14" ht="16.5" thickTop="1" thickBot="1">
      <c r="A6" s="129" t="s">
        <v>180</v>
      </c>
      <c r="B6" s="130">
        <v>-24467.439999999995</v>
      </c>
      <c r="F6" s="21" t="s">
        <v>100</v>
      </c>
      <c r="G6" s="21" t="s">
        <v>102</v>
      </c>
      <c r="H6" s="21" t="s">
        <v>101</v>
      </c>
      <c r="I6" s="35" t="s">
        <v>103</v>
      </c>
      <c r="J6" s="21" t="s">
        <v>3</v>
      </c>
      <c r="K6" s="21" t="s">
        <v>4</v>
      </c>
      <c r="L6" s="21" t="s">
        <v>90</v>
      </c>
      <c r="M6" s="21" t="s">
        <v>104</v>
      </c>
      <c r="N6" s="21" t="s">
        <v>81</v>
      </c>
    </row>
    <row r="7" spans="1:14" ht="15.75" thickTop="1">
      <c r="A7" s="129" t="s">
        <v>168</v>
      </c>
      <c r="B7" s="130">
        <v>-1417.23</v>
      </c>
      <c r="F7" s="17" t="s">
        <v>123</v>
      </c>
      <c r="G7" s="18">
        <v>2</v>
      </c>
      <c r="H7" s="33">
        <v>43830</v>
      </c>
      <c r="I7" s="120">
        <v>-67893.64</v>
      </c>
      <c r="J7" s="17" t="s">
        <v>109</v>
      </c>
      <c r="K7" s="17" t="s">
        <v>83</v>
      </c>
      <c r="L7" s="17" t="s">
        <v>122</v>
      </c>
      <c r="M7" s="17" t="s">
        <v>121</v>
      </c>
      <c r="N7" s="18">
        <v>12</v>
      </c>
    </row>
    <row r="8" spans="1:14">
      <c r="A8" s="129" t="s">
        <v>166</v>
      </c>
      <c r="B8" s="130">
        <v>-420.11</v>
      </c>
      <c r="F8" s="17" t="s">
        <v>126</v>
      </c>
      <c r="G8" s="18">
        <v>2</v>
      </c>
      <c r="H8" s="33">
        <v>43830</v>
      </c>
      <c r="I8" s="120">
        <v>6288.62</v>
      </c>
      <c r="J8" s="17" t="s">
        <v>109</v>
      </c>
      <c r="K8" s="17" t="s">
        <v>83</v>
      </c>
      <c r="L8" s="17" t="s">
        <v>125</v>
      </c>
      <c r="M8" s="17" t="s">
        <v>124</v>
      </c>
      <c r="N8" s="18">
        <v>12</v>
      </c>
    </row>
    <row r="9" spans="1:14">
      <c r="A9" s="129" t="s">
        <v>165</v>
      </c>
      <c r="B9" s="130">
        <v>-160831.23999999996</v>
      </c>
      <c r="F9" s="17" t="s">
        <v>131</v>
      </c>
      <c r="G9" s="18">
        <v>2</v>
      </c>
      <c r="H9" s="33">
        <v>43830</v>
      </c>
      <c r="I9" s="120">
        <v>-27664.41</v>
      </c>
      <c r="J9" s="17" t="s">
        <v>109</v>
      </c>
      <c r="K9" s="17" t="s">
        <v>83</v>
      </c>
      <c r="L9" s="17" t="s">
        <v>118</v>
      </c>
      <c r="M9" s="17" t="s">
        <v>134</v>
      </c>
      <c r="N9" s="18">
        <v>12</v>
      </c>
    </row>
    <row r="10" spans="1:14">
      <c r="A10" s="129" t="s">
        <v>164</v>
      </c>
      <c r="B10" s="130">
        <v>-3.44</v>
      </c>
      <c r="F10" s="17" t="s">
        <v>131</v>
      </c>
      <c r="G10" s="18">
        <v>10</v>
      </c>
      <c r="H10" s="33">
        <v>43830</v>
      </c>
      <c r="I10" s="120">
        <v>72336.89</v>
      </c>
      <c r="J10" s="17" t="s">
        <v>109</v>
      </c>
      <c r="K10" s="17" t="s">
        <v>83</v>
      </c>
      <c r="L10" s="17" t="s">
        <v>118</v>
      </c>
      <c r="M10" s="17" t="s">
        <v>130</v>
      </c>
      <c r="N10" s="18">
        <v>12</v>
      </c>
    </row>
    <row r="11" spans="1:14">
      <c r="A11" s="129" t="s">
        <v>163</v>
      </c>
      <c r="B11" s="130">
        <v>-207760.69999999998</v>
      </c>
      <c r="F11" s="17" t="s">
        <v>120</v>
      </c>
      <c r="G11" s="18">
        <v>2</v>
      </c>
      <c r="H11" s="33">
        <v>43830</v>
      </c>
      <c r="I11" s="120">
        <v>28247.52</v>
      </c>
      <c r="J11" s="17" t="s">
        <v>109</v>
      </c>
      <c r="K11" s="17" t="s">
        <v>83</v>
      </c>
      <c r="L11" s="17" t="s">
        <v>118</v>
      </c>
      <c r="M11" s="17" t="s">
        <v>119</v>
      </c>
      <c r="N11" s="18">
        <v>12</v>
      </c>
    </row>
    <row r="12" spans="1:14">
      <c r="A12" s="129" t="s">
        <v>162</v>
      </c>
      <c r="B12" s="130">
        <v>-139590.28999999995</v>
      </c>
      <c r="F12" s="17" t="s">
        <v>112</v>
      </c>
      <c r="G12" s="18">
        <v>3</v>
      </c>
      <c r="H12" s="33">
        <v>43830</v>
      </c>
      <c r="I12" s="120">
        <v>87000</v>
      </c>
      <c r="J12" s="17" t="s">
        <v>109</v>
      </c>
      <c r="K12" s="17" t="s">
        <v>83</v>
      </c>
      <c r="L12" s="17" t="s">
        <v>111</v>
      </c>
      <c r="M12" s="17" t="s">
        <v>110</v>
      </c>
      <c r="N12" s="18">
        <v>12</v>
      </c>
    </row>
    <row r="13" spans="1:14">
      <c r="A13" s="129" t="s">
        <v>35</v>
      </c>
      <c r="B13" s="130">
        <v>-63275.520000000011</v>
      </c>
      <c r="F13" s="17" t="s">
        <v>129</v>
      </c>
      <c r="G13" s="18">
        <v>2</v>
      </c>
      <c r="H13" s="33">
        <v>43830</v>
      </c>
      <c r="I13" s="120">
        <v>-2694696.79</v>
      </c>
      <c r="J13" s="17" t="s">
        <v>109</v>
      </c>
      <c r="K13" s="17" t="s">
        <v>83</v>
      </c>
      <c r="L13" s="17" t="s">
        <v>115</v>
      </c>
      <c r="M13" s="17" t="s">
        <v>128</v>
      </c>
      <c r="N13" s="18">
        <v>12</v>
      </c>
    </row>
    <row r="14" spans="1:14">
      <c r="A14" s="129" t="s">
        <v>161</v>
      </c>
      <c r="B14" s="130">
        <v>-10407.830000000002</v>
      </c>
      <c r="F14" s="17" t="s">
        <v>139</v>
      </c>
      <c r="G14" s="18">
        <v>7</v>
      </c>
      <c r="H14" s="33">
        <v>43830</v>
      </c>
      <c r="I14" s="120">
        <v>30312.3</v>
      </c>
      <c r="J14" s="17" t="s">
        <v>136</v>
      </c>
      <c r="K14" s="17" t="s">
        <v>83</v>
      </c>
      <c r="L14" s="17" t="s">
        <v>138</v>
      </c>
      <c r="M14" s="17" t="s">
        <v>137</v>
      </c>
      <c r="N14" s="18">
        <v>12</v>
      </c>
    </row>
    <row r="15" spans="1:14">
      <c r="A15" s="129" t="s">
        <v>160</v>
      </c>
      <c r="B15" s="130">
        <v>-106282.85</v>
      </c>
      <c r="F15" s="17" t="s">
        <v>141</v>
      </c>
      <c r="G15" s="18">
        <v>7</v>
      </c>
      <c r="H15" s="33">
        <v>43830</v>
      </c>
      <c r="I15" s="131">
        <v>4375</v>
      </c>
      <c r="J15" s="17" t="s">
        <v>136</v>
      </c>
      <c r="K15" s="17" t="s">
        <v>83</v>
      </c>
      <c r="L15" s="17" t="s">
        <v>138</v>
      </c>
      <c r="M15" s="17" t="s">
        <v>140</v>
      </c>
      <c r="N15" s="18">
        <v>12</v>
      </c>
    </row>
    <row r="16" spans="1:14">
      <c r="A16" s="129" t="s">
        <v>38</v>
      </c>
      <c r="B16" s="130">
        <v>-34077.249999999985</v>
      </c>
      <c r="F16" s="17" t="s">
        <v>112</v>
      </c>
      <c r="G16" s="18">
        <v>1</v>
      </c>
      <c r="H16" s="33">
        <v>43830</v>
      </c>
      <c r="I16" s="120">
        <v>205000</v>
      </c>
      <c r="J16" s="17" t="s">
        <v>109</v>
      </c>
      <c r="K16" s="17" t="s">
        <v>83</v>
      </c>
      <c r="L16" s="17" t="s">
        <v>114</v>
      </c>
      <c r="M16" s="17" t="s">
        <v>113</v>
      </c>
      <c r="N16" s="18">
        <v>12</v>
      </c>
    </row>
    <row r="17" spans="1:14">
      <c r="A17" s="129" t="s">
        <v>39</v>
      </c>
      <c r="B17" s="130">
        <v>-162847.63999999981</v>
      </c>
      <c r="F17" s="17" t="s">
        <v>112</v>
      </c>
      <c r="G17" s="18">
        <v>2</v>
      </c>
      <c r="H17" s="33">
        <v>43830</v>
      </c>
      <c r="I17" s="120">
        <v>-165000</v>
      </c>
      <c r="J17" s="17" t="s">
        <v>109</v>
      </c>
      <c r="K17" s="17" t="s">
        <v>83</v>
      </c>
      <c r="L17" s="17" t="s">
        <v>114</v>
      </c>
      <c r="M17" s="17" t="s">
        <v>113</v>
      </c>
      <c r="N17" s="18">
        <v>12</v>
      </c>
    </row>
    <row r="18" spans="1:14">
      <c r="A18" s="129" t="s">
        <v>40</v>
      </c>
      <c r="B18" s="130">
        <v>-48037.109999999986</v>
      </c>
      <c r="F18" s="17" t="s">
        <v>131</v>
      </c>
      <c r="G18" s="18">
        <v>5</v>
      </c>
      <c r="H18" s="33">
        <v>43830</v>
      </c>
      <c r="I18" s="120">
        <v>-12223.03</v>
      </c>
      <c r="J18" s="17" t="s">
        <v>109</v>
      </c>
      <c r="K18" s="17" t="s">
        <v>83</v>
      </c>
      <c r="L18" s="17" t="s">
        <v>117</v>
      </c>
      <c r="M18" s="17" t="s">
        <v>133</v>
      </c>
      <c r="N18" s="18">
        <v>12</v>
      </c>
    </row>
    <row r="19" spans="1:14">
      <c r="A19" s="129" t="s">
        <v>159</v>
      </c>
      <c r="B19" s="130">
        <v>-24310.369999999995</v>
      </c>
      <c r="F19" s="17" t="s">
        <v>131</v>
      </c>
      <c r="G19" s="18">
        <v>8</v>
      </c>
      <c r="H19" s="33">
        <v>43830</v>
      </c>
      <c r="I19" s="132">
        <v>272192.92</v>
      </c>
      <c r="J19" s="17" t="s">
        <v>109</v>
      </c>
      <c r="K19" s="17" t="s">
        <v>83</v>
      </c>
      <c r="L19" s="17" t="s">
        <v>127</v>
      </c>
      <c r="M19" s="17" t="s">
        <v>132</v>
      </c>
      <c r="N19" s="18">
        <v>12</v>
      </c>
    </row>
    <row r="20" spans="1:14">
      <c r="A20" s="129" t="s">
        <v>158</v>
      </c>
      <c r="B20" s="130">
        <v>0</v>
      </c>
      <c r="F20" s="17"/>
      <c r="G20" s="18"/>
      <c r="H20" s="33"/>
      <c r="I20" s="120"/>
      <c r="J20" s="17"/>
      <c r="K20" s="17"/>
      <c r="L20" s="17"/>
      <c r="M20" s="17"/>
      <c r="N20" s="18"/>
    </row>
    <row r="21" spans="1:14" ht="15.75" thickBot="1">
      <c r="A21" s="129" t="s">
        <v>157</v>
      </c>
      <c r="B21" s="130">
        <v>-55226.33</v>
      </c>
      <c r="F21" s="22" t="s">
        <v>265</v>
      </c>
      <c r="I21" s="133">
        <f>SUM(I7:I20)</f>
        <v>-2261724.62</v>
      </c>
    </row>
    <row r="22" spans="1:14" ht="15.75" thickTop="1">
      <c r="A22" s="129" t="s">
        <v>156</v>
      </c>
      <c r="B22" s="130">
        <v>-5496.11</v>
      </c>
    </row>
    <row r="23" spans="1:14">
      <c r="A23" s="129" t="s">
        <v>155</v>
      </c>
      <c r="B23" s="130">
        <v>-7151.5199999999977</v>
      </c>
    </row>
    <row r="24" spans="1:14">
      <c r="A24" s="129" t="s">
        <v>154</v>
      </c>
      <c r="B24" s="130">
        <v>-14422.619999999997</v>
      </c>
    </row>
    <row r="25" spans="1:14">
      <c r="A25" s="129" t="s">
        <v>49</v>
      </c>
      <c r="B25" s="130">
        <v>-12122.279999999999</v>
      </c>
    </row>
    <row r="26" spans="1:14">
      <c r="A26" s="129" t="s">
        <v>53</v>
      </c>
      <c r="B26" s="130">
        <v>-34214.919999999955</v>
      </c>
    </row>
    <row r="27" spans="1:14">
      <c r="A27" s="129" t="s">
        <v>153</v>
      </c>
      <c r="B27" s="130">
        <v>-119635.27</v>
      </c>
    </row>
    <row r="28" spans="1:14">
      <c r="A28" s="129" t="s">
        <v>152</v>
      </c>
      <c r="B28" s="130">
        <v>-17077.23</v>
      </c>
    </row>
    <row r="29" spans="1:14">
      <c r="A29" s="129" t="s">
        <v>151</v>
      </c>
      <c r="B29" s="130">
        <v>-14090.569999999998</v>
      </c>
    </row>
    <row r="30" spans="1:14">
      <c r="A30" s="129" t="s">
        <v>150</v>
      </c>
      <c r="B30" s="130">
        <v>-249026.57000000007</v>
      </c>
    </row>
    <row r="31" spans="1:14">
      <c r="A31" s="129" t="s">
        <v>149</v>
      </c>
      <c r="B31" s="130">
        <v>-116682.63999999997</v>
      </c>
    </row>
    <row r="32" spans="1:14">
      <c r="A32" s="129" t="s">
        <v>18</v>
      </c>
      <c r="B32" s="130">
        <v>-43416.709999999985</v>
      </c>
    </row>
    <row r="33" spans="1:4">
      <c r="A33" s="129" t="s">
        <v>27</v>
      </c>
      <c r="B33" s="130">
        <v>-28984.630000000008</v>
      </c>
    </row>
    <row r="34" spans="1:4">
      <c r="A34" s="129" t="s">
        <v>148</v>
      </c>
      <c r="B34" s="130">
        <v>-8439.73</v>
      </c>
    </row>
    <row r="35" spans="1:4">
      <c r="A35" s="129" t="s">
        <v>147</v>
      </c>
      <c r="B35" s="130">
        <v>-7533.44</v>
      </c>
    </row>
    <row r="36" spans="1:4">
      <c r="A36" s="129" t="s">
        <v>21</v>
      </c>
      <c r="B36" s="130">
        <v>-13404.339999999989</v>
      </c>
    </row>
    <row r="37" spans="1:4">
      <c r="A37" s="129" t="s">
        <v>23</v>
      </c>
      <c r="B37" s="130">
        <v>-4267.8599999999997</v>
      </c>
    </row>
    <row r="38" spans="1:4">
      <c r="A38" s="129" t="s">
        <v>146</v>
      </c>
      <c r="B38" s="130">
        <v>-88.05</v>
      </c>
      <c r="D38" s="130"/>
    </row>
    <row r="39" spans="1:4">
      <c r="A39" s="129" t="s">
        <v>145</v>
      </c>
      <c r="B39" s="130">
        <v>-3534.6199999999994</v>
      </c>
    </row>
    <row r="40" spans="1:4">
      <c r="A40" s="129" t="s">
        <v>25</v>
      </c>
      <c r="B40" s="130">
        <v>-18800.950000000004</v>
      </c>
    </row>
    <row r="41" spans="1:4">
      <c r="A41" s="129" t="s">
        <v>26</v>
      </c>
      <c r="B41" s="130">
        <v>-482.07000000000085</v>
      </c>
    </row>
    <row r="42" spans="1:4">
      <c r="A42" s="129" t="s">
        <v>144</v>
      </c>
      <c r="B42" s="130">
        <v>-68034.58</v>
      </c>
    </row>
    <row r="43" spans="1:4">
      <c r="A43" s="129" t="s">
        <v>143</v>
      </c>
      <c r="B43" s="130">
        <v>-1364.94</v>
      </c>
    </row>
    <row r="44" spans="1:4">
      <c r="A44" s="129" t="s">
        <v>142</v>
      </c>
      <c r="B44" s="130">
        <v>-917.06</v>
      </c>
    </row>
    <row r="45" spans="1:4">
      <c r="A45" s="129" t="s">
        <v>136</v>
      </c>
      <c r="B45" s="130">
        <v>-534163.59999999986</v>
      </c>
    </row>
    <row r="46" spans="1:4">
      <c r="A46" s="129" t="s">
        <v>135</v>
      </c>
      <c r="B46" s="130">
        <v>0</v>
      </c>
    </row>
    <row r="47" spans="1:4">
      <c r="A47" s="129" t="s">
        <v>109</v>
      </c>
      <c r="B47" s="130">
        <v>210587.90000000014</v>
      </c>
    </row>
    <row r="48" spans="1:4">
      <c r="A48" s="129" t="s">
        <v>108</v>
      </c>
      <c r="B48" s="130">
        <v>-3108.03</v>
      </c>
    </row>
    <row r="49" spans="1:2">
      <c r="A49" s="129" t="s">
        <v>107</v>
      </c>
      <c r="B49" s="130">
        <v>-18296.140000000003</v>
      </c>
    </row>
    <row r="50" spans="1:2">
      <c r="A50" s="129" t="s">
        <v>106</v>
      </c>
      <c r="B50" s="130">
        <v>-1696.66</v>
      </c>
    </row>
    <row r="51" spans="1:2">
      <c r="A51" s="129" t="s">
        <v>105</v>
      </c>
      <c r="B51" s="130">
        <v>-17910.669999999998</v>
      </c>
    </row>
    <row r="52" spans="1:2">
      <c r="A52" s="129" t="s">
        <v>84</v>
      </c>
      <c r="B52" s="130">
        <v>-2261724.62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1"/>
  <sheetViews>
    <sheetView topLeftCell="A64" workbookViewId="0">
      <selection activeCell="M12" sqref="M12"/>
    </sheetView>
  </sheetViews>
  <sheetFormatPr defaultColWidth="10" defaultRowHeight="12.75"/>
  <cols>
    <col min="1" max="1" width="11.28515625" style="52" customWidth="1"/>
    <col min="2" max="2" width="15.42578125" style="50" customWidth="1"/>
    <col min="3" max="3" width="14.42578125" style="50" customWidth="1"/>
    <col min="4" max="4" width="5.85546875" style="50" bestFit="1" customWidth="1"/>
    <col min="5" max="5" width="14.42578125" style="50" customWidth="1"/>
    <col min="6" max="6" width="6" style="50" bestFit="1" customWidth="1"/>
    <col min="7" max="7" width="16" style="50" customWidth="1"/>
    <col min="8" max="8" width="4.85546875" style="50" customWidth="1"/>
    <col min="9" max="9" width="14.5703125" style="52" bestFit="1" customWidth="1"/>
    <col min="10" max="10" width="7.7109375" style="53" bestFit="1" customWidth="1"/>
    <col min="11" max="11" width="14.7109375" style="50" bestFit="1" customWidth="1"/>
    <col min="12" max="12" width="5.85546875" style="52" customWidth="1"/>
    <col min="13" max="13" width="16.140625" style="80" customWidth="1"/>
    <col min="14" max="14" width="8" style="80" customWidth="1"/>
    <col min="15" max="15" width="14.42578125" style="52" customWidth="1"/>
    <col min="16" max="16384" width="10" style="52"/>
  </cols>
  <sheetData>
    <row r="1" spans="1:19" ht="15">
      <c r="A1" t="s">
        <v>267</v>
      </c>
    </row>
    <row r="2" spans="1:19" s="39" customFormat="1" ht="15">
      <c r="A2" s="37" t="s">
        <v>186</v>
      </c>
      <c r="B2" s="38"/>
      <c r="C2" s="38"/>
      <c r="D2" s="38"/>
      <c r="E2" s="38"/>
      <c r="F2" s="38"/>
      <c r="G2" s="38"/>
      <c r="H2" s="38"/>
      <c r="J2" s="40"/>
      <c r="K2" s="38"/>
      <c r="M2" s="78"/>
      <c r="N2" s="78"/>
    </row>
    <row r="3" spans="1:19" s="43" customFormat="1">
      <c r="A3" s="41" t="s">
        <v>203</v>
      </c>
      <c r="B3" s="42"/>
      <c r="C3" s="42"/>
      <c r="D3" s="42"/>
      <c r="E3" s="42"/>
      <c r="F3" s="42"/>
      <c r="G3" s="42"/>
      <c r="H3" s="42"/>
      <c r="J3" s="44"/>
      <c r="K3" s="42"/>
      <c r="M3" s="79"/>
      <c r="N3" s="79"/>
    </row>
    <row r="4" spans="1:19" s="39" customFormat="1" ht="38.25" customHeight="1">
      <c r="A4" s="179" t="s">
        <v>187</v>
      </c>
      <c r="B4" s="179"/>
      <c r="C4" s="179"/>
      <c r="D4" s="179"/>
      <c r="E4" s="179"/>
      <c r="F4" s="179"/>
      <c r="G4" s="179"/>
      <c r="H4" s="179"/>
      <c r="I4" s="179"/>
      <c r="J4" s="179"/>
      <c r="K4" s="179"/>
      <c r="L4" s="179"/>
      <c r="M4" s="179"/>
      <c r="N4" s="179"/>
      <c r="O4" s="179"/>
      <c r="P4" s="156"/>
      <c r="Q4" s="156"/>
      <c r="R4" s="156"/>
      <c r="S4" s="156"/>
    </row>
    <row r="5" spans="1:19" s="39" customFormat="1" ht="15">
      <c r="A5" s="45" t="s">
        <v>188</v>
      </c>
      <c r="B5" s="45"/>
      <c r="C5" s="45"/>
      <c r="D5" s="45"/>
      <c r="E5" s="45"/>
      <c r="F5" s="45"/>
      <c r="G5" s="45"/>
      <c r="H5" s="45"/>
      <c r="I5" s="45"/>
      <c r="J5" s="45"/>
      <c r="K5" s="45"/>
      <c r="M5" s="78"/>
      <c r="N5" s="78"/>
    </row>
    <row r="6" spans="1:19" s="39" customFormat="1" ht="15">
      <c r="A6" s="46"/>
      <c r="B6" s="47"/>
      <c r="C6" s="47"/>
      <c r="D6" s="47"/>
      <c r="E6" s="47"/>
      <c r="F6" s="47"/>
      <c r="G6" s="47"/>
      <c r="H6" s="47"/>
      <c r="I6" s="46"/>
      <c r="J6" s="48"/>
      <c r="K6" s="47"/>
      <c r="M6" s="78"/>
      <c r="N6" s="78"/>
    </row>
    <row r="7" spans="1:19" s="43" customFormat="1">
      <c r="A7" s="49"/>
      <c r="B7" s="50"/>
      <c r="C7" s="50"/>
      <c r="D7" s="50"/>
      <c r="E7" s="50"/>
      <c r="F7" s="50"/>
      <c r="G7" s="50"/>
      <c r="H7" s="50"/>
      <c r="J7" s="44"/>
      <c r="K7" s="42"/>
      <c r="M7" s="79"/>
      <c r="N7" s="79"/>
    </row>
    <row r="8" spans="1:19">
      <c r="A8" s="51" t="s">
        <v>189</v>
      </c>
    </row>
    <row r="9" spans="1:19" ht="42.75" customHeight="1">
      <c r="A9" s="54" t="s">
        <v>190</v>
      </c>
      <c r="B9" s="178" t="s">
        <v>191</v>
      </c>
      <c r="C9" s="178"/>
      <c r="D9" s="178"/>
      <c r="E9" s="178"/>
      <c r="F9" s="178"/>
      <c r="G9" s="178"/>
      <c r="H9" s="178"/>
      <c r="I9" s="178"/>
      <c r="J9" s="178"/>
      <c r="K9" s="178"/>
      <c r="L9" s="178"/>
      <c r="M9" s="178"/>
      <c r="N9" s="178"/>
      <c r="O9" s="178"/>
    </row>
    <row r="10" spans="1:19" ht="51.75" customHeight="1">
      <c r="A10" s="55" t="s">
        <v>192</v>
      </c>
      <c r="B10" s="178" t="s">
        <v>193</v>
      </c>
      <c r="C10" s="178"/>
      <c r="D10" s="178"/>
      <c r="E10" s="178"/>
      <c r="F10" s="178"/>
      <c r="G10" s="178"/>
      <c r="H10" s="178"/>
      <c r="I10" s="178"/>
      <c r="J10" s="178"/>
      <c r="K10" s="178"/>
      <c r="L10" s="178"/>
      <c r="M10" s="178"/>
      <c r="N10" s="178"/>
      <c r="O10" s="178"/>
    </row>
    <row r="11" spans="1:19" ht="15">
      <c r="A11" s="55" t="s">
        <v>194</v>
      </c>
      <c r="B11" s="56" t="s">
        <v>195</v>
      </c>
    </row>
    <row r="12" spans="1:19" s="43" customFormat="1">
      <c r="B12" s="42"/>
      <c r="C12" s="42"/>
      <c r="D12" s="42"/>
      <c r="E12" s="42"/>
      <c r="F12" s="42"/>
      <c r="G12" s="42"/>
      <c r="H12" s="42"/>
      <c r="J12" s="44"/>
      <c r="K12" s="42"/>
      <c r="M12" s="79"/>
      <c r="N12" s="79"/>
    </row>
    <row r="13" spans="1:19" s="43" customFormat="1" ht="13.5" thickBot="1">
      <c r="B13" s="42"/>
      <c r="C13" s="174"/>
      <c r="D13" s="174"/>
      <c r="E13" s="174"/>
      <c r="F13" s="57"/>
      <c r="G13" s="58"/>
      <c r="H13" s="57"/>
      <c r="J13" s="44"/>
      <c r="K13" s="42"/>
      <c r="M13" s="79"/>
      <c r="N13" s="79"/>
    </row>
    <row r="14" spans="1:19" s="51" customFormat="1" ht="15.75" customHeight="1" thickBot="1">
      <c r="B14" s="175" t="s">
        <v>204</v>
      </c>
      <c r="C14" s="176"/>
      <c r="D14" s="176"/>
      <c r="E14" s="176"/>
      <c r="F14" s="176"/>
      <c r="G14" s="176"/>
      <c r="H14" s="176"/>
      <c r="I14" s="176"/>
      <c r="J14" s="176"/>
      <c r="K14" s="177"/>
      <c r="M14" s="81"/>
      <c r="N14" s="81"/>
    </row>
    <row r="15" spans="1:19" s="43" customFormat="1" ht="65.25" thickTop="1" thickBot="1">
      <c r="A15" s="59" t="s">
        <v>3</v>
      </c>
      <c r="B15" s="59" t="s">
        <v>196</v>
      </c>
      <c r="C15" s="59" t="s">
        <v>197</v>
      </c>
      <c r="D15" s="59"/>
      <c r="E15" s="59" t="s">
        <v>198</v>
      </c>
      <c r="F15" s="59"/>
      <c r="G15" s="59" t="s">
        <v>199</v>
      </c>
      <c r="H15" s="59"/>
      <c r="I15" s="59" t="s">
        <v>200</v>
      </c>
      <c r="J15" s="60"/>
      <c r="K15" s="59" t="s">
        <v>201</v>
      </c>
      <c r="M15" s="82" t="s">
        <v>256</v>
      </c>
      <c r="N15" s="82"/>
      <c r="O15" s="82" t="s">
        <v>259</v>
      </c>
    </row>
    <row r="16" spans="1:19" s="43" customFormat="1" ht="15.75" thickTop="1">
      <c r="A16" s="61">
        <v>107200</v>
      </c>
      <c r="B16" s="99">
        <f>'Allocated Benefits by Account'!B7</f>
        <v>-11646.300000000001</v>
      </c>
      <c r="C16" s="68"/>
      <c r="D16" s="68"/>
      <c r="E16" s="68">
        <v>0</v>
      </c>
      <c r="F16" s="97"/>
      <c r="G16" s="88"/>
      <c r="H16" s="89"/>
      <c r="I16" s="63">
        <v>9015.33</v>
      </c>
      <c r="J16" s="64" t="s">
        <v>205</v>
      </c>
      <c r="K16" s="62">
        <f t="shared" ref="K16:K47" si="0">SUM(B16:J16)</f>
        <v>-2630.9700000000012</v>
      </c>
      <c r="M16" s="84">
        <f>-'Annual Adjustments'!B5</f>
        <v>68993.360000000015</v>
      </c>
      <c r="N16" s="84"/>
      <c r="O16" s="65">
        <f>K16+M16</f>
        <v>66362.390000000014</v>
      </c>
    </row>
    <row r="17" spans="1:15" s="43" customFormat="1" ht="15">
      <c r="A17" s="61">
        <v>108800</v>
      </c>
      <c r="B17" s="99">
        <f>'Allocated Benefits by Account'!B8</f>
        <v>-4666.7400000000116</v>
      </c>
      <c r="C17" s="68"/>
      <c r="D17" s="68"/>
      <c r="E17" s="68">
        <v>0</v>
      </c>
      <c r="F17" s="97"/>
      <c r="G17" s="88"/>
      <c r="H17" s="89"/>
      <c r="I17" s="63">
        <f>IFERROR(VLOOKUP($A17,'[3]Stores Summary'!$A$11:$J$26,2,FALSE),0)</f>
        <v>0</v>
      </c>
      <c r="J17" s="69"/>
      <c r="K17" s="62">
        <f t="shared" si="0"/>
        <v>-4666.7400000000116</v>
      </c>
      <c r="M17" s="84">
        <f>-'Annual Adjustments'!B6</f>
        <v>24467.439999999995</v>
      </c>
      <c r="N17" s="84"/>
      <c r="O17" s="65">
        <f t="shared" ref="O17:O80" si="1">K17+M17</f>
        <v>19800.699999999983</v>
      </c>
    </row>
    <row r="18" spans="1:15" s="43" customFormat="1" ht="15">
      <c r="A18" s="61">
        <v>143005</v>
      </c>
      <c r="B18" s="99">
        <f>SUM('Allocated Benefits by Account'!B9)</f>
        <v>1433.18</v>
      </c>
      <c r="C18" s="68"/>
      <c r="D18" s="68"/>
      <c r="E18" s="68">
        <v>0</v>
      </c>
      <c r="F18" s="97"/>
      <c r="G18" s="90"/>
      <c r="H18" s="91"/>
      <c r="I18" s="63">
        <f>IFERROR(VLOOKUP($A18,'[3]Stores Summary'!$A$11:$J$26,2,FALSE),0)</f>
        <v>0</v>
      </c>
      <c r="J18" s="69"/>
      <c r="K18" s="62">
        <f t="shared" si="0"/>
        <v>1433.18</v>
      </c>
      <c r="M18" s="84">
        <v>0</v>
      </c>
      <c r="N18" s="84"/>
      <c r="O18" s="65">
        <f t="shared" si="1"/>
        <v>1433.18</v>
      </c>
    </row>
    <row r="19" spans="1:15" s="43" customFormat="1" ht="15">
      <c r="A19" s="61">
        <v>151018</v>
      </c>
      <c r="B19" s="99">
        <v>0</v>
      </c>
      <c r="C19" s="68"/>
      <c r="D19" s="68"/>
      <c r="E19" s="68">
        <v>0</v>
      </c>
      <c r="F19" s="97"/>
      <c r="G19" s="90"/>
      <c r="H19" s="91"/>
      <c r="I19" s="63">
        <f>IFERROR(VLOOKUP($A19,'[3]Stores Summary'!$A$11:$J$26,2,FALSE),0)</f>
        <v>0</v>
      </c>
      <c r="J19" s="69"/>
      <c r="K19" s="62">
        <f t="shared" si="0"/>
        <v>0</v>
      </c>
      <c r="M19" s="84">
        <v>0</v>
      </c>
      <c r="N19" s="84"/>
      <c r="O19" s="65">
        <f t="shared" si="1"/>
        <v>0</v>
      </c>
    </row>
    <row r="20" spans="1:15" s="43" customFormat="1" ht="15">
      <c r="A20" s="61">
        <v>152000</v>
      </c>
      <c r="B20" s="99">
        <f>SUM('Allocated Benefits by Account'!B10)</f>
        <v>3213.8600000000006</v>
      </c>
      <c r="C20" s="68"/>
      <c r="D20" s="68"/>
      <c r="E20" s="68">
        <v>0</v>
      </c>
      <c r="F20" s="97"/>
      <c r="G20" s="90"/>
      <c r="H20" s="91"/>
      <c r="I20" s="63">
        <f>IFERROR(VLOOKUP($A20,'[3]Stores Summary'!$A$11:$J$26,2,FALSE),0)</f>
        <v>0</v>
      </c>
      <c r="J20" s="69"/>
      <c r="K20" s="62">
        <f t="shared" si="0"/>
        <v>3213.8600000000006</v>
      </c>
      <c r="M20" s="84">
        <v>0</v>
      </c>
      <c r="N20" s="84"/>
      <c r="O20" s="65">
        <f t="shared" si="1"/>
        <v>3213.8600000000006</v>
      </c>
    </row>
    <row r="21" spans="1:15" s="43" customFormat="1" ht="15">
      <c r="A21" s="61">
        <v>152002</v>
      </c>
      <c r="B21" s="99">
        <f>SUM('Allocated Benefits by Account'!B11)</f>
        <v>9.999999996864517E-3</v>
      </c>
      <c r="C21" s="68"/>
      <c r="D21" s="68"/>
      <c r="E21" s="68">
        <v>0</v>
      </c>
      <c r="F21" s="97"/>
      <c r="G21" s="90"/>
      <c r="H21" s="91"/>
      <c r="I21" s="63">
        <f>IFERROR(VLOOKUP($A21,'[3]Stores Summary'!$A$11:$J$26,2,FALSE),0)</f>
        <v>0</v>
      </c>
      <c r="J21" s="69"/>
      <c r="K21" s="62">
        <f t="shared" si="0"/>
        <v>9.999999996864517E-3</v>
      </c>
      <c r="M21" s="84">
        <v>0</v>
      </c>
      <c r="N21" s="84"/>
      <c r="O21" s="65">
        <f t="shared" si="1"/>
        <v>9.999999996864517E-3</v>
      </c>
    </row>
    <row r="22" spans="1:15" s="43" customFormat="1" ht="15">
      <c r="A22" s="61">
        <v>152003</v>
      </c>
      <c r="B22" s="99">
        <f>SUM('Allocated Benefits by Account'!B12)</f>
        <v>0</v>
      </c>
      <c r="C22" s="68"/>
      <c r="D22" s="68"/>
      <c r="E22" s="68">
        <v>0</v>
      </c>
      <c r="F22" s="97"/>
      <c r="G22" s="90"/>
      <c r="H22" s="91"/>
      <c r="I22" s="63">
        <f>IFERROR(VLOOKUP($A22,'[3]Stores Summary'!$A$11:$J$26,2,FALSE),0)</f>
        <v>0</v>
      </c>
      <c r="J22" s="69"/>
      <c r="K22" s="62">
        <f t="shared" si="0"/>
        <v>0</v>
      </c>
      <c r="M22" s="84">
        <v>0</v>
      </c>
      <c r="N22" s="84"/>
      <c r="O22" s="65">
        <f t="shared" si="1"/>
        <v>0</v>
      </c>
    </row>
    <row r="23" spans="1:15" ht="15">
      <c r="A23" s="66">
        <v>163000</v>
      </c>
      <c r="B23" s="99">
        <f>SUM('Allocated Benefits by Account'!B13)</f>
        <v>10549.64</v>
      </c>
      <c r="C23" s="68"/>
      <c r="D23" s="68"/>
      <c r="E23" s="68">
        <v>0</v>
      </c>
      <c r="F23" s="97"/>
      <c r="G23" s="90"/>
      <c r="H23" s="91"/>
      <c r="I23" s="63">
        <v>-10549.64</v>
      </c>
      <c r="J23" s="67" t="s">
        <v>206</v>
      </c>
      <c r="K23" s="62">
        <f t="shared" si="0"/>
        <v>0</v>
      </c>
      <c r="M23" s="84">
        <v>0</v>
      </c>
      <c r="N23" s="84"/>
      <c r="O23" s="65">
        <f t="shared" si="1"/>
        <v>0</v>
      </c>
    </row>
    <row r="24" spans="1:15" ht="15">
      <c r="A24" s="66">
        <v>163030</v>
      </c>
      <c r="B24" s="99">
        <f>SUM('Allocated Benefits by Account'!B14)</f>
        <v>2095.3000000000002</v>
      </c>
      <c r="C24" s="68"/>
      <c r="D24" s="68"/>
      <c r="E24" s="68">
        <v>0</v>
      </c>
      <c r="F24" s="97"/>
      <c r="G24" s="90"/>
      <c r="H24" s="91"/>
      <c r="I24" s="63">
        <v>-2095.3000000000002</v>
      </c>
      <c r="J24" s="67" t="s">
        <v>207</v>
      </c>
      <c r="K24" s="62">
        <f t="shared" si="0"/>
        <v>0</v>
      </c>
      <c r="M24" s="84">
        <v>0</v>
      </c>
      <c r="N24" s="84"/>
      <c r="O24" s="65">
        <f t="shared" si="1"/>
        <v>0</v>
      </c>
    </row>
    <row r="25" spans="1:15" ht="15">
      <c r="A25" s="66">
        <v>163040</v>
      </c>
      <c r="B25" s="99">
        <f>SUM('Allocated Benefits by Account'!B15)</f>
        <v>8164.07</v>
      </c>
      <c r="C25" s="68"/>
      <c r="D25" s="68"/>
      <c r="E25" s="68">
        <v>0</v>
      </c>
      <c r="F25" s="97"/>
      <c r="G25" s="90"/>
      <c r="H25" s="91"/>
      <c r="I25" s="63">
        <v>-8164.07</v>
      </c>
      <c r="J25" s="67" t="s">
        <v>209</v>
      </c>
      <c r="K25" s="62">
        <f t="shared" si="0"/>
        <v>0</v>
      </c>
      <c r="M25" s="84">
        <v>0</v>
      </c>
      <c r="N25" s="84"/>
      <c r="O25" s="65">
        <f t="shared" si="1"/>
        <v>0</v>
      </c>
    </row>
    <row r="26" spans="1:15" ht="15">
      <c r="A26" s="66">
        <v>163050</v>
      </c>
      <c r="B26" s="99">
        <f>SUM('Allocated Benefits by Account'!B16)</f>
        <v>1967.9</v>
      </c>
      <c r="C26" s="68"/>
      <c r="D26" s="68"/>
      <c r="E26" s="68">
        <v>0</v>
      </c>
      <c r="F26" s="97"/>
      <c r="G26" s="90"/>
      <c r="H26" s="91"/>
      <c r="I26" s="63">
        <v>-1967.9</v>
      </c>
      <c r="J26" s="67" t="s">
        <v>210</v>
      </c>
      <c r="K26" s="62">
        <f t="shared" si="0"/>
        <v>0</v>
      </c>
      <c r="M26" s="84">
        <v>0</v>
      </c>
      <c r="N26" s="84"/>
      <c r="O26" s="65">
        <f t="shared" si="1"/>
        <v>0</v>
      </c>
    </row>
    <row r="27" spans="1:15" s="43" customFormat="1" ht="15">
      <c r="A27" s="61">
        <v>183000</v>
      </c>
      <c r="B27" s="99">
        <v>0</v>
      </c>
      <c r="C27" s="68"/>
      <c r="D27" s="68"/>
      <c r="E27" s="68">
        <v>0</v>
      </c>
      <c r="F27" s="97"/>
      <c r="G27" s="90"/>
      <c r="H27" s="91"/>
      <c r="I27" s="63">
        <f>IFERROR(VLOOKUP($A27,'[3]Stores Summary'!$A$11:$J$26,2,FALSE),0)</f>
        <v>0</v>
      </c>
      <c r="J27" s="69"/>
      <c r="K27" s="62">
        <f t="shared" si="0"/>
        <v>0</v>
      </c>
      <c r="M27" s="84">
        <v>0</v>
      </c>
      <c r="N27" s="84"/>
      <c r="O27" s="65">
        <f t="shared" si="1"/>
        <v>0</v>
      </c>
    </row>
    <row r="28" spans="1:15" s="43" customFormat="1" ht="15">
      <c r="A28" s="61">
        <v>184222</v>
      </c>
      <c r="B28" s="99">
        <f>SUM('Allocated Benefits by Account'!B17)</f>
        <v>-9.9999999953581664E-3</v>
      </c>
      <c r="C28" s="68"/>
      <c r="D28" s="68"/>
      <c r="E28" s="68">
        <v>0</v>
      </c>
      <c r="F28" s="97"/>
      <c r="G28" s="90"/>
      <c r="H28" s="91"/>
      <c r="I28" s="63">
        <f>IFERROR(VLOOKUP($A28,'[3]Stores Summary'!$A$11:$J$26,2,FALSE),0)</f>
        <v>0</v>
      </c>
      <c r="J28" s="69"/>
      <c r="K28" s="62">
        <f t="shared" si="0"/>
        <v>-9.9999999953581664E-3</v>
      </c>
      <c r="M28" s="84">
        <v>0</v>
      </c>
      <c r="N28" s="84"/>
      <c r="O28" s="65">
        <f t="shared" si="1"/>
        <v>-9.9999999953581664E-3</v>
      </c>
    </row>
    <row r="29" spans="1:15" s="43" customFormat="1" ht="15">
      <c r="A29" s="61">
        <v>184224</v>
      </c>
      <c r="B29" s="99">
        <f>SUM('Allocated Benefits by Account'!B18)</f>
        <v>-2.9999999999745341E-2</v>
      </c>
      <c r="C29" s="68"/>
      <c r="D29" s="68"/>
      <c r="E29" s="68">
        <v>0.02</v>
      </c>
      <c r="F29" s="97"/>
      <c r="G29" s="90"/>
      <c r="H29" s="92"/>
      <c r="I29" s="63">
        <f>IFERROR(VLOOKUP($A29,'[3]Stores Summary'!$A$11:$J$26,2,FALSE),0)</f>
        <v>0</v>
      </c>
      <c r="J29" s="69"/>
      <c r="K29" s="62">
        <f t="shared" si="0"/>
        <v>-9.9999999997453411E-3</v>
      </c>
      <c r="M29" s="84">
        <v>0</v>
      </c>
      <c r="N29" s="84"/>
      <c r="O29" s="65">
        <f t="shared" si="1"/>
        <v>-9.9999999997453411E-3</v>
      </c>
    </row>
    <row r="30" spans="1:15" s="43" customFormat="1" ht="15">
      <c r="A30" s="61">
        <v>184226</v>
      </c>
      <c r="B30" s="99">
        <f>SUM('Allocated Benefits by Account'!B19)</f>
        <v>1.0000000000218279E-2</v>
      </c>
      <c r="C30" s="68"/>
      <c r="D30" s="68"/>
      <c r="E30" s="68">
        <v>0</v>
      </c>
      <c r="F30" s="97"/>
      <c r="G30" s="90"/>
      <c r="H30" s="92"/>
      <c r="I30" s="63">
        <f>IFERROR(VLOOKUP($A30,'[3]Stores Summary'!$A$11:$J$26,2,FALSE),0)</f>
        <v>0</v>
      </c>
      <c r="J30" s="69"/>
      <c r="K30" s="62">
        <f t="shared" si="0"/>
        <v>1.0000000000218279E-2</v>
      </c>
      <c r="M30" s="84">
        <v>0</v>
      </c>
      <c r="N30" s="84"/>
      <c r="O30" s="65">
        <f t="shared" si="1"/>
        <v>1.0000000000218279E-2</v>
      </c>
    </row>
    <row r="31" spans="1:15" s="43" customFormat="1" ht="15">
      <c r="A31" s="61">
        <v>184228</v>
      </c>
      <c r="B31" s="99">
        <v>0</v>
      </c>
      <c r="C31" s="68"/>
      <c r="D31" s="68"/>
      <c r="E31" s="68">
        <v>0</v>
      </c>
      <c r="F31" s="97"/>
      <c r="G31" s="90"/>
      <c r="H31" s="92"/>
      <c r="I31" s="63">
        <f>IFERROR(VLOOKUP($A31,'[3]Stores Summary'!$A$11:$J$26,2,FALSE),0)</f>
        <v>0</v>
      </c>
      <c r="J31" s="69"/>
      <c r="K31" s="62">
        <f t="shared" si="0"/>
        <v>0</v>
      </c>
      <c r="M31" s="84">
        <v>0</v>
      </c>
      <c r="N31" s="84"/>
      <c r="O31" s="65">
        <f t="shared" si="1"/>
        <v>0</v>
      </c>
    </row>
    <row r="32" spans="1:15" s="43" customFormat="1" ht="15">
      <c r="A32" s="61">
        <v>186050</v>
      </c>
      <c r="B32" s="99">
        <v>0</v>
      </c>
      <c r="C32" s="68"/>
      <c r="D32" s="68"/>
      <c r="E32" s="68">
        <v>0</v>
      </c>
      <c r="F32" s="97"/>
      <c r="G32" s="90"/>
      <c r="H32" s="92"/>
      <c r="I32" s="63">
        <f>IFERROR(VLOOKUP($A32,'[3]Stores Summary'!$A$11:$J$26,2,FALSE),0)</f>
        <v>0</v>
      </c>
      <c r="J32" s="69"/>
      <c r="K32" s="62">
        <f t="shared" si="0"/>
        <v>0</v>
      </c>
      <c r="M32" s="84">
        <v>0</v>
      </c>
      <c r="N32" s="84"/>
      <c r="O32" s="65">
        <f t="shared" si="1"/>
        <v>0</v>
      </c>
    </row>
    <row r="33" spans="1:15" s="43" customFormat="1" ht="15">
      <c r="A33" s="61">
        <v>224140</v>
      </c>
      <c r="B33" s="99">
        <v>0</v>
      </c>
      <c r="C33" s="68"/>
      <c r="D33" s="68"/>
      <c r="E33" s="68">
        <v>0</v>
      </c>
      <c r="F33" s="97"/>
      <c r="G33" s="90"/>
      <c r="H33" s="92"/>
      <c r="I33" s="63">
        <f>IFERROR(VLOOKUP($A33,'[3]Stores Summary'!$A$11:$J$26,2,FALSE),0)</f>
        <v>0</v>
      </c>
      <c r="J33" s="69"/>
      <c r="K33" s="62">
        <f t="shared" si="0"/>
        <v>0</v>
      </c>
      <c r="M33" s="84">
        <v>0</v>
      </c>
      <c r="N33" s="84"/>
      <c r="O33" s="65">
        <f t="shared" si="1"/>
        <v>0</v>
      </c>
    </row>
    <row r="34" spans="1:15" s="43" customFormat="1" ht="15">
      <c r="A34" s="61">
        <v>230002</v>
      </c>
      <c r="B34" s="99">
        <v>0</v>
      </c>
      <c r="C34" s="68"/>
      <c r="D34" s="68"/>
      <c r="E34" s="68">
        <v>0</v>
      </c>
      <c r="F34" s="97"/>
      <c r="G34" s="90"/>
      <c r="H34" s="92"/>
      <c r="I34" s="63">
        <f>IFERROR(VLOOKUP($A34,'[3]Stores Summary'!$A$11:$J$26,2,FALSE),0)</f>
        <v>0</v>
      </c>
      <c r="J34" s="69"/>
      <c r="K34" s="62">
        <f t="shared" si="0"/>
        <v>0</v>
      </c>
      <c r="M34" s="84">
        <v>0</v>
      </c>
      <c r="N34" s="84"/>
      <c r="O34" s="65">
        <f t="shared" si="1"/>
        <v>0</v>
      </c>
    </row>
    <row r="35" spans="1:15" s="43" customFormat="1" ht="15">
      <c r="A35" s="61">
        <v>230003</v>
      </c>
      <c r="B35" s="99">
        <v>0</v>
      </c>
      <c r="C35" s="68"/>
      <c r="D35" s="68"/>
      <c r="E35" s="68">
        <v>0</v>
      </c>
      <c r="F35" s="97"/>
      <c r="G35" s="90"/>
      <c r="H35" s="92"/>
      <c r="I35" s="63">
        <f>IFERROR(VLOOKUP($A35,'[3]Stores Summary'!$A$11:$J$26,2,FALSE),0)</f>
        <v>0</v>
      </c>
      <c r="J35" s="69"/>
      <c r="K35" s="62">
        <f t="shared" si="0"/>
        <v>0</v>
      </c>
      <c r="M35" s="84">
        <v>0</v>
      </c>
      <c r="N35" s="84"/>
      <c r="O35" s="65">
        <f t="shared" si="1"/>
        <v>0</v>
      </c>
    </row>
    <row r="36" spans="1:15" s="43" customFormat="1" ht="15">
      <c r="A36" s="61">
        <v>413100</v>
      </c>
      <c r="B36" s="99">
        <f>SUM('Allocated Benefits by Account'!B21)</f>
        <v>1364.15</v>
      </c>
      <c r="C36" s="68"/>
      <c r="D36" s="68"/>
      <c r="E36" s="68">
        <v>5.69</v>
      </c>
      <c r="F36" s="97"/>
      <c r="G36" s="93"/>
      <c r="H36" s="92"/>
      <c r="I36" s="63">
        <f>IFERROR(VLOOKUP($A36,'[3]Stores Summary'!$A$11:$J$26,2,FALSE),0)</f>
        <v>0</v>
      </c>
      <c r="J36" s="69"/>
      <c r="K36" s="62">
        <f t="shared" si="0"/>
        <v>1369.8400000000001</v>
      </c>
      <c r="L36" s="65"/>
      <c r="M36" s="84">
        <v>0</v>
      </c>
      <c r="N36" s="84"/>
      <c r="O36" s="65">
        <f t="shared" si="1"/>
        <v>1369.8400000000001</v>
      </c>
    </row>
    <row r="37" spans="1:15" s="43" customFormat="1" ht="15">
      <c r="A37" s="61">
        <v>413102</v>
      </c>
      <c r="B37" s="99">
        <f>SUM('Allocated Benefits by Account'!B22)</f>
        <v>-1308.3699999999999</v>
      </c>
      <c r="C37" s="68"/>
      <c r="D37" s="68"/>
      <c r="E37" s="68">
        <v>0</v>
      </c>
      <c r="F37" s="97"/>
      <c r="G37" s="92"/>
      <c r="H37" s="92"/>
      <c r="I37" s="63">
        <f>IFERROR(VLOOKUP($A37,'[3]Stores Summary'!$A$11:$J$26,2,FALSE),0)</f>
        <v>0</v>
      </c>
      <c r="J37" s="69"/>
      <c r="K37" s="62">
        <f t="shared" si="0"/>
        <v>-1308.3699999999999</v>
      </c>
      <c r="L37" s="65"/>
      <c r="M37" s="84">
        <v>0</v>
      </c>
      <c r="N37" s="84"/>
      <c r="O37" s="65">
        <f t="shared" si="1"/>
        <v>-1308.3699999999999</v>
      </c>
    </row>
    <row r="38" spans="1:15" s="43" customFormat="1" ht="15">
      <c r="A38" s="61">
        <v>413200</v>
      </c>
      <c r="B38" s="99">
        <f>SUM('Allocated Benefits by Account'!B23)</f>
        <v>-118.2</v>
      </c>
      <c r="C38" s="68"/>
      <c r="D38" s="68"/>
      <c r="E38" s="68">
        <v>0</v>
      </c>
      <c r="F38" s="97"/>
      <c r="G38" s="92"/>
      <c r="H38" s="92"/>
      <c r="I38" s="63">
        <f>IFERROR(VLOOKUP($A38,'[3]Stores Summary'!$A$11:$J$26,2,FALSE),0)</f>
        <v>0</v>
      </c>
      <c r="J38" s="69"/>
      <c r="K38" s="62">
        <f t="shared" si="0"/>
        <v>-118.2</v>
      </c>
      <c r="M38" s="84">
        <v>0</v>
      </c>
      <c r="N38" s="84"/>
      <c r="O38" s="65">
        <f t="shared" si="1"/>
        <v>-118.2</v>
      </c>
    </row>
    <row r="39" spans="1:15" s="43" customFormat="1" ht="15">
      <c r="A39" s="61">
        <v>417103</v>
      </c>
      <c r="B39" s="99">
        <f>SUM('Allocated Benefits by Account'!B24)</f>
        <v>-589.36</v>
      </c>
      <c r="C39" s="68"/>
      <c r="D39" s="68"/>
      <c r="E39" s="68">
        <v>0</v>
      </c>
      <c r="F39" s="97"/>
      <c r="G39" s="92"/>
      <c r="H39" s="92"/>
      <c r="I39" s="63">
        <f>IFERROR(VLOOKUP($A39,'[3]Stores Summary'!$A$11:$J$26,2,FALSE),0)</f>
        <v>0</v>
      </c>
      <c r="J39" s="69"/>
      <c r="K39" s="62">
        <f t="shared" si="0"/>
        <v>-589.36</v>
      </c>
      <c r="M39" s="84">
        <f>-'Annual Adjustments'!B7</f>
        <v>1417.23</v>
      </c>
      <c r="N39" s="84"/>
      <c r="O39" s="65">
        <f t="shared" si="1"/>
        <v>827.87</v>
      </c>
    </row>
    <row r="40" spans="1:15" s="43" customFormat="1" ht="15">
      <c r="A40" s="61">
        <v>421000</v>
      </c>
      <c r="B40" s="99">
        <f>SUM('Allocated Benefits by Account'!B25)</f>
        <v>3120.33</v>
      </c>
      <c r="C40" s="68"/>
      <c r="D40" s="68"/>
      <c r="E40" s="68">
        <v>22.2</v>
      </c>
      <c r="F40" s="97"/>
      <c r="G40" s="92"/>
      <c r="H40" s="92"/>
      <c r="I40" s="63">
        <f>IFERROR(VLOOKUP($A40,'[3]Stores Summary'!$A$11:$J$26,2,FALSE),0)</f>
        <v>0</v>
      </c>
      <c r="J40" s="69"/>
      <c r="K40" s="62">
        <f t="shared" si="0"/>
        <v>3142.5299999999997</v>
      </c>
      <c r="M40" s="84">
        <v>0</v>
      </c>
      <c r="N40" s="84"/>
      <c r="O40" s="65">
        <f t="shared" si="1"/>
        <v>3142.5299999999997</v>
      </c>
    </row>
    <row r="41" spans="1:15" s="43" customFormat="1" ht="15">
      <c r="A41" s="61">
        <v>426200</v>
      </c>
      <c r="B41" s="99">
        <v>0</v>
      </c>
      <c r="C41" s="101"/>
      <c r="D41" s="101"/>
      <c r="E41" s="68">
        <v>0</v>
      </c>
      <c r="F41" s="97"/>
      <c r="G41" s="92"/>
      <c r="H41" s="92"/>
      <c r="I41" s="63">
        <f>IFERROR(VLOOKUP($A41,'[3]Stores Summary'!$A$11:$J$26,2,FALSE),0)</f>
        <v>0</v>
      </c>
      <c r="J41" s="69"/>
      <c r="K41" s="62">
        <f t="shared" si="0"/>
        <v>0</v>
      </c>
      <c r="M41" s="84">
        <v>0</v>
      </c>
      <c r="N41" s="84"/>
      <c r="O41" s="65">
        <f t="shared" si="1"/>
        <v>0</v>
      </c>
    </row>
    <row r="42" spans="1:15" s="43" customFormat="1" ht="15">
      <c r="A42" s="61">
        <v>426400</v>
      </c>
      <c r="B42" s="99">
        <f>SUM('Allocated Benefits by Account'!B26)</f>
        <v>-249.7</v>
      </c>
      <c r="C42" s="68"/>
      <c r="D42" s="68"/>
      <c r="E42" s="68">
        <v>0</v>
      </c>
      <c r="F42" s="97"/>
      <c r="G42" s="92"/>
      <c r="H42" s="92"/>
      <c r="I42" s="63">
        <f>IFERROR(VLOOKUP($A42,'[3]Stores Summary'!$A$11:$J$26,2,FALSE),0)</f>
        <v>0</v>
      </c>
      <c r="J42" s="69"/>
      <c r="K42" s="62">
        <f t="shared" si="0"/>
        <v>-249.7</v>
      </c>
      <c r="M42" s="84">
        <f>-'Annual Adjustments'!B8</f>
        <v>420.11</v>
      </c>
      <c r="N42" s="84"/>
      <c r="O42" s="65">
        <f t="shared" si="1"/>
        <v>170.41000000000003</v>
      </c>
    </row>
    <row r="43" spans="1:15" s="43" customFormat="1" ht="15">
      <c r="A43" s="61">
        <v>500000</v>
      </c>
      <c r="B43" s="99">
        <f>SUM('Allocated Benefits by Account'!B27)</f>
        <v>-30766.329999999936</v>
      </c>
      <c r="C43" s="68"/>
      <c r="D43" s="68"/>
      <c r="E43" s="68">
        <v>13336.86</v>
      </c>
      <c r="F43" s="97"/>
      <c r="G43" s="92"/>
      <c r="H43" s="92"/>
      <c r="I43" s="63">
        <f>IFERROR(VLOOKUP($A43,'[3]Stores Summary'!$A$11:$J$26,2,FALSE),0)</f>
        <v>0</v>
      </c>
      <c r="J43" s="69"/>
      <c r="K43" s="62">
        <f t="shared" si="0"/>
        <v>-17429.469999999936</v>
      </c>
      <c r="M43" s="84">
        <f>-'Annual Adjustments'!B9</f>
        <v>160831.23999999996</v>
      </c>
      <c r="N43" s="84"/>
      <c r="O43" s="65">
        <f t="shared" si="1"/>
        <v>143401.77000000002</v>
      </c>
    </row>
    <row r="44" spans="1:15" s="43" customFormat="1" ht="15">
      <c r="A44" s="61">
        <v>501010</v>
      </c>
      <c r="B44" s="99">
        <f>SUM('Allocated Benefits by Account'!B28)</f>
        <v>74448.350000000006</v>
      </c>
      <c r="C44" s="68"/>
      <c r="D44" s="68"/>
      <c r="E44" s="68">
        <v>0</v>
      </c>
      <c r="F44" s="97"/>
      <c r="G44" s="92"/>
      <c r="H44" s="92"/>
      <c r="I44" s="63">
        <f>IFERROR(VLOOKUP($A44,'[3]Stores Summary'!$A$11:$J$26,2,FALSE),0)</f>
        <v>0</v>
      </c>
      <c r="J44" s="69"/>
      <c r="K44" s="62">
        <f t="shared" si="0"/>
        <v>74448.350000000006</v>
      </c>
      <c r="M44" s="84">
        <f>-'Annual Adjustments'!B10</f>
        <v>3.44</v>
      </c>
      <c r="N44" s="84"/>
      <c r="O44" s="65">
        <f t="shared" si="1"/>
        <v>74451.790000000008</v>
      </c>
    </row>
    <row r="45" spans="1:15" s="43" customFormat="1" ht="15">
      <c r="A45" s="61">
        <v>502000</v>
      </c>
      <c r="B45" s="99">
        <f>SUM('Allocated Benefits by Account'!B29)</f>
        <v>-59926.179999999898</v>
      </c>
      <c r="C45" s="68"/>
      <c r="D45" s="68"/>
      <c r="E45" s="68">
        <v>0</v>
      </c>
      <c r="F45" s="97"/>
      <c r="G45" s="92"/>
      <c r="H45" s="92"/>
      <c r="I45" s="63">
        <f>IFERROR(VLOOKUP($A45,'[3]Stores Summary'!$A$11:$J$26,2,FALSE),0)</f>
        <v>0</v>
      </c>
      <c r="J45" s="69"/>
      <c r="K45" s="62">
        <f t="shared" si="0"/>
        <v>-59926.179999999898</v>
      </c>
      <c r="M45" s="84">
        <f>-'Annual Adjustments'!B11</f>
        <v>207760.69999999998</v>
      </c>
      <c r="N45" s="84"/>
      <c r="O45" s="65">
        <f t="shared" si="1"/>
        <v>147834.52000000008</v>
      </c>
    </row>
    <row r="46" spans="1:15" s="43" customFormat="1" ht="15">
      <c r="A46" s="61">
        <v>505000</v>
      </c>
      <c r="B46" s="99">
        <f>SUM('Allocated Benefits by Account'!B30)</f>
        <v>-36921.069999999942</v>
      </c>
      <c r="C46" s="68"/>
      <c r="D46" s="68"/>
      <c r="E46" s="68">
        <v>0</v>
      </c>
      <c r="F46" s="97"/>
      <c r="G46" s="92"/>
      <c r="H46" s="92"/>
      <c r="I46" s="63">
        <f>IFERROR(VLOOKUP($A46,'[3]Stores Summary'!$A$11:$J$26,2,FALSE),0)</f>
        <v>0</v>
      </c>
      <c r="J46" s="69"/>
      <c r="K46" s="62">
        <f t="shared" si="0"/>
        <v>-36921.069999999942</v>
      </c>
      <c r="M46" s="84">
        <f>-'Annual Adjustments'!B12</f>
        <v>139590.28999999995</v>
      </c>
      <c r="N46" s="84"/>
      <c r="O46" s="65">
        <f t="shared" si="1"/>
        <v>102669.22</v>
      </c>
    </row>
    <row r="47" spans="1:15" s="43" customFormat="1" ht="15">
      <c r="A47" s="61">
        <v>506001</v>
      </c>
      <c r="B47" s="99">
        <f>SUM('Allocated Benefits by Account'!B31)</f>
        <v>-2453.6699999999823</v>
      </c>
      <c r="C47" s="68"/>
      <c r="D47" s="68"/>
      <c r="E47" s="68">
        <v>79593.61</v>
      </c>
      <c r="F47" s="97"/>
      <c r="G47" s="92"/>
      <c r="H47" s="92"/>
      <c r="I47" s="63">
        <v>355.68</v>
      </c>
      <c r="J47" s="64" t="s">
        <v>211</v>
      </c>
      <c r="K47" s="62">
        <f t="shared" si="0"/>
        <v>77495.62000000001</v>
      </c>
      <c r="M47" s="84">
        <f>-'Annual Adjustments'!B13</f>
        <v>63275.520000000011</v>
      </c>
      <c r="N47" s="84"/>
      <c r="O47" s="65">
        <f t="shared" si="1"/>
        <v>140771.14000000001</v>
      </c>
    </row>
    <row r="48" spans="1:15" s="43" customFormat="1" ht="15">
      <c r="A48" s="61">
        <v>506002</v>
      </c>
      <c r="B48" s="99">
        <f>SUM('Allocated Benefits by Account'!B32)</f>
        <v>41088.629999999997</v>
      </c>
      <c r="C48" s="68"/>
      <c r="D48" s="68"/>
      <c r="E48" s="68">
        <v>324.12</v>
      </c>
      <c r="F48" s="97"/>
      <c r="G48" s="92"/>
      <c r="H48" s="92"/>
      <c r="I48" s="63">
        <f>IFERROR(VLOOKUP($A48,'[3]Stores Summary'!$A$11:$J$26,2,FALSE),0)</f>
        <v>0</v>
      </c>
      <c r="J48" s="69"/>
      <c r="K48" s="62">
        <f t="shared" ref="K48:K79" si="2">SUM(B48:J48)</f>
        <v>41412.75</v>
      </c>
      <c r="M48" s="84">
        <f>-'Annual Adjustments'!B14</f>
        <v>10407.830000000002</v>
      </c>
      <c r="N48" s="84"/>
      <c r="O48" s="65">
        <f t="shared" si="1"/>
        <v>51820.58</v>
      </c>
    </row>
    <row r="49" spans="1:15" s="43" customFormat="1" ht="15">
      <c r="A49" s="61">
        <v>510000</v>
      </c>
      <c r="B49" s="99">
        <f>SUM('Allocated Benefits by Account'!B33)</f>
        <v>-46083.249999999985</v>
      </c>
      <c r="C49" s="68"/>
      <c r="D49" s="68"/>
      <c r="E49" s="68">
        <v>0</v>
      </c>
      <c r="F49" s="97"/>
      <c r="G49" s="92"/>
      <c r="H49" s="92"/>
      <c r="I49" s="63">
        <f>IFERROR(VLOOKUP($A49,'[3]Stores Summary'!$A$11:$J$26,2,FALSE),0)</f>
        <v>0</v>
      </c>
      <c r="J49" s="69"/>
      <c r="K49" s="62">
        <f t="shared" si="2"/>
        <v>-46083.249999999985</v>
      </c>
      <c r="M49" s="84">
        <f>-'Annual Adjustments'!B15</f>
        <v>106282.85</v>
      </c>
      <c r="N49" s="84"/>
      <c r="O49" s="65">
        <f t="shared" si="1"/>
        <v>60199.60000000002</v>
      </c>
    </row>
    <row r="50" spans="1:15" s="43" customFormat="1" ht="15">
      <c r="A50" s="61">
        <v>511000</v>
      </c>
      <c r="B50" s="99">
        <f>SUM('Allocated Benefits by Account'!B34)</f>
        <v>-12213.450000000015</v>
      </c>
      <c r="C50" s="68"/>
      <c r="D50" s="68"/>
      <c r="E50" s="68">
        <v>0</v>
      </c>
      <c r="F50" s="97"/>
      <c r="G50" s="92"/>
      <c r="H50" s="92"/>
      <c r="I50" s="63">
        <v>566.28</v>
      </c>
      <c r="J50" s="64" t="s">
        <v>208</v>
      </c>
      <c r="K50" s="62">
        <f t="shared" si="2"/>
        <v>-11647.170000000015</v>
      </c>
      <c r="M50" s="84">
        <f>-'Annual Adjustments'!B16</f>
        <v>34077.249999999985</v>
      </c>
      <c r="N50" s="84"/>
      <c r="O50" s="65">
        <f t="shared" si="1"/>
        <v>22430.079999999973</v>
      </c>
    </row>
    <row r="51" spans="1:15" s="43" customFormat="1" ht="15">
      <c r="A51" s="61">
        <v>512000</v>
      </c>
      <c r="B51" s="99">
        <f>SUM('Allocated Benefits by Account'!B35)</f>
        <v>-48214.499999999913</v>
      </c>
      <c r="C51" s="68"/>
      <c r="D51" s="68"/>
      <c r="E51" s="68">
        <v>0</v>
      </c>
      <c r="F51" s="97"/>
      <c r="G51" s="92"/>
      <c r="H51" s="92"/>
      <c r="I51" s="63">
        <v>7412.11</v>
      </c>
      <c r="J51" s="64" t="s">
        <v>212</v>
      </c>
      <c r="K51" s="62">
        <f t="shared" si="2"/>
        <v>-40802.389999999912</v>
      </c>
      <c r="M51" s="84">
        <f>-'Annual Adjustments'!B17</f>
        <v>162847.63999999981</v>
      </c>
      <c r="N51" s="84"/>
      <c r="O51" s="65">
        <f t="shared" si="1"/>
        <v>122045.2499999999</v>
      </c>
    </row>
    <row r="52" spans="1:15" s="43" customFormat="1" ht="15">
      <c r="A52" s="61">
        <v>513000</v>
      </c>
      <c r="B52" s="99">
        <f>SUM('Allocated Benefits by Account'!B36)</f>
        <v>-27653.630000000016</v>
      </c>
      <c r="C52" s="68"/>
      <c r="D52" s="68"/>
      <c r="E52" s="68">
        <v>0</v>
      </c>
      <c r="F52" s="97"/>
      <c r="G52" s="92"/>
      <c r="H52" s="92"/>
      <c r="I52" s="63">
        <v>1898.01</v>
      </c>
      <c r="J52" s="64" t="s">
        <v>213</v>
      </c>
      <c r="K52" s="62">
        <f t="shared" si="2"/>
        <v>-25755.620000000017</v>
      </c>
      <c r="M52" s="84">
        <f>-'Annual Adjustments'!B18</f>
        <v>48037.109999999986</v>
      </c>
      <c r="N52" s="84"/>
      <c r="O52" s="65">
        <f t="shared" si="1"/>
        <v>22281.489999999969</v>
      </c>
    </row>
    <row r="53" spans="1:15" s="43" customFormat="1" ht="15">
      <c r="A53" s="61">
        <v>546000</v>
      </c>
      <c r="B53" s="99">
        <f>SUM('Allocated Benefits by Account'!B37)</f>
        <v>19017.739999999994</v>
      </c>
      <c r="C53" s="68"/>
      <c r="D53" s="68"/>
      <c r="E53" s="68">
        <v>10394.709999999999</v>
      </c>
      <c r="F53" s="97"/>
      <c r="G53" s="92"/>
      <c r="H53" s="92"/>
      <c r="I53" s="63">
        <f>IFERROR(VLOOKUP($A53,'[3]Stores Summary'!$A$11:$J$26,2,FALSE),0)</f>
        <v>0</v>
      </c>
      <c r="J53" s="69"/>
      <c r="K53" s="62">
        <f t="shared" si="2"/>
        <v>29412.449999999993</v>
      </c>
      <c r="M53" s="84">
        <f>-'Annual Adjustments'!B19</f>
        <v>24310.369999999995</v>
      </c>
      <c r="N53" s="84"/>
      <c r="O53" s="65">
        <f t="shared" si="1"/>
        <v>53722.819999999992</v>
      </c>
    </row>
    <row r="54" spans="1:15" s="43" customFormat="1" ht="15">
      <c r="A54" s="61">
        <v>547030</v>
      </c>
      <c r="B54" s="99">
        <f>SUM('Allocated Benefits by Account'!B38)</f>
        <v>2192.7199999999998</v>
      </c>
      <c r="C54" s="68"/>
      <c r="D54" s="68"/>
      <c r="E54" s="68">
        <v>0</v>
      </c>
      <c r="F54" s="97"/>
      <c r="G54" s="92"/>
      <c r="H54" s="92"/>
      <c r="I54" s="63">
        <f>IFERROR(VLOOKUP($A54,'[3]Stores Summary'!$A$11:$J$26,2,FALSE),0)</f>
        <v>0</v>
      </c>
      <c r="J54" s="69"/>
      <c r="K54" s="62">
        <f t="shared" si="2"/>
        <v>2192.7199999999998</v>
      </c>
      <c r="M54" s="84">
        <f>-'Annual Adjustments'!B20</f>
        <v>0</v>
      </c>
      <c r="N54" s="84"/>
      <c r="O54" s="65">
        <f t="shared" si="1"/>
        <v>2192.7199999999998</v>
      </c>
    </row>
    <row r="55" spans="1:15" s="43" customFormat="1" ht="15">
      <c r="A55" s="61">
        <v>548000</v>
      </c>
      <c r="B55" s="99">
        <f>SUM('Allocated Benefits by Account'!B39)</f>
        <v>-13697.01999999999</v>
      </c>
      <c r="C55" s="68"/>
      <c r="D55" s="68"/>
      <c r="E55" s="68">
        <v>0</v>
      </c>
      <c r="F55" s="97"/>
      <c r="G55" s="92"/>
      <c r="H55" s="92"/>
      <c r="I55" s="63">
        <f>IFERROR(VLOOKUP($A55,'[3]Stores Summary'!$A$11:$J$26,2,FALSE),0)</f>
        <v>0</v>
      </c>
      <c r="J55" s="69"/>
      <c r="K55" s="62">
        <f t="shared" si="2"/>
        <v>-13697.01999999999</v>
      </c>
      <c r="M55" s="84">
        <f>-'Annual Adjustments'!B21</f>
        <v>55226.33</v>
      </c>
      <c r="N55" s="84"/>
      <c r="O55" s="65">
        <f t="shared" si="1"/>
        <v>41529.310000000012</v>
      </c>
    </row>
    <row r="56" spans="1:15" s="43" customFormat="1" ht="15">
      <c r="A56" s="61">
        <v>549001</v>
      </c>
      <c r="B56" s="99">
        <f>SUM('Allocated Benefits by Account'!B40)</f>
        <v>-2022.2499999999998</v>
      </c>
      <c r="C56" s="68"/>
      <c r="D56" s="68"/>
      <c r="E56" s="68">
        <v>1220.6099999999999</v>
      </c>
      <c r="F56" s="97"/>
      <c r="G56" s="92"/>
      <c r="H56" s="92"/>
      <c r="I56" s="63">
        <f>IFERROR(VLOOKUP($A56,'[3]Stores Summary'!$A$11:$J$26,2,FALSE),0)</f>
        <v>0</v>
      </c>
      <c r="J56" s="69"/>
      <c r="K56" s="62">
        <f t="shared" si="2"/>
        <v>-801.63999999999987</v>
      </c>
      <c r="M56" s="84">
        <f>-'Annual Adjustments'!B22</f>
        <v>5496.11</v>
      </c>
      <c r="N56" s="84"/>
      <c r="O56" s="65">
        <f t="shared" si="1"/>
        <v>4694.4699999999993</v>
      </c>
    </row>
    <row r="57" spans="1:15" s="43" customFormat="1" ht="15">
      <c r="A57" s="61">
        <v>549002</v>
      </c>
      <c r="B57" s="99">
        <f>SUM('Allocated Benefits by Account'!B41)</f>
        <v>11453.339999999995</v>
      </c>
      <c r="C57" s="68"/>
      <c r="D57" s="68"/>
      <c r="E57" s="68">
        <v>115.8</v>
      </c>
      <c r="F57" s="97"/>
      <c r="G57" s="92"/>
      <c r="H57" s="92"/>
      <c r="I57" s="63">
        <f>IFERROR(VLOOKUP($A57,'[3]Stores Summary'!$A$11:$J$26,2,FALSE),0)</f>
        <v>0</v>
      </c>
      <c r="J57" s="69"/>
      <c r="K57" s="62">
        <f t="shared" si="2"/>
        <v>11569.139999999994</v>
      </c>
      <c r="M57" s="84">
        <f>-'Annual Adjustments'!B23</f>
        <v>7151.5199999999977</v>
      </c>
      <c r="N57" s="84"/>
      <c r="O57" s="65">
        <f t="shared" si="1"/>
        <v>18720.659999999993</v>
      </c>
    </row>
    <row r="58" spans="1:15" s="43" customFormat="1" ht="15">
      <c r="A58" s="61">
        <v>551000</v>
      </c>
      <c r="B58" s="99">
        <f>SUM('Allocated Benefits by Account'!B42)</f>
        <v>-7259.17</v>
      </c>
      <c r="C58" s="68"/>
      <c r="D58" s="68"/>
      <c r="E58" s="68">
        <v>0</v>
      </c>
      <c r="F58" s="97"/>
      <c r="G58" s="92"/>
      <c r="H58" s="92"/>
      <c r="I58" s="63">
        <f>IFERROR(VLOOKUP($A58,'[3]Stores Summary'!$A$11:$J$26,2,FALSE),0)</f>
        <v>0</v>
      </c>
      <c r="J58" s="69"/>
      <c r="K58" s="62">
        <f t="shared" si="2"/>
        <v>-7259.17</v>
      </c>
      <c r="M58" s="84">
        <f>-'Annual Adjustments'!B24</f>
        <v>14422.619999999997</v>
      </c>
      <c r="N58" s="84"/>
      <c r="O58" s="65">
        <f t="shared" si="1"/>
        <v>7163.4499999999971</v>
      </c>
    </row>
    <row r="59" spans="1:15" s="43" customFormat="1" ht="15">
      <c r="A59" s="61">
        <v>552000</v>
      </c>
      <c r="B59" s="99">
        <f>SUM('Allocated Benefits by Account'!B43)</f>
        <v>-5250.9700000000012</v>
      </c>
      <c r="C59" s="68"/>
      <c r="D59" s="68"/>
      <c r="E59" s="68">
        <v>0</v>
      </c>
      <c r="F59" s="97"/>
      <c r="G59" s="92"/>
      <c r="H59" s="92"/>
      <c r="I59" s="63">
        <v>-44.36</v>
      </c>
      <c r="J59" s="64" t="s">
        <v>214</v>
      </c>
      <c r="K59" s="62">
        <f t="shared" si="2"/>
        <v>-5295.3300000000008</v>
      </c>
      <c r="M59" s="84">
        <f>-'Annual Adjustments'!B25</f>
        <v>12122.279999999999</v>
      </c>
      <c r="N59" s="84"/>
      <c r="O59" s="65">
        <f t="shared" si="1"/>
        <v>6826.949999999998</v>
      </c>
    </row>
    <row r="60" spans="1:15" s="43" customFormat="1" ht="15">
      <c r="A60" s="61">
        <v>553000</v>
      </c>
      <c r="B60" s="99">
        <f>SUM('Allocated Benefits by Account'!B44)</f>
        <v>-12662.270000000037</v>
      </c>
      <c r="C60" s="68"/>
      <c r="D60" s="68"/>
      <c r="E60" s="68">
        <v>0</v>
      </c>
      <c r="F60" s="97"/>
      <c r="G60" s="92"/>
      <c r="H60" s="92"/>
      <c r="I60" s="63">
        <v>2012.26</v>
      </c>
      <c r="J60" s="64" t="s">
        <v>215</v>
      </c>
      <c r="K60" s="62">
        <f t="shared" si="2"/>
        <v>-10650.010000000037</v>
      </c>
      <c r="M60" s="84">
        <f>-'Annual Adjustments'!B26</f>
        <v>34214.919999999955</v>
      </c>
      <c r="N60" s="84"/>
      <c r="O60" s="65">
        <f t="shared" si="1"/>
        <v>23564.909999999916</v>
      </c>
    </row>
    <row r="61" spans="1:15" s="43" customFormat="1" ht="15">
      <c r="A61" s="61">
        <v>556000</v>
      </c>
      <c r="B61" s="99">
        <f>SUM('Allocated Benefits by Account'!B45)</f>
        <v>-49125.639999999992</v>
      </c>
      <c r="C61" s="68"/>
      <c r="D61" s="68"/>
      <c r="E61" s="68">
        <v>6993.14</v>
      </c>
      <c r="F61" s="97"/>
      <c r="G61" s="92"/>
      <c r="H61" s="92"/>
      <c r="I61" s="63">
        <f>IFERROR(VLOOKUP($A61,'[3]Stores Summary'!$A$11:$J$26,2,FALSE),0)</f>
        <v>0</v>
      </c>
      <c r="J61" s="69"/>
      <c r="K61" s="62">
        <f t="shared" si="2"/>
        <v>-42132.499999999993</v>
      </c>
      <c r="M61" s="84">
        <f>-'Annual Adjustments'!B27</f>
        <v>119635.27</v>
      </c>
      <c r="N61" s="84"/>
      <c r="O61" s="65">
        <f t="shared" si="1"/>
        <v>77502.770000000019</v>
      </c>
    </row>
    <row r="62" spans="1:15" s="43" customFormat="1" ht="15">
      <c r="A62" s="61">
        <v>557001</v>
      </c>
      <c r="B62" s="99">
        <f>SUM('Allocated Benefits by Account'!B46)</f>
        <v>-9222.9900000000034</v>
      </c>
      <c r="C62" s="68"/>
      <c r="D62" s="68"/>
      <c r="E62" s="68">
        <v>495.76</v>
      </c>
      <c r="F62" s="97"/>
      <c r="G62" s="92"/>
      <c r="H62" s="92"/>
      <c r="I62" s="63">
        <f>IFERROR(VLOOKUP($A62,'[3]Stores Summary'!$A$11:$J$26,2,FALSE),0)</f>
        <v>0</v>
      </c>
      <c r="J62" s="69"/>
      <c r="K62" s="62">
        <f t="shared" si="2"/>
        <v>-8727.2300000000032</v>
      </c>
      <c r="M62" s="84">
        <f>-'Annual Adjustments'!B28</f>
        <v>17077.23</v>
      </c>
      <c r="N62" s="84"/>
      <c r="O62" s="65">
        <f t="shared" si="1"/>
        <v>8349.9999999999964</v>
      </c>
    </row>
    <row r="63" spans="1:15" s="43" customFormat="1" ht="15">
      <c r="A63" s="61">
        <v>557002</v>
      </c>
      <c r="B63" s="99">
        <f>SUM('Allocated Benefits by Account'!B47)</f>
        <v>-7027.4400000000005</v>
      </c>
      <c r="C63" s="68"/>
      <c r="D63" s="68"/>
      <c r="E63" s="68">
        <v>0</v>
      </c>
      <c r="F63" s="97"/>
      <c r="G63" s="92"/>
      <c r="H63" s="92"/>
      <c r="I63" s="63">
        <f>IFERROR(VLOOKUP($A63,'[3]Stores Summary'!$A$11:$J$26,2,FALSE),0)</f>
        <v>0</v>
      </c>
      <c r="J63" s="69"/>
      <c r="K63" s="62">
        <f t="shared" si="2"/>
        <v>-7027.4400000000005</v>
      </c>
      <c r="M63" s="84">
        <f>-'Annual Adjustments'!B29</f>
        <v>14090.569999999998</v>
      </c>
      <c r="N63" s="84"/>
      <c r="O63" s="65">
        <f t="shared" si="1"/>
        <v>7063.1299999999974</v>
      </c>
    </row>
    <row r="64" spans="1:15" s="43" customFormat="1" ht="15">
      <c r="A64" s="61">
        <v>560000</v>
      </c>
      <c r="B64" s="99">
        <f>SUM('Allocated Benefits by Account'!B48)</f>
        <v>-105169.40000000002</v>
      </c>
      <c r="C64" s="68"/>
      <c r="D64" s="68"/>
      <c r="E64" s="68">
        <v>6788.32</v>
      </c>
      <c r="F64" s="97"/>
      <c r="G64" s="92"/>
      <c r="H64" s="92"/>
      <c r="I64" s="63">
        <f>IFERROR(VLOOKUP($A64,'[3]Stores Summary'!$A$11:$J$26,2,FALSE),0)</f>
        <v>0</v>
      </c>
      <c r="J64" s="69"/>
      <c r="K64" s="62">
        <f t="shared" si="2"/>
        <v>-98381.080000000016</v>
      </c>
      <c r="M64" s="84">
        <f>-'Annual Adjustments'!B30</f>
        <v>249026.57000000007</v>
      </c>
      <c r="N64" s="84"/>
      <c r="O64" s="65">
        <f t="shared" si="1"/>
        <v>150645.49000000005</v>
      </c>
    </row>
    <row r="65" spans="1:15" s="43" customFormat="1" ht="15">
      <c r="A65" s="61">
        <v>561000</v>
      </c>
      <c r="B65" s="99">
        <f>SUM('Allocated Benefits by Account'!B49)</f>
        <v>-50667.090000000004</v>
      </c>
      <c r="C65" s="68"/>
      <c r="D65" s="68"/>
      <c r="E65" s="68">
        <v>0</v>
      </c>
      <c r="F65" s="97"/>
      <c r="G65" s="92"/>
      <c r="H65" s="92"/>
      <c r="I65" s="63">
        <f>IFERROR(VLOOKUP($A65,'[3]Stores Summary'!$A$11:$J$26,2,FALSE),0)</f>
        <v>0</v>
      </c>
      <c r="J65" s="69"/>
      <c r="K65" s="62">
        <f t="shared" si="2"/>
        <v>-50667.090000000004</v>
      </c>
      <c r="M65" s="84">
        <f>-'Annual Adjustments'!B31</f>
        <v>116682.63999999997</v>
      </c>
      <c r="N65" s="84"/>
      <c r="O65" s="65">
        <f t="shared" si="1"/>
        <v>66015.549999999959</v>
      </c>
    </row>
    <row r="66" spans="1:15" s="43" customFormat="1" ht="15">
      <c r="A66" s="61">
        <v>562000</v>
      </c>
      <c r="B66" s="99">
        <f>SUM('Allocated Benefits by Account'!B50)</f>
        <v>-10160.239999999965</v>
      </c>
      <c r="C66" s="68"/>
      <c r="D66" s="68"/>
      <c r="E66" s="68">
        <v>0</v>
      </c>
      <c r="F66" s="97"/>
      <c r="G66" s="92"/>
      <c r="H66" s="92"/>
      <c r="I66" s="63">
        <v>4.2300000000000004</v>
      </c>
      <c r="J66" s="69" t="s">
        <v>216</v>
      </c>
      <c r="K66" s="62">
        <f t="shared" si="2"/>
        <v>-10156.009999999966</v>
      </c>
      <c r="M66" s="84">
        <f>-'Annual Adjustments'!B32</f>
        <v>43416.709999999985</v>
      </c>
      <c r="N66" s="84"/>
      <c r="O66" s="65">
        <f t="shared" si="1"/>
        <v>33260.700000000019</v>
      </c>
    </row>
    <row r="67" spans="1:15" s="43" customFormat="1" ht="15">
      <c r="A67" s="61">
        <v>563000</v>
      </c>
      <c r="B67" s="99">
        <f>SUM('Allocated Benefits by Account'!B51)</f>
        <v>486.87999999999909</v>
      </c>
      <c r="C67" s="68"/>
      <c r="D67" s="68"/>
      <c r="E67" s="68">
        <v>0</v>
      </c>
      <c r="F67" s="97"/>
      <c r="G67" s="92"/>
      <c r="H67" s="92"/>
      <c r="I67" s="63">
        <v>5.7</v>
      </c>
      <c r="J67" s="64" t="s">
        <v>217</v>
      </c>
      <c r="K67" s="62">
        <f t="shared" si="2"/>
        <v>492.57999999999907</v>
      </c>
      <c r="M67" s="84">
        <f>-'Annual Adjustments'!B33</f>
        <v>28984.630000000008</v>
      </c>
      <c r="N67" s="84"/>
      <c r="O67" s="65">
        <f t="shared" si="1"/>
        <v>29477.210000000006</v>
      </c>
    </row>
    <row r="68" spans="1:15" s="43" customFormat="1" ht="15">
      <c r="A68" s="61">
        <v>566000</v>
      </c>
      <c r="B68" s="99">
        <f>SUM('Allocated Benefits by Account'!B52)</f>
        <v>-3722.81</v>
      </c>
      <c r="C68" s="68"/>
      <c r="D68" s="68"/>
      <c r="E68" s="68">
        <v>0</v>
      </c>
      <c r="F68" s="97"/>
      <c r="G68" s="92"/>
      <c r="H68" s="92"/>
      <c r="I68" s="63">
        <f>IFERROR(VLOOKUP($A68,'[3]Stores Summary'!$A$11:$J$26,2,FALSE),0)</f>
        <v>0</v>
      </c>
      <c r="J68" s="69"/>
      <c r="K68" s="62">
        <f t="shared" si="2"/>
        <v>-3722.81</v>
      </c>
      <c r="M68" s="84">
        <f>-'Annual Adjustments'!B34</f>
        <v>8439.73</v>
      </c>
      <c r="N68" s="84"/>
      <c r="O68" s="65">
        <f t="shared" si="1"/>
        <v>4716.92</v>
      </c>
    </row>
    <row r="69" spans="1:15" s="43" customFormat="1" ht="15">
      <c r="A69" s="61">
        <v>567000</v>
      </c>
      <c r="B69" s="99">
        <v>0</v>
      </c>
      <c r="C69" s="68"/>
      <c r="D69" s="68"/>
      <c r="E69" s="68">
        <v>0</v>
      </c>
      <c r="F69" s="97"/>
      <c r="G69" s="92"/>
      <c r="H69" s="92"/>
      <c r="I69" s="63">
        <f>IFERROR(VLOOKUP($A69,'[3]Stores Summary'!$A$11:$J$26,2,FALSE),0)</f>
        <v>0</v>
      </c>
      <c r="J69" s="69"/>
      <c r="K69" s="62">
        <f t="shared" si="2"/>
        <v>0</v>
      </c>
      <c r="M69" s="84">
        <v>0</v>
      </c>
      <c r="N69" s="84"/>
      <c r="O69" s="65">
        <f t="shared" si="1"/>
        <v>0</v>
      </c>
    </row>
    <row r="70" spans="1:15" s="43" customFormat="1" ht="15">
      <c r="A70" s="61">
        <v>568000</v>
      </c>
      <c r="B70" s="99">
        <f>SUM('Allocated Benefits by Account'!B53)</f>
        <v>-3674.0400000000013</v>
      </c>
      <c r="C70" s="68"/>
      <c r="D70" s="68"/>
      <c r="E70" s="68">
        <v>0</v>
      </c>
      <c r="F70" s="97"/>
      <c r="G70" s="92"/>
      <c r="H70" s="92"/>
      <c r="I70" s="63">
        <f>IFERROR(VLOOKUP($A70,'[3]Stores Summary'!$A$11:$J$26,2,FALSE),0)</f>
        <v>0</v>
      </c>
      <c r="J70" s="69"/>
      <c r="K70" s="62">
        <f t="shared" si="2"/>
        <v>-3674.0400000000013</v>
      </c>
      <c r="M70" s="84">
        <f>-'Annual Adjustments'!B35</f>
        <v>7533.44</v>
      </c>
      <c r="N70" s="84"/>
      <c r="O70" s="65">
        <f t="shared" si="1"/>
        <v>3859.3999999999983</v>
      </c>
    </row>
    <row r="71" spans="1:15" s="43" customFormat="1" ht="15">
      <c r="A71" s="61">
        <v>570000</v>
      </c>
      <c r="B71" s="99">
        <f>SUM('Allocated Benefits by Account'!B54)</f>
        <v>1109.8500000000104</v>
      </c>
      <c r="C71" s="68"/>
      <c r="D71" s="68"/>
      <c r="E71" s="68">
        <v>0</v>
      </c>
      <c r="F71" s="97"/>
      <c r="G71" s="92"/>
      <c r="H71" s="92"/>
      <c r="I71" s="63">
        <v>18.190000000000001</v>
      </c>
      <c r="J71" s="64" t="s">
        <v>218</v>
      </c>
      <c r="K71" s="62">
        <f t="shared" si="2"/>
        <v>1128.0400000000104</v>
      </c>
      <c r="M71" s="84">
        <f>-'Annual Adjustments'!B36</f>
        <v>13404.339999999989</v>
      </c>
      <c r="N71" s="84"/>
      <c r="O71" s="65">
        <f t="shared" si="1"/>
        <v>14532.38</v>
      </c>
    </row>
    <row r="72" spans="1:15" s="43" customFormat="1" ht="15">
      <c r="A72" s="61">
        <v>571000</v>
      </c>
      <c r="B72" s="99">
        <f>SUM('Allocated Benefits by Account'!B55)</f>
        <v>10482.419999999991</v>
      </c>
      <c r="C72" s="68"/>
      <c r="D72" s="68"/>
      <c r="E72" s="68">
        <v>0</v>
      </c>
      <c r="F72" s="97"/>
      <c r="G72" s="92"/>
      <c r="H72" s="92"/>
      <c r="I72" s="63">
        <v>151.21</v>
      </c>
      <c r="J72" s="64" t="s">
        <v>219</v>
      </c>
      <c r="K72" s="62">
        <f t="shared" si="2"/>
        <v>10633.62999999999</v>
      </c>
      <c r="M72" s="84">
        <f>-'Annual Adjustments'!B37</f>
        <v>4267.8599999999997</v>
      </c>
      <c r="N72" s="84"/>
      <c r="O72" s="65">
        <f t="shared" si="1"/>
        <v>14901.489999999991</v>
      </c>
    </row>
    <row r="73" spans="1:15" s="43" customFormat="1" ht="15">
      <c r="A73" s="61">
        <v>573000</v>
      </c>
      <c r="B73" s="99">
        <f>SUM('Allocated Benefits by Account'!B56)</f>
        <v>-88.05</v>
      </c>
      <c r="C73" s="68"/>
      <c r="D73" s="68"/>
      <c r="E73" s="68">
        <v>0</v>
      </c>
      <c r="F73" s="97"/>
      <c r="G73" s="92"/>
      <c r="H73" s="92"/>
      <c r="I73" s="63">
        <f>IFERROR(VLOOKUP($A73,'[3]Stores Summary'!$A$11:$J$26,2,FALSE),0)</f>
        <v>0</v>
      </c>
      <c r="J73" s="69"/>
      <c r="K73" s="62">
        <f t="shared" si="2"/>
        <v>-88.05</v>
      </c>
      <c r="M73" s="84">
        <f>-'Annual Adjustments'!B38</f>
        <v>88.05</v>
      </c>
      <c r="N73" s="84"/>
      <c r="O73" s="65">
        <f t="shared" si="1"/>
        <v>0</v>
      </c>
    </row>
    <row r="74" spans="1:15" s="43" customFormat="1" ht="15">
      <c r="A74" s="61">
        <v>581000</v>
      </c>
      <c r="B74" s="99">
        <f>SUM('Allocated Benefits by Account'!B57)</f>
        <v>-966.6</v>
      </c>
      <c r="C74" s="68"/>
      <c r="D74" s="68"/>
      <c r="E74" s="68">
        <v>0</v>
      </c>
      <c r="F74" s="97"/>
      <c r="G74" s="92"/>
      <c r="H74" s="92"/>
      <c r="I74" s="63">
        <f>IFERROR(VLOOKUP($A74,'[3]Stores Summary'!$A$11:$J$26,2,FALSE),0)</f>
        <v>0</v>
      </c>
      <c r="J74" s="69"/>
      <c r="K74" s="62">
        <f t="shared" si="2"/>
        <v>-966.6</v>
      </c>
      <c r="M74" s="84">
        <f>-'Annual Adjustments'!B39</f>
        <v>3534.6199999999994</v>
      </c>
      <c r="N74" s="84"/>
      <c r="O74" s="65">
        <f t="shared" si="1"/>
        <v>2568.0199999999995</v>
      </c>
    </row>
    <row r="75" spans="1:15" s="43" customFormat="1" ht="15">
      <c r="A75" s="61">
        <v>582000</v>
      </c>
      <c r="B75" s="99">
        <f>SUM('Allocated Benefits by Account'!B58)</f>
        <v>-1475.0400000000025</v>
      </c>
      <c r="C75" s="68"/>
      <c r="D75" s="68"/>
      <c r="E75" s="68">
        <v>0</v>
      </c>
      <c r="F75" s="97"/>
      <c r="G75" s="92"/>
      <c r="H75" s="92"/>
      <c r="I75" s="63">
        <v>19.13</v>
      </c>
      <c r="J75" s="64" t="s">
        <v>220</v>
      </c>
      <c r="K75" s="62">
        <f t="shared" si="2"/>
        <v>-1455.9100000000024</v>
      </c>
      <c r="M75" s="84">
        <f>-'Annual Adjustments'!B40</f>
        <v>18800.950000000004</v>
      </c>
      <c r="N75" s="84"/>
      <c r="O75" s="65">
        <f t="shared" si="1"/>
        <v>17345.04</v>
      </c>
    </row>
    <row r="76" spans="1:15" s="43" customFormat="1" ht="15">
      <c r="A76" s="61">
        <v>592000</v>
      </c>
      <c r="B76" s="99">
        <f>SUM('Allocated Benefits by Account'!B59)</f>
        <v>4168.2299999999959</v>
      </c>
      <c r="C76" s="68"/>
      <c r="D76" s="68"/>
      <c r="E76" s="68">
        <v>0</v>
      </c>
      <c r="F76" s="97"/>
      <c r="G76" s="92"/>
      <c r="H76" s="92"/>
      <c r="I76" s="63">
        <v>1363.14</v>
      </c>
      <c r="J76" s="64" t="s">
        <v>221</v>
      </c>
      <c r="K76" s="62">
        <f t="shared" si="2"/>
        <v>5531.3699999999963</v>
      </c>
      <c r="M76" s="84">
        <f>-'Annual Adjustments'!B41</f>
        <v>482.07000000000085</v>
      </c>
      <c r="N76" s="84"/>
      <c r="O76" s="65">
        <f t="shared" si="1"/>
        <v>6013.4399999999969</v>
      </c>
    </row>
    <row r="77" spans="1:15" s="43" customFormat="1" ht="15">
      <c r="A77" s="61">
        <v>908000</v>
      </c>
      <c r="B77" s="99">
        <f>SUM('Allocated Benefits by Account'!B60)</f>
        <v>-31530.660000000007</v>
      </c>
      <c r="C77" s="68"/>
      <c r="D77" s="68"/>
      <c r="E77" s="68">
        <v>13693.44</v>
      </c>
      <c r="F77" s="97"/>
      <c r="G77" s="92"/>
      <c r="H77" s="92"/>
      <c r="I77" s="63">
        <f>IFERROR(VLOOKUP($A77,'[3]Stores Summary'!$A$11:$J$26,2,FALSE),0)</f>
        <v>0</v>
      </c>
      <c r="J77" s="69"/>
      <c r="K77" s="62">
        <f t="shared" si="2"/>
        <v>-17837.220000000008</v>
      </c>
      <c r="M77" s="84">
        <f>-'Annual Adjustments'!B42</f>
        <v>68034.58</v>
      </c>
      <c r="N77" s="84"/>
      <c r="O77" s="65">
        <f t="shared" si="1"/>
        <v>50197.359999999993</v>
      </c>
    </row>
    <row r="78" spans="1:15" s="43" customFormat="1" ht="15">
      <c r="A78" s="61">
        <v>909000</v>
      </c>
      <c r="B78" s="99">
        <f>SUM('Allocated Benefits by Account'!B61)</f>
        <v>-583.98</v>
      </c>
      <c r="C78" s="68"/>
      <c r="D78" s="68"/>
      <c r="E78" s="68">
        <v>0</v>
      </c>
      <c r="F78" s="97"/>
      <c r="G78" s="92"/>
      <c r="H78" s="92"/>
      <c r="I78" s="63">
        <f>IFERROR(VLOOKUP($A78,'[3]Stores Summary'!$A$11:$J$26,2,FALSE),0)</f>
        <v>0</v>
      </c>
      <c r="J78" s="69"/>
      <c r="K78" s="62">
        <f t="shared" si="2"/>
        <v>-583.98</v>
      </c>
      <c r="M78" s="84">
        <f>-'Annual Adjustments'!B43</f>
        <v>1364.94</v>
      </c>
      <c r="N78" s="84"/>
      <c r="O78" s="65">
        <f t="shared" si="1"/>
        <v>780.96</v>
      </c>
    </row>
    <row r="79" spans="1:15" s="43" customFormat="1" ht="15">
      <c r="A79" s="61">
        <v>913000</v>
      </c>
      <c r="B79" s="99">
        <f>SUM('Allocated Benefits by Account'!B62)</f>
        <v>-432.19</v>
      </c>
      <c r="C79" s="68"/>
      <c r="D79" s="68"/>
      <c r="E79" s="68">
        <v>0</v>
      </c>
      <c r="F79" s="97"/>
      <c r="G79" s="92"/>
      <c r="H79" s="92"/>
      <c r="I79" s="63">
        <f>IFERROR(VLOOKUP($A79,'[3]Stores Summary'!$A$11:$J$26,2,FALSE),0)</f>
        <v>0</v>
      </c>
      <c r="J79" s="69"/>
      <c r="K79" s="62">
        <f t="shared" si="2"/>
        <v>-432.19</v>
      </c>
      <c r="M79" s="84">
        <f>-'Annual Adjustments'!B44</f>
        <v>917.06</v>
      </c>
      <c r="N79" s="84"/>
      <c r="O79" s="65">
        <f t="shared" si="1"/>
        <v>484.86999999999995</v>
      </c>
    </row>
    <row r="80" spans="1:15" s="43" customFormat="1" ht="15">
      <c r="A80" s="61">
        <v>920000</v>
      </c>
      <c r="B80" s="99">
        <f>SUM('Allocated Benefits by Account'!B63)</f>
        <v>-263455.81000000011</v>
      </c>
      <c r="C80" s="101"/>
      <c r="D80" s="101"/>
      <c r="E80" s="68">
        <v>66088.240000000005</v>
      </c>
      <c r="F80" s="97"/>
      <c r="G80" s="92"/>
      <c r="H80" s="92"/>
      <c r="I80" s="63">
        <f>IFERROR(VLOOKUP($A80,'[3]Stores Summary'!$A$11:$J$26,2,FALSE),0)</f>
        <v>0</v>
      </c>
      <c r="J80" s="69"/>
      <c r="K80" s="62">
        <f t="shared" ref="K80:K86" si="3">SUM(B80:J80)</f>
        <v>-197367.57000000012</v>
      </c>
      <c r="M80" s="84">
        <f>-'Annual Adjustments'!B45</f>
        <v>534163.59999999986</v>
      </c>
      <c r="N80" s="84"/>
      <c r="O80" s="65">
        <f t="shared" si="1"/>
        <v>336796.02999999974</v>
      </c>
    </row>
    <row r="81" spans="1:15" s="43" customFormat="1" ht="15">
      <c r="A81" s="61">
        <v>921000</v>
      </c>
      <c r="B81" s="99">
        <f>SUM('Allocated Benefits by Account'!B64)</f>
        <v>0</v>
      </c>
      <c r="C81" s="68"/>
      <c r="D81" s="68"/>
      <c r="E81" s="68">
        <v>750</v>
      </c>
      <c r="F81" s="97"/>
      <c r="G81" s="92"/>
      <c r="H81" s="92"/>
      <c r="I81" s="63">
        <f>IFERROR(VLOOKUP($A81,'[3]Stores Summary'!$A$11:$J$26,2,FALSE),0)</f>
        <v>0</v>
      </c>
      <c r="J81" s="69"/>
      <c r="K81" s="62">
        <f t="shared" si="3"/>
        <v>750</v>
      </c>
      <c r="M81" s="84">
        <f>-'Annual Adjustments'!B46</f>
        <v>0</v>
      </c>
      <c r="N81" s="84"/>
      <c r="O81" s="65">
        <f t="shared" ref="O81:O86" si="4">K81+M81</f>
        <v>750</v>
      </c>
    </row>
    <row r="82" spans="1:15" s="43" customFormat="1" ht="15">
      <c r="A82" s="61">
        <v>926000</v>
      </c>
      <c r="B82" s="99">
        <v>0</v>
      </c>
      <c r="C82" s="68">
        <v>509322.6</v>
      </c>
      <c r="D82" s="68"/>
      <c r="E82" s="68">
        <v>0</v>
      </c>
      <c r="F82" s="97"/>
      <c r="G82" s="93">
        <v>34046.93</v>
      </c>
      <c r="H82" s="94"/>
      <c r="I82" s="63">
        <f>IFERROR(VLOOKUP($A82,'[3]Stores Summary'!$A$11:$J$26,2,FALSE),0)</f>
        <v>0</v>
      </c>
      <c r="J82" s="69"/>
      <c r="K82" s="62">
        <f t="shared" si="3"/>
        <v>543369.53</v>
      </c>
      <c r="M82" s="84">
        <f>-'Annual Adjustments'!B47</f>
        <v>-210587.90000000014</v>
      </c>
      <c r="N82" s="84"/>
      <c r="O82" s="65">
        <f t="shared" si="4"/>
        <v>332781.62999999989</v>
      </c>
    </row>
    <row r="83" spans="1:15" s="43" customFormat="1" ht="15">
      <c r="A83" s="61">
        <v>930100</v>
      </c>
      <c r="B83" s="99">
        <f>SUM('Allocated Benefits by Account'!B66)</f>
        <v>-1113.3899999999999</v>
      </c>
      <c r="C83" s="68"/>
      <c r="D83" s="68"/>
      <c r="E83" s="68">
        <v>0</v>
      </c>
      <c r="F83" s="97"/>
      <c r="G83" s="90"/>
      <c r="H83" s="91"/>
      <c r="I83" s="63">
        <f>IFERROR(VLOOKUP($A83,'[3]Stores Summary'!$A$11:$J$26,2,FALSE),0)</f>
        <v>0</v>
      </c>
      <c r="J83" s="69"/>
      <c r="K83" s="62">
        <f t="shared" si="3"/>
        <v>-1113.3899999999999</v>
      </c>
      <c r="M83" s="84">
        <f>-'Annual Adjustments'!B48</f>
        <v>3108.03</v>
      </c>
      <c r="N83" s="84"/>
      <c r="O83" s="65">
        <f t="shared" si="4"/>
        <v>1994.6400000000003</v>
      </c>
    </row>
    <row r="84" spans="1:15" s="43" customFormat="1" ht="15">
      <c r="A84" s="61">
        <v>930202</v>
      </c>
      <c r="B84" s="99">
        <f>SUM('Allocated Benefits by Account'!B67)</f>
        <v>-9632.8000000000011</v>
      </c>
      <c r="C84" s="68"/>
      <c r="D84" s="68"/>
      <c r="E84" s="68">
        <v>1748.28</v>
      </c>
      <c r="F84" s="97"/>
      <c r="G84" s="93"/>
      <c r="H84" s="94"/>
      <c r="I84" s="63">
        <f>IFERROR(VLOOKUP($A84,'[3]Stores Summary'!$A$11:$J$26,2,FALSE),0)</f>
        <v>0</v>
      </c>
      <c r="J84" s="69"/>
      <c r="K84" s="62">
        <f t="shared" si="3"/>
        <v>-7884.5200000000013</v>
      </c>
      <c r="M84" s="84">
        <f>-'Annual Adjustments'!B49</f>
        <v>18296.140000000003</v>
      </c>
      <c r="N84" s="84"/>
      <c r="O84" s="65">
        <f t="shared" si="4"/>
        <v>10411.620000000003</v>
      </c>
    </row>
    <row r="85" spans="1:15" s="43" customFormat="1" ht="15">
      <c r="A85" s="61">
        <v>930204</v>
      </c>
      <c r="B85" s="99">
        <f>SUM('Allocated Benefits by Account'!B68)</f>
        <v>-910.67000000000007</v>
      </c>
      <c r="C85" s="68"/>
      <c r="D85" s="68"/>
      <c r="E85" s="68">
        <v>0</v>
      </c>
      <c r="F85" s="97"/>
      <c r="G85" s="88"/>
      <c r="H85" s="89"/>
      <c r="I85" s="63">
        <f>IFERROR(VLOOKUP($A85,'[3]Stores Summary'!$A$11:$J$26,2,FALSE),0)</f>
        <v>0</v>
      </c>
      <c r="J85" s="69"/>
      <c r="K85" s="62">
        <f t="shared" si="3"/>
        <v>-910.67000000000007</v>
      </c>
      <c r="M85" s="84">
        <f>-'Annual Adjustments'!B50</f>
        <v>1696.66</v>
      </c>
      <c r="N85" s="84"/>
      <c r="O85" s="65">
        <f t="shared" si="4"/>
        <v>785.99</v>
      </c>
    </row>
    <row r="86" spans="1:15" s="43" customFormat="1" ht="15">
      <c r="A86" s="61">
        <v>935000</v>
      </c>
      <c r="B86" s="99">
        <f>SUM('Allocated Benefits by Account'!B69)</f>
        <v>-6115.2700000000041</v>
      </c>
      <c r="C86" s="68"/>
      <c r="D86" s="68"/>
      <c r="E86" s="68">
        <v>0</v>
      </c>
      <c r="F86" s="97"/>
      <c r="G86" s="88"/>
      <c r="H86" s="89"/>
      <c r="I86" s="63">
        <f>IFERROR(VLOOKUP($A86,'[3]Stores Summary'!$A$11:$J$26,2,FALSE),0)</f>
        <v>0</v>
      </c>
      <c r="J86" s="69"/>
      <c r="K86" s="62">
        <f t="shared" si="3"/>
        <v>-6115.2700000000041</v>
      </c>
      <c r="M86" s="84">
        <f>-'Annual Adjustments'!B51</f>
        <v>17910.669999999998</v>
      </c>
      <c r="N86" s="84"/>
      <c r="O86" s="65">
        <f t="shared" si="4"/>
        <v>11795.399999999994</v>
      </c>
    </row>
    <row r="87" spans="1:15" s="72" customFormat="1" ht="13.5" thickBot="1">
      <c r="A87" s="70"/>
      <c r="B87" s="100">
        <f>SUM(B16:B86)</f>
        <v>-682419.97</v>
      </c>
      <c r="C87" s="98">
        <f t="shared" ref="C87:G87" si="5">SUM(C16:C86)</f>
        <v>509322.6</v>
      </c>
      <c r="D87" s="98">
        <f t="shared" si="5"/>
        <v>0</v>
      </c>
      <c r="E87" s="98">
        <f>SUM(E16:E86)</f>
        <v>201570.80000000002</v>
      </c>
      <c r="F87" s="98">
        <f t="shared" si="5"/>
        <v>0</v>
      </c>
      <c r="G87" s="95">
        <f t="shared" si="5"/>
        <v>34046.93</v>
      </c>
      <c r="H87" s="96"/>
      <c r="I87" s="86">
        <f t="shared" ref="I87:K87" si="6">SUM(I16:I86)</f>
        <v>1.1368683772161603E-12</v>
      </c>
      <c r="J87" s="86">
        <f t="shared" si="6"/>
        <v>0</v>
      </c>
      <c r="K87" s="71">
        <f t="shared" si="6"/>
        <v>62520.36000000019</v>
      </c>
      <c r="M87" s="85">
        <f>SUM(M16:M86)</f>
        <v>2261724.62</v>
      </c>
      <c r="N87" s="85"/>
      <c r="O87" s="83">
        <f>SUM(O16:O86)</f>
        <v>2324244.9799999995</v>
      </c>
    </row>
    <row r="88" spans="1:15" ht="13.5" thickTop="1"/>
    <row r="89" spans="1:15">
      <c r="J89" s="73" t="s">
        <v>222</v>
      </c>
      <c r="K89" s="102">
        <f>SUM(K87)</f>
        <v>62520.36000000019</v>
      </c>
      <c r="M89" s="136">
        <f>SUM(M87)</f>
        <v>2261724.62</v>
      </c>
      <c r="O89" s="137">
        <f>SUM(O87)</f>
        <v>2324244.9799999995</v>
      </c>
    </row>
    <row r="90" spans="1:15">
      <c r="J90" s="52"/>
    </row>
    <row r="91" spans="1:15">
      <c r="J91" s="73" t="s">
        <v>202</v>
      </c>
      <c r="K91" s="50">
        <f>K87-K89</f>
        <v>0</v>
      </c>
    </row>
    <row r="92" spans="1:15">
      <c r="J92" s="73"/>
    </row>
    <row r="93" spans="1:15">
      <c r="J93" s="73" t="s">
        <v>258</v>
      </c>
      <c r="K93" s="158"/>
      <c r="L93" s="157"/>
      <c r="M93" s="158"/>
      <c r="N93" s="158"/>
      <c r="O93" s="65">
        <f>SUM(O16:O17)</f>
        <v>86163.09</v>
      </c>
    </row>
    <row r="94" spans="1:15">
      <c r="J94" s="73" t="s">
        <v>257</v>
      </c>
      <c r="K94" s="158"/>
      <c r="L94" s="157"/>
      <c r="M94" s="158"/>
      <c r="N94" s="158"/>
      <c r="O94" s="65">
        <f>SUM(O18:O86)</f>
        <v>2238081.8899999997</v>
      </c>
    </row>
    <row r="95" spans="1:15">
      <c r="J95" s="74"/>
      <c r="K95" s="158"/>
      <c r="L95" s="157"/>
      <c r="M95" s="158"/>
      <c r="N95" s="158"/>
      <c r="O95" s="103">
        <f>SUM(O93:O94)</f>
        <v>2324244.9799999995</v>
      </c>
    </row>
    <row r="96" spans="1:15">
      <c r="K96" s="158"/>
      <c r="L96" s="157"/>
      <c r="M96" s="159"/>
      <c r="N96" s="159"/>
    </row>
    <row r="97" spans="10:16">
      <c r="J97" s="73" t="s">
        <v>266</v>
      </c>
      <c r="K97" s="158"/>
      <c r="L97" s="157"/>
      <c r="M97" s="158"/>
      <c r="N97" s="159"/>
      <c r="O97" s="50">
        <f>O89-O95</f>
        <v>0</v>
      </c>
    </row>
    <row r="98" spans="10:16">
      <c r="K98" s="158"/>
      <c r="L98" s="157"/>
      <c r="M98" s="159"/>
      <c r="N98" s="159"/>
    </row>
    <row r="99" spans="10:16">
      <c r="J99" s="73" t="s">
        <v>224</v>
      </c>
      <c r="K99" s="158"/>
      <c r="L99" s="160"/>
      <c r="M99" s="159"/>
      <c r="N99" s="159"/>
      <c r="O99" s="65">
        <f>SUM('ES Summary - Normalized'!D48)</f>
        <v>11164.880000000001</v>
      </c>
      <c r="P99" s="53" t="s">
        <v>241</v>
      </c>
    </row>
    <row r="100" spans="10:16">
      <c r="J100" s="73" t="s">
        <v>223</v>
      </c>
      <c r="K100" s="158"/>
      <c r="L100" s="160"/>
      <c r="M100" s="159"/>
      <c r="N100" s="159"/>
      <c r="O100" s="65">
        <f>'ES Summary - Normalized'!D20</f>
        <v>21211.420000000002</v>
      </c>
      <c r="P100" s="53" t="s">
        <v>242</v>
      </c>
    </row>
    <row r="101" spans="10:16">
      <c r="K101" s="158"/>
      <c r="L101" s="157"/>
      <c r="M101" s="159"/>
      <c r="N101" s="159"/>
    </row>
  </sheetData>
  <mergeCells count="5">
    <mergeCell ref="C13:E13"/>
    <mergeCell ref="B14:K14"/>
    <mergeCell ref="B9:O9"/>
    <mergeCell ref="A4:O4"/>
    <mergeCell ref="B10:O10"/>
  </mergeCells>
  <pageMargins left="0.7" right="0.7" top="0.75" bottom="0.75" header="0.3" footer="0.3"/>
  <pageSetup scale="68" fitToHeight="0" orientation="landscape"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workbookViewId="0">
      <selection activeCell="F36" sqref="F36"/>
    </sheetView>
  </sheetViews>
  <sheetFormatPr defaultRowHeight="15"/>
  <cols>
    <col min="1" max="1" width="19.7109375" style="87" bestFit="1" customWidth="1"/>
    <col min="2" max="2" width="8.42578125" style="87" bestFit="1" customWidth="1"/>
    <col min="3" max="3" width="14.5703125" style="87" bestFit="1" customWidth="1"/>
    <col min="4" max="4" width="10.5703125" style="87" bestFit="1" customWidth="1"/>
    <col min="5" max="5" width="10.5703125" style="87" customWidth="1"/>
    <col min="6" max="6" width="10.5703125" style="87" bestFit="1" customWidth="1"/>
    <col min="7" max="16384" width="9.140625" style="87"/>
  </cols>
  <sheetData>
    <row r="1" spans="1:6">
      <c r="A1" t="s">
        <v>267</v>
      </c>
    </row>
    <row r="2" spans="1:6">
      <c r="A2" s="104" t="s">
        <v>260</v>
      </c>
    </row>
    <row r="3" spans="1:6">
      <c r="A3" s="104"/>
    </row>
    <row r="4" spans="1:6">
      <c r="C4" s="105"/>
      <c r="F4" s="87">
        <v>2019</v>
      </c>
    </row>
    <row r="5" spans="1:6">
      <c r="A5" s="106" t="s">
        <v>225</v>
      </c>
      <c r="C5" s="105" t="s">
        <v>82</v>
      </c>
      <c r="D5" s="107" t="s">
        <v>83</v>
      </c>
      <c r="E5" s="107"/>
      <c r="F5" s="87" t="s">
        <v>226</v>
      </c>
    </row>
    <row r="6" spans="1:6">
      <c r="A6" s="87" t="s">
        <v>227</v>
      </c>
      <c r="B6" s="87" t="s">
        <v>116</v>
      </c>
      <c r="C6" s="77"/>
      <c r="D6" s="114"/>
      <c r="E6" s="114"/>
      <c r="F6" s="114">
        <v>-98.43</v>
      </c>
    </row>
    <row r="7" spans="1:6">
      <c r="A7" s="87" t="s">
        <v>227</v>
      </c>
      <c r="B7" s="87" t="s">
        <v>228</v>
      </c>
      <c r="C7" s="77">
        <v>0</v>
      </c>
      <c r="D7" s="114">
        <v>0</v>
      </c>
      <c r="E7" s="114"/>
      <c r="F7" s="114">
        <v>0</v>
      </c>
    </row>
    <row r="8" spans="1:6">
      <c r="A8" s="87" t="s">
        <v>229</v>
      </c>
      <c r="B8" s="87" t="s">
        <v>116</v>
      </c>
      <c r="C8" s="77"/>
      <c r="D8" s="114"/>
      <c r="E8" s="114"/>
      <c r="F8" s="114">
        <v>5168.8900000000003</v>
      </c>
    </row>
    <row r="9" spans="1:6">
      <c r="A9" s="87" t="s">
        <v>229</v>
      </c>
      <c r="B9" s="87" t="s">
        <v>228</v>
      </c>
      <c r="C9" s="77">
        <v>434.09999999999997</v>
      </c>
      <c r="D9" s="114">
        <v>2357.92</v>
      </c>
      <c r="E9" s="114"/>
      <c r="F9" s="114">
        <v>2792.02</v>
      </c>
    </row>
    <row r="10" spans="1:6">
      <c r="A10" s="87" t="s">
        <v>230</v>
      </c>
      <c r="B10" s="87" t="s">
        <v>116</v>
      </c>
      <c r="C10" s="77"/>
      <c r="D10" s="114"/>
      <c r="E10" s="114"/>
      <c r="F10" s="114">
        <v>19006.890000000003</v>
      </c>
    </row>
    <row r="11" spans="1:6">
      <c r="A11" s="87" t="s">
        <v>230</v>
      </c>
      <c r="B11" s="87" t="s">
        <v>228</v>
      </c>
      <c r="C11" s="77">
        <v>940.82</v>
      </c>
      <c r="D11" s="114">
        <v>4715.7700000000004</v>
      </c>
      <c r="E11" s="114"/>
      <c r="F11" s="114">
        <v>5656.59</v>
      </c>
    </row>
    <row r="12" spans="1:6">
      <c r="A12" s="87" t="s">
        <v>231</v>
      </c>
      <c r="B12" s="87" t="s">
        <v>116</v>
      </c>
      <c r="C12" s="77"/>
      <c r="D12" s="114"/>
      <c r="E12" s="114"/>
      <c r="F12" s="114">
        <v>14290.300000000001</v>
      </c>
    </row>
    <row r="13" spans="1:6">
      <c r="A13" s="87" t="s">
        <v>231</v>
      </c>
      <c r="B13" s="87" t="s">
        <v>228</v>
      </c>
      <c r="C13" s="77">
        <v>806.27</v>
      </c>
      <c r="D13" s="114">
        <v>4187.6100000000006</v>
      </c>
      <c r="E13" s="114"/>
      <c r="F13" s="114">
        <v>4993.88</v>
      </c>
    </row>
    <row r="14" spans="1:6">
      <c r="A14" s="87" t="s">
        <v>232</v>
      </c>
      <c r="B14" s="87" t="s">
        <v>116</v>
      </c>
      <c r="C14" s="77"/>
      <c r="D14" s="114"/>
      <c r="E14" s="114"/>
      <c r="F14" s="114">
        <v>34803.35</v>
      </c>
    </row>
    <row r="15" spans="1:6">
      <c r="A15" s="87" t="s">
        <v>232</v>
      </c>
      <c r="B15" s="87" t="s">
        <v>228</v>
      </c>
      <c r="C15" s="77">
        <v>1738.4099999999999</v>
      </c>
      <c r="D15" s="114">
        <v>9569.9600000000009</v>
      </c>
      <c r="E15" s="114"/>
      <c r="F15" s="114">
        <v>11308.369999999999</v>
      </c>
    </row>
    <row r="16" spans="1:6">
      <c r="A16" s="87" t="s">
        <v>71</v>
      </c>
      <c r="B16" s="87" t="s">
        <v>116</v>
      </c>
      <c r="C16" s="77"/>
      <c r="D16" s="114"/>
      <c r="E16" s="114"/>
      <c r="F16" s="114">
        <v>2330.4700000000003</v>
      </c>
    </row>
    <row r="17" spans="1:6">
      <c r="A17" s="87" t="s">
        <v>71</v>
      </c>
      <c r="B17" s="87" t="s">
        <v>228</v>
      </c>
      <c r="C17" s="77">
        <v>115.68</v>
      </c>
      <c r="D17" s="114">
        <v>380.15999999999997</v>
      </c>
      <c r="E17" s="114"/>
      <c r="F17" s="114">
        <v>495.84</v>
      </c>
    </row>
    <row r="18" spans="1:6">
      <c r="C18" s="77"/>
      <c r="D18" s="114"/>
      <c r="E18" s="114"/>
      <c r="F18" s="114"/>
    </row>
    <row r="19" spans="1:6">
      <c r="A19" s="106" t="s">
        <v>11</v>
      </c>
      <c r="B19" s="106" t="s">
        <v>116</v>
      </c>
      <c r="C19" s="115"/>
      <c r="D19" s="114"/>
      <c r="E19" s="114"/>
      <c r="F19" s="114">
        <v>75501.47</v>
      </c>
    </row>
    <row r="20" spans="1:6">
      <c r="A20" s="106" t="s">
        <v>11</v>
      </c>
      <c r="B20" s="106" t="s">
        <v>228</v>
      </c>
      <c r="C20" s="117">
        <f>SUM(C7,C9,C11,C13,C15,C17)</f>
        <v>4035.2799999999997</v>
      </c>
      <c r="D20" s="119">
        <f>SUM(D7,D9,D11,D13,D15,D17)</f>
        <v>21211.420000000002</v>
      </c>
      <c r="E20" s="118" t="s">
        <v>242</v>
      </c>
      <c r="F20" s="114">
        <f>SUM(C20,D20)</f>
        <v>25246.7</v>
      </c>
    </row>
    <row r="21" spans="1:6">
      <c r="C21" s="77"/>
      <c r="D21" s="114"/>
      <c r="E21" s="114"/>
      <c r="F21" s="114"/>
    </row>
    <row r="22" spans="1:6">
      <c r="C22" s="114"/>
      <c r="D22" s="114"/>
      <c r="E22" s="114"/>
      <c r="F22" s="114"/>
    </row>
    <row r="23" spans="1:6">
      <c r="A23" s="106" t="s">
        <v>233</v>
      </c>
      <c r="C23" s="114"/>
      <c r="D23" s="114"/>
      <c r="E23" s="114"/>
      <c r="F23" s="114"/>
    </row>
    <row r="24" spans="1:6">
      <c r="A24" s="87" t="s">
        <v>234</v>
      </c>
      <c r="B24" s="87" t="s">
        <v>116</v>
      </c>
      <c r="C24" s="77"/>
      <c r="D24" s="114"/>
      <c r="E24" s="114"/>
      <c r="F24" s="114">
        <v>0</v>
      </c>
    </row>
    <row r="25" spans="1:6">
      <c r="A25" s="87" t="s">
        <v>234</v>
      </c>
      <c r="B25" s="87" t="s">
        <v>228</v>
      </c>
      <c r="C25" s="77"/>
      <c r="D25" s="114"/>
      <c r="E25" s="114"/>
      <c r="F25" s="114">
        <v>0</v>
      </c>
    </row>
    <row r="26" spans="1:6">
      <c r="A26" s="87" t="s">
        <v>183</v>
      </c>
      <c r="B26" s="87" t="s">
        <v>116</v>
      </c>
      <c r="C26" s="77"/>
      <c r="D26" s="114"/>
      <c r="E26" s="114"/>
      <c r="F26" s="114">
        <v>8364.93</v>
      </c>
    </row>
    <row r="27" spans="1:6">
      <c r="A27" s="87" t="s">
        <v>183</v>
      </c>
      <c r="B27" s="87" t="s">
        <v>228</v>
      </c>
      <c r="C27" s="77">
        <v>542.48</v>
      </c>
      <c r="D27" s="114">
        <v>2131.98</v>
      </c>
      <c r="E27" s="114"/>
      <c r="F27" s="114">
        <v>2674.46</v>
      </c>
    </row>
    <row r="28" spans="1:6">
      <c r="A28" s="87" t="s">
        <v>235</v>
      </c>
      <c r="B28" s="87" t="s">
        <v>116</v>
      </c>
      <c r="C28" s="77"/>
      <c r="D28" s="114"/>
      <c r="E28" s="114"/>
      <c r="F28" s="114">
        <v>0</v>
      </c>
    </row>
    <row r="29" spans="1:6">
      <c r="A29" s="87" t="s">
        <v>235</v>
      </c>
      <c r="B29" s="87" t="s">
        <v>228</v>
      </c>
      <c r="C29" s="77"/>
      <c r="D29" s="114"/>
      <c r="E29" s="114"/>
      <c r="F29" s="114">
        <v>0</v>
      </c>
    </row>
    <row r="30" spans="1:6">
      <c r="A30" s="87" t="s">
        <v>181</v>
      </c>
      <c r="B30" s="87" t="s">
        <v>116</v>
      </c>
      <c r="C30" s="77"/>
      <c r="D30" s="114"/>
      <c r="E30" s="114"/>
      <c r="F30" s="114">
        <v>1095.5999999999999</v>
      </c>
    </row>
    <row r="31" spans="1:6">
      <c r="A31" s="87" t="s">
        <v>181</v>
      </c>
      <c r="B31" s="87" t="s">
        <v>228</v>
      </c>
      <c r="C31" s="77">
        <v>71.06</v>
      </c>
      <c r="D31" s="114">
        <v>308.85000000000002</v>
      </c>
      <c r="E31" s="114"/>
      <c r="F31" s="114">
        <v>379.91</v>
      </c>
    </row>
    <row r="32" spans="1:6">
      <c r="A32" s="87" t="s">
        <v>236</v>
      </c>
      <c r="B32" s="87" t="s">
        <v>116</v>
      </c>
      <c r="C32" s="77"/>
      <c r="D32" s="114"/>
      <c r="E32" s="114"/>
      <c r="F32" s="114">
        <v>0</v>
      </c>
    </row>
    <row r="33" spans="1:6">
      <c r="A33" s="87" t="s">
        <v>236</v>
      </c>
      <c r="B33" s="87" t="s">
        <v>228</v>
      </c>
      <c r="C33" s="77"/>
      <c r="D33" s="114"/>
      <c r="E33" s="114"/>
      <c r="F33" s="114">
        <v>0</v>
      </c>
    </row>
    <row r="34" spans="1:6">
      <c r="A34" s="87" t="s">
        <v>237</v>
      </c>
      <c r="B34" s="87" t="s">
        <v>116</v>
      </c>
      <c r="C34" s="77"/>
      <c r="D34" s="114"/>
      <c r="E34" s="114"/>
      <c r="F34" s="114">
        <v>0</v>
      </c>
    </row>
    <row r="35" spans="1:6">
      <c r="A35" s="87" t="s">
        <v>237</v>
      </c>
      <c r="B35" s="87" t="s">
        <v>228</v>
      </c>
      <c r="C35" s="77"/>
      <c r="D35" s="114"/>
      <c r="E35" s="114"/>
      <c r="F35" s="114">
        <v>0</v>
      </c>
    </row>
    <row r="36" spans="1:6">
      <c r="A36" s="87" t="s">
        <v>238</v>
      </c>
      <c r="B36" s="87" t="s">
        <v>116</v>
      </c>
      <c r="C36" s="77"/>
      <c r="D36" s="114"/>
      <c r="E36" s="114"/>
      <c r="F36" s="114">
        <v>0</v>
      </c>
    </row>
    <row r="37" spans="1:6">
      <c r="A37" s="87" t="s">
        <v>238</v>
      </c>
      <c r="B37" s="87" t="s">
        <v>228</v>
      </c>
      <c r="C37" s="77"/>
      <c r="D37" s="114"/>
      <c r="E37" s="114"/>
      <c r="F37" s="114">
        <v>0</v>
      </c>
    </row>
    <row r="38" spans="1:6">
      <c r="A38" s="87" t="s">
        <v>239</v>
      </c>
      <c r="B38" s="87" t="s">
        <v>116</v>
      </c>
      <c r="C38" s="77"/>
      <c r="D38" s="114"/>
      <c r="E38" s="114"/>
      <c r="F38" s="114">
        <v>0</v>
      </c>
    </row>
    <row r="39" spans="1:6">
      <c r="A39" s="87" t="s">
        <v>239</v>
      </c>
      <c r="B39" s="87" t="s">
        <v>228</v>
      </c>
      <c r="C39" s="77"/>
      <c r="D39" s="114"/>
      <c r="E39" s="114"/>
      <c r="F39" s="114">
        <v>0</v>
      </c>
    </row>
    <row r="40" spans="1:6">
      <c r="A40" s="87" t="s">
        <v>240</v>
      </c>
      <c r="B40" s="87" t="s">
        <v>116</v>
      </c>
      <c r="C40" s="77"/>
      <c r="D40" s="114"/>
      <c r="E40" s="114"/>
      <c r="F40" s="114">
        <v>0</v>
      </c>
    </row>
    <row r="41" spans="1:6">
      <c r="A41" s="87" t="s">
        <v>240</v>
      </c>
      <c r="B41" s="87" t="s">
        <v>228</v>
      </c>
      <c r="C41" s="77"/>
      <c r="D41" s="114"/>
      <c r="E41" s="114"/>
      <c r="F41" s="114">
        <v>0</v>
      </c>
    </row>
    <row r="42" spans="1:6">
      <c r="A42" s="87" t="s">
        <v>182</v>
      </c>
      <c r="B42" s="87" t="s">
        <v>116</v>
      </c>
      <c r="C42" s="77"/>
      <c r="D42" s="114"/>
      <c r="E42" s="114"/>
      <c r="F42" s="114">
        <v>33247.199999999997</v>
      </c>
    </row>
    <row r="43" spans="1:6">
      <c r="A43" s="87" t="s">
        <v>182</v>
      </c>
      <c r="B43" s="87" t="s">
        <v>228</v>
      </c>
      <c r="C43" s="116">
        <v>2156.12</v>
      </c>
      <c r="D43" s="167">
        <v>8724.0500000000011</v>
      </c>
      <c r="E43" s="164"/>
      <c r="F43" s="114">
        <v>10880.17</v>
      </c>
    </row>
    <row r="44" spans="1:6">
      <c r="C44" s="114"/>
      <c r="D44" s="114"/>
      <c r="E44" s="114"/>
      <c r="F44" s="114"/>
    </row>
    <row r="45" spans="1:6">
      <c r="C45" s="114"/>
      <c r="D45" s="114"/>
      <c r="E45" s="114"/>
      <c r="F45" s="114"/>
    </row>
    <row r="46" spans="1:6">
      <c r="C46" s="114"/>
      <c r="D46" s="114"/>
      <c r="E46" s="114"/>
      <c r="F46" s="114"/>
    </row>
    <row r="47" spans="1:6">
      <c r="A47" s="106" t="s">
        <v>11</v>
      </c>
      <c r="B47" s="106" t="s">
        <v>116</v>
      </c>
      <c r="C47" s="115"/>
      <c r="D47" s="114"/>
      <c r="E47" s="114"/>
      <c r="F47" s="114">
        <v>42707.729999999996</v>
      </c>
    </row>
    <row r="48" spans="1:6">
      <c r="A48" s="106" t="s">
        <v>11</v>
      </c>
      <c r="B48" s="106" t="s">
        <v>228</v>
      </c>
      <c r="C48" s="165">
        <f>SUM(C25,C27,C29,C31,C33,C35,C37,C39,C41,C43)</f>
        <v>2769.66</v>
      </c>
      <c r="D48" s="166">
        <f>SUM(D25,D27,D29,D31,D33,D35,D37,D39,D41,D43)</f>
        <v>11164.880000000001</v>
      </c>
      <c r="E48" s="118" t="s">
        <v>241</v>
      </c>
      <c r="F48" s="114">
        <v>13934.54</v>
      </c>
    </row>
    <row r="49" spans="3:6">
      <c r="C49" s="114"/>
      <c r="D49" s="114"/>
      <c r="E49" s="114"/>
      <c r="F49" s="114"/>
    </row>
    <row r="50" spans="3:6">
      <c r="C50" s="114"/>
      <c r="D50" s="114"/>
      <c r="E50" s="114"/>
      <c r="F50" s="11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FF"/>
  </sheetPr>
  <dimension ref="A1:C70"/>
  <sheetViews>
    <sheetView workbookViewId="0"/>
  </sheetViews>
  <sheetFormatPr defaultRowHeight="15"/>
  <cols>
    <col min="1" max="1" width="13.7109375" style="129" customWidth="1"/>
    <col min="2" max="2" width="14.85546875" style="130" bestFit="1" customWidth="1"/>
    <col min="3" max="16384" width="9.140625" style="129"/>
  </cols>
  <sheetData>
    <row r="1" spans="1:2">
      <c r="A1" t="s">
        <v>267</v>
      </c>
    </row>
    <row r="2" spans="1:2">
      <c r="A2" s="129" t="s">
        <v>185</v>
      </c>
    </row>
    <row r="3" spans="1:2">
      <c r="A3" s="129" t="s">
        <v>90</v>
      </c>
      <c r="B3" s="130" t="s">
        <v>91</v>
      </c>
    </row>
    <row r="4" spans="1:2">
      <c r="A4" s="129" t="s">
        <v>100</v>
      </c>
      <c r="B4" s="130" t="s">
        <v>92</v>
      </c>
    </row>
    <row r="6" spans="1:2">
      <c r="A6" s="129" t="s">
        <v>3</v>
      </c>
      <c r="B6" s="130" t="s">
        <v>184</v>
      </c>
    </row>
    <row r="7" spans="1:2">
      <c r="A7" s="129" t="s">
        <v>13</v>
      </c>
      <c r="B7" s="130">
        <v>-11646.300000000001</v>
      </c>
    </row>
    <row r="8" spans="1:2">
      <c r="A8" s="129" t="s">
        <v>180</v>
      </c>
      <c r="B8" s="130">
        <v>-4666.7400000000116</v>
      </c>
    </row>
    <row r="9" spans="1:2">
      <c r="A9" s="129" t="s">
        <v>179</v>
      </c>
      <c r="B9" s="130">
        <v>1433.18</v>
      </c>
    </row>
    <row r="10" spans="1:2">
      <c r="A10" s="129" t="s">
        <v>178</v>
      </c>
      <c r="B10" s="130">
        <v>3213.8600000000006</v>
      </c>
    </row>
    <row r="11" spans="1:2">
      <c r="A11" s="129" t="s">
        <v>177</v>
      </c>
      <c r="B11" s="130">
        <v>9.999999996864517E-3</v>
      </c>
    </row>
    <row r="12" spans="1:2">
      <c r="A12" s="129" t="s">
        <v>176</v>
      </c>
      <c r="B12" s="130">
        <v>0</v>
      </c>
    </row>
    <row r="13" spans="1:2">
      <c r="A13" s="129" t="s">
        <v>85</v>
      </c>
      <c r="B13" s="130">
        <v>10549.64</v>
      </c>
    </row>
    <row r="14" spans="1:2">
      <c r="A14" s="129" t="s">
        <v>86</v>
      </c>
      <c r="B14" s="130">
        <v>2095.3000000000002</v>
      </c>
    </row>
    <row r="15" spans="1:2">
      <c r="A15" s="129" t="s">
        <v>87</v>
      </c>
      <c r="B15" s="130">
        <v>8164.07</v>
      </c>
    </row>
    <row r="16" spans="1:2">
      <c r="A16" s="129" t="s">
        <v>88</v>
      </c>
      <c r="B16" s="130">
        <v>1967.9</v>
      </c>
    </row>
    <row r="17" spans="1:3">
      <c r="A17" s="129" t="s">
        <v>175</v>
      </c>
      <c r="B17" s="130">
        <v>-9.9999999953581664E-3</v>
      </c>
    </row>
    <row r="18" spans="1:3">
      <c r="A18" s="129" t="s">
        <v>174</v>
      </c>
      <c r="B18" s="130">
        <v>-2.9999999999745341E-2</v>
      </c>
    </row>
    <row r="19" spans="1:3">
      <c r="A19" s="129" t="s">
        <v>173</v>
      </c>
      <c r="B19" s="130">
        <v>1.0000000000218279E-2</v>
      </c>
    </row>
    <row r="20" spans="1:3">
      <c r="A20" s="129" t="s">
        <v>172</v>
      </c>
      <c r="B20" s="130">
        <v>0</v>
      </c>
    </row>
    <row r="21" spans="1:3">
      <c r="A21" s="134" t="s">
        <v>171</v>
      </c>
      <c r="B21" s="135">
        <v>1364.15</v>
      </c>
      <c r="C21" s="134"/>
    </row>
    <row r="22" spans="1:3">
      <c r="A22" s="134" t="s">
        <v>170</v>
      </c>
      <c r="B22" s="135">
        <v>-1308.3699999999999</v>
      </c>
      <c r="C22" s="134"/>
    </row>
    <row r="23" spans="1:3">
      <c r="A23" s="134" t="s">
        <v>169</v>
      </c>
      <c r="B23" s="135">
        <v>-118.2</v>
      </c>
      <c r="C23" s="134"/>
    </row>
    <row r="24" spans="1:3">
      <c r="A24" s="134" t="s">
        <v>168</v>
      </c>
      <c r="B24" s="135">
        <v>-589.36</v>
      </c>
      <c r="C24" s="134"/>
    </row>
    <row r="25" spans="1:3">
      <c r="A25" s="134" t="s">
        <v>167</v>
      </c>
      <c r="B25" s="135">
        <v>3120.33</v>
      </c>
      <c r="C25" s="134"/>
    </row>
    <row r="26" spans="1:3">
      <c r="A26" s="134" t="s">
        <v>166</v>
      </c>
      <c r="B26" s="135">
        <v>-249.7</v>
      </c>
      <c r="C26" s="134"/>
    </row>
    <row r="27" spans="1:3">
      <c r="A27" s="134" t="s">
        <v>165</v>
      </c>
      <c r="B27" s="135">
        <v>-30766.329999999936</v>
      </c>
      <c r="C27" s="134"/>
    </row>
    <row r="28" spans="1:3">
      <c r="A28" s="134" t="s">
        <v>164</v>
      </c>
      <c r="B28" s="135">
        <v>74448.350000000006</v>
      </c>
      <c r="C28" s="134"/>
    </row>
    <row r="29" spans="1:3">
      <c r="A29" s="134" t="s">
        <v>163</v>
      </c>
      <c r="B29" s="135">
        <v>-59926.179999999898</v>
      </c>
      <c r="C29" s="134"/>
    </row>
    <row r="30" spans="1:3">
      <c r="A30" s="134" t="s">
        <v>162</v>
      </c>
      <c r="B30" s="135">
        <v>-36921.069999999942</v>
      </c>
      <c r="C30" s="134"/>
    </row>
    <row r="31" spans="1:3">
      <c r="A31" s="134" t="s">
        <v>35</v>
      </c>
      <c r="B31" s="135">
        <v>-2453.6699999999823</v>
      </c>
      <c r="C31" s="134"/>
    </row>
    <row r="32" spans="1:3">
      <c r="A32" s="134" t="s">
        <v>161</v>
      </c>
      <c r="B32" s="135">
        <v>41088.629999999997</v>
      </c>
      <c r="C32" s="134"/>
    </row>
    <row r="33" spans="1:3">
      <c r="A33" s="134" t="s">
        <v>160</v>
      </c>
      <c r="B33" s="135">
        <v>-46083.249999999985</v>
      </c>
      <c r="C33" s="134"/>
    </row>
    <row r="34" spans="1:3">
      <c r="A34" s="134" t="s">
        <v>38</v>
      </c>
      <c r="B34" s="135">
        <v>-12213.450000000015</v>
      </c>
      <c r="C34" s="134"/>
    </row>
    <row r="35" spans="1:3">
      <c r="A35" s="134" t="s">
        <v>39</v>
      </c>
      <c r="B35" s="135">
        <v>-48214.499999999913</v>
      </c>
      <c r="C35" s="134"/>
    </row>
    <row r="36" spans="1:3">
      <c r="A36" s="134" t="s">
        <v>40</v>
      </c>
      <c r="B36" s="135">
        <v>-27653.630000000016</v>
      </c>
      <c r="C36" s="134"/>
    </row>
    <row r="37" spans="1:3">
      <c r="A37" s="134" t="s">
        <v>159</v>
      </c>
      <c r="B37" s="135">
        <v>19017.739999999994</v>
      </c>
      <c r="C37" s="134"/>
    </row>
    <row r="38" spans="1:3">
      <c r="A38" s="134" t="s">
        <v>158</v>
      </c>
      <c r="B38" s="135">
        <v>2192.7199999999998</v>
      </c>
      <c r="C38" s="134"/>
    </row>
    <row r="39" spans="1:3">
      <c r="A39" s="134" t="s">
        <v>157</v>
      </c>
      <c r="B39" s="135">
        <v>-13697.01999999999</v>
      </c>
      <c r="C39" s="134"/>
    </row>
    <row r="40" spans="1:3">
      <c r="A40" s="134" t="s">
        <v>156</v>
      </c>
      <c r="B40" s="135">
        <v>-2022.2499999999998</v>
      </c>
      <c r="C40" s="134"/>
    </row>
    <row r="41" spans="1:3">
      <c r="A41" s="134" t="s">
        <v>155</v>
      </c>
      <c r="B41" s="135">
        <v>11453.339999999995</v>
      </c>
      <c r="C41" s="134"/>
    </row>
    <row r="42" spans="1:3">
      <c r="A42" s="134" t="s">
        <v>154</v>
      </c>
      <c r="B42" s="135">
        <v>-7259.17</v>
      </c>
      <c r="C42" s="134"/>
    </row>
    <row r="43" spans="1:3">
      <c r="A43" s="134" t="s">
        <v>49</v>
      </c>
      <c r="B43" s="135">
        <v>-5250.9700000000012</v>
      </c>
      <c r="C43" s="134"/>
    </row>
    <row r="44" spans="1:3">
      <c r="A44" s="134" t="s">
        <v>53</v>
      </c>
      <c r="B44" s="135">
        <v>-12662.270000000037</v>
      </c>
      <c r="C44" s="134"/>
    </row>
    <row r="45" spans="1:3">
      <c r="A45" s="134" t="s">
        <v>153</v>
      </c>
      <c r="B45" s="135">
        <v>-49125.639999999992</v>
      </c>
      <c r="C45" s="134"/>
    </row>
    <row r="46" spans="1:3">
      <c r="A46" s="134" t="s">
        <v>152</v>
      </c>
      <c r="B46" s="135">
        <v>-9222.9900000000034</v>
      </c>
      <c r="C46" s="134"/>
    </row>
    <row r="47" spans="1:3">
      <c r="A47" s="134" t="s">
        <v>151</v>
      </c>
      <c r="B47" s="135">
        <v>-7027.4400000000005</v>
      </c>
      <c r="C47" s="134"/>
    </row>
    <row r="48" spans="1:3">
      <c r="A48" s="134" t="s">
        <v>150</v>
      </c>
      <c r="B48" s="135">
        <v>-105169.40000000002</v>
      </c>
      <c r="C48" s="134"/>
    </row>
    <row r="49" spans="1:3">
      <c r="A49" s="134" t="s">
        <v>149</v>
      </c>
      <c r="B49" s="135">
        <v>-50667.090000000004</v>
      </c>
      <c r="C49" s="134"/>
    </row>
    <row r="50" spans="1:3">
      <c r="A50" s="134" t="s">
        <v>18</v>
      </c>
      <c r="B50" s="135">
        <v>-10160.239999999965</v>
      </c>
      <c r="C50" s="134"/>
    </row>
    <row r="51" spans="1:3">
      <c r="A51" s="134" t="s">
        <v>27</v>
      </c>
      <c r="B51" s="135">
        <v>486.87999999999909</v>
      </c>
      <c r="C51" s="134"/>
    </row>
    <row r="52" spans="1:3">
      <c r="A52" s="134" t="s">
        <v>148</v>
      </c>
      <c r="B52" s="135">
        <v>-3722.81</v>
      </c>
      <c r="C52" s="134"/>
    </row>
    <row r="53" spans="1:3">
      <c r="A53" s="134" t="s">
        <v>147</v>
      </c>
      <c r="B53" s="135">
        <v>-3674.0400000000013</v>
      </c>
      <c r="C53" s="134"/>
    </row>
    <row r="54" spans="1:3">
      <c r="A54" s="134" t="s">
        <v>21</v>
      </c>
      <c r="B54" s="135">
        <v>1109.8500000000104</v>
      </c>
      <c r="C54" s="134"/>
    </row>
    <row r="55" spans="1:3">
      <c r="A55" s="134" t="s">
        <v>23</v>
      </c>
      <c r="B55" s="135">
        <v>10482.419999999991</v>
      </c>
      <c r="C55" s="134"/>
    </row>
    <row r="56" spans="1:3">
      <c r="A56" s="134" t="s">
        <v>146</v>
      </c>
      <c r="B56" s="135">
        <v>-88.05</v>
      </c>
      <c r="C56" s="134"/>
    </row>
    <row r="57" spans="1:3">
      <c r="A57" s="134" t="s">
        <v>145</v>
      </c>
      <c r="B57" s="135">
        <v>-966.6</v>
      </c>
      <c r="C57" s="134"/>
    </row>
    <row r="58" spans="1:3">
      <c r="A58" s="134" t="s">
        <v>25</v>
      </c>
      <c r="B58" s="135">
        <v>-1475.0400000000025</v>
      </c>
      <c r="C58" s="134"/>
    </row>
    <row r="59" spans="1:3">
      <c r="A59" s="134" t="s">
        <v>26</v>
      </c>
      <c r="B59" s="135">
        <v>4168.2299999999959</v>
      </c>
      <c r="C59" s="134"/>
    </row>
    <row r="60" spans="1:3">
      <c r="A60" s="134" t="s">
        <v>144</v>
      </c>
      <c r="B60" s="135">
        <v>-31530.660000000007</v>
      </c>
      <c r="C60" s="134"/>
    </row>
    <row r="61" spans="1:3">
      <c r="A61" s="134" t="s">
        <v>143</v>
      </c>
      <c r="B61" s="135">
        <v>-583.98</v>
      </c>
      <c r="C61" s="134"/>
    </row>
    <row r="62" spans="1:3">
      <c r="A62" s="134" t="s">
        <v>142</v>
      </c>
      <c r="B62" s="135">
        <v>-432.19</v>
      </c>
      <c r="C62" s="134"/>
    </row>
    <row r="63" spans="1:3">
      <c r="A63" s="134" t="s">
        <v>136</v>
      </c>
      <c r="B63" s="135">
        <v>-263455.81000000011</v>
      </c>
      <c r="C63" s="134"/>
    </row>
    <row r="64" spans="1:3">
      <c r="A64" s="134" t="s">
        <v>135</v>
      </c>
      <c r="B64" s="135">
        <v>0</v>
      </c>
      <c r="C64" s="134"/>
    </row>
    <row r="65" spans="1:3">
      <c r="A65" s="134" t="s">
        <v>109</v>
      </c>
      <c r="B65" s="135">
        <v>682419.97</v>
      </c>
      <c r="C65" s="134"/>
    </row>
    <row r="66" spans="1:3">
      <c r="A66" s="134" t="s">
        <v>108</v>
      </c>
      <c r="B66" s="135">
        <v>-1113.3899999999999</v>
      </c>
      <c r="C66" s="134"/>
    </row>
    <row r="67" spans="1:3">
      <c r="A67" s="134" t="s">
        <v>107</v>
      </c>
      <c r="B67" s="135">
        <v>-9632.8000000000011</v>
      </c>
      <c r="C67" s="134"/>
    </row>
    <row r="68" spans="1:3">
      <c r="A68" s="134" t="s">
        <v>106</v>
      </c>
      <c r="B68" s="135">
        <v>-910.67000000000007</v>
      </c>
      <c r="C68" s="134"/>
    </row>
    <row r="69" spans="1:3">
      <c r="A69" s="134" t="s">
        <v>105</v>
      </c>
      <c r="B69" s="135">
        <v>-6115.2700000000041</v>
      </c>
      <c r="C69" s="134"/>
    </row>
    <row r="70" spans="1:3">
      <c r="A70" s="134" t="s">
        <v>84</v>
      </c>
      <c r="B70" s="135">
        <v>1.1641532182693481E-10</v>
      </c>
      <c r="C70" s="13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G21"/>
  <sheetViews>
    <sheetView workbookViewId="0">
      <selection activeCell="L22" sqref="L22:M22"/>
    </sheetView>
  </sheetViews>
  <sheetFormatPr defaultRowHeight="15"/>
  <cols>
    <col min="1" max="1" width="8.140625" style="19" bestFit="1" customWidth="1"/>
    <col min="2" max="2" width="18.85546875" style="5" bestFit="1" customWidth="1"/>
    <col min="3" max="3" width="3.7109375" style="5" bestFit="1" customWidth="1"/>
    <col min="4" max="4" width="19.42578125" style="5" hidden="1" customWidth="1"/>
    <col min="5" max="5" width="4.28515625" style="5" hidden="1" customWidth="1"/>
    <col min="6" max="6" width="23.140625" style="5" customWidth="1"/>
    <col min="7" max="7" width="5.28515625" style="75" bestFit="1" customWidth="1"/>
    <col min="8" max="16384" width="9.140625" style="19"/>
  </cols>
  <sheetData>
    <row r="1" spans="1:7" ht="65.25" customHeight="1">
      <c r="A1" s="180" t="s">
        <v>262</v>
      </c>
      <c r="B1" s="180"/>
      <c r="C1" s="180"/>
      <c r="D1" s="180"/>
      <c r="E1" s="180"/>
      <c r="F1" s="180"/>
      <c r="G1" s="180"/>
    </row>
    <row r="3" spans="1:7">
      <c r="A3" s="27" t="s">
        <v>3</v>
      </c>
      <c r="B3" s="28" t="s">
        <v>93</v>
      </c>
      <c r="C3" s="29"/>
      <c r="D3" s="29" t="s">
        <v>94</v>
      </c>
      <c r="E3" s="29"/>
      <c r="F3" s="29" t="s">
        <v>95</v>
      </c>
      <c r="G3" s="30"/>
    </row>
    <row r="4" spans="1:7">
      <c r="A4" s="19" t="s">
        <v>13</v>
      </c>
      <c r="B4" s="5">
        <v>0</v>
      </c>
      <c r="D4" s="5">
        <v>18732.82</v>
      </c>
      <c r="F4" s="5">
        <v>9015.33</v>
      </c>
      <c r="G4" s="75" t="s">
        <v>205</v>
      </c>
    </row>
    <row r="5" spans="1:7">
      <c r="A5" s="20">
        <v>163000</v>
      </c>
      <c r="B5" s="5">
        <v>10549.64</v>
      </c>
      <c r="C5" s="32"/>
      <c r="D5" s="5">
        <v>-22741.47</v>
      </c>
      <c r="E5" s="31" t="s">
        <v>96</v>
      </c>
      <c r="F5" s="5">
        <f>-B5</f>
        <v>-10549.64</v>
      </c>
      <c r="G5" s="75" t="s">
        <v>206</v>
      </c>
    </row>
    <row r="6" spans="1:7">
      <c r="A6" s="20">
        <v>163030</v>
      </c>
      <c r="B6" s="5">
        <v>2095.3000000000002</v>
      </c>
      <c r="C6" s="32"/>
      <c r="D6" s="5">
        <v>-4225.8599999999997</v>
      </c>
      <c r="E6" s="31" t="s">
        <v>98</v>
      </c>
      <c r="F6" s="5">
        <f>-B6</f>
        <v>-2095.3000000000002</v>
      </c>
      <c r="G6" s="75" t="s">
        <v>207</v>
      </c>
    </row>
    <row r="7" spans="1:7">
      <c r="A7" s="20">
        <v>163040</v>
      </c>
      <c r="B7" s="5">
        <v>8164.07</v>
      </c>
      <c r="C7" s="32"/>
      <c r="D7" s="5">
        <v>-19226.05</v>
      </c>
      <c r="E7" s="31" t="s">
        <v>99</v>
      </c>
      <c r="F7" s="5">
        <f>-B7</f>
        <v>-8164.07</v>
      </c>
      <c r="G7" s="75" t="s">
        <v>209</v>
      </c>
    </row>
    <row r="8" spans="1:7">
      <c r="A8" s="20">
        <v>163050</v>
      </c>
      <c r="B8" s="5">
        <v>1967.9</v>
      </c>
      <c r="C8" s="32"/>
      <c r="D8" s="5">
        <v>-7817.69</v>
      </c>
      <c r="E8" s="31" t="s">
        <v>97</v>
      </c>
      <c r="F8" s="5">
        <f>-B8</f>
        <v>-1967.9</v>
      </c>
      <c r="G8" s="75" t="s">
        <v>210</v>
      </c>
    </row>
    <row r="9" spans="1:7">
      <c r="A9" s="19" t="s">
        <v>35</v>
      </c>
      <c r="B9" s="5">
        <v>0</v>
      </c>
      <c r="D9" s="5">
        <v>1165.71</v>
      </c>
      <c r="F9" s="5">
        <v>355.68</v>
      </c>
      <c r="G9" s="75" t="s">
        <v>211</v>
      </c>
    </row>
    <row r="10" spans="1:7">
      <c r="A10" s="19" t="s">
        <v>38</v>
      </c>
      <c r="B10" s="5">
        <v>0</v>
      </c>
      <c r="D10" s="5">
        <v>782.82</v>
      </c>
      <c r="F10" s="5">
        <v>566.28</v>
      </c>
      <c r="G10" s="75" t="s">
        <v>208</v>
      </c>
    </row>
    <row r="11" spans="1:7">
      <c r="A11" s="19" t="s">
        <v>39</v>
      </c>
      <c r="B11" s="5">
        <v>0</v>
      </c>
      <c r="D11" s="5">
        <v>18102.439999999999</v>
      </c>
      <c r="F11" s="5">
        <v>7412.11</v>
      </c>
      <c r="G11" s="75" t="s">
        <v>212</v>
      </c>
    </row>
    <row r="12" spans="1:7">
      <c r="A12" s="19" t="s">
        <v>40</v>
      </c>
      <c r="B12" s="5">
        <v>0</v>
      </c>
      <c r="D12" s="5">
        <v>3375.38</v>
      </c>
      <c r="F12" s="5">
        <v>1898.01</v>
      </c>
      <c r="G12" s="75" t="s">
        <v>213</v>
      </c>
    </row>
    <row r="13" spans="1:7">
      <c r="A13" s="19" t="s">
        <v>49</v>
      </c>
      <c r="B13" s="5">
        <v>0</v>
      </c>
      <c r="D13" s="5">
        <v>366.9</v>
      </c>
      <c r="F13" s="5">
        <v>-44.36</v>
      </c>
      <c r="G13" s="75" t="s">
        <v>214</v>
      </c>
    </row>
    <row r="14" spans="1:7">
      <c r="A14" s="19" t="s">
        <v>53</v>
      </c>
      <c r="B14" s="5">
        <v>0</v>
      </c>
      <c r="D14" s="5">
        <v>7418.15</v>
      </c>
      <c r="F14" s="5">
        <v>2012.26</v>
      </c>
      <c r="G14" s="75" t="s">
        <v>215</v>
      </c>
    </row>
    <row r="15" spans="1:7">
      <c r="A15" s="20">
        <v>562000</v>
      </c>
      <c r="B15" s="5">
        <v>0</v>
      </c>
      <c r="D15" s="5">
        <v>1.85</v>
      </c>
      <c r="F15" s="5">
        <v>4.2300000000000004</v>
      </c>
      <c r="G15" s="75" t="s">
        <v>216</v>
      </c>
    </row>
    <row r="16" spans="1:7">
      <c r="A16" s="19" t="s">
        <v>27</v>
      </c>
      <c r="B16" s="5">
        <v>0</v>
      </c>
      <c r="D16" s="5">
        <v>44.33</v>
      </c>
      <c r="F16" s="5">
        <v>5.7</v>
      </c>
      <c r="G16" s="75" t="s">
        <v>217</v>
      </c>
    </row>
    <row r="17" spans="1:7">
      <c r="A17" s="19" t="s">
        <v>21</v>
      </c>
      <c r="B17" s="5">
        <v>0</v>
      </c>
      <c r="D17" s="5">
        <v>800.57</v>
      </c>
      <c r="F17" s="5">
        <v>18.190000000000001</v>
      </c>
      <c r="G17" s="75" t="s">
        <v>218</v>
      </c>
    </row>
    <row r="18" spans="1:7">
      <c r="A18" s="19" t="s">
        <v>23</v>
      </c>
      <c r="B18" s="5">
        <v>0</v>
      </c>
      <c r="D18" s="5">
        <v>427.02</v>
      </c>
      <c r="F18" s="5">
        <v>151.21</v>
      </c>
      <c r="G18" s="75" t="s">
        <v>219</v>
      </c>
    </row>
    <row r="19" spans="1:7">
      <c r="A19" s="19" t="s">
        <v>25</v>
      </c>
      <c r="B19" s="5">
        <v>0</v>
      </c>
      <c r="D19" s="5">
        <v>157.53</v>
      </c>
      <c r="F19" s="5">
        <v>19.13</v>
      </c>
      <c r="G19" s="75" t="s">
        <v>220</v>
      </c>
    </row>
    <row r="20" spans="1:7">
      <c r="A20" s="19" t="s">
        <v>26</v>
      </c>
      <c r="D20" s="5">
        <v>2635.55</v>
      </c>
      <c r="F20" s="5">
        <v>1363.14</v>
      </c>
      <c r="G20" s="75" t="s">
        <v>221</v>
      </c>
    </row>
    <row r="21" spans="1:7">
      <c r="B21" s="14">
        <f>SUM(B4:B20)</f>
        <v>22776.91</v>
      </c>
      <c r="C21" s="36"/>
      <c r="D21" s="14">
        <f>SUM(D4:D20)</f>
        <v>0</v>
      </c>
      <c r="E21" s="14"/>
      <c r="F21" s="14">
        <f>SUM(F4:F20)</f>
        <v>0</v>
      </c>
      <c r="G21" s="76"/>
    </row>
  </sheetData>
  <mergeCells count="1">
    <mergeCell ref="A1:G1"/>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L77"/>
  <sheetViews>
    <sheetView workbookViewId="0">
      <selection activeCell="N30" sqref="N30"/>
    </sheetView>
  </sheetViews>
  <sheetFormatPr defaultColWidth="10.28515625" defaultRowHeight="15"/>
  <cols>
    <col min="1" max="1" width="5" style="2" customWidth="1"/>
    <col min="2" max="3" width="11" style="2" customWidth="1"/>
    <col min="4" max="4" width="12.140625" style="2" customWidth="1"/>
    <col min="5" max="5" width="20.42578125" style="3" customWidth="1"/>
    <col min="6" max="6" width="17.7109375" style="2" customWidth="1"/>
    <col min="7" max="7" width="13.140625" style="2" customWidth="1"/>
    <col min="8" max="8" width="15.42578125" style="3" hidden="1" customWidth="1"/>
    <col min="9" max="9" width="19.140625" style="3" bestFit="1" customWidth="1"/>
    <col min="10" max="10" width="0" style="2" hidden="1" customWidth="1"/>
    <col min="11" max="16384" width="10.28515625" style="2"/>
  </cols>
  <sheetData>
    <row r="1" spans="1:12" ht="15.75" thickBot="1">
      <c r="A1" s="121" t="s">
        <v>261</v>
      </c>
    </row>
    <row r="2" spans="1:12" ht="16.5" thickTop="1" thickBot="1">
      <c r="A2" s="1" t="s">
        <v>0</v>
      </c>
      <c r="B2" s="2" t="s">
        <v>1</v>
      </c>
    </row>
    <row r="3" spans="1:12" ht="14.25" thickTop="1" thickBot="1">
      <c r="A3" s="1" t="s">
        <v>2</v>
      </c>
      <c r="B3" s="1" t="s">
        <v>3</v>
      </c>
      <c r="C3" s="1" t="s">
        <v>4</v>
      </c>
      <c r="D3" s="1" t="s">
        <v>5</v>
      </c>
      <c r="E3" s="4" t="s">
        <v>6</v>
      </c>
      <c r="F3" s="1" t="s">
        <v>7</v>
      </c>
      <c r="G3" s="1" t="s">
        <v>8</v>
      </c>
      <c r="H3" s="4" t="s">
        <v>9</v>
      </c>
      <c r="I3" s="4" t="s">
        <v>10</v>
      </c>
      <c r="J3" s="4" t="s">
        <v>11</v>
      </c>
    </row>
    <row r="4" spans="1:12" ht="15.75" thickTop="1">
      <c r="A4" s="2" t="s">
        <v>12</v>
      </c>
      <c r="B4" s="2" t="s">
        <v>13</v>
      </c>
      <c r="C4" s="2" t="s">
        <v>14</v>
      </c>
      <c r="E4" s="3">
        <v>1079765.1499999999</v>
      </c>
      <c r="F4" s="2" t="s">
        <v>15</v>
      </c>
      <c r="G4" s="2" t="s">
        <v>16</v>
      </c>
      <c r="H4" s="5">
        <f>ROUND(E4*$E$74,2)</f>
        <v>1392.13</v>
      </c>
      <c r="I4" s="3">
        <f>ROUND(E4*$F$74,2)</f>
        <v>8917.35</v>
      </c>
      <c r="J4" s="6">
        <f>H4+I4</f>
        <v>10309.48</v>
      </c>
      <c r="K4" s="2">
        <v>12</v>
      </c>
      <c r="L4" s="2">
        <v>2019</v>
      </c>
    </row>
    <row r="5" spans="1:12">
      <c r="E5" s="7">
        <f>SUM(E4)</f>
        <v>1079765.1499999999</v>
      </c>
      <c r="F5" s="2" t="s">
        <v>17</v>
      </c>
      <c r="H5" s="7">
        <f>SUM(H4)</f>
        <v>1392.13</v>
      </c>
      <c r="I5" s="7">
        <f>SUM(I4)</f>
        <v>8917.35</v>
      </c>
      <c r="J5" s="7">
        <f>SUM(J4)</f>
        <v>10309.48</v>
      </c>
    </row>
    <row r="7" spans="1:12">
      <c r="A7" s="2" t="s">
        <v>12</v>
      </c>
      <c r="B7" s="2" t="s">
        <v>18</v>
      </c>
      <c r="C7" s="2" t="s">
        <v>19</v>
      </c>
      <c r="D7" s="2" t="s">
        <v>20</v>
      </c>
      <c r="E7" s="3">
        <v>511.81</v>
      </c>
      <c r="F7" s="2" t="s">
        <v>15</v>
      </c>
      <c r="G7" s="2" t="s">
        <v>16</v>
      </c>
      <c r="H7" s="5">
        <f t="shared" ref="H7:H23" si="0">ROUND(E7*$E$74,2)</f>
        <v>0.66</v>
      </c>
      <c r="I7" s="3">
        <f t="shared" ref="I7:I23" si="1">ROUND(E7*$F$74,2)</f>
        <v>4.2300000000000004</v>
      </c>
      <c r="J7" s="6">
        <f t="shared" ref="J7:J23" si="2">H7+I7</f>
        <v>4.8900000000000006</v>
      </c>
      <c r="K7" s="2">
        <v>12</v>
      </c>
      <c r="L7" s="2">
        <v>2019</v>
      </c>
    </row>
    <row r="8" spans="1:12">
      <c r="A8" s="2" t="s">
        <v>12</v>
      </c>
      <c r="B8" s="2" t="s">
        <v>21</v>
      </c>
      <c r="C8" s="2" t="s">
        <v>22</v>
      </c>
      <c r="D8" s="2" t="s">
        <v>20</v>
      </c>
      <c r="E8" s="3">
        <v>2203.13</v>
      </c>
      <c r="F8" s="2" t="s">
        <v>15</v>
      </c>
      <c r="G8" s="2" t="s">
        <v>16</v>
      </c>
      <c r="H8" s="5">
        <f t="shared" si="0"/>
        <v>2.84</v>
      </c>
      <c r="I8" s="3">
        <f t="shared" si="1"/>
        <v>18.190000000000001</v>
      </c>
      <c r="J8" s="6">
        <f t="shared" si="2"/>
        <v>21.03</v>
      </c>
      <c r="K8" s="2">
        <v>12</v>
      </c>
      <c r="L8" s="2">
        <v>2019</v>
      </c>
    </row>
    <row r="9" spans="1:12">
      <c r="A9" s="2" t="s">
        <v>12</v>
      </c>
      <c r="B9" s="2" t="s">
        <v>23</v>
      </c>
      <c r="C9" s="2" t="s">
        <v>24</v>
      </c>
      <c r="D9" s="2" t="s">
        <v>20</v>
      </c>
      <c r="E9" s="3">
        <v>186.43</v>
      </c>
      <c r="F9" s="2" t="s">
        <v>15</v>
      </c>
      <c r="G9" s="2" t="s">
        <v>16</v>
      </c>
      <c r="H9" s="5">
        <f t="shared" si="0"/>
        <v>0.24</v>
      </c>
      <c r="I9" s="3">
        <f t="shared" si="1"/>
        <v>1.54</v>
      </c>
      <c r="J9" s="6">
        <f t="shared" si="2"/>
        <v>1.78</v>
      </c>
      <c r="K9" s="2">
        <v>12</v>
      </c>
      <c r="L9" s="2">
        <v>2019</v>
      </c>
    </row>
    <row r="10" spans="1:12">
      <c r="A10" s="2" t="s">
        <v>12</v>
      </c>
      <c r="B10" s="2" t="s">
        <v>25</v>
      </c>
      <c r="C10" s="2" t="s">
        <v>24</v>
      </c>
      <c r="D10" s="2" t="s">
        <v>20</v>
      </c>
      <c r="E10" s="3">
        <v>415.5</v>
      </c>
      <c r="F10" s="2" t="s">
        <v>15</v>
      </c>
      <c r="G10" s="2" t="s">
        <v>16</v>
      </c>
      <c r="H10" s="5">
        <f t="shared" si="0"/>
        <v>0.54</v>
      </c>
      <c r="I10" s="3">
        <f t="shared" si="1"/>
        <v>3.43</v>
      </c>
      <c r="J10" s="6">
        <f t="shared" si="2"/>
        <v>3.97</v>
      </c>
      <c r="K10" s="2">
        <v>12</v>
      </c>
      <c r="L10" s="2">
        <v>2019</v>
      </c>
    </row>
    <row r="11" spans="1:12">
      <c r="A11" s="2" t="s">
        <v>12</v>
      </c>
      <c r="B11" s="2" t="s">
        <v>26</v>
      </c>
      <c r="C11" s="2" t="s">
        <v>24</v>
      </c>
      <c r="D11" s="2" t="s">
        <v>20</v>
      </c>
      <c r="E11" s="3">
        <v>148391.59</v>
      </c>
      <c r="F11" s="2" t="s">
        <v>15</v>
      </c>
      <c r="G11" s="2" t="s">
        <v>16</v>
      </c>
      <c r="H11" s="5">
        <f t="shared" si="0"/>
        <v>191.32</v>
      </c>
      <c r="I11" s="3">
        <f t="shared" si="1"/>
        <v>1225.51</v>
      </c>
      <c r="J11" s="6">
        <f t="shared" si="2"/>
        <v>1416.83</v>
      </c>
      <c r="K11" s="2">
        <v>12</v>
      </c>
      <c r="L11" s="2">
        <v>2019</v>
      </c>
    </row>
    <row r="12" spans="1:12">
      <c r="A12" s="2" t="s">
        <v>12</v>
      </c>
      <c r="B12" s="2" t="s">
        <v>27</v>
      </c>
      <c r="C12" s="2" t="s">
        <v>28</v>
      </c>
      <c r="D12" s="2" t="s">
        <v>20</v>
      </c>
      <c r="E12" s="3">
        <v>254</v>
      </c>
      <c r="F12" s="2" t="s">
        <v>15</v>
      </c>
      <c r="G12" s="2" t="s">
        <v>16</v>
      </c>
      <c r="H12" s="5">
        <f t="shared" si="0"/>
        <v>0.33</v>
      </c>
      <c r="I12" s="3">
        <f t="shared" si="1"/>
        <v>2.1</v>
      </c>
      <c r="J12" s="6">
        <f t="shared" si="2"/>
        <v>2.4300000000000002</v>
      </c>
      <c r="K12" s="2">
        <v>12</v>
      </c>
      <c r="L12" s="2">
        <v>2019</v>
      </c>
    </row>
    <row r="13" spans="1:12">
      <c r="A13" s="2" t="s">
        <v>12</v>
      </c>
      <c r="B13" s="2" t="s">
        <v>23</v>
      </c>
      <c r="C13" s="2" t="s">
        <v>28</v>
      </c>
      <c r="D13" s="2" t="s">
        <v>20</v>
      </c>
      <c r="E13" s="3">
        <v>16756.32</v>
      </c>
      <c r="F13" s="2" t="s">
        <v>15</v>
      </c>
      <c r="G13" s="2" t="s">
        <v>16</v>
      </c>
      <c r="H13" s="5">
        <f t="shared" si="0"/>
        <v>21.6</v>
      </c>
      <c r="I13" s="3">
        <f t="shared" si="1"/>
        <v>138.38</v>
      </c>
      <c r="J13" s="6">
        <f t="shared" si="2"/>
        <v>159.97999999999999</v>
      </c>
      <c r="K13" s="2">
        <v>12</v>
      </c>
      <c r="L13" s="2">
        <v>2019</v>
      </c>
    </row>
    <row r="14" spans="1:12">
      <c r="A14" s="2" t="s">
        <v>12</v>
      </c>
      <c r="B14" s="2" t="s">
        <v>26</v>
      </c>
      <c r="C14" s="2" t="s">
        <v>28</v>
      </c>
      <c r="D14" s="2" t="s">
        <v>20</v>
      </c>
      <c r="E14" s="3">
        <v>2055.19</v>
      </c>
      <c r="F14" s="2" t="s">
        <v>15</v>
      </c>
      <c r="G14" s="2" t="s">
        <v>16</v>
      </c>
      <c r="H14" s="5">
        <f t="shared" si="0"/>
        <v>2.65</v>
      </c>
      <c r="I14" s="3">
        <f t="shared" si="1"/>
        <v>16.97</v>
      </c>
      <c r="J14" s="6">
        <f t="shared" si="2"/>
        <v>19.619999999999997</v>
      </c>
      <c r="K14" s="2">
        <v>12</v>
      </c>
      <c r="L14" s="2">
        <v>2019</v>
      </c>
    </row>
    <row r="15" spans="1:12">
      <c r="A15" s="2" t="s">
        <v>12</v>
      </c>
      <c r="B15" s="2" t="s">
        <v>25</v>
      </c>
      <c r="C15" s="2" t="s">
        <v>29</v>
      </c>
      <c r="D15" s="2" t="s">
        <v>20</v>
      </c>
      <c r="E15" s="3">
        <v>123.15</v>
      </c>
      <c r="F15" s="2" t="s">
        <v>15</v>
      </c>
      <c r="G15" s="2" t="s">
        <v>16</v>
      </c>
      <c r="H15" s="5">
        <f t="shared" si="0"/>
        <v>0.16</v>
      </c>
      <c r="I15" s="3">
        <f t="shared" si="1"/>
        <v>1.02</v>
      </c>
      <c r="J15" s="6">
        <f t="shared" si="2"/>
        <v>1.18</v>
      </c>
      <c r="K15" s="2">
        <v>12</v>
      </c>
      <c r="L15" s="2">
        <v>2019</v>
      </c>
    </row>
    <row r="16" spans="1:12">
      <c r="A16" s="2" t="s">
        <v>12</v>
      </c>
      <c r="B16" s="2" t="s">
        <v>26</v>
      </c>
      <c r="C16" s="2" t="s">
        <v>29</v>
      </c>
      <c r="D16" s="2" t="s">
        <v>20</v>
      </c>
      <c r="E16" s="3">
        <v>10371.030000000001</v>
      </c>
      <c r="F16" s="2" t="s">
        <v>15</v>
      </c>
      <c r="G16" s="2" t="s">
        <v>16</v>
      </c>
      <c r="H16" s="5">
        <f t="shared" si="0"/>
        <v>13.37</v>
      </c>
      <c r="I16" s="3">
        <f t="shared" si="1"/>
        <v>85.65</v>
      </c>
      <c r="J16" s="6">
        <f t="shared" si="2"/>
        <v>99.02000000000001</v>
      </c>
      <c r="K16" s="2">
        <v>12</v>
      </c>
      <c r="L16" s="2">
        <v>2019</v>
      </c>
    </row>
    <row r="17" spans="1:12">
      <c r="A17" s="2" t="s">
        <v>12</v>
      </c>
      <c r="B17" s="2" t="s">
        <v>27</v>
      </c>
      <c r="C17" s="2" t="s">
        <v>30</v>
      </c>
      <c r="D17" s="2" t="s">
        <v>20</v>
      </c>
      <c r="E17" s="3">
        <v>435.7</v>
      </c>
      <c r="F17" s="2" t="s">
        <v>15</v>
      </c>
      <c r="G17" s="2" t="s">
        <v>16</v>
      </c>
      <c r="H17" s="5">
        <f t="shared" si="0"/>
        <v>0.56000000000000005</v>
      </c>
      <c r="I17" s="3">
        <f t="shared" si="1"/>
        <v>3.6</v>
      </c>
      <c r="J17" s="6">
        <f t="shared" si="2"/>
        <v>4.16</v>
      </c>
      <c r="K17" s="2">
        <v>12</v>
      </c>
      <c r="L17" s="2">
        <v>2019</v>
      </c>
    </row>
    <row r="18" spans="1:12">
      <c r="A18" s="2" t="s">
        <v>12</v>
      </c>
      <c r="B18" s="2" t="s">
        <v>23</v>
      </c>
      <c r="C18" s="2" t="s">
        <v>30</v>
      </c>
      <c r="D18" s="2" t="s">
        <v>20</v>
      </c>
      <c r="E18" s="3">
        <v>1367.01</v>
      </c>
      <c r="F18" s="2" t="s">
        <v>15</v>
      </c>
      <c r="G18" s="2" t="s">
        <v>16</v>
      </c>
      <c r="H18" s="5">
        <f t="shared" si="0"/>
        <v>1.76</v>
      </c>
      <c r="I18" s="3">
        <f t="shared" si="1"/>
        <v>11.29</v>
      </c>
      <c r="J18" s="6">
        <f t="shared" si="2"/>
        <v>13.049999999999999</v>
      </c>
      <c r="K18" s="2">
        <v>12</v>
      </c>
      <c r="L18" s="2">
        <v>2019</v>
      </c>
    </row>
    <row r="19" spans="1:12">
      <c r="A19" s="2" t="s">
        <v>12</v>
      </c>
      <c r="B19" s="2" t="s">
        <v>25</v>
      </c>
      <c r="C19" s="2" t="s">
        <v>30</v>
      </c>
      <c r="D19" s="2" t="s">
        <v>20</v>
      </c>
      <c r="E19" s="3">
        <v>520.49</v>
      </c>
      <c r="F19" s="2" t="s">
        <v>15</v>
      </c>
      <c r="G19" s="2" t="s">
        <v>16</v>
      </c>
      <c r="H19" s="5">
        <f t="shared" si="0"/>
        <v>0.67</v>
      </c>
      <c r="I19" s="3">
        <f t="shared" si="1"/>
        <v>4.3</v>
      </c>
      <c r="J19" s="6">
        <f t="shared" si="2"/>
        <v>4.97</v>
      </c>
      <c r="K19" s="2">
        <v>12</v>
      </c>
      <c r="L19" s="2">
        <v>2019</v>
      </c>
    </row>
    <row r="20" spans="1:12">
      <c r="A20" s="2" t="s">
        <v>12</v>
      </c>
      <c r="B20" s="2" t="s">
        <v>26</v>
      </c>
      <c r="C20" s="2" t="s">
        <v>30</v>
      </c>
      <c r="D20" s="2" t="s">
        <v>20</v>
      </c>
      <c r="E20" s="3">
        <v>1022.95</v>
      </c>
      <c r="F20" s="2" t="s">
        <v>15</v>
      </c>
      <c r="G20" s="2" t="s">
        <v>16</v>
      </c>
      <c r="H20" s="5">
        <f t="shared" si="0"/>
        <v>1.32</v>
      </c>
      <c r="I20" s="3">
        <f t="shared" si="1"/>
        <v>8.4499999999999993</v>
      </c>
      <c r="J20" s="6">
        <f t="shared" si="2"/>
        <v>9.77</v>
      </c>
      <c r="K20" s="2">
        <v>12</v>
      </c>
      <c r="L20" s="2">
        <v>2019</v>
      </c>
    </row>
    <row r="21" spans="1:12">
      <c r="A21" s="2" t="s">
        <v>12</v>
      </c>
      <c r="B21" s="2" t="s">
        <v>25</v>
      </c>
      <c r="C21" s="2" t="s">
        <v>31</v>
      </c>
      <c r="D21" s="2" t="s">
        <v>20</v>
      </c>
      <c r="E21" s="3">
        <v>1257.32</v>
      </c>
      <c r="F21" s="2" t="s">
        <v>15</v>
      </c>
      <c r="G21" s="2" t="s">
        <v>16</v>
      </c>
      <c r="H21" s="5">
        <f t="shared" si="0"/>
        <v>1.62</v>
      </c>
      <c r="I21" s="3">
        <f t="shared" si="1"/>
        <v>10.38</v>
      </c>
      <c r="J21" s="6">
        <f t="shared" si="2"/>
        <v>12</v>
      </c>
      <c r="K21" s="2">
        <v>12</v>
      </c>
      <c r="L21" s="2">
        <v>2019</v>
      </c>
    </row>
    <row r="22" spans="1:12">
      <c r="A22" s="2" t="s">
        <v>12</v>
      </c>
      <c r="B22" s="2" t="s">
        <v>26</v>
      </c>
      <c r="C22" s="2" t="s">
        <v>31</v>
      </c>
      <c r="D22" s="2" t="s">
        <v>20</v>
      </c>
      <c r="E22" s="3">
        <v>3215.59</v>
      </c>
      <c r="F22" s="2" t="s">
        <v>15</v>
      </c>
      <c r="G22" s="2" t="s">
        <v>16</v>
      </c>
      <c r="H22" s="5">
        <f t="shared" si="0"/>
        <v>4.1500000000000004</v>
      </c>
      <c r="I22" s="3">
        <f t="shared" si="1"/>
        <v>26.56</v>
      </c>
      <c r="J22" s="6">
        <f t="shared" si="2"/>
        <v>30.71</v>
      </c>
      <c r="K22" s="2">
        <v>12</v>
      </c>
      <c r="L22" s="2">
        <v>2019</v>
      </c>
    </row>
    <row r="23" spans="1:12">
      <c r="A23" s="2" t="s">
        <v>12</v>
      </c>
      <c r="B23" s="2" t="s">
        <v>13</v>
      </c>
      <c r="C23" s="2" t="s">
        <v>32</v>
      </c>
      <c r="E23" s="3">
        <v>8559.5300000000007</v>
      </c>
      <c r="F23" s="2" t="s">
        <v>15</v>
      </c>
      <c r="G23" s="2" t="s">
        <v>16</v>
      </c>
      <c r="H23" s="5">
        <f t="shared" si="0"/>
        <v>11.04</v>
      </c>
      <c r="I23" s="3">
        <f t="shared" si="1"/>
        <v>70.69</v>
      </c>
      <c r="J23" s="6">
        <f t="shared" si="2"/>
        <v>81.72999999999999</v>
      </c>
      <c r="K23" s="2">
        <v>12</v>
      </c>
      <c r="L23" s="2">
        <v>2019</v>
      </c>
    </row>
    <row r="24" spans="1:12">
      <c r="E24" s="7">
        <f>SUM(E7:E23)</f>
        <v>197646.74000000002</v>
      </c>
      <c r="F24" s="2" t="s">
        <v>17</v>
      </c>
      <c r="H24" s="7">
        <f>SUM(H7:H23)</f>
        <v>254.82999999999998</v>
      </c>
      <c r="I24" s="7">
        <f>SUM(I7:I23)</f>
        <v>1632.2900000000002</v>
      </c>
      <c r="J24" s="8">
        <f>SUM(J7:J23)</f>
        <v>1887.1200000000001</v>
      </c>
    </row>
    <row r="26" spans="1:12">
      <c r="A26" s="2" t="s">
        <v>33</v>
      </c>
      <c r="B26" s="2" t="s">
        <v>13</v>
      </c>
      <c r="C26" s="2" t="s">
        <v>32</v>
      </c>
      <c r="E26" s="3">
        <v>1258</v>
      </c>
      <c r="F26" s="2" t="s">
        <v>34</v>
      </c>
      <c r="G26" s="2" t="s">
        <v>16</v>
      </c>
      <c r="H26" s="3">
        <f t="shared" ref="H26:H41" si="3">ROUND(E26*$E$76,2)</f>
        <v>3.84</v>
      </c>
      <c r="I26" s="3">
        <f t="shared" ref="I26:I41" si="4">ROUND(E26*$F$76,2)</f>
        <v>27.29</v>
      </c>
      <c r="J26" s="6">
        <f t="shared" ref="J26:J41" si="5">H26+I26</f>
        <v>31.13</v>
      </c>
      <c r="K26" s="2">
        <v>12</v>
      </c>
      <c r="L26" s="2">
        <v>2019</v>
      </c>
    </row>
    <row r="27" spans="1:12">
      <c r="A27" s="2" t="s">
        <v>33</v>
      </c>
      <c r="B27" s="2" t="s">
        <v>35</v>
      </c>
      <c r="C27" s="2" t="s">
        <v>36</v>
      </c>
      <c r="D27" s="2" t="s">
        <v>37</v>
      </c>
      <c r="E27" s="3">
        <v>14309.85</v>
      </c>
      <c r="F27" s="2" t="s">
        <v>34</v>
      </c>
      <c r="G27" s="2" t="s">
        <v>16</v>
      </c>
      <c r="H27" s="3">
        <f t="shared" si="3"/>
        <v>43.63</v>
      </c>
      <c r="I27" s="3">
        <f t="shared" si="4"/>
        <v>310.38</v>
      </c>
      <c r="J27" s="6">
        <f t="shared" si="5"/>
        <v>354.01</v>
      </c>
      <c r="K27" s="2">
        <v>12</v>
      </c>
      <c r="L27" s="2">
        <v>2019</v>
      </c>
    </row>
    <row r="28" spans="1:12">
      <c r="A28" s="2" t="s">
        <v>33</v>
      </c>
      <c r="B28" s="2" t="s">
        <v>38</v>
      </c>
      <c r="C28" s="2" t="s">
        <v>36</v>
      </c>
      <c r="D28" s="2" t="s">
        <v>37</v>
      </c>
      <c r="E28" s="3">
        <v>21598.69</v>
      </c>
      <c r="F28" s="2" t="s">
        <v>34</v>
      </c>
      <c r="G28" s="2" t="s">
        <v>16</v>
      </c>
      <c r="H28" s="3">
        <f t="shared" si="3"/>
        <v>65.849999999999994</v>
      </c>
      <c r="I28" s="3">
        <f t="shared" si="4"/>
        <v>468.47</v>
      </c>
      <c r="J28" s="6">
        <f t="shared" si="5"/>
        <v>534.32000000000005</v>
      </c>
      <c r="K28" s="2">
        <v>12</v>
      </c>
      <c r="L28" s="2">
        <v>2019</v>
      </c>
    </row>
    <row r="29" spans="1:12">
      <c r="A29" s="2" t="s">
        <v>33</v>
      </c>
      <c r="B29" s="2" t="s">
        <v>39</v>
      </c>
      <c r="C29" s="2" t="s">
        <v>36</v>
      </c>
      <c r="D29" s="2" t="s">
        <v>37</v>
      </c>
      <c r="E29" s="3">
        <v>27980.01</v>
      </c>
      <c r="F29" s="2" t="s">
        <v>34</v>
      </c>
      <c r="G29" s="2" t="s">
        <v>16</v>
      </c>
      <c r="H29" s="3">
        <f t="shared" si="3"/>
        <v>85.31</v>
      </c>
      <c r="I29" s="3">
        <f t="shared" si="4"/>
        <v>606.88</v>
      </c>
      <c r="J29" s="6">
        <f t="shared" si="5"/>
        <v>692.19</v>
      </c>
      <c r="K29" s="2">
        <v>12</v>
      </c>
      <c r="L29" s="2">
        <v>2019</v>
      </c>
    </row>
    <row r="30" spans="1:12">
      <c r="A30" s="2" t="s">
        <v>33</v>
      </c>
      <c r="B30" s="2" t="s">
        <v>40</v>
      </c>
      <c r="C30" s="2" t="s">
        <v>36</v>
      </c>
      <c r="D30" s="2" t="s">
        <v>37</v>
      </c>
      <c r="E30" s="3">
        <v>1719.52</v>
      </c>
      <c r="F30" s="2" t="s">
        <v>34</v>
      </c>
      <c r="G30" s="2" t="s">
        <v>16</v>
      </c>
      <c r="H30" s="3">
        <f t="shared" si="3"/>
        <v>5.24</v>
      </c>
      <c r="I30" s="3">
        <f t="shared" si="4"/>
        <v>37.299999999999997</v>
      </c>
      <c r="J30" s="6">
        <f t="shared" si="5"/>
        <v>42.54</v>
      </c>
      <c r="K30" s="2">
        <v>12</v>
      </c>
      <c r="L30" s="2">
        <v>2019</v>
      </c>
    </row>
    <row r="31" spans="1:12">
      <c r="A31" s="2" t="s">
        <v>33</v>
      </c>
      <c r="B31" s="2" t="s">
        <v>39</v>
      </c>
      <c r="C31" s="2" t="s">
        <v>36</v>
      </c>
      <c r="D31" s="2" t="s">
        <v>41</v>
      </c>
      <c r="E31" s="3">
        <v>536.51</v>
      </c>
      <c r="F31" s="2" t="s">
        <v>34</v>
      </c>
      <c r="G31" s="2" t="s">
        <v>16</v>
      </c>
      <c r="H31" s="3">
        <f t="shared" si="3"/>
        <v>1.64</v>
      </c>
      <c r="I31" s="3">
        <f t="shared" si="4"/>
        <v>11.64</v>
      </c>
      <c r="J31" s="6">
        <f t="shared" si="5"/>
        <v>13.280000000000001</v>
      </c>
      <c r="K31" s="2">
        <v>12</v>
      </c>
      <c r="L31" s="2">
        <v>2019</v>
      </c>
    </row>
    <row r="32" spans="1:12">
      <c r="A32" s="2" t="s">
        <v>33</v>
      </c>
      <c r="B32" s="2" t="s">
        <v>40</v>
      </c>
      <c r="C32" s="2" t="s">
        <v>36</v>
      </c>
      <c r="D32" s="2" t="s">
        <v>41</v>
      </c>
      <c r="E32" s="3">
        <v>12246.97</v>
      </c>
      <c r="F32" s="2" t="s">
        <v>34</v>
      </c>
      <c r="G32" s="2" t="s">
        <v>16</v>
      </c>
      <c r="H32" s="3">
        <f t="shared" si="3"/>
        <v>37.340000000000003</v>
      </c>
      <c r="I32" s="3">
        <f t="shared" si="4"/>
        <v>265.63</v>
      </c>
      <c r="J32" s="6">
        <f t="shared" si="5"/>
        <v>302.97000000000003</v>
      </c>
      <c r="K32" s="2">
        <v>12</v>
      </c>
      <c r="L32" s="2">
        <v>2019</v>
      </c>
    </row>
    <row r="33" spans="1:12">
      <c r="A33" s="2" t="s">
        <v>33</v>
      </c>
      <c r="B33" s="2" t="s">
        <v>39</v>
      </c>
      <c r="C33" s="2" t="s">
        <v>36</v>
      </c>
      <c r="D33" s="2" t="s">
        <v>42</v>
      </c>
      <c r="E33" s="3">
        <v>150300.69</v>
      </c>
      <c r="F33" s="2" t="s">
        <v>34</v>
      </c>
      <c r="G33" s="2" t="s">
        <v>16</v>
      </c>
      <c r="H33" s="3">
        <f t="shared" si="3"/>
        <v>458.24</v>
      </c>
      <c r="I33" s="3">
        <f t="shared" si="4"/>
        <v>3259.98</v>
      </c>
      <c r="J33" s="6">
        <f t="shared" si="5"/>
        <v>3718.2200000000003</v>
      </c>
      <c r="K33" s="2">
        <v>12</v>
      </c>
      <c r="L33" s="2">
        <v>2019</v>
      </c>
    </row>
    <row r="34" spans="1:12">
      <c r="A34" s="2" t="s">
        <v>33</v>
      </c>
      <c r="B34" s="2" t="s">
        <v>40</v>
      </c>
      <c r="C34" s="2" t="s">
        <v>36</v>
      </c>
      <c r="D34" s="2" t="s">
        <v>42</v>
      </c>
      <c r="E34" s="3">
        <v>12529.92</v>
      </c>
      <c r="F34" s="2" t="s">
        <v>34</v>
      </c>
      <c r="G34" s="2" t="s">
        <v>16</v>
      </c>
      <c r="H34" s="3">
        <f t="shared" si="3"/>
        <v>38.200000000000003</v>
      </c>
      <c r="I34" s="3">
        <f t="shared" si="4"/>
        <v>271.77</v>
      </c>
      <c r="J34" s="6">
        <f t="shared" si="5"/>
        <v>309.96999999999997</v>
      </c>
      <c r="K34" s="2">
        <v>12</v>
      </c>
      <c r="L34" s="2">
        <v>2019</v>
      </c>
    </row>
    <row r="35" spans="1:12">
      <c r="A35" s="2" t="s">
        <v>33</v>
      </c>
      <c r="B35" s="2" t="s">
        <v>39</v>
      </c>
      <c r="C35" s="2" t="s">
        <v>36</v>
      </c>
      <c r="D35" s="2" t="s">
        <v>43</v>
      </c>
      <c r="E35" s="3">
        <v>41579.57</v>
      </c>
      <c r="F35" s="2" t="s">
        <v>34</v>
      </c>
      <c r="G35" s="2" t="s">
        <v>16</v>
      </c>
      <c r="H35" s="3">
        <f t="shared" si="3"/>
        <v>126.77</v>
      </c>
      <c r="I35" s="3">
        <f t="shared" si="4"/>
        <v>901.85</v>
      </c>
      <c r="J35" s="6">
        <f t="shared" si="5"/>
        <v>1028.6200000000001</v>
      </c>
      <c r="K35" s="2">
        <v>12</v>
      </c>
      <c r="L35" s="2">
        <v>2019</v>
      </c>
    </row>
    <row r="36" spans="1:12">
      <c r="A36" s="2" t="s">
        <v>33</v>
      </c>
      <c r="B36" s="2" t="s">
        <v>40</v>
      </c>
      <c r="C36" s="2" t="s">
        <v>36</v>
      </c>
      <c r="D36" s="2" t="s">
        <v>43</v>
      </c>
      <c r="E36" s="3">
        <v>905.85</v>
      </c>
      <c r="F36" s="2" t="s">
        <v>34</v>
      </c>
      <c r="G36" s="2" t="s">
        <v>16</v>
      </c>
      <c r="H36" s="3">
        <f t="shared" si="3"/>
        <v>2.76</v>
      </c>
      <c r="I36" s="3">
        <f t="shared" si="4"/>
        <v>19.649999999999999</v>
      </c>
      <c r="J36" s="6">
        <f t="shared" si="5"/>
        <v>22.409999999999997</v>
      </c>
      <c r="K36" s="2">
        <v>12</v>
      </c>
      <c r="L36" s="2">
        <v>2019</v>
      </c>
    </row>
    <row r="37" spans="1:12">
      <c r="A37" s="2" t="s">
        <v>33</v>
      </c>
      <c r="B37" s="2" t="s">
        <v>39</v>
      </c>
      <c r="C37" s="2" t="s">
        <v>36</v>
      </c>
      <c r="D37" s="2" t="s">
        <v>44</v>
      </c>
      <c r="E37" s="3">
        <v>17064.93</v>
      </c>
      <c r="F37" s="2" t="s">
        <v>34</v>
      </c>
      <c r="G37" s="2" t="s">
        <v>16</v>
      </c>
      <c r="H37" s="3">
        <f t="shared" si="3"/>
        <v>52.03</v>
      </c>
      <c r="I37" s="3">
        <f t="shared" si="4"/>
        <v>370.13</v>
      </c>
      <c r="J37" s="6">
        <f t="shared" si="5"/>
        <v>422.15999999999997</v>
      </c>
      <c r="K37" s="2">
        <v>12</v>
      </c>
      <c r="L37" s="2">
        <v>2019</v>
      </c>
    </row>
    <row r="38" spans="1:12">
      <c r="A38" s="2" t="s">
        <v>33</v>
      </c>
      <c r="B38" s="2" t="s">
        <v>40</v>
      </c>
      <c r="C38" s="2" t="s">
        <v>36</v>
      </c>
      <c r="D38" s="2" t="s">
        <v>44</v>
      </c>
      <c r="E38" s="3">
        <v>2746.36</v>
      </c>
      <c r="F38" s="2" t="s">
        <v>34</v>
      </c>
      <c r="G38" s="2" t="s">
        <v>16</v>
      </c>
      <c r="H38" s="3">
        <f t="shared" si="3"/>
        <v>8.3699999999999992</v>
      </c>
      <c r="I38" s="3">
        <f t="shared" si="4"/>
        <v>59.57</v>
      </c>
      <c r="J38" s="6">
        <f t="shared" si="5"/>
        <v>67.94</v>
      </c>
      <c r="K38" s="2">
        <v>12</v>
      </c>
      <c r="L38" s="2">
        <v>2019</v>
      </c>
    </row>
    <row r="39" spans="1:12">
      <c r="A39" s="2" t="s">
        <v>33</v>
      </c>
      <c r="B39" s="2" t="s">
        <v>39</v>
      </c>
      <c r="C39" s="2" t="s">
        <v>36</v>
      </c>
      <c r="D39" s="2" t="s">
        <v>45</v>
      </c>
      <c r="E39" s="3">
        <v>10620.44</v>
      </c>
      <c r="F39" s="2" t="s">
        <v>34</v>
      </c>
      <c r="G39" s="2" t="s">
        <v>16</v>
      </c>
      <c r="H39" s="3">
        <f t="shared" si="3"/>
        <v>32.380000000000003</v>
      </c>
      <c r="I39" s="3">
        <f t="shared" si="4"/>
        <v>230.35</v>
      </c>
      <c r="J39" s="6">
        <f t="shared" si="5"/>
        <v>262.73</v>
      </c>
      <c r="K39" s="2">
        <v>12</v>
      </c>
      <c r="L39" s="2">
        <v>2019</v>
      </c>
    </row>
    <row r="40" spans="1:12">
      <c r="A40" s="2" t="s">
        <v>33</v>
      </c>
      <c r="B40" s="2" t="s">
        <v>39</v>
      </c>
      <c r="C40" s="2" t="s">
        <v>36</v>
      </c>
      <c r="D40" s="2" t="s">
        <v>46</v>
      </c>
      <c r="E40" s="3">
        <v>33773.519999999997</v>
      </c>
      <c r="F40" s="2" t="s">
        <v>34</v>
      </c>
      <c r="G40" s="2" t="s">
        <v>16</v>
      </c>
      <c r="H40" s="3">
        <f t="shared" si="3"/>
        <v>102.97</v>
      </c>
      <c r="I40" s="3">
        <f t="shared" si="4"/>
        <v>732.54</v>
      </c>
      <c r="J40" s="6">
        <f t="shared" si="5"/>
        <v>835.51</v>
      </c>
      <c r="K40" s="2">
        <v>12</v>
      </c>
      <c r="L40" s="2">
        <v>2019</v>
      </c>
    </row>
    <row r="41" spans="1:12">
      <c r="A41" s="2" t="s">
        <v>33</v>
      </c>
      <c r="B41" s="2" t="s">
        <v>39</v>
      </c>
      <c r="C41" s="2" t="s">
        <v>36</v>
      </c>
      <c r="D41" s="2" t="s">
        <v>47</v>
      </c>
      <c r="E41" s="3">
        <v>27231.37</v>
      </c>
      <c r="F41" s="2" t="s">
        <v>34</v>
      </c>
      <c r="G41" s="2" t="s">
        <v>16</v>
      </c>
      <c r="H41" s="3">
        <f t="shared" si="3"/>
        <v>83.02</v>
      </c>
      <c r="I41" s="3">
        <f t="shared" si="4"/>
        <v>590.64</v>
      </c>
      <c r="J41" s="6">
        <f t="shared" si="5"/>
        <v>673.66</v>
      </c>
      <c r="K41" s="2">
        <v>12</v>
      </c>
      <c r="L41" s="2">
        <v>2019</v>
      </c>
    </row>
    <row r="42" spans="1:12">
      <c r="E42" s="7">
        <f>SUM(E26:E41)</f>
        <v>376402.19999999995</v>
      </c>
      <c r="F42" s="2" t="s">
        <v>48</v>
      </c>
      <c r="H42" s="7">
        <f>SUM(H26:H41)</f>
        <v>1147.5899999999999</v>
      </c>
      <c r="I42" s="7">
        <f>SUM(I26:I41)</f>
        <v>8164.0700000000006</v>
      </c>
      <c r="J42" s="8">
        <f>SUM(J26:J41)</f>
        <v>9311.66</v>
      </c>
    </row>
    <row r="44" spans="1:12">
      <c r="A44" s="2" t="s">
        <v>33</v>
      </c>
      <c r="B44" s="2" t="s">
        <v>49</v>
      </c>
      <c r="C44" s="2" t="s">
        <v>50</v>
      </c>
      <c r="D44" s="2" t="s">
        <v>51</v>
      </c>
      <c r="E44" s="3">
        <v>483.8</v>
      </c>
      <c r="F44" s="2" t="s">
        <v>52</v>
      </c>
      <c r="G44" s="2" t="s">
        <v>16</v>
      </c>
      <c r="H44" s="3">
        <f>ROUND(E44*$E$77,2)</f>
        <v>-6.17</v>
      </c>
      <c r="I44" s="3">
        <f>ROUND(E44*$F$77,2)</f>
        <v>-44.36</v>
      </c>
      <c r="J44" s="6">
        <f>H44+I44</f>
        <v>-50.53</v>
      </c>
      <c r="K44" s="2">
        <v>12</v>
      </c>
      <c r="L44" s="2">
        <v>2019</v>
      </c>
    </row>
    <row r="45" spans="1:12">
      <c r="A45" s="2" t="s">
        <v>33</v>
      </c>
      <c r="B45" s="2" t="s">
        <v>53</v>
      </c>
      <c r="C45" s="2" t="s">
        <v>50</v>
      </c>
      <c r="D45" s="2" t="s">
        <v>54</v>
      </c>
      <c r="E45" s="3">
        <v>977.83</v>
      </c>
      <c r="F45" s="2" t="s">
        <v>52</v>
      </c>
      <c r="G45" s="2" t="s">
        <v>16</v>
      </c>
      <c r="H45" s="3">
        <f>ROUND(E45*$E$77,2)</f>
        <v>-12.47</v>
      </c>
      <c r="I45" s="3">
        <f>ROUND(E45*$F$77,2)</f>
        <v>-89.67</v>
      </c>
      <c r="J45" s="6">
        <f>H45+I45</f>
        <v>-102.14</v>
      </c>
      <c r="K45" s="2">
        <v>12</v>
      </c>
      <c r="L45" s="2">
        <v>2019</v>
      </c>
    </row>
    <row r="46" spans="1:12">
      <c r="A46" s="2" t="s">
        <v>33</v>
      </c>
      <c r="B46" s="2" t="s">
        <v>53</v>
      </c>
      <c r="C46" s="2" t="s">
        <v>50</v>
      </c>
      <c r="D46" s="2" t="s">
        <v>55</v>
      </c>
      <c r="E46" s="3">
        <v>-4457.29</v>
      </c>
      <c r="F46" s="2" t="s">
        <v>52</v>
      </c>
      <c r="G46" s="2" t="s">
        <v>16</v>
      </c>
      <c r="H46" s="3">
        <f>ROUND(E46*$E$77,2)</f>
        <v>56.86</v>
      </c>
      <c r="I46" s="3">
        <f>ROUND(E46*$F$77,2)</f>
        <v>408.73</v>
      </c>
      <c r="J46" s="6">
        <f>H46+I46</f>
        <v>465.59000000000003</v>
      </c>
      <c r="K46" s="2">
        <v>12</v>
      </c>
      <c r="L46" s="2">
        <v>2019</v>
      </c>
    </row>
    <row r="47" spans="1:12">
      <c r="A47" s="2" t="s">
        <v>33</v>
      </c>
      <c r="B47" s="2" t="s">
        <v>53</v>
      </c>
      <c r="C47" s="2" t="s">
        <v>50</v>
      </c>
      <c r="D47" s="2" t="s">
        <v>56</v>
      </c>
      <c r="E47" s="3">
        <v>258.8</v>
      </c>
      <c r="F47" s="2" t="s">
        <v>52</v>
      </c>
      <c r="G47" s="2" t="s">
        <v>16</v>
      </c>
      <c r="H47" s="3">
        <f>ROUND(E47*$E$77,2)</f>
        <v>-3.3</v>
      </c>
      <c r="I47" s="3">
        <f>ROUND(E47*$F$77,2)</f>
        <v>-23.73</v>
      </c>
      <c r="J47" s="6">
        <f>H47+I47</f>
        <v>-27.03</v>
      </c>
      <c r="K47" s="2">
        <v>12</v>
      </c>
      <c r="L47" s="2">
        <v>2019</v>
      </c>
    </row>
    <row r="48" spans="1:12">
      <c r="A48" s="2" t="s">
        <v>33</v>
      </c>
      <c r="B48" s="2" t="s">
        <v>53</v>
      </c>
      <c r="C48" s="2" t="s">
        <v>50</v>
      </c>
      <c r="D48" s="2" t="s">
        <v>57</v>
      </c>
      <c r="E48" s="3">
        <v>-18723.63</v>
      </c>
      <c r="F48" s="2" t="s">
        <v>52</v>
      </c>
      <c r="G48" s="2" t="s">
        <v>16</v>
      </c>
      <c r="H48" s="3">
        <f>ROUND(E48*$E$77,2)</f>
        <v>238.84</v>
      </c>
      <c r="I48" s="3">
        <f>ROUND(E48*$F$77,2)</f>
        <v>1716.93</v>
      </c>
      <c r="J48" s="6">
        <f>H48+I48</f>
        <v>1955.77</v>
      </c>
      <c r="K48" s="2">
        <v>12</v>
      </c>
      <c r="L48" s="2">
        <v>2019</v>
      </c>
    </row>
    <row r="49" spans="1:12">
      <c r="E49" s="7">
        <f>SUM(E44:E48)</f>
        <v>-21460.49</v>
      </c>
      <c r="F49" s="2" t="s">
        <v>58</v>
      </c>
      <c r="H49" s="7">
        <f>SUM(H44:H48)</f>
        <v>273.76</v>
      </c>
      <c r="I49" s="7">
        <f>SUM(I44:I48)</f>
        <v>1967.9</v>
      </c>
      <c r="J49" s="8">
        <f>SUM(J44:J48)</f>
        <v>2241.66</v>
      </c>
    </row>
    <row r="51" spans="1:12">
      <c r="A51" s="2" t="s">
        <v>33</v>
      </c>
      <c r="B51" s="2" t="s">
        <v>35</v>
      </c>
      <c r="C51" s="2" t="s">
        <v>59</v>
      </c>
      <c r="D51" s="2" t="s">
        <v>60</v>
      </c>
      <c r="E51" s="3">
        <v>533.99</v>
      </c>
      <c r="F51" s="2" t="s">
        <v>61</v>
      </c>
      <c r="G51" s="2" t="s">
        <v>16</v>
      </c>
      <c r="H51" s="3">
        <f t="shared" ref="H51:H58" si="6">ROUND(E51*$E$75,2)</f>
        <v>6.34</v>
      </c>
      <c r="I51" s="3">
        <f t="shared" ref="I51:I58" si="7">ROUND(E51*$F$75,2)</f>
        <v>45.3</v>
      </c>
      <c r="J51" s="6">
        <f t="shared" ref="J51:J59" si="8">H51+I51</f>
        <v>51.64</v>
      </c>
      <c r="K51" s="2">
        <v>12</v>
      </c>
      <c r="L51" s="2">
        <v>2019</v>
      </c>
    </row>
    <row r="52" spans="1:12">
      <c r="A52" s="2" t="s">
        <v>33</v>
      </c>
      <c r="B52" s="2" t="s">
        <v>38</v>
      </c>
      <c r="C52" s="2" t="s">
        <v>59</v>
      </c>
      <c r="D52" s="2" t="s">
        <v>60</v>
      </c>
      <c r="E52" s="3">
        <v>1152.99</v>
      </c>
      <c r="F52" s="2" t="s">
        <v>61</v>
      </c>
      <c r="G52" s="2" t="s">
        <v>16</v>
      </c>
      <c r="H52" s="3">
        <f t="shared" si="6"/>
        <v>13.68</v>
      </c>
      <c r="I52" s="3">
        <f t="shared" si="7"/>
        <v>97.81</v>
      </c>
      <c r="J52" s="6">
        <f t="shared" si="8"/>
        <v>111.49000000000001</v>
      </c>
      <c r="K52" s="2">
        <v>12</v>
      </c>
      <c r="L52" s="2">
        <v>2019</v>
      </c>
    </row>
    <row r="53" spans="1:12">
      <c r="A53" s="2" t="s">
        <v>33</v>
      </c>
      <c r="B53" s="2" t="s">
        <v>39</v>
      </c>
      <c r="C53" s="2" t="s">
        <v>59</v>
      </c>
      <c r="D53" s="2" t="s">
        <v>60</v>
      </c>
      <c r="E53" s="3">
        <v>4396.2</v>
      </c>
      <c r="F53" s="2" t="s">
        <v>61</v>
      </c>
      <c r="G53" s="2" t="s">
        <v>16</v>
      </c>
      <c r="H53" s="3">
        <f t="shared" si="6"/>
        <v>52.16</v>
      </c>
      <c r="I53" s="3">
        <f t="shared" si="7"/>
        <v>372.92</v>
      </c>
      <c r="J53" s="6">
        <f t="shared" si="8"/>
        <v>425.08000000000004</v>
      </c>
      <c r="K53" s="2">
        <v>12</v>
      </c>
      <c r="L53" s="2">
        <v>2019</v>
      </c>
    </row>
    <row r="54" spans="1:12">
      <c r="A54" s="2" t="s">
        <v>33</v>
      </c>
      <c r="B54" s="2" t="s">
        <v>40</v>
      </c>
      <c r="C54" s="2" t="s">
        <v>59</v>
      </c>
      <c r="D54" s="2" t="s">
        <v>60</v>
      </c>
      <c r="E54" s="3">
        <v>1731.98</v>
      </c>
      <c r="F54" s="2" t="s">
        <v>61</v>
      </c>
      <c r="G54" s="2" t="s">
        <v>16</v>
      </c>
      <c r="H54" s="3">
        <f t="shared" si="6"/>
        <v>20.55</v>
      </c>
      <c r="I54" s="3">
        <f t="shared" si="7"/>
        <v>146.91999999999999</v>
      </c>
      <c r="J54" s="6">
        <f t="shared" si="8"/>
        <v>167.47</v>
      </c>
      <c r="K54" s="2">
        <v>12</v>
      </c>
      <c r="L54" s="2">
        <v>2019</v>
      </c>
    </row>
    <row r="55" spans="1:12">
      <c r="A55" s="2" t="s">
        <v>33</v>
      </c>
      <c r="B55" s="2" t="s">
        <v>39</v>
      </c>
      <c r="C55" s="2" t="s">
        <v>59</v>
      </c>
      <c r="D55" s="2" t="s">
        <v>62</v>
      </c>
      <c r="E55" s="3">
        <v>146.1</v>
      </c>
      <c r="F55" s="2" t="s">
        <v>61</v>
      </c>
      <c r="G55" s="2" t="s">
        <v>16</v>
      </c>
      <c r="H55" s="3">
        <f t="shared" si="6"/>
        <v>1.73</v>
      </c>
      <c r="I55" s="3">
        <f t="shared" si="7"/>
        <v>12.39</v>
      </c>
      <c r="J55" s="6">
        <f t="shared" si="8"/>
        <v>14.120000000000001</v>
      </c>
      <c r="K55" s="2">
        <v>12</v>
      </c>
      <c r="L55" s="2">
        <v>2019</v>
      </c>
    </row>
    <row r="56" spans="1:12">
      <c r="A56" s="2" t="s">
        <v>33</v>
      </c>
      <c r="B56" s="2" t="s">
        <v>40</v>
      </c>
      <c r="C56" s="2" t="s">
        <v>59</v>
      </c>
      <c r="D56" s="2" t="s">
        <v>62</v>
      </c>
      <c r="E56" s="3">
        <v>12774.92</v>
      </c>
      <c r="F56" s="2" t="s">
        <v>61</v>
      </c>
      <c r="G56" s="2" t="s">
        <v>16</v>
      </c>
      <c r="H56" s="3">
        <f t="shared" si="6"/>
        <v>151.57</v>
      </c>
      <c r="I56" s="3">
        <f t="shared" si="7"/>
        <v>1083.67</v>
      </c>
      <c r="J56" s="6">
        <f t="shared" si="8"/>
        <v>1235.24</v>
      </c>
      <c r="K56" s="2">
        <v>12</v>
      </c>
      <c r="L56" s="2">
        <v>2019</v>
      </c>
    </row>
    <row r="57" spans="1:12">
      <c r="A57" s="2" t="s">
        <v>33</v>
      </c>
      <c r="B57" s="2" t="s">
        <v>39</v>
      </c>
      <c r="C57" s="2" t="s">
        <v>59</v>
      </c>
      <c r="D57" s="2" t="s">
        <v>63</v>
      </c>
      <c r="E57" s="3">
        <v>3509.89</v>
      </c>
      <c r="F57" s="2" t="s">
        <v>61</v>
      </c>
      <c r="G57" s="2" t="s">
        <v>16</v>
      </c>
      <c r="H57" s="3">
        <f t="shared" si="6"/>
        <v>41.64</v>
      </c>
      <c r="I57" s="3">
        <f t="shared" si="7"/>
        <v>297.74</v>
      </c>
      <c r="J57" s="6">
        <f t="shared" si="8"/>
        <v>339.38</v>
      </c>
      <c r="K57" s="2">
        <v>12</v>
      </c>
      <c r="L57" s="2">
        <v>2019</v>
      </c>
    </row>
    <row r="58" spans="1:12">
      <c r="A58" s="2" t="s">
        <v>33</v>
      </c>
      <c r="B58" s="2" t="s">
        <v>40</v>
      </c>
      <c r="C58" s="2" t="s">
        <v>59</v>
      </c>
      <c r="D58" s="2" t="s">
        <v>63</v>
      </c>
      <c r="E58" s="3">
        <v>159.19</v>
      </c>
      <c r="F58" s="2" t="s">
        <v>61</v>
      </c>
      <c r="G58" s="2" t="s">
        <v>16</v>
      </c>
      <c r="H58" s="3">
        <f t="shared" si="6"/>
        <v>1.89</v>
      </c>
      <c r="I58" s="3">
        <f t="shared" si="7"/>
        <v>13.5</v>
      </c>
      <c r="J58" s="6">
        <f t="shared" si="8"/>
        <v>15.39</v>
      </c>
      <c r="K58" s="2">
        <v>12</v>
      </c>
      <c r="L58" s="2">
        <v>2019</v>
      </c>
    </row>
    <row r="59" spans="1:12">
      <c r="A59" s="2" t="s">
        <v>33</v>
      </c>
      <c r="B59" s="2" t="s">
        <v>39</v>
      </c>
      <c r="C59" s="2" t="s">
        <v>59</v>
      </c>
      <c r="D59" s="2" t="s">
        <v>64</v>
      </c>
      <c r="E59" s="3">
        <v>295.39999999999998</v>
      </c>
      <c r="F59" s="2" t="s">
        <v>61</v>
      </c>
      <c r="G59" s="2" t="s">
        <v>16</v>
      </c>
      <c r="H59" s="3">
        <f>ROUND(E59*$E$75,2)-0.02</f>
        <v>3.48</v>
      </c>
      <c r="I59" s="3">
        <f>ROUND(E59*$F$75,2)-0.01</f>
        <v>25.049999999999997</v>
      </c>
      <c r="J59" s="6">
        <f t="shared" si="8"/>
        <v>28.529999999999998</v>
      </c>
      <c r="K59" s="2">
        <v>12</v>
      </c>
      <c r="L59" s="2">
        <v>2019</v>
      </c>
    </row>
    <row r="60" spans="1:12">
      <c r="E60" s="7">
        <f>SUM(E51:E59)</f>
        <v>24700.66</v>
      </c>
      <c r="F60" s="2" t="s">
        <v>65</v>
      </c>
      <c r="H60" s="7">
        <f>SUM(H51:H59)</f>
        <v>293.03999999999996</v>
      </c>
      <c r="I60" s="7">
        <f>SUM(I51:I59)</f>
        <v>2095.3000000000002</v>
      </c>
      <c r="J60" s="8">
        <f>SUM(J51:J59)</f>
        <v>2388.34</v>
      </c>
    </row>
    <row r="62" spans="1:12" ht="15.75" thickBot="1">
      <c r="E62" s="9">
        <f>E5+E24+E42+E49+E60</f>
        <v>1657054.2599999998</v>
      </c>
      <c r="F62" s="2" t="s">
        <v>66</v>
      </c>
      <c r="H62" s="10">
        <f>H24+H42+H49+H60+H5</f>
        <v>3361.35</v>
      </c>
      <c r="I62" s="10">
        <f>I24+I42+I49+I60+I5</f>
        <v>22776.910000000003</v>
      </c>
      <c r="J62" s="10">
        <f>J24+J42+J49+J60+J5</f>
        <v>26138.260000000002</v>
      </c>
    </row>
    <row r="63" spans="1:12" ht="15.75" thickTop="1">
      <c r="H63" s="3">
        <f>H62-E69</f>
        <v>0</v>
      </c>
      <c r="I63" s="3">
        <f>I62-F69</f>
        <v>0</v>
      </c>
      <c r="J63" s="3">
        <f>J62-G69</f>
        <v>0</v>
      </c>
    </row>
    <row r="64" spans="1:12">
      <c r="E64" s="11" t="s">
        <v>67</v>
      </c>
      <c r="F64" s="12" t="s">
        <v>68</v>
      </c>
      <c r="G64" s="12" t="s">
        <v>69</v>
      </c>
    </row>
    <row r="65" spans="3:7">
      <c r="C65" s="2" t="s">
        <v>70</v>
      </c>
      <c r="D65" s="2">
        <v>163000</v>
      </c>
      <c r="E65" s="13">
        <v>1646.95</v>
      </c>
      <c r="F65" s="13">
        <v>10549.64</v>
      </c>
      <c r="G65" s="13">
        <v>12196.59</v>
      </c>
    </row>
    <row r="66" spans="3:7">
      <c r="C66" s="2" t="s">
        <v>71</v>
      </c>
      <c r="D66" s="2">
        <v>163030</v>
      </c>
      <c r="E66" s="13">
        <v>293.06</v>
      </c>
      <c r="F66" s="13">
        <v>2095.3000000000002</v>
      </c>
      <c r="G66" s="13">
        <v>2388.36</v>
      </c>
    </row>
    <row r="67" spans="3:7">
      <c r="C67" s="2" t="s">
        <v>72</v>
      </c>
      <c r="D67" s="2">
        <v>163040</v>
      </c>
      <c r="E67" s="13">
        <v>1147.5899999999999</v>
      </c>
      <c r="F67" s="13">
        <v>8164.07</v>
      </c>
      <c r="G67" s="13">
        <v>9311.66</v>
      </c>
    </row>
    <row r="68" spans="3:7">
      <c r="C68" s="2" t="s">
        <v>73</v>
      </c>
      <c r="D68" s="2">
        <v>163050</v>
      </c>
      <c r="E68" s="13">
        <v>273.75</v>
      </c>
      <c r="F68" s="13">
        <v>1967.9</v>
      </c>
      <c r="G68" s="13">
        <v>2241.65</v>
      </c>
    </row>
    <row r="69" spans="3:7">
      <c r="D69" s="2" t="s">
        <v>74</v>
      </c>
      <c r="E69" s="14">
        <f>SUM(E65:E68)</f>
        <v>3361.35</v>
      </c>
      <c r="F69" s="14">
        <f>SUM(F65:F68)</f>
        <v>22776.91</v>
      </c>
      <c r="G69" s="14">
        <f>SUM(G65:G68)</f>
        <v>26138.260000000002</v>
      </c>
    </row>
    <row r="73" spans="3:7">
      <c r="D73" s="15" t="s">
        <v>75</v>
      </c>
    </row>
    <row r="74" spans="3:7">
      <c r="D74" s="15" t="s">
        <v>76</v>
      </c>
      <c r="E74" s="16">
        <f>$E$65/($E$24+$E$5)</f>
        <v>1.2892865745910665E-3</v>
      </c>
      <c r="F74" s="16">
        <f>$F$65/($E$24+$E$5)</f>
        <v>8.2586048263571434E-3</v>
      </c>
    </row>
    <row r="75" spans="3:7">
      <c r="D75" s="15" t="s">
        <v>77</v>
      </c>
      <c r="E75" s="16">
        <f>$E$66/$E$60</f>
        <v>1.1864460301870477E-2</v>
      </c>
      <c r="F75" s="16">
        <f>$F$66/$E$60</f>
        <v>8.4827692863267634E-2</v>
      </c>
    </row>
    <row r="76" spans="3:7">
      <c r="D76" s="15" t="s">
        <v>78</v>
      </c>
      <c r="E76" s="16">
        <f>$E$67/$E$42</f>
        <v>3.0488397783009773E-3</v>
      </c>
      <c r="F76" s="16">
        <f>$F$67/$E$42</f>
        <v>2.1689751016333064E-2</v>
      </c>
    </row>
    <row r="77" spans="3:7">
      <c r="D77" s="15" t="s">
        <v>79</v>
      </c>
      <c r="E77" s="16">
        <f>$E$68/$E$49</f>
        <v>-1.2755999513524621E-2</v>
      </c>
      <c r="F77" s="16">
        <f>$F$68/$E$49</f>
        <v>-9.1698744996036904E-2</v>
      </c>
    </row>
  </sheetData>
  <pageMargins left="0.7" right="0.7" top="0.75" bottom="0.75" header="0.3" footer="0.3"/>
  <pageSetup scale="8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5"/>
  <cols>
    <col min="1" max="1" width="13.140625" style="19" bestFit="1" customWidth="1"/>
    <col min="2" max="2" width="19.28515625" style="5" bestFit="1" customWidth="1"/>
    <col min="3" max="3" width="9" style="5" bestFit="1" customWidth="1"/>
    <col min="4" max="4" width="11.28515625" style="5" bestFit="1" customWidth="1"/>
    <col min="5" max="5" width="7" style="19" customWidth="1"/>
    <col min="6" max="6" width="11.28515625" style="19" bestFit="1" customWidth="1"/>
    <col min="7" max="16384" width="9.140625" style="19"/>
  </cols>
  <sheetData>
    <row r="1" spans="1:4">
      <c r="A1" s="23" t="s">
        <v>81</v>
      </c>
      <c r="B1" s="24">
        <v>12</v>
      </c>
    </row>
    <row r="2" spans="1:4">
      <c r="A2" s="23" t="s">
        <v>4</v>
      </c>
      <c r="B2" t="s">
        <v>83</v>
      </c>
    </row>
    <row r="3" spans="1:4">
      <c r="A3"/>
      <c r="B3"/>
      <c r="C3"/>
      <c r="D3"/>
    </row>
    <row r="4" spans="1:4">
      <c r="A4" s="23" t="s">
        <v>89</v>
      </c>
      <c r="B4" t="s">
        <v>80</v>
      </c>
      <c r="C4"/>
      <c r="D4"/>
    </row>
    <row r="5" spans="1:4">
      <c r="A5" s="26" t="s">
        <v>85</v>
      </c>
      <c r="B5" s="25">
        <v>10549.64</v>
      </c>
      <c r="C5"/>
      <c r="D5"/>
    </row>
    <row r="6" spans="1:4">
      <c r="A6" s="26" t="s">
        <v>86</v>
      </c>
      <c r="B6" s="25">
        <v>2095.3000000000002</v>
      </c>
      <c r="C6"/>
      <c r="D6"/>
    </row>
    <row r="7" spans="1:4">
      <c r="A7" s="26" t="s">
        <v>87</v>
      </c>
      <c r="B7" s="25">
        <v>8164.07</v>
      </c>
      <c r="C7"/>
      <c r="D7"/>
    </row>
    <row r="8" spans="1:4">
      <c r="A8" s="26" t="s">
        <v>88</v>
      </c>
      <c r="B8" s="25">
        <v>1967.9</v>
      </c>
      <c r="C8"/>
      <c r="D8"/>
    </row>
    <row r="9" spans="1:4">
      <c r="A9" s="26" t="s">
        <v>84</v>
      </c>
      <c r="B9" s="25">
        <v>22776.91</v>
      </c>
      <c r="C9"/>
      <c r="D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Benefits Annualization</vt:lpstr>
      <vt:lpstr>Annual Adjustments</vt:lpstr>
      <vt:lpstr>12.19 Cost by Account</vt:lpstr>
      <vt:lpstr>ES Summary - Normalized</vt:lpstr>
      <vt:lpstr>Allocated Benefits by Account</vt:lpstr>
      <vt:lpstr>Stores Summary</vt:lpstr>
      <vt:lpstr>12.19 Stores Allocation</vt:lpstr>
      <vt:lpstr>PIVOT 163 Balances by Dept.</vt:lpstr>
    </vt:vector>
  </TitlesOfParts>
  <Company>East Kentcuky Power Cooperative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Vaughn</dc:creator>
  <cp:lastModifiedBy>Michelle Carpenter</cp:lastModifiedBy>
  <cp:lastPrinted>2021-06-16T13:19:18Z</cp:lastPrinted>
  <dcterms:created xsi:type="dcterms:W3CDTF">2021-06-08T19:15:34Z</dcterms:created>
  <dcterms:modified xsi:type="dcterms:W3CDTF">2021-06-16T13:57:36Z</dcterms:modified>
</cp:coreProperties>
</file>