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2668\Documents\Rate Case 2020\Case Data Request 1\Staff items for review\#20\"/>
    </mc:Choice>
  </mc:AlternateContent>
  <bookViews>
    <workbookView xWindow="0" yWindow="0" windowWidth="28770" windowHeight="12150" activeTab="3"/>
  </bookViews>
  <sheets>
    <sheet name="PSC DR1 20a-2019" sheetId="1" r:id="rId1"/>
    <sheet name="PSC DR1 20a-2018" sheetId="2" r:id="rId2"/>
    <sheet name="PSC DR1 20a-2017" sheetId="3" r:id="rId3"/>
    <sheet name="PSC DR1 20a-2016" sheetId="4" r:id="rId4"/>
  </sheets>
  <definedNames>
    <definedName name="NvsASD" localSheetId="2">"V2017-12-31"</definedName>
    <definedName name="NvsASD" localSheetId="1">"V2018-12-31"</definedName>
    <definedName name="NvsASD" localSheetId="0">"V2019-12-31"</definedName>
    <definedName name="NvsASD">"V2016-12-31"</definedName>
    <definedName name="NvsAutoDrillOk">"VN"</definedName>
    <definedName name="NvsElapsedTime" localSheetId="1">0.000393518515920732</definedName>
    <definedName name="NvsElapsedTime" localSheetId="0">0.000393518515920732</definedName>
    <definedName name="NvsElapsedTime">0.000370370369637385</definedName>
    <definedName name="NvsEndTime" localSheetId="2">44286.5281365741</definedName>
    <definedName name="NvsEndTime" localSheetId="1">44286.5270717593</definedName>
    <definedName name="NvsEndTime" localSheetId="0">44286.5243402778</definedName>
    <definedName name="NvsEndTime">44286.5288773148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"V"</definedName>
    <definedName name="NvsPanelEffdt">"V2021-03-30"</definedName>
    <definedName name="NvsPanelSetid">"VEKPC"</definedName>
    <definedName name="NvsReqBU">"VEKPC"</definedName>
    <definedName name="NvsReqBUOnly">"VY"</definedName>
    <definedName name="NvsSheetType" localSheetId="3">"M"</definedName>
    <definedName name="NvsSheetType" localSheetId="2">"M"</definedName>
    <definedName name="NvsSheetType" localSheetId="1">"M"</definedName>
    <definedName name="NvsSheetType" localSheetId="0">"M"</definedName>
    <definedName name="NvsTransLed">"VN"</definedName>
    <definedName name="NvsTreeASD" localSheetId="2">"V2017-12-31"</definedName>
    <definedName name="NvsTreeASD" localSheetId="1">"V2018-12-31"</definedName>
    <definedName name="NvsTreeASD" localSheetId="0">"V2019-12-31"</definedName>
    <definedName name="NvsTreeASD">"V2016-12-31"</definedName>
    <definedName name="_xlnm.Print_Area" localSheetId="3">'PSC DR1 20a-2016'!$B:$AE</definedName>
    <definedName name="_xlnm.Print_Area" localSheetId="2">'PSC DR1 20a-2017'!$B:$AE</definedName>
    <definedName name="_xlnm.Print_Area" localSheetId="1">'PSC DR1 20a-2018'!$B:$AE</definedName>
    <definedName name="_xlnm.Print_Area" localSheetId="0">'PSC DR1 20a-2019'!$B:$AE</definedName>
    <definedName name="Z_BBF9E01B_2134_4ED2_ADA3_7E736727D475_.wvu.Cols" localSheetId="3" hidden="1">'PSC DR1 20a-2016'!$A:$A</definedName>
    <definedName name="Z_BBF9E01B_2134_4ED2_ADA3_7E736727D475_.wvu.Cols" localSheetId="2" hidden="1">'PSC DR1 20a-2017'!$A:$A</definedName>
    <definedName name="Z_BBF9E01B_2134_4ED2_ADA3_7E736727D475_.wvu.Cols" localSheetId="1" hidden="1">'PSC DR1 20a-2018'!$A:$A</definedName>
    <definedName name="Z_BBF9E01B_2134_4ED2_ADA3_7E736727D475_.wvu.Cols" localSheetId="0" hidden="1">'PSC DR1 20a-2019'!$A:$A</definedName>
    <definedName name="Z_BBF9E01B_2134_4ED2_ADA3_7E736727D475_.wvu.PrintArea" localSheetId="3" hidden="1">'PSC DR1 20a-2016'!$B:$AE</definedName>
    <definedName name="Z_BBF9E01B_2134_4ED2_ADA3_7E736727D475_.wvu.PrintArea" localSheetId="2" hidden="1">'PSC DR1 20a-2017'!$B:$AE</definedName>
    <definedName name="Z_BBF9E01B_2134_4ED2_ADA3_7E736727D475_.wvu.PrintArea" localSheetId="1" hidden="1">'PSC DR1 20a-2018'!$B:$AE</definedName>
    <definedName name="Z_BBF9E01B_2134_4ED2_ADA3_7E736727D475_.wvu.PrintArea" localSheetId="0" hidden="1">'PSC DR1 20a-2019'!$B:$AE</definedName>
    <definedName name="Z_BBF9E01B_2134_4ED2_ADA3_7E736727D475_.wvu.Rows" localSheetId="3" hidden="1">'PSC DR1 20a-2016'!$1:$1</definedName>
    <definedName name="Z_BBF9E01B_2134_4ED2_ADA3_7E736727D475_.wvu.Rows" localSheetId="2" hidden="1">'PSC DR1 20a-2017'!$1:$1</definedName>
    <definedName name="Z_BBF9E01B_2134_4ED2_ADA3_7E736727D475_.wvu.Rows" localSheetId="1" hidden="1">'PSC DR1 20a-2018'!$1:$1</definedName>
    <definedName name="Z_BBF9E01B_2134_4ED2_ADA3_7E736727D475_.wvu.Rows" localSheetId="0" hidden="1">'PSC DR1 20a-2019'!$1:$1</definedName>
    <definedName name="Z_D68D519E_5BB0_46C3_B80A_9CE9C415DCCC_.wvu.Cols" localSheetId="3" hidden="1">'PSC DR1 20a-2016'!$A:$A</definedName>
    <definedName name="Z_D68D519E_5BB0_46C3_B80A_9CE9C415DCCC_.wvu.Cols" localSheetId="2" hidden="1">'PSC DR1 20a-2017'!$A:$A</definedName>
    <definedName name="Z_D68D519E_5BB0_46C3_B80A_9CE9C415DCCC_.wvu.Cols" localSheetId="1" hidden="1">'PSC DR1 20a-2018'!$A:$A</definedName>
    <definedName name="Z_D68D519E_5BB0_46C3_B80A_9CE9C415DCCC_.wvu.Cols" localSheetId="0" hidden="1">'PSC DR1 20a-2019'!$A:$A</definedName>
    <definedName name="Z_D68D519E_5BB0_46C3_B80A_9CE9C415DCCC_.wvu.PrintArea" localSheetId="3" hidden="1">'PSC DR1 20a-2016'!$B:$AE</definedName>
    <definedName name="Z_D68D519E_5BB0_46C3_B80A_9CE9C415DCCC_.wvu.PrintArea" localSheetId="2" hidden="1">'PSC DR1 20a-2017'!$B:$AE</definedName>
    <definedName name="Z_D68D519E_5BB0_46C3_B80A_9CE9C415DCCC_.wvu.PrintArea" localSheetId="1" hidden="1">'PSC DR1 20a-2018'!$B:$AE</definedName>
    <definedName name="Z_D68D519E_5BB0_46C3_B80A_9CE9C415DCCC_.wvu.PrintArea" localSheetId="0" hidden="1">'PSC DR1 20a-2019'!$B:$AE</definedName>
    <definedName name="Z_D68D519E_5BB0_46C3_B80A_9CE9C415DCCC_.wvu.Rows" localSheetId="3" hidden="1">'PSC DR1 20a-2016'!$1:$1</definedName>
    <definedName name="Z_D68D519E_5BB0_46C3_B80A_9CE9C415DCCC_.wvu.Rows" localSheetId="2" hidden="1">'PSC DR1 20a-2017'!$1:$1</definedName>
    <definedName name="Z_D68D519E_5BB0_46C3_B80A_9CE9C415DCCC_.wvu.Rows" localSheetId="1" hidden="1">'PSC DR1 20a-2018'!$1:$1</definedName>
    <definedName name="Z_D68D519E_5BB0_46C3_B80A_9CE9C415DCCC_.wvu.Rows" localSheetId="0" hidden="1">'PSC DR1 20a-2019'!$1:$1</definedName>
    <definedName name="Z_EE96CFBF_7C71_4015_835E_793CCDB274EC_.wvu.Cols" localSheetId="3" hidden="1">'PSC DR1 20a-2016'!$A:$A</definedName>
    <definedName name="Z_EE96CFBF_7C71_4015_835E_793CCDB274EC_.wvu.Cols" localSheetId="2" hidden="1">'PSC DR1 20a-2017'!$A:$A</definedName>
    <definedName name="Z_EE96CFBF_7C71_4015_835E_793CCDB274EC_.wvu.Cols" localSheetId="1" hidden="1">'PSC DR1 20a-2018'!$A:$A</definedName>
    <definedName name="Z_EE96CFBF_7C71_4015_835E_793CCDB274EC_.wvu.Cols" localSheetId="0" hidden="1">'PSC DR1 20a-2019'!$A:$A</definedName>
    <definedName name="Z_EE96CFBF_7C71_4015_835E_793CCDB274EC_.wvu.PrintArea" localSheetId="3" hidden="1">'PSC DR1 20a-2016'!$B:$AE</definedName>
    <definedName name="Z_EE96CFBF_7C71_4015_835E_793CCDB274EC_.wvu.PrintArea" localSheetId="2" hidden="1">'PSC DR1 20a-2017'!$B:$AE</definedName>
    <definedName name="Z_EE96CFBF_7C71_4015_835E_793CCDB274EC_.wvu.PrintArea" localSheetId="1" hidden="1">'PSC DR1 20a-2018'!$B:$AE</definedName>
    <definedName name="Z_EE96CFBF_7C71_4015_835E_793CCDB274EC_.wvu.PrintArea" localSheetId="0" hidden="1">'PSC DR1 20a-2019'!$B:$AE</definedName>
    <definedName name="Z_EE96CFBF_7C71_4015_835E_793CCDB274EC_.wvu.Rows" localSheetId="3" hidden="1">'PSC DR1 20a-2016'!$1:$1</definedName>
    <definedName name="Z_EE96CFBF_7C71_4015_835E_793CCDB274EC_.wvu.Rows" localSheetId="2" hidden="1">'PSC DR1 20a-2017'!$1:$1</definedName>
    <definedName name="Z_EE96CFBF_7C71_4015_835E_793CCDB274EC_.wvu.Rows" localSheetId="1" hidden="1">'PSC DR1 20a-2018'!$1:$1</definedName>
    <definedName name="Z_EE96CFBF_7C71_4015_835E_793CCDB274EC_.wvu.Rows" localSheetId="0" hidden="1">'PSC DR1 20a-2019'!$1:$1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0" i="4" l="1"/>
  <c r="O60" i="4"/>
  <c r="U60" i="4" s="1"/>
  <c r="AA60" i="4" s="1"/>
  <c r="J60" i="4"/>
  <c r="H60" i="4"/>
  <c r="W59" i="4"/>
  <c r="AC59" i="4" s="1"/>
  <c r="U59" i="4"/>
  <c r="AA59" i="4" s="1"/>
  <c r="S59" i="4"/>
  <c r="L59" i="4"/>
  <c r="W58" i="4"/>
  <c r="AC58" i="4" s="1"/>
  <c r="O58" i="4"/>
  <c r="U58" i="4" s="1"/>
  <c r="AA58" i="4" s="1"/>
  <c r="L58" i="4"/>
  <c r="L60" i="4" s="1"/>
  <c r="AA56" i="4"/>
  <c r="Q56" i="4"/>
  <c r="O56" i="4"/>
  <c r="J56" i="4"/>
  <c r="H56" i="4"/>
  <c r="U56" i="4" s="1"/>
  <c r="F56" i="4"/>
  <c r="W55" i="4"/>
  <c r="AC55" i="4" s="1"/>
  <c r="U55" i="4"/>
  <c r="AA55" i="4" s="1"/>
  <c r="S55" i="4"/>
  <c r="N55" i="4"/>
  <c r="N56" i="4" s="1"/>
  <c r="L55" i="4"/>
  <c r="W54" i="4"/>
  <c r="AC54" i="4" s="1"/>
  <c r="U54" i="4"/>
  <c r="AA54" i="4" s="1"/>
  <c r="S54" i="4"/>
  <c r="S56" i="4" s="1"/>
  <c r="N54" i="4"/>
  <c r="L54" i="4"/>
  <c r="L56" i="4" s="1"/>
  <c r="W52" i="4"/>
  <c r="AC52" i="4" s="1"/>
  <c r="Q52" i="4"/>
  <c r="O52" i="4"/>
  <c r="J52" i="4"/>
  <c r="H52" i="4"/>
  <c r="F52" i="4"/>
  <c r="AA51" i="4"/>
  <c r="W51" i="4"/>
  <c r="AC51" i="4" s="1"/>
  <c r="U51" i="4"/>
  <c r="S51" i="4"/>
  <c r="Y51" i="4" s="1"/>
  <c r="AE51" i="4" s="1"/>
  <c r="N51" i="4"/>
  <c r="N52" i="4" s="1"/>
  <c r="L51" i="4"/>
  <c r="Y50" i="4"/>
  <c r="AE50" i="4" s="1"/>
  <c r="W50" i="4"/>
  <c r="AC50" i="4" s="1"/>
  <c r="U50" i="4"/>
  <c r="AA50" i="4" s="1"/>
  <c r="S50" i="4"/>
  <c r="N50" i="4"/>
  <c r="L50" i="4"/>
  <c r="L52" i="4" s="1"/>
  <c r="S48" i="4"/>
  <c r="Q48" i="4"/>
  <c r="O48" i="4"/>
  <c r="J48" i="4"/>
  <c r="H48" i="4"/>
  <c r="F48" i="4"/>
  <c r="W47" i="4"/>
  <c r="AC47" i="4" s="1"/>
  <c r="U47" i="4"/>
  <c r="AA47" i="4" s="1"/>
  <c r="S47" i="4"/>
  <c r="N47" i="4"/>
  <c r="L47" i="4"/>
  <c r="AC46" i="4"/>
  <c r="AA46" i="4"/>
  <c r="W46" i="4"/>
  <c r="U46" i="4"/>
  <c r="S46" i="4"/>
  <c r="Y46" i="4" s="1"/>
  <c r="AE46" i="4" s="1"/>
  <c r="N46" i="4"/>
  <c r="N58" i="4" s="1"/>
  <c r="L46" i="4"/>
  <c r="Q44" i="4"/>
  <c r="O44" i="4"/>
  <c r="J44" i="4"/>
  <c r="H44" i="4"/>
  <c r="U44" i="4" s="1"/>
  <c r="AA44" i="4" s="1"/>
  <c r="F44" i="4"/>
  <c r="AC43" i="4"/>
  <c r="W43" i="4"/>
  <c r="U43" i="4"/>
  <c r="AA43" i="4" s="1"/>
  <c r="S43" i="4"/>
  <c r="N43" i="4"/>
  <c r="L43" i="4"/>
  <c r="W42" i="4"/>
  <c r="AC42" i="4" s="1"/>
  <c r="U42" i="4"/>
  <c r="AA42" i="4" s="1"/>
  <c r="S42" i="4"/>
  <c r="N42" i="4"/>
  <c r="L42" i="4"/>
  <c r="W40" i="4"/>
  <c r="AC40" i="4" s="1"/>
  <c r="S40" i="4"/>
  <c r="Q40" i="4"/>
  <c r="O40" i="4"/>
  <c r="U40" i="4" s="1"/>
  <c r="AA40" i="4" s="1"/>
  <c r="J40" i="4"/>
  <c r="H40" i="4"/>
  <c r="F40" i="4"/>
  <c r="W39" i="4"/>
  <c r="AC39" i="4" s="1"/>
  <c r="U39" i="4"/>
  <c r="AA39" i="4" s="1"/>
  <c r="S39" i="4"/>
  <c r="N39" i="4"/>
  <c r="L39" i="4"/>
  <c r="Y38" i="4"/>
  <c r="AE38" i="4" s="1"/>
  <c r="W38" i="4"/>
  <c r="AC38" i="4" s="1"/>
  <c r="U38" i="4"/>
  <c r="AA38" i="4" s="1"/>
  <c r="S38" i="4"/>
  <c r="N38" i="4"/>
  <c r="L38" i="4"/>
  <c r="Q36" i="4"/>
  <c r="O36" i="4"/>
  <c r="U36" i="4" s="1"/>
  <c r="AA36" i="4" s="1"/>
  <c r="J36" i="4"/>
  <c r="H36" i="4"/>
  <c r="F36" i="4"/>
  <c r="W35" i="4"/>
  <c r="AC35" i="4" s="1"/>
  <c r="U35" i="4"/>
  <c r="AA35" i="4" s="1"/>
  <c r="S35" i="4"/>
  <c r="N35" i="4"/>
  <c r="L35" i="4"/>
  <c r="AA34" i="4"/>
  <c r="W34" i="4"/>
  <c r="AC34" i="4" s="1"/>
  <c r="U34" i="4"/>
  <c r="S34" i="4"/>
  <c r="N34" i="4"/>
  <c r="L34" i="4"/>
  <c r="L36" i="4" s="1"/>
  <c r="Q32" i="4"/>
  <c r="O32" i="4"/>
  <c r="J32" i="4"/>
  <c r="H32" i="4"/>
  <c r="F32" i="4"/>
  <c r="AA31" i="4"/>
  <c r="W31" i="4"/>
  <c r="AC31" i="4" s="1"/>
  <c r="U31" i="4"/>
  <c r="S31" i="4"/>
  <c r="N31" i="4"/>
  <c r="N32" i="4" s="1"/>
  <c r="L31" i="4"/>
  <c r="AC30" i="4"/>
  <c r="W30" i="4"/>
  <c r="U30" i="4"/>
  <c r="AA30" i="4" s="1"/>
  <c r="S30" i="4"/>
  <c r="N30" i="4"/>
  <c r="L30" i="4"/>
  <c r="L32" i="4" s="1"/>
  <c r="Q28" i="4"/>
  <c r="W28" i="4" s="1"/>
  <c r="AC28" i="4" s="1"/>
  <c r="O28" i="4"/>
  <c r="U28" i="4" s="1"/>
  <c r="AA28" i="4" s="1"/>
  <c r="J28" i="4"/>
  <c r="H28" i="4"/>
  <c r="F28" i="4"/>
  <c r="W27" i="4"/>
  <c r="AC27" i="4" s="1"/>
  <c r="U27" i="4"/>
  <c r="AA27" i="4" s="1"/>
  <c r="S27" i="4"/>
  <c r="Y27" i="4" s="1"/>
  <c r="AE27" i="4" s="1"/>
  <c r="N27" i="4"/>
  <c r="L27" i="4"/>
  <c r="W26" i="4"/>
  <c r="AC26" i="4" s="1"/>
  <c r="U26" i="4"/>
  <c r="AA26" i="4" s="1"/>
  <c r="S26" i="4"/>
  <c r="S28" i="4" s="1"/>
  <c r="N26" i="4"/>
  <c r="L26" i="4"/>
  <c r="Q24" i="4"/>
  <c r="O24" i="4"/>
  <c r="U24" i="4" s="1"/>
  <c r="AA24" i="4" s="1"/>
  <c r="J24" i="4"/>
  <c r="H24" i="4"/>
  <c r="F24" i="4"/>
  <c r="W23" i="4"/>
  <c r="AC23" i="4" s="1"/>
  <c r="U23" i="4"/>
  <c r="AA23" i="4" s="1"/>
  <c r="S23" i="4"/>
  <c r="N23" i="4"/>
  <c r="L23" i="4"/>
  <c r="W22" i="4"/>
  <c r="AC22" i="4" s="1"/>
  <c r="U22" i="4"/>
  <c r="AA22" i="4" s="1"/>
  <c r="S22" i="4"/>
  <c r="Y22" i="4" s="1"/>
  <c r="AE22" i="4" s="1"/>
  <c r="N22" i="4"/>
  <c r="L22" i="4"/>
  <c r="Q20" i="4"/>
  <c r="O20" i="4"/>
  <c r="J20" i="4"/>
  <c r="H20" i="4"/>
  <c r="F20" i="4"/>
  <c r="W19" i="4"/>
  <c r="AC19" i="4" s="1"/>
  <c r="U19" i="4"/>
  <c r="AA19" i="4" s="1"/>
  <c r="S19" i="4"/>
  <c r="N19" i="4"/>
  <c r="N20" i="4" s="1"/>
  <c r="L19" i="4"/>
  <c r="W18" i="4"/>
  <c r="AC18" i="4" s="1"/>
  <c r="U18" i="4"/>
  <c r="AA18" i="4" s="1"/>
  <c r="S18" i="4"/>
  <c r="S20" i="4" s="1"/>
  <c r="N18" i="4"/>
  <c r="L18" i="4"/>
  <c r="Q16" i="4"/>
  <c r="W16" i="4" s="1"/>
  <c r="AC16" i="4" s="1"/>
  <c r="O16" i="4"/>
  <c r="U16" i="4" s="1"/>
  <c r="AA16" i="4" s="1"/>
  <c r="J16" i="4"/>
  <c r="H16" i="4"/>
  <c r="F16" i="4"/>
  <c r="AA15" i="4"/>
  <c r="W15" i="4"/>
  <c r="AC15" i="4" s="1"/>
  <c r="U15" i="4"/>
  <c r="S15" i="4"/>
  <c r="N15" i="4"/>
  <c r="L15" i="4"/>
  <c r="W14" i="4"/>
  <c r="AC14" i="4" s="1"/>
  <c r="U14" i="4"/>
  <c r="AA14" i="4" s="1"/>
  <c r="S14" i="4"/>
  <c r="S16" i="4" s="1"/>
  <c r="N14" i="4"/>
  <c r="L14" i="4"/>
  <c r="L16" i="4" s="1"/>
  <c r="Q12" i="4"/>
  <c r="J12" i="4"/>
  <c r="H12" i="4"/>
  <c r="F12" i="4"/>
  <c r="W11" i="4"/>
  <c r="AC11" i="4" s="1"/>
  <c r="U11" i="4"/>
  <c r="AA11" i="4" s="1"/>
  <c r="S11" i="4"/>
  <c r="N11" i="4"/>
  <c r="N12" i="4" s="1"/>
  <c r="L11" i="4"/>
  <c r="W10" i="4"/>
  <c r="AC10" i="4" s="1"/>
  <c r="O10" i="4"/>
  <c r="N10" i="4"/>
  <c r="L10" i="4"/>
  <c r="Q60" i="3"/>
  <c r="O60" i="3"/>
  <c r="J60" i="3"/>
  <c r="H60" i="3"/>
  <c r="W59" i="3"/>
  <c r="AC59" i="3" s="1"/>
  <c r="U59" i="3"/>
  <c r="AA59" i="3" s="1"/>
  <c r="S59" i="3"/>
  <c r="Y59" i="3" s="1"/>
  <c r="AE59" i="3" s="1"/>
  <c r="L59" i="3"/>
  <c r="L60" i="3" s="1"/>
  <c r="AA58" i="3"/>
  <c r="W58" i="3"/>
  <c r="AC58" i="3" s="1"/>
  <c r="U58" i="3"/>
  <c r="S58" i="3"/>
  <c r="N58" i="3"/>
  <c r="L58" i="3"/>
  <c r="Q56" i="3"/>
  <c r="O56" i="3"/>
  <c r="U56" i="3" s="1"/>
  <c r="AA56" i="3" s="1"/>
  <c r="J56" i="3"/>
  <c r="H56" i="3"/>
  <c r="F56" i="3"/>
  <c r="F60" i="3" s="1"/>
  <c r="AC55" i="3"/>
  <c r="W55" i="3"/>
  <c r="U55" i="3"/>
  <c r="AA55" i="3" s="1"/>
  <c r="S55" i="3"/>
  <c r="Y55" i="3" s="1"/>
  <c r="AE55" i="3" s="1"/>
  <c r="N55" i="3"/>
  <c r="N56" i="3" s="1"/>
  <c r="L55" i="3"/>
  <c r="W54" i="3"/>
  <c r="AC54" i="3" s="1"/>
  <c r="U54" i="3"/>
  <c r="AA54" i="3" s="1"/>
  <c r="S54" i="3"/>
  <c r="L54" i="3"/>
  <c r="Q52" i="3"/>
  <c r="O52" i="3"/>
  <c r="U52" i="3" s="1"/>
  <c r="AA52" i="3" s="1"/>
  <c r="J52" i="3"/>
  <c r="H52" i="3"/>
  <c r="F52" i="3"/>
  <c r="W51" i="3"/>
  <c r="AC51" i="3" s="1"/>
  <c r="U51" i="3"/>
  <c r="AA51" i="3" s="1"/>
  <c r="S51" i="3"/>
  <c r="Y51" i="3" s="1"/>
  <c r="AE51" i="3" s="1"/>
  <c r="N51" i="3"/>
  <c r="N52" i="3" s="1"/>
  <c r="L51" i="3"/>
  <c r="L52" i="3" s="1"/>
  <c r="W50" i="3"/>
  <c r="AC50" i="3" s="1"/>
  <c r="U50" i="3"/>
  <c r="AA50" i="3" s="1"/>
  <c r="S50" i="3"/>
  <c r="S52" i="3" s="1"/>
  <c r="L50" i="3"/>
  <c r="Q48" i="3"/>
  <c r="O48" i="3"/>
  <c r="J48" i="3"/>
  <c r="H48" i="3"/>
  <c r="U48" i="3" s="1"/>
  <c r="AA48" i="3" s="1"/>
  <c r="F48" i="3"/>
  <c r="AC47" i="3"/>
  <c r="W47" i="3"/>
  <c r="U47" i="3"/>
  <c r="AA47" i="3" s="1"/>
  <c r="S47" i="3"/>
  <c r="Y47" i="3" s="1"/>
  <c r="AE47" i="3" s="1"/>
  <c r="N47" i="3"/>
  <c r="N48" i="3" s="1"/>
  <c r="L47" i="3"/>
  <c r="W46" i="3"/>
  <c r="AC46" i="3" s="1"/>
  <c r="U46" i="3"/>
  <c r="AA46" i="3" s="1"/>
  <c r="S46" i="3"/>
  <c r="S48" i="3" s="1"/>
  <c r="L46" i="3"/>
  <c r="L48" i="3" s="1"/>
  <c r="W44" i="3"/>
  <c r="AC44" i="3" s="1"/>
  <c r="Q44" i="3"/>
  <c r="O44" i="3"/>
  <c r="J44" i="3"/>
  <c r="H44" i="3"/>
  <c r="F44" i="3"/>
  <c r="W43" i="3"/>
  <c r="AC43" i="3" s="1"/>
  <c r="U43" i="3"/>
  <c r="AA43" i="3" s="1"/>
  <c r="S43" i="3"/>
  <c r="Y43" i="3" s="1"/>
  <c r="AE43" i="3" s="1"/>
  <c r="N43" i="3"/>
  <c r="N44" i="3" s="1"/>
  <c r="L43" i="3"/>
  <c r="W42" i="3"/>
  <c r="AC42" i="3" s="1"/>
  <c r="U42" i="3"/>
  <c r="AA42" i="3" s="1"/>
  <c r="S42" i="3"/>
  <c r="L42" i="3"/>
  <c r="Q40" i="3"/>
  <c r="O40" i="3"/>
  <c r="J40" i="3"/>
  <c r="W40" i="3" s="1"/>
  <c r="AC40" i="3" s="1"/>
  <c r="H40" i="3"/>
  <c r="F40" i="3"/>
  <c r="AC39" i="3"/>
  <c r="AA39" i="3"/>
  <c r="W39" i="3"/>
  <c r="U39" i="3"/>
  <c r="S39" i="3"/>
  <c r="N39" i="3"/>
  <c r="N40" i="3" s="1"/>
  <c r="L39" i="3"/>
  <c r="W38" i="3"/>
  <c r="AC38" i="3" s="1"/>
  <c r="U38" i="3"/>
  <c r="AA38" i="3" s="1"/>
  <c r="S38" i="3"/>
  <c r="L38" i="3"/>
  <c r="W36" i="3"/>
  <c r="AC36" i="3" s="1"/>
  <c r="Q36" i="3"/>
  <c r="O36" i="3"/>
  <c r="J36" i="3"/>
  <c r="H36" i="3"/>
  <c r="F36" i="3"/>
  <c r="W35" i="3"/>
  <c r="AC35" i="3" s="1"/>
  <c r="U35" i="3"/>
  <c r="AA35" i="3" s="1"/>
  <c r="S35" i="3"/>
  <c r="Y35" i="3" s="1"/>
  <c r="AE35" i="3" s="1"/>
  <c r="N35" i="3"/>
  <c r="N36" i="3" s="1"/>
  <c r="L35" i="3"/>
  <c r="Y34" i="3"/>
  <c r="AE34" i="3" s="1"/>
  <c r="W34" i="3"/>
  <c r="AC34" i="3" s="1"/>
  <c r="U34" i="3"/>
  <c r="AA34" i="3" s="1"/>
  <c r="S34" i="3"/>
  <c r="L34" i="3"/>
  <c r="L36" i="3" s="1"/>
  <c r="Q32" i="3"/>
  <c r="O32" i="3"/>
  <c r="J32" i="3"/>
  <c r="H32" i="3"/>
  <c r="F32" i="3"/>
  <c r="W31" i="3"/>
  <c r="AC31" i="3" s="1"/>
  <c r="U31" i="3"/>
  <c r="AA31" i="3" s="1"/>
  <c r="S31" i="3"/>
  <c r="Y31" i="3" s="1"/>
  <c r="AE31" i="3" s="1"/>
  <c r="N31" i="3"/>
  <c r="N32" i="3" s="1"/>
  <c r="L31" i="3"/>
  <c r="W30" i="3"/>
  <c r="AC30" i="3" s="1"/>
  <c r="U30" i="3"/>
  <c r="AA30" i="3" s="1"/>
  <c r="S30" i="3"/>
  <c r="L30" i="3"/>
  <c r="L32" i="3" s="1"/>
  <c r="W28" i="3"/>
  <c r="AC28" i="3" s="1"/>
  <c r="S28" i="3"/>
  <c r="Q28" i="3"/>
  <c r="O28" i="3"/>
  <c r="J28" i="3"/>
  <c r="H28" i="3"/>
  <c r="F28" i="3"/>
  <c r="W27" i="3"/>
  <c r="AC27" i="3" s="1"/>
  <c r="U27" i="3"/>
  <c r="AA27" i="3" s="1"/>
  <c r="S27" i="3"/>
  <c r="N27" i="3"/>
  <c r="N28" i="3" s="1"/>
  <c r="L27" i="3"/>
  <c r="W26" i="3"/>
  <c r="AC26" i="3" s="1"/>
  <c r="U26" i="3"/>
  <c r="AA26" i="3" s="1"/>
  <c r="S26" i="3"/>
  <c r="L26" i="3"/>
  <c r="Q24" i="3"/>
  <c r="W24" i="3" s="1"/>
  <c r="AC24" i="3" s="1"/>
  <c r="O24" i="3"/>
  <c r="N24" i="3"/>
  <c r="J24" i="3"/>
  <c r="H24" i="3"/>
  <c r="U24" i="3" s="1"/>
  <c r="AA24" i="3" s="1"/>
  <c r="F24" i="3"/>
  <c r="Y23" i="3"/>
  <c r="AE23" i="3" s="1"/>
  <c r="W23" i="3"/>
  <c r="AC23" i="3" s="1"/>
  <c r="U23" i="3"/>
  <c r="AA23" i="3" s="1"/>
  <c r="S23" i="3"/>
  <c r="N23" i="3"/>
  <c r="L23" i="3"/>
  <c r="W22" i="3"/>
  <c r="AC22" i="3" s="1"/>
  <c r="U22" i="3"/>
  <c r="AA22" i="3" s="1"/>
  <c r="S22" i="3"/>
  <c r="L22" i="3"/>
  <c r="L24" i="3" s="1"/>
  <c r="Q20" i="3"/>
  <c r="O20" i="3"/>
  <c r="J20" i="3"/>
  <c r="H20" i="3"/>
  <c r="U20" i="3" s="1"/>
  <c r="AA20" i="3" s="1"/>
  <c r="F20" i="3"/>
  <c r="W19" i="3"/>
  <c r="AC19" i="3" s="1"/>
  <c r="U19" i="3"/>
  <c r="AA19" i="3" s="1"/>
  <c r="S19" i="3"/>
  <c r="N19" i="3"/>
  <c r="N20" i="3" s="1"/>
  <c r="L19" i="3"/>
  <c r="AC18" i="3"/>
  <c r="W18" i="3"/>
  <c r="U18" i="3"/>
  <c r="AA18" i="3" s="1"/>
  <c r="S18" i="3"/>
  <c r="L18" i="3"/>
  <c r="L20" i="3" s="1"/>
  <c r="Q16" i="3"/>
  <c r="O16" i="3"/>
  <c r="U16" i="3" s="1"/>
  <c r="AA16" i="3" s="1"/>
  <c r="J16" i="3"/>
  <c r="H16" i="3"/>
  <c r="F16" i="3"/>
  <c r="AC15" i="3"/>
  <c r="W15" i="3"/>
  <c r="U15" i="3"/>
  <c r="AA15" i="3" s="1"/>
  <c r="S15" i="3"/>
  <c r="Y15" i="3" s="1"/>
  <c r="AE15" i="3" s="1"/>
  <c r="N15" i="3"/>
  <c r="N16" i="3" s="1"/>
  <c r="L15" i="3"/>
  <c r="W14" i="3"/>
  <c r="AC14" i="3" s="1"/>
  <c r="U14" i="3"/>
  <c r="AA14" i="3" s="1"/>
  <c r="S14" i="3"/>
  <c r="L14" i="3"/>
  <c r="Q12" i="3"/>
  <c r="W12" i="3" s="1"/>
  <c r="AC12" i="3" s="1"/>
  <c r="O12" i="3"/>
  <c r="J12" i="3"/>
  <c r="H12" i="3"/>
  <c r="F12" i="3"/>
  <c r="W11" i="3"/>
  <c r="AC11" i="3" s="1"/>
  <c r="U11" i="3"/>
  <c r="AA11" i="3" s="1"/>
  <c r="S11" i="3"/>
  <c r="Y11" i="3" s="1"/>
  <c r="AE11" i="3" s="1"/>
  <c r="N11" i="3"/>
  <c r="N12" i="3" s="1"/>
  <c r="L11" i="3"/>
  <c r="L12" i="3" s="1"/>
  <c r="AC10" i="3"/>
  <c r="W10" i="3"/>
  <c r="U10" i="3"/>
  <c r="AA10" i="3" s="1"/>
  <c r="S10" i="3"/>
  <c r="Y10" i="3" s="1"/>
  <c r="AE10" i="3" s="1"/>
  <c r="L10" i="3"/>
  <c r="Q60" i="2"/>
  <c r="O60" i="2"/>
  <c r="U60" i="2" s="1"/>
  <c r="AA60" i="2" s="1"/>
  <c r="J60" i="2"/>
  <c r="H60" i="2"/>
  <c r="W59" i="2"/>
  <c r="AC59" i="2" s="1"/>
  <c r="U59" i="2"/>
  <c r="AA59" i="2" s="1"/>
  <c r="S59" i="2"/>
  <c r="Y59" i="2" s="1"/>
  <c r="AE59" i="2" s="1"/>
  <c r="L59" i="2"/>
  <c r="W58" i="2"/>
  <c r="AC58" i="2" s="1"/>
  <c r="U58" i="2"/>
  <c r="AA58" i="2" s="1"/>
  <c r="S58" i="2"/>
  <c r="N58" i="2"/>
  <c r="L58" i="2"/>
  <c r="L60" i="2" s="1"/>
  <c r="Q56" i="2"/>
  <c r="O56" i="2"/>
  <c r="U56" i="2" s="1"/>
  <c r="AA56" i="2" s="1"/>
  <c r="J56" i="2"/>
  <c r="H56" i="2"/>
  <c r="F56" i="2"/>
  <c r="W55" i="2"/>
  <c r="AC55" i="2" s="1"/>
  <c r="U55" i="2"/>
  <c r="AA55" i="2" s="1"/>
  <c r="S55" i="2"/>
  <c r="Y55" i="2" s="1"/>
  <c r="AE55" i="2" s="1"/>
  <c r="N55" i="2"/>
  <c r="N56" i="2" s="1"/>
  <c r="L55" i="2"/>
  <c r="W54" i="2"/>
  <c r="AC54" i="2" s="1"/>
  <c r="U54" i="2"/>
  <c r="AA54" i="2" s="1"/>
  <c r="S54" i="2"/>
  <c r="L54" i="2"/>
  <c r="Q52" i="2"/>
  <c r="O52" i="2"/>
  <c r="J52" i="2"/>
  <c r="H52" i="2"/>
  <c r="U52" i="2" s="1"/>
  <c r="AA52" i="2" s="1"/>
  <c r="F52" i="2"/>
  <c r="W51" i="2"/>
  <c r="AC51" i="2" s="1"/>
  <c r="U51" i="2"/>
  <c r="AA51" i="2" s="1"/>
  <c r="S51" i="2"/>
  <c r="N51" i="2"/>
  <c r="N52" i="2" s="1"/>
  <c r="L51" i="2"/>
  <c r="AC50" i="2"/>
  <c r="W50" i="2"/>
  <c r="U50" i="2"/>
  <c r="AA50" i="2" s="1"/>
  <c r="S50" i="2"/>
  <c r="S52" i="2" s="1"/>
  <c r="L50" i="2"/>
  <c r="Q48" i="2"/>
  <c r="W48" i="2" s="1"/>
  <c r="AC48" i="2" s="1"/>
  <c r="O48" i="2"/>
  <c r="U48" i="2" s="1"/>
  <c r="AA48" i="2" s="1"/>
  <c r="J48" i="2"/>
  <c r="H48" i="2"/>
  <c r="F48" i="2"/>
  <c r="AC47" i="2"/>
  <c r="W47" i="2"/>
  <c r="U47" i="2"/>
  <c r="AA47" i="2" s="1"/>
  <c r="S47" i="2"/>
  <c r="Y47" i="2" s="1"/>
  <c r="AE47" i="2" s="1"/>
  <c r="N47" i="2"/>
  <c r="N48" i="2" s="1"/>
  <c r="L47" i="2"/>
  <c r="W46" i="2"/>
  <c r="AC46" i="2" s="1"/>
  <c r="U46" i="2"/>
  <c r="AA46" i="2" s="1"/>
  <c r="S46" i="2"/>
  <c r="L46" i="2"/>
  <c r="Q44" i="2"/>
  <c r="O44" i="2"/>
  <c r="J44" i="2"/>
  <c r="W44" i="2" s="1"/>
  <c r="AC44" i="2" s="1"/>
  <c r="H44" i="2"/>
  <c r="F44" i="2"/>
  <c r="AA43" i="2"/>
  <c r="W43" i="2"/>
  <c r="AC43" i="2" s="1"/>
  <c r="U43" i="2"/>
  <c r="S43" i="2"/>
  <c r="N43" i="2"/>
  <c r="N44" i="2" s="1"/>
  <c r="L43" i="2"/>
  <c r="Y42" i="2"/>
  <c r="AE42" i="2" s="1"/>
  <c r="W42" i="2"/>
  <c r="AC42" i="2" s="1"/>
  <c r="U42" i="2"/>
  <c r="AA42" i="2" s="1"/>
  <c r="S42" i="2"/>
  <c r="L42" i="2"/>
  <c r="Q40" i="2"/>
  <c r="W40" i="2" s="1"/>
  <c r="AC40" i="2" s="1"/>
  <c r="O40" i="2"/>
  <c r="J40" i="2"/>
  <c r="H40" i="2"/>
  <c r="U40" i="2" s="1"/>
  <c r="AA40" i="2" s="1"/>
  <c r="F40" i="2"/>
  <c r="Y39" i="2"/>
  <c r="AE39" i="2" s="1"/>
  <c r="W39" i="2"/>
  <c r="AC39" i="2" s="1"/>
  <c r="U39" i="2"/>
  <c r="AA39" i="2" s="1"/>
  <c r="S39" i="2"/>
  <c r="N39" i="2"/>
  <c r="N40" i="2" s="1"/>
  <c r="L39" i="2"/>
  <c r="AA38" i="2"/>
  <c r="W38" i="2"/>
  <c r="AC38" i="2" s="1"/>
  <c r="U38" i="2"/>
  <c r="S38" i="2"/>
  <c r="L38" i="2"/>
  <c r="L40" i="2" s="1"/>
  <c r="Q36" i="2"/>
  <c r="W36" i="2" s="1"/>
  <c r="AC36" i="2" s="1"/>
  <c r="O36" i="2"/>
  <c r="U36" i="2" s="1"/>
  <c r="AA36" i="2" s="1"/>
  <c r="J36" i="2"/>
  <c r="H36" i="2"/>
  <c r="F36" i="2"/>
  <c r="W35" i="2"/>
  <c r="AC35" i="2" s="1"/>
  <c r="U35" i="2"/>
  <c r="AA35" i="2" s="1"/>
  <c r="S35" i="2"/>
  <c r="N35" i="2"/>
  <c r="N36" i="2" s="1"/>
  <c r="L35" i="2"/>
  <c r="W34" i="2"/>
  <c r="AC34" i="2" s="1"/>
  <c r="U34" i="2"/>
  <c r="AA34" i="2" s="1"/>
  <c r="S34" i="2"/>
  <c r="S36" i="2" s="1"/>
  <c r="L34" i="2"/>
  <c r="Q32" i="2"/>
  <c r="O32" i="2"/>
  <c r="J32" i="2"/>
  <c r="W32" i="2" s="1"/>
  <c r="AC32" i="2" s="1"/>
  <c r="H32" i="2"/>
  <c r="F32" i="2"/>
  <c r="Y31" i="2"/>
  <c r="AE31" i="2" s="1"/>
  <c r="W31" i="2"/>
  <c r="AC31" i="2" s="1"/>
  <c r="U31" i="2"/>
  <c r="AA31" i="2" s="1"/>
  <c r="S31" i="2"/>
  <c r="N31" i="2"/>
  <c r="N32" i="2" s="1"/>
  <c r="L31" i="2"/>
  <c r="AA30" i="2"/>
  <c r="W30" i="2"/>
  <c r="AC30" i="2" s="1"/>
  <c r="U30" i="2"/>
  <c r="S30" i="2"/>
  <c r="S32" i="2" s="1"/>
  <c r="L30" i="2"/>
  <c r="Q28" i="2"/>
  <c r="W28" i="2" s="1"/>
  <c r="AC28" i="2" s="1"/>
  <c r="O28" i="2"/>
  <c r="U28" i="2" s="1"/>
  <c r="AA28" i="2" s="1"/>
  <c r="J28" i="2"/>
  <c r="H28" i="2"/>
  <c r="F28" i="2"/>
  <c r="W27" i="2"/>
  <c r="AC27" i="2" s="1"/>
  <c r="U27" i="2"/>
  <c r="AA27" i="2" s="1"/>
  <c r="S27" i="2"/>
  <c r="Y27" i="2" s="1"/>
  <c r="AE27" i="2" s="1"/>
  <c r="N27" i="2"/>
  <c r="N28" i="2" s="1"/>
  <c r="L27" i="2"/>
  <c r="W26" i="2"/>
  <c r="AC26" i="2" s="1"/>
  <c r="U26" i="2"/>
  <c r="AA26" i="2" s="1"/>
  <c r="S26" i="2"/>
  <c r="Y26" i="2" s="1"/>
  <c r="AE26" i="2" s="1"/>
  <c r="L26" i="2"/>
  <c r="U24" i="2"/>
  <c r="AA24" i="2" s="1"/>
  <c r="Q24" i="2"/>
  <c r="O24" i="2"/>
  <c r="J24" i="2"/>
  <c r="H24" i="2"/>
  <c r="F24" i="2"/>
  <c r="AC23" i="2"/>
  <c r="AA23" i="2"/>
  <c r="W23" i="2"/>
  <c r="U23" i="2"/>
  <c r="S23" i="2"/>
  <c r="N23" i="2"/>
  <c r="N24" i="2" s="1"/>
  <c r="L23" i="2"/>
  <c r="Y23" i="2" s="1"/>
  <c r="AE23" i="2" s="1"/>
  <c r="AA22" i="2"/>
  <c r="W22" i="2"/>
  <c r="AC22" i="2" s="1"/>
  <c r="U22" i="2"/>
  <c r="S22" i="2"/>
  <c r="Y22" i="2" s="1"/>
  <c r="AE22" i="2" s="1"/>
  <c r="L22" i="2"/>
  <c r="W20" i="2"/>
  <c r="AC20" i="2" s="1"/>
  <c r="S20" i="2"/>
  <c r="Q20" i="2"/>
  <c r="O20" i="2"/>
  <c r="J20" i="2"/>
  <c r="H20" i="2"/>
  <c r="F20" i="2"/>
  <c r="AA19" i="2"/>
  <c r="W19" i="2"/>
  <c r="AC19" i="2" s="1"/>
  <c r="U19" i="2"/>
  <c r="S19" i="2"/>
  <c r="N19" i="2"/>
  <c r="N20" i="2" s="1"/>
  <c r="L19" i="2"/>
  <c r="W18" i="2"/>
  <c r="AC18" i="2" s="1"/>
  <c r="U18" i="2"/>
  <c r="AA18" i="2" s="1"/>
  <c r="S18" i="2"/>
  <c r="L18" i="2"/>
  <c r="L20" i="2" s="1"/>
  <c r="Q16" i="2"/>
  <c r="O16" i="2"/>
  <c r="U16" i="2" s="1"/>
  <c r="AA16" i="2" s="1"/>
  <c r="J16" i="2"/>
  <c r="H16" i="2"/>
  <c r="F16" i="2"/>
  <c r="AC15" i="2"/>
  <c r="W15" i="2"/>
  <c r="U15" i="2"/>
  <c r="AA15" i="2" s="1"/>
  <c r="S15" i="2"/>
  <c r="Y15" i="2" s="1"/>
  <c r="AE15" i="2" s="1"/>
  <c r="N15" i="2"/>
  <c r="N16" i="2" s="1"/>
  <c r="L15" i="2"/>
  <c r="AA14" i="2"/>
  <c r="W14" i="2"/>
  <c r="AC14" i="2" s="1"/>
  <c r="U14" i="2"/>
  <c r="S14" i="2"/>
  <c r="L14" i="2"/>
  <c r="L16" i="2" s="1"/>
  <c r="Q12" i="2"/>
  <c r="W12" i="2" s="1"/>
  <c r="AC12" i="2" s="1"/>
  <c r="O12" i="2"/>
  <c r="J12" i="2"/>
  <c r="H12" i="2"/>
  <c r="F12" i="2"/>
  <c r="AA11" i="2"/>
  <c r="W11" i="2"/>
  <c r="AC11" i="2" s="1"/>
  <c r="U11" i="2"/>
  <c r="S11" i="2"/>
  <c r="Y11" i="2" s="1"/>
  <c r="AE11" i="2" s="1"/>
  <c r="N11" i="2"/>
  <c r="N12" i="2" s="1"/>
  <c r="L11" i="2"/>
  <c r="W10" i="2"/>
  <c r="AC10" i="2" s="1"/>
  <c r="U10" i="2"/>
  <c r="AA10" i="2" s="1"/>
  <c r="S10" i="2"/>
  <c r="S12" i="2" s="1"/>
  <c r="Y12" i="2" s="1"/>
  <c r="AE12" i="2" s="1"/>
  <c r="L10" i="2"/>
  <c r="L12" i="2" s="1"/>
  <c r="Q60" i="1"/>
  <c r="O60" i="1"/>
  <c r="U60" i="1" s="1"/>
  <c r="AA60" i="1" s="1"/>
  <c r="S59" i="1"/>
  <c r="J59" i="1"/>
  <c r="J60" i="1" s="1"/>
  <c r="H59" i="1"/>
  <c r="W58" i="1"/>
  <c r="AC58" i="1" s="1"/>
  <c r="S58" i="1"/>
  <c r="S60" i="1" s="1"/>
  <c r="J58" i="1"/>
  <c r="H58" i="1"/>
  <c r="H60" i="1" s="1"/>
  <c r="Q56" i="1"/>
  <c r="O56" i="1"/>
  <c r="F56" i="1"/>
  <c r="U55" i="1"/>
  <c r="AA55" i="1" s="1"/>
  <c r="S55" i="1"/>
  <c r="N55" i="1"/>
  <c r="J55" i="1"/>
  <c r="W55" i="1" s="1"/>
  <c r="AC55" i="1" s="1"/>
  <c r="H55" i="1"/>
  <c r="W54" i="1"/>
  <c r="AC54" i="1" s="1"/>
  <c r="U54" i="1"/>
  <c r="AA54" i="1" s="1"/>
  <c r="S54" i="1"/>
  <c r="S56" i="1" s="1"/>
  <c r="J54" i="1"/>
  <c r="H54" i="1"/>
  <c r="Q52" i="1"/>
  <c r="O52" i="1"/>
  <c r="H52" i="1"/>
  <c r="U51" i="1"/>
  <c r="AA51" i="1" s="1"/>
  <c r="S51" i="1"/>
  <c r="N51" i="1"/>
  <c r="N52" i="1" s="1"/>
  <c r="J51" i="1"/>
  <c r="H51" i="1"/>
  <c r="S50" i="1"/>
  <c r="Y50" i="1" s="1"/>
  <c r="AE50" i="1" s="1"/>
  <c r="L50" i="1"/>
  <c r="J50" i="1"/>
  <c r="H50" i="1"/>
  <c r="U50" i="1" s="1"/>
  <c r="AA50" i="1" s="1"/>
  <c r="Q48" i="1"/>
  <c r="O48" i="1"/>
  <c r="S47" i="1"/>
  <c r="N47" i="1"/>
  <c r="N48" i="1" s="1"/>
  <c r="J47" i="1"/>
  <c r="W47" i="1" s="1"/>
  <c r="AC47" i="1" s="1"/>
  <c r="H47" i="1"/>
  <c r="U47" i="1" s="1"/>
  <c r="AA47" i="1" s="1"/>
  <c r="S46" i="1"/>
  <c r="J46" i="1"/>
  <c r="H46" i="1"/>
  <c r="Q44" i="1"/>
  <c r="O44" i="1"/>
  <c r="F44" i="1"/>
  <c r="S43" i="1"/>
  <c r="N43" i="1"/>
  <c r="N44" i="1" s="1"/>
  <c r="J43" i="1"/>
  <c r="W43" i="1" s="1"/>
  <c r="AC43" i="1" s="1"/>
  <c r="H43" i="1"/>
  <c r="U43" i="1" s="1"/>
  <c r="AA43" i="1" s="1"/>
  <c r="W42" i="1"/>
  <c r="AC42" i="1" s="1"/>
  <c r="S42" i="1"/>
  <c r="J42" i="1"/>
  <c r="J44" i="1" s="1"/>
  <c r="W44" i="1" s="1"/>
  <c r="AC44" i="1" s="1"/>
  <c r="H42" i="1"/>
  <c r="Q40" i="1"/>
  <c r="O40" i="1"/>
  <c r="H40" i="1"/>
  <c r="U40" i="1" s="1"/>
  <c r="AA40" i="1" s="1"/>
  <c r="W39" i="1"/>
  <c r="AC39" i="1" s="1"/>
  <c r="S39" i="1"/>
  <c r="N39" i="1"/>
  <c r="N40" i="1" s="1"/>
  <c r="J39" i="1"/>
  <c r="H39" i="1"/>
  <c r="S38" i="1"/>
  <c r="J38" i="1"/>
  <c r="W38" i="1" s="1"/>
  <c r="AC38" i="1" s="1"/>
  <c r="H38" i="1"/>
  <c r="L38" i="1" s="1"/>
  <c r="Y38" i="1" s="1"/>
  <c r="AE38" i="1" s="1"/>
  <c r="Q36" i="1"/>
  <c r="O36" i="1"/>
  <c r="AE35" i="1"/>
  <c r="W35" i="1"/>
  <c r="AC35" i="1" s="1"/>
  <c r="S35" i="1"/>
  <c r="Y35" i="1" s="1"/>
  <c r="N35" i="1"/>
  <c r="N36" i="1" s="1"/>
  <c r="L35" i="1"/>
  <c r="J35" i="1"/>
  <c r="H35" i="1"/>
  <c r="U35" i="1" s="1"/>
  <c r="AA35" i="1" s="1"/>
  <c r="S34" i="1"/>
  <c r="J34" i="1"/>
  <c r="H34" i="1"/>
  <c r="H36" i="1" s="1"/>
  <c r="Q32" i="1"/>
  <c r="O32" i="1"/>
  <c r="F32" i="1"/>
  <c r="S31" i="1"/>
  <c r="N31" i="1"/>
  <c r="N32" i="1" s="1"/>
  <c r="J31" i="1"/>
  <c r="W31" i="1" s="1"/>
  <c r="AC31" i="1" s="1"/>
  <c r="H31" i="1"/>
  <c r="U31" i="1" s="1"/>
  <c r="AA31" i="1" s="1"/>
  <c r="S30" i="1"/>
  <c r="S32" i="1" s="1"/>
  <c r="J30" i="1"/>
  <c r="J32" i="1" s="1"/>
  <c r="H30" i="1"/>
  <c r="Q28" i="1"/>
  <c r="O28" i="1"/>
  <c r="W27" i="1"/>
  <c r="AC27" i="1" s="1"/>
  <c r="S27" i="1"/>
  <c r="N27" i="1"/>
  <c r="N28" i="1" s="1"/>
  <c r="J27" i="1"/>
  <c r="H27" i="1"/>
  <c r="S26" i="1"/>
  <c r="J26" i="1"/>
  <c r="W26" i="1" s="1"/>
  <c r="AC26" i="1" s="1"/>
  <c r="H26" i="1"/>
  <c r="Q24" i="1"/>
  <c r="O24" i="1"/>
  <c r="H24" i="1"/>
  <c r="U23" i="1"/>
  <c r="AA23" i="1" s="1"/>
  <c r="S23" i="1"/>
  <c r="N23" i="1"/>
  <c r="N24" i="1" s="1"/>
  <c r="J23" i="1"/>
  <c r="W23" i="1" s="1"/>
  <c r="AC23" i="1" s="1"/>
  <c r="H23" i="1"/>
  <c r="L23" i="1" s="1"/>
  <c r="U22" i="1"/>
  <c r="AA22" i="1" s="1"/>
  <c r="S22" i="1"/>
  <c r="J22" i="1"/>
  <c r="L22" i="1" s="1"/>
  <c r="L24" i="1" s="1"/>
  <c r="H22" i="1"/>
  <c r="Q20" i="1"/>
  <c r="O20" i="1"/>
  <c r="S19" i="1"/>
  <c r="N19" i="1"/>
  <c r="N20" i="1" s="1"/>
  <c r="J19" i="1"/>
  <c r="W19" i="1" s="1"/>
  <c r="AC19" i="1" s="1"/>
  <c r="H19" i="1"/>
  <c r="U19" i="1" s="1"/>
  <c r="AA19" i="1" s="1"/>
  <c r="S18" i="1"/>
  <c r="S20" i="1" s="1"/>
  <c r="J18" i="1"/>
  <c r="H18" i="1"/>
  <c r="H20" i="1" s="1"/>
  <c r="Q16" i="1"/>
  <c r="O16" i="1"/>
  <c r="S15" i="1"/>
  <c r="J15" i="1"/>
  <c r="H15" i="1"/>
  <c r="S14" i="1"/>
  <c r="N14" i="1"/>
  <c r="N15" i="1" s="1"/>
  <c r="J14" i="1"/>
  <c r="W14" i="1" s="1"/>
  <c r="AC14" i="1" s="1"/>
  <c r="H14" i="1"/>
  <c r="L14" i="1" s="1"/>
  <c r="Q12" i="1"/>
  <c r="O12" i="1"/>
  <c r="F12" i="1"/>
  <c r="S11" i="1"/>
  <c r="N11" i="1"/>
  <c r="J11" i="1"/>
  <c r="H11" i="1"/>
  <c r="U11" i="1" s="1"/>
  <c r="AA11" i="1" s="1"/>
  <c r="W10" i="1"/>
  <c r="AC10" i="1" s="1"/>
  <c r="S10" i="1"/>
  <c r="S12" i="1" s="1"/>
  <c r="N10" i="1"/>
  <c r="N12" i="1" s="1"/>
  <c r="J10" i="1"/>
  <c r="H10" i="1"/>
  <c r="L10" i="1" s="1"/>
  <c r="Y18" i="4" l="1"/>
  <c r="AE18" i="4" s="1"/>
  <c r="Y26" i="4"/>
  <c r="AE26" i="4" s="1"/>
  <c r="Y34" i="4"/>
  <c r="AE34" i="4" s="1"/>
  <c r="U48" i="4"/>
  <c r="AA48" i="4" s="1"/>
  <c r="L12" i="4"/>
  <c r="Y19" i="4"/>
  <c r="AE19" i="4" s="1"/>
  <c r="Y39" i="4"/>
  <c r="AE39" i="4" s="1"/>
  <c r="W48" i="4"/>
  <c r="AC48" i="4" s="1"/>
  <c r="Y56" i="4"/>
  <c r="AE56" i="4" s="1"/>
  <c r="Y14" i="4"/>
  <c r="AE14" i="4" s="1"/>
  <c r="W36" i="4"/>
  <c r="AC36" i="4" s="1"/>
  <c r="S44" i="4"/>
  <c r="Y59" i="4"/>
  <c r="AE59" i="4" s="1"/>
  <c r="W24" i="4"/>
  <c r="AC24" i="4" s="1"/>
  <c r="S32" i="4"/>
  <c r="S36" i="4"/>
  <c r="Y36" i="4" s="1"/>
  <c r="AE36" i="4" s="1"/>
  <c r="L48" i="4"/>
  <c r="S24" i="4"/>
  <c r="U32" i="4"/>
  <c r="AA32" i="4" s="1"/>
  <c r="L40" i="4"/>
  <c r="Y54" i="4"/>
  <c r="AE54" i="4" s="1"/>
  <c r="W56" i="4"/>
  <c r="AC56" i="4" s="1"/>
  <c r="Y15" i="4"/>
  <c r="AE15" i="4" s="1"/>
  <c r="L28" i="4"/>
  <c r="Y28" i="4" s="1"/>
  <c r="AE28" i="4" s="1"/>
  <c r="W32" i="4"/>
  <c r="AC32" i="4" s="1"/>
  <c r="N36" i="4"/>
  <c r="Y42" i="4"/>
  <c r="AE42" i="4" s="1"/>
  <c r="W44" i="4"/>
  <c r="AC44" i="4" s="1"/>
  <c r="L24" i="4"/>
  <c r="Y30" i="4"/>
  <c r="AE30" i="4" s="1"/>
  <c r="Y35" i="4"/>
  <c r="AE35" i="4" s="1"/>
  <c r="U52" i="4"/>
  <c r="AA52" i="4" s="1"/>
  <c r="Y55" i="4"/>
  <c r="AE55" i="4" s="1"/>
  <c r="U20" i="4"/>
  <c r="AA20" i="4" s="1"/>
  <c r="Y43" i="4"/>
  <c r="AE43" i="4" s="1"/>
  <c r="W12" i="4"/>
  <c r="AC12" i="4" s="1"/>
  <c r="W20" i="4"/>
  <c r="AC20" i="4" s="1"/>
  <c r="Y31" i="4"/>
  <c r="AE31" i="4" s="1"/>
  <c r="N44" i="4"/>
  <c r="F60" i="4"/>
  <c r="S52" i="4"/>
  <c r="Y27" i="3"/>
  <c r="AE27" i="3" s="1"/>
  <c r="S32" i="3"/>
  <c r="Y38" i="3"/>
  <c r="AE38" i="3" s="1"/>
  <c r="W56" i="3"/>
  <c r="AC56" i="3" s="1"/>
  <c r="W16" i="3"/>
  <c r="AC16" i="3" s="1"/>
  <c r="L56" i="3"/>
  <c r="L16" i="3"/>
  <c r="U32" i="3"/>
  <c r="AA32" i="3" s="1"/>
  <c r="U40" i="3"/>
  <c r="AA40" i="3" s="1"/>
  <c r="Y14" i="3"/>
  <c r="AE14" i="3" s="1"/>
  <c r="Y30" i="3"/>
  <c r="AE30" i="3" s="1"/>
  <c r="S20" i="3"/>
  <c r="L40" i="3"/>
  <c r="W20" i="3"/>
  <c r="AC20" i="3" s="1"/>
  <c r="L28" i="3"/>
  <c r="N60" i="3"/>
  <c r="L44" i="3"/>
  <c r="Y58" i="3"/>
  <c r="AE58" i="3" s="1"/>
  <c r="W60" i="3"/>
  <c r="AC60" i="3" s="1"/>
  <c r="U36" i="3"/>
  <c r="AA36" i="3" s="1"/>
  <c r="Y39" i="3"/>
  <c r="AE39" i="3" s="1"/>
  <c r="Y42" i="3"/>
  <c r="AE42" i="3" s="1"/>
  <c r="U44" i="3"/>
  <c r="AA44" i="3" s="1"/>
  <c r="W52" i="3"/>
  <c r="AC52" i="3" s="1"/>
  <c r="U60" i="3"/>
  <c r="AA60" i="3" s="1"/>
  <c r="Y18" i="3"/>
  <c r="AE18" i="3" s="1"/>
  <c r="U28" i="3"/>
  <c r="AA28" i="3" s="1"/>
  <c r="S36" i="3"/>
  <c r="Y36" i="3" s="1"/>
  <c r="AE36" i="3" s="1"/>
  <c r="Y19" i="3"/>
  <c r="AE19" i="3" s="1"/>
  <c r="Y28" i="3"/>
  <c r="AE28" i="3" s="1"/>
  <c r="Y48" i="3"/>
  <c r="AE48" i="3" s="1"/>
  <c r="Y32" i="2"/>
  <c r="AE32" i="2" s="1"/>
  <c r="S16" i="2"/>
  <c r="Y16" i="2" s="1"/>
  <c r="AE16" i="2" s="1"/>
  <c r="Y19" i="2"/>
  <c r="AE19" i="2" s="1"/>
  <c r="W52" i="2"/>
  <c r="AC52" i="2" s="1"/>
  <c r="N60" i="2"/>
  <c r="L32" i="2"/>
  <c r="F60" i="2"/>
  <c r="Y50" i="2"/>
  <c r="AE50" i="2" s="1"/>
  <c r="W60" i="2"/>
  <c r="AC60" i="2" s="1"/>
  <c r="W24" i="2"/>
  <c r="AC24" i="2" s="1"/>
  <c r="L44" i="2"/>
  <c r="Y14" i="2"/>
  <c r="AE14" i="2" s="1"/>
  <c r="U32" i="2"/>
  <c r="AA32" i="2" s="1"/>
  <c r="Y51" i="2"/>
  <c r="AE51" i="2" s="1"/>
  <c r="Y43" i="2"/>
  <c r="AE43" i="2" s="1"/>
  <c r="L56" i="2"/>
  <c r="Y46" i="2"/>
  <c r="AE46" i="2" s="1"/>
  <c r="U12" i="2"/>
  <c r="AA12" i="2" s="1"/>
  <c r="U20" i="2"/>
  <c r="AA20" i="2" s="1"/>
  <c r="L28" i="2"/>
  <c r="Y34" i="2"/>
  <c r="AE34" i="2" s="1"/>
  <c r="L48" i="2"/>
  <c r="W56" i="2"/>
  <c r="AC56" i="2" s="1"/>
  <c r="Y18" i="2"/>
  <c r="AE18" i="2" s="1"/>
  <c r="Y20" i="2"/>
  <c r="AE20" i="2" s="1"/>
  <c r="Y59" i="1"/>
  <c r="AE59" i="1" s="1"/>
  <c r="L34" i="1"/>
  <c r="L36" i="1" s="1"/>
  <c r="W59" i="1"/>
  <c r="AC59" i="1" s="1"/>
  <c r="S40" i="1"/>
  <c r="J28" i="1"/>
  <c r="W28" i="1" s="1"/>
  <c r="AC28" i="1" s="1"/>
  <c r="U38" i="1"/>
  <c r="AA38" i="1" s="1"/>
  <c r="L19" i="1"/>
  <c r="Y19" i="1" s="1"/>
  <c r="AE19" i="1" s="1"/>
  <c r="U52" i="1"/>
  <c r="AA52" i="1" s="1"/>
  <c r="J16" i="1"/>
  <c r="W16" i="1" s="1"/>
  <c r="AC16" i="1" s="1"/>
  <c r="L31" i="1"/>
  <c r="Y31" i="1" s="1"/>
  <c r="AE31" i="1" s="1"/>
  <c r="Y23" i="1"/>
  <c r="AE23" i="1" s="1"/>
  <c r="S44" i="1"/>
  <c r="S48" i="1"/>
  <c r="L55" i="1"/>
  <c r="Y55" i="1" s="1"/>
  <c r="AE55" i="1" s="1"/>
  <c r="L58" i="1"/>
  <c r="Y58" i="1" s="1"/>
  <c r="AE58" i="1" s="1"/>
  <c r="L26" i="1"/>
  <c r="Y26" i="1" s="1"/>
  <c r="AE26" i="1" s="1"/>
  <c r="W32" i="1"/>
  <c r="AC32" i="1" s="1"/>
  <c r="U36" i="1"/>
  <c r="AA36" i="1" s="1"/>
  <c r="L47" i="1"/>
  <c r="Y47" i="1" s="1"/>
  <c r="AE47" i="1" s="1"/>
  <c r="N59" i="1"/>
  <c r="U58" i="1"/>
  <c r="AA58" i="1" s="1"/>
  <c r="L59" i="1"/>
  <c r="L60" i="1" s="1"/>
  <c r="Y60" i="1" s="1"/>
  <c r="AE60" i="1" s="1"/>
  <c r="J12" i="1"/>
  <c r="W12" i="1" s="1"/>
  <c r="AC12" i="1" s="1"/>
  <c r="U26" i="1"/>
  <c r="AA26" i="1" s="1"/>
  <c r="J40" i="1"/>
  <c r="U34" i="1"/>
  <c r="AA34" i="1" s="1"/>
  <c r="Y34" i="1"/>
  <c r="AE34" i="1" s="1"/>
  <c r="W11" i="1"/>
  <c r="AC11" i="1" s="1"/>
  <c r="W15" i="1"/>
  <c r="AC15" i="1" s="1"/>
  <c r="U18" i="1"/>
  <c r="AA18" i="1" s="1"/>
  <c r="L18" i="1"/>
  <c r="Y22" i="1"/>
  <c r="AE22" i="1" s="1"/>
  <c r="W60" i="1"/>
  <c r="AC60" i="1" s="1"/>
  <c r="L36" i="2"/>
  <c r="Y36" i="2" s="1"/>
  <c r="AE36" i="2" s="1"/>
  <c r="S44" i="2"/>
  <c r="Y44" i="2" s="1"/>
  <c r="AE44" i="2" s="1"/>
  <c r="L20" i="4"/>
  <c r="Y20" i="4" s="1"/>
  <c r="AE20" i="4" s="1"/>
  <c r="N24" i="4"/>
  <c r="L27" i="1"/>
  <c r="Y27" i="1" s="1"/>
  <c r="AE27" i="1" s="1"/>
  <c r="H28" i="1"/>
  <c r="U28" i="1" s="1"/>
  <c r="AA28" i="1" s="1"/>
  <c r="Y54" i="2"/>
  <c r="AE54" i="2" s="1"/>
  <c r="S56" i="2"/>
  <c r="Y56" i="2" s="1"/>
  <c r="AE56" i="2" s="1"/>
  <c r="Y22" i="3"/>
  <c r="AE22" i="3" s="1"/>
  <c r="S24" i="3"/>
  <c r="Y24" i="3" s="1"/>
  <c r="AE24" i="3" s="1"/>
  <c r="Y11" i="4"/>
  <c r="AE11" i="4" s="1"/>
  <c r="Y23" i="4"/>
  <c r="AE23" i="4" s="1"/>
  <c r="Y48" i="4"/>
  <c r="AE48" i="4" s="1"/>
  <c r="U24" i="1"/>
  <c r="AA24" i="1" s="1"/>
  <c r="Y52" i="3"/>
  <c r="AE52" i="3" s="1"/>
  <c r="W18" i="1"/>
  <c r="AC18" i="1" s="1"/>
  <c r="J20" i="1"/>
  <c r="W20" i="1" s="1"/>
  <c r="AC20" i="1" s="1"/>
  <c r="W52" i="1"/>
  <c r="AC52" i="1" s="1"/>
  <c r="U10" i="1"/>
  <c r="AA10" i="1" s="1"/>
  <c r="H16" i="1"/>
  <c r="U16" i="1" s="1"/>
  <c r="AA16" i="1" s="1"/>
  <c r="S24" i="1"/>
  <c r="Y24" i="1" s="1"/>
  <c r="AE24" i="1" s="1"/>
  <c r="U27" i="1"/>
  <c r="AA27" i="1" s="1"/>
  <c r="S36" i="1"/>
  <c r="L43" i="1"/>
  <c r="Y43" i="1" s="1"/>
  <c r="AE43" i="1" s="1"/>
  <c r="J52" i="1"/>
  <c r="S52" i="1"/>
  <c r="W16" i="2"/>
  <c r="AC16" i="2" s="1"/>
  <c r="S12" i="3"/>
  <c r="Y12" i="3" s="1"/>
  <c r="AE12" i="3" s="1"/>
  <c r="Y32" i="3"/>
  <c r="AE32" i="3" s="1"/>
  <c r="L44" i="4"/>
  <c r="N48" i="4"/>
  <c r="W46" i="1"/>
  <c r="AC46" i="1" s="1"/>
  <c r="J48" i="1"/>
  <c r="W48" i="1" s="1"/>
  <c r="AC48" i="1" s="1"/>
  <c r="H12" i="1"/>
  <c r="U12" i="1" s="1"/>
  <c r="AA12" i="1" s="1"/>
  <c r="Y14" i="1"/>
  <c r="AE14" i="1" s="1"/>
  <c r="S16" i="1"/>
  <c r="U20" i="1"/>
  <c r="AA20" i="1" s="1"/>
  <c r="W30" i="1"/>
  <c r="AC30" i="1" s="1"/>
  <c r="W40" i="1"/>
  <c r="AC40" i="1" s="1"/>
  <c r="F60" i="1"/>
  <c r="U44" i="2"/>
  <c r="AA44" i="2" s="1"/>
  <c r="S56" i="3"/>
  <c r="Y56" i="3" s="1"/>
  <c r="AE56" i="3" s="1"/>
  <c r="Y54" i="3"/>
  <c r="AE54" i="3" s="1"/>
  <c r="Y16" i="4"/>
  <c r="AE16" i="4" s="1"/>
  <c r="Y47" i="4"/>
  <c r="AE47" i="4" s="1"/>
  <c r="Y10" i="1"/>
  <c r="AE10" i="1" s="1"/>
  <c r="U14" i="1"/>
  <c r="AA14" i="1" s="1"/>
  <c r="J56" i="1"/>
  <c r="L54" i="1"/>
  <c r="L56" i="1" s="1"/>
  <c r="N56" i="1"/>
  <c r="S40" i="2"/>
  <c r="Y40" i="2" s="1"/>
  <c r="AE40" i="2" s="1"/>
  <c r="Y38" i="2"/>
  <c r="AE38" i="2" s="1"/>
  <c r="Y20" i="3"/>
  <c r="AE20" i="3" s="1"/>
  <c r="N59" i="3"/>
  <c r="N16" i="4"/>
  <c r="L30" i="1"/>
  <c r="H32" i="1"/>
  <c r="U32" i="1" s="1"/>
  <c r="AA32" i="1" s="1"/>
  <c r="U30" i="1"/>
  <c r="AA30" i="1" s="1"/>
  <c r="Y54" i="1"/>
  <c r="AE54" i="1" s="1"/>
  <c r="Y35" i="2"/>
  <c r="AE35" i="2" s="1"/>
  <c r="U12" i="3"/>
  <c r="AA12" i="3" s="1"/>
  <c r="W32" i="3"/>
  <c r="AC32" i="3" s="1"/>
  <c r="N28" i="4"/>
  <c r="Y40" i="4"/>
  <c r="AE40" i="4" s="1"/>
  <c r="J36" i="1"/>
  <c r="W36" i="1" s="1"/>
  <c r="AC36" i="1" s="1"/>
  <c r="W34" i="1"/>
  <c r="AC34" i="1" s="1"/>
  <c r="U46" i="1"/>
  <c r="AA46" i="1" s="1"/>
  <c r="L46" i="1"/>
  <c r="L11" i="1"/>
  <c r="Y11" i="1" s="1"/>
  <c r="AE11" i="1" s="1"/>
  <c r="U39" i="1"/>
  <c r="AA39" i="1" s="1"/>
  <c r="L39" i="1"/>
  <c r="Y39" i="1" s="1"/>
  <c r="AE39" i="1" s="1"/>
  <c r="U42" i="1"/>
  <c r="AA42" i="1" s="1"/>
  <c r="L42" i="1"/>
  <c r="H44" i="1"/>
  <c r="U44" i="1" s="1"/>
  <c r="AA44" i="1" s="1"/>
  <c r="W51" i="1"/>
  <c r="AC51" i="1" s="1"/>
  <c r="L51" i="1"/>
  <c r="L52" i="1" s="1"/>
  <c r="W56" i="1"/>
  <c r="AC56" i="1" s="1"/>
  <c r="N59" i="2"/>
  <c r="W48" i="3"/>
  <c r="AC48" i="3" s="1"/>
  <c r="N40" i="4"/>
  <c r="Y56" i="1"/>
  <c r="AE56" i="1" s="1"/>
  <c r="L52" i="2"/>
  <c r="Y52" i="2" s="1"/>
  <c r="AE52" i="2" s="1"/>
  <c r="U10" i="4"/>
  <c r="AA10" i="4" s="1"/>
  <c r="S10" i="4"/>
  <c r="O12" i="4"/>
  <c r="U12" i="4" s="1"/>
  <c r="AA12" i="4" s="1"/>
  <c r="Y52" i="4"/>
  <c r="AE52" i="4" s="1"/>
  <c r="S60" i="2"/>
  <c r="Y60" i="2" s="1"/>
  <c r="AE60" i="2" s="1"/>
  <c r="Y58" i="2"/>
  <c r="AE58" i="2" s="1"/>
  <c r="U48" i="1"/>
  <c r="AA48" i="1" s="1"/>
  <c r="U15" i="1"/>
  <c r="AA15" i="1" s="1"/>
  <c r="L15" i="1"/>
  <c r="Y15" i="1" s="1"/>
  <c r="AE15" i="1" s="1"/>
  <c r="Y51" i="1"/>
  <c r="AE51" i="1" s="1"/>
  <c r="J24" i="1"/>
  <c r="W24" i="1" s="1"/>
  <c r="AC24" i="1" s="1"/>
  <c r="W22" i="1"/>
  <c r="AC22" i="1" s="1"/>
  <c r="S28" i="1"/>
  <c r="H48" i="1"/>
  <c r="Y50" i="3"/>
  <c r="AE50" i="3" s="1"/>
  <c r="Y24" i="4"/>
  <c r="AE24" i="4" s="1"/>
  <c r="Y32" i="4"/>
  <c r="AE32" i="4" s="1"/>
  <c r="W60" i="4"/>
  <c r="AC60" i="4" s="1"/>
  <c r="N58" i="1"/>
  <c r="N60" i="1" s="1"/>
  <c r="Y30" i="2"/>
  <c r="AE30" i="2" s="1"/>
  <c r="S48" i="2"/>
  <c r="Y48" i="2" s="1"/>
  <c r="AE48" i="2" s="1"/>
  <c r="S16" i="3"/>
  <c r="Y46" i="3"/>
  <c r="AE46" i="3" s="1"/>
  <c r="U59" i="1"/>
  <c r="AA59" i="1" s="1"/>
  <c r="Y10" i="2"/>
  <c r="AE10" i="2" s="1"/>
  <c r="S28" i="2"/>
  <c r="Y28" i="2" s="1"/>
  <c r="AE28" i="2" s="1"/>
  <c r="Y26" i="3"/>
  <c r="AE26" i="3" s="1"/>
  <c r="S44" i="3"/>
  <c r="Y44" i="3" s="1"/>
  <c r="AE44" i="3" s="1"/>
  <c r="N59" i="4"/>
  <c r="L24" i="2"/>
  <c r="N16" i="1"/>
  <c r="W50" i="1"/>
  <c r="AC50" i="1" s="1"/>
  <c r="S58" i="4"/>
  <c r="S24" i="2"/>
  <c r="Y24" i="2" s="1"/>
  <c r="AE24" i="2" s="1"/>
  <c r="S40" i="3"/>
  <c r="S60" i="3"/>
  <c r="Y60" i="3" s="1"/>
  <c r="AE60" i="3" s="1"/>
  <c r="H56" i="1"/>
  <c r="U56" i="1" s="1"/>
  <c r="AA56" i="1" s="1"/>
  <c r="N60" i="4" l="1"/>
  <c r="Y44" i="4"/>
  <c r="AE44" i="4" s="1"/>
  <c r="Y40" i="3"/>
  <c r="AE40" i="3" s="1"/>
  <c r="Y16" i="3"/>
  <c r="AE16" i="3" s="1"/>
  <c r="L20" i="1"/>
  <c r="Y20" i="1" s="1"/>
  <c r="AE20" i="1" s="1"/>
  <c r="Y18" i="1"/>
  <c r="AE18" i="1" s="1"/>
  <c r="Y58" i="4"/>
  <c r="AE58" i="4" s="1"/>
  <c r="S60" i="4"/>
  <c r="Y60" i="4" s="1"/>
  <c r="AE60" i="4" s="1"/>
  <c r="L40" i="1"/>
  <c r="Y40" i="1" s="1"/>
  <c r="AE40" i="1" s="1"/>
  <c r="Y46" i="1"/>
  <c r="AE46" i="1" s="1"/>
  <c r="L48" i="1"/>
  <c r="Y48" i="1" s="1"/>
  <c r="AE48" i="1" s="1"/>
  <c r="Y52" i="1"/>
  <c r="AE52" i="1" s="1"/>
  <c r="Y16" i="1"/>
  <c r="AE16" i="1" s="1"/>
  <c r="Y30" i="1"/>
  <c r="AE30" i="1" s="1"/>
  <c r="L32" i="1"/>
  <c r="Y32" i="1" s="1"/>
  <c r="AE32" i="1" s="1"/>
  <c r="L28" i="1"/>
  <c r="Y28" i="1" s="1"/>
  <c r="AE28" i="1" s="1"/>
  <c r="L12" i="1"/>
  <c r="Y12" i="1" s="1"/>
  <c r="AE12" i="1" s="1"/>
  <c r="Y36" i="1"/>
  <c r="AE36" i="1" s="1"/>
  <c r="L16" i="1"/>
  <c r="Y10" i="4"/>
  <c r="AE10" i="4" s="1"/>
  <c r="S12" i="4"/>
  <c r="Y12" i="4" s="1"/>
  <c r="AE12" i="4" s="1"/>
  <c r="L44" i="1"/>
  <c r="Y44" i="1" s="1"/>
  <c r="AE44" i="1" s="1"/>
  <c r="Y42" i="1"/>
  <c r="AE42" i="1" s="1"/>
</calcChain>
</file>

<file path=xl/sharedStrings.xml><?xml version="1.0" encoding="utf-8"?>
<sst xmlns="http://schemas.openxmlformats.org/spreadsheetml/2006/main" count="440" uniqueCount="36">
  <si>
    <t>%,C</t>
  </si>
  <si>
    <t>East Kentucky Power Cooperative, Inc.</t>
  </si>
  <si>
    <t>Case No. 2021-00103</t>
  </si>
  <si>
    <t>For the 12 Months Ended December 31, 2019</t>
  </si>
  <si>
    <t>Budget</t>
  </si>
  <si>
    <t>Actual</t>
  </si>
  <si>
    <t>Variance</t>
  </si>
  <si>
    <t>Date</t>
  </si>
  <si>
    <t>Employee Group</t>
  </si>
  <si>
    <t>FT/PT</t>
  </si>
  <si>
    <t>Regular Time</t>
  </si>
  <si>
    <t>Overtime</t>
  </si>
  <si>
    <t>Total</t>
  </si>
  <si>
    <t>%,FACCOUNT</t>
  </si>
  <si>
    <t>General &amp; Administrative</t>
  </si>
  <si>
    <t>G&amp;T Operations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</si>
  <si>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</si>
  <si>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</si>
  <si>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</si>
  <si>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</si>
  <si>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</si>
  <si>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</si>
  <si>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</si>
  <si>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</si>
  <si>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</si>
  <si>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</si>
  <si>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</si>
  <si>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</si>
  <si>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</si>
  <si>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t>For the 12 Months Ended December 31, 2018</t>
  </si>
  <si>
    <t>For the 12 Months Ended December 31, 2017</t>
  </si>
  <si>
    <t>For the 12 Months Ended December 31, 2016</t>
  </si>
  <si>
    <t>Budgeted and Actual Employees and Wages by Month</t>
  </si>
  <si>
    <r>
      <t xml:space="preserve">Variance Percentage  </t>
    </r>
    <r>
      <rPr>
        <b/>
        <sz val="9"/>
        <rFont val="Arial"/>
        <family val="2"/>
      </rPr>
      <t>(1)</t>
    </r>
  </si>
  <si>
    <t>(1)</t>
  </si>
  <si>
    <t>Monthly variances exceeding 5% can be attributed to allocation differences between budget and actual time reported, differences in the timing of O&amp;M and capital projects, staff reductions or delayed hiring of replacement staff, or unplanned outages.  However, on an annual basis, EKPC was under the 5% threshold for variance explanations.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</si>
</sst>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0.00_);\(0.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37" fontId="0" fillId="0" borderId="0" xfId="0" applyNumberFormat="1"/>
    <xf numFmtId="164" fontId="0" fillId="0" borderId="0" xfId="0" applyNumberFormat="1" applyAlignment="1">
      <alignment horizontal="center"/>
    </xf>
    <xf numFmtId="49" fontId="2" fillId="0" borderId="0" xfId="0" applyNumberFormat="1" applyFont="1" applyFill="1" applyBorder="1" applyAlignment="1" applyProtection="1">
      <alignment horizontal="left" vertical="top"/>
    </xf>
    <xf numFmtId="0" fontId="3" fillId="0" borderId="0" xfId="0" applyFont="1" applyAlignment="1"/>
    <xf numFmtId="0" fontId="0" fillId="0" borderId="0" xfId="0" quotePrefix="1"/>
    <xf numFmtId="0" fontId="2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7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0" xfId="0" applyFill="1"/>
    <xf numFmtId="16" fontId="6" fillId="0" borderId="0" xfId="0" quotePrefix="1" applyNumberFormat="1" applyFont="1" applyFill="1" applyAlignment="1">
      <alignment horizontal="center"/>
    </xf>
    <xf numFmtId="0" fontId="0" fillId="0" borderId="0" xfId="0" applyNumberFormat="1" applyFill="1"/>
    <xf numFmtId="37" fontId="0" fillId="0" borderId="0" xfId="0" applyNumberFormat="1" applyFill="1" applyBorder="1"/>
    <xf numFmtId="37" fontId="6" fillId="0" borderId="0" xfId="0" applyNumberFormat="1" applyFont="1" applyFill="1" applyBorder="1"/>
    <xf numFmtId="37" fontId="0" fillId="0" borderId="0" xfId="0" applyNumberFormat="1" applyFill="1"/>
    <xf numFmtId="164" fontId="0" fillId="0" borderId="0" xfId="0" applyNumberFormat="1" applyFill="1" applyAlignment="1">
      <alignment horizontal="center"/>
    </xf>
    <xf numFmtId="0" fontId="6" fillId="0" borderId="0" xfId="0" quotePrefix="1" applyFont="1" applyAlignment="1">
      <alignment horizontal="center"/>
    </xf>
    <xf numFmtId="0" fontId="0" fillId="0" borderId="1" xfId="0" applyNumberFormat="1" applyBorder="1"/>
    <xf numFmtId="37" fontId="0" fillId="0" borderId="1" xfId="0" applyNumberFormat="1" applyFill="1" applyBorder="1"/>
    <xf numFmtId="37" fontId="6" fillId="0" borderId="1" xfId="0" applyNumberFormat="1" applyFont="1" applyFill="1" applyBorder="1"/>
    <xf numFmtId="164" fontId="0" fillId="0" borderId="1" xfId="0" applyNumberFormat="1" applyFill="1" applyBorder="1" applyAlignment="1">
      <alignment horizontal="center"/>
    </xf>
    <xf numFmtId="5" fontId="0" fillId="0" borderId="0" xfId="0" applyNumberFormat="1"/>
    <xf numFmtId="0" fontId="0" fillId="0" borderId="0" xfId="0" applyNumberFormat="1"/>
    <xf numFmtId="1" fontId="1" fillId="0" borderId="0" xfId="1" applyNumberFormat="1" applyFont="1" applyFill="1"/>
    <xf numFmtId="1" fontId="1" fillId="0" borderId="1" xfId="1" applyNumberFormat="1" applyFont="1" applyBorder="1"/>
    <xf numFmtId="1" fontId="0" fillId="0" borderId="0" xfId="0" applyNumberFormat="1"/>
    <xf numFmtId="1" fontId="0" fillId="0" borderId="0" xfId="0" applyNumberFormat="1" applyFill="1"/>
    <xf numFmtId="1" fontId="0" fillId="0" borderId="1" xfId="0" applyNumberFormat="1" applyBorder="1"/>
    <xf numFmtId="2" fontId="0" fillId="0" borderId="0" xfId="0" applyNumberFormat="1"/>
    <xf numFmtId="2" fontId="0" fillId="0" borderId="0" xfId="0" applyNumberFormat="1" applyFill="1"/>
    <xf numFmtId="2" fontId="0" fillId="0" borderId="1" xfId="0" applyNumberFormat="1" applyBorder="1"/>
    <xf numFmtId="1" fontId="0" fillId="0" borderId="1" xfId="0" applyNumberFormat="1" applyFill="1" applyBorder="1"/>
    <xf numFmtId="3" fontId="0" fillId="0" borderId="0" xfId="0" applyNumberFormat="1"/>
    <xf numFmtId="1" fontId="5" fillId="0" borderId="0" xfId="0" applyNumberFormat="1" applyFont="1" applyAlignment="1">
      <alignment horizontal="center"/>
    </xf>
    <xf numFmtId="0" fontId="7" fillId="0" borderId="0" xfId="0" applyFont="1" applyAlignment="1"/>
    <xf numFmtId="0" fontId="0" fillId="0" borderId="0" xfId="0" applyAlignment="1">
      <alignment wrapText="1"/>
    </xf>
    <xf numFmtId="49" fontId="9" fillId="0" borderId="0" xfId="0" quotePrefix="1" applyNumberFormat="1" applyFont="1"/>
    <xf numFmtId="0" fontId="0" fillId="0" borderId="1" xfId="0" applyBorder="1"/>
    <xf numFmtId="0" fontId="0" fillId="0" borderId="0" xfId="0" applyAlignment="1">
      <alignment horizontal="left" wrapText="1"/>
    </xf>
    <xf numFmtId="37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7"/>
  <sheetViews>
    <sheetView topLeftCell="B38" workbookViewId="0">
      <selection activeCell="AA8" sqref="AA8:AE8"/>
    </sheetView>
  </sheetViews>
  <sheetFormatPr defaultRowHeight="15" x14ac:dyDescent="0.25"/>
  <cols>
    <col min="1" max="1" width="9.140625" hidden="1" customWidth="1"/>
    <col min="2" max="2" width="9.140625" style="1" customWidth="1"/>
    <col min="3" max="3" width="3.7109375" customWidth="1"/>
    <col min="4" max="4" width="23.5703125" customWidth="1"/>
    <col min="5" max="5" width="1.28515625" customWidth="1"/>
    <col min="6" max="6" width="8" customWidth="1"/>
    <col min="7" max="7" width="1.28515625" customWidth="1"/>
    <col min="8" max="8" width="13.28515625" style="2" bestFit="1" customWidth="1"/>
    <col min="9" max="9" width="1.28515625" customWidth="1"/>
    <col min="10" max="10" width="11" style="2" customWidth="1"/>
    <col min="11" max="11" width="1.28515625" customWidth="1"/>
    <col min="12" max="12" width="11.7109375" style="2" customWidth="1"/>
    <col min="13" max="13" width="3.7109375" customWidth="1"/>
    <col min="14" max="14" width="8.140625" customWidth="1"/>
    <col min="15" max="15" width="13.28515625" style="2" bestFit="1" customWidth="1"/>
    <col min="16" max="16" width="1.28515625" customWidth="1"/>
    <col min="17" max="17" width="11" style="2" customWidth="1"/>
    <col min="18" max="18" width="1.28515625" customWidth="1"/>
    <col min="19" max="19" width="11.7109375" style="2" customWidth="1"/>
    <col min="20" max="20" width="3.7109375" customWidth="1"/>
    <col min="21" max="21" width="13.28515625" style="2" customWidth="1"/>
    <col min="22" max="22" width="1.28515625" customWidth="1"/>
    <col min="23" max="23" width="11.140625" style="2" customWidth="1"/>
    <col min="24" max="24" width="1.28515625" customWidth="1"/>
    <col min="25" max="25" width="11.85546875" style="2" customWidth="1"/>
    <col min="26" max="26" width="3.7109375" customWidth="1"/>
    <col min="27" max="27" width="13.28515625" style="3" bestFit="1" customWidth="1"/>
    <col min="28" max="28" width="1.28515625" customWidth="1"/>
    <col min="29" max="29" width="13.28515625" style="3" customWidth="1"/>
    <col min="30" max="30" width="1.28515625" customWidth="1"/>
    <col min="31" max="31" width="10.42578125" style="3" customWidth="1"/>
  </cols>
  <sheetData>
    <row r="1" spans="1:33" hidden="1" x14ac:dyDescent="0.25">
      <c r="L1" s="2" t="s">
        <v>0</v>
      </c>
      <c r="S1" s="2" t="s">
        <v>0</v>
      </c>
      <c r="Y1" s="2" t="s">
        <v>0</v>
      </c>
      <c r="AA1" s="3" t="s">
        <v>0</v>
      </c>
      <c r="AC1" s="3" t="s">
        <v>0</v>
      </c>
      <c r="AE1" s="3" t="s">
        <v>0</v>
      </c>
    </row>
    <row r="2" spans="1:33" x14ac:dyDescent="0.25">
      <c r="B2" s="4" t="s">
        <v>1</v>
      </c>
    </row>
    <row r="3" spans="1:33" x14ac:dyDescent="0.25">
      <c r="B3" s="4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G3" s="6"/>
    </row>
    <row r="4" spans="1:33" x14ac:dyDescent="0.25">
      <c r="B4" s="4" t="s">
        <v>32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3" x14ac:dyDescent="0.25">
      <c r="B5" s="7" t="s">
        <v>3</v>
      </c>
    </row>
    <row r="6" spans="1:33" x14ac:dyDescent="0.25">
      <c r="B6" s="8"/>
    </row>
    <row r="7" spans="1:33" x14ac:dyDescent="0.25">
      <c r="B7" s="8"/>
    </row>
    <row r="8" spans="1:33" x14ac:dyDescent="0.25">
      <c r="F8" s="41"/>
      <c r="G8" s="41"/>
      <c r="H8" s="43" t="s">
        <v>4</v>
      </c>
      <c r="I8" s="43"/>
      <c r="J8" s="43"/>
      <c r="K8" s="43"/>
      <c r="L8" s="43"/>
      <c r="N8" s="43" t="s">
        <v>5</v>
      </c>
      <c r="O8" s="43"/>
      <c r="P8" s="43"/>
      <c r="Q8" s="43"/>
      <c r="R8" s="43"/>
      <c r="S8" s="43"/>
      <c r="U8" s="43" t="s">
        <v>6</v>
      </c>
      <c r="V8" s="43"/>
      <c r="W8" s="43"/>
      <c r="X8" s="43"/>
      <c r="Y8" s="43"/>
      <c r="AA8" s="44" t="s">
        <v>33</v>
      </c>
      <c r="AB8" s="44"/>
      <c r="AC8" s="44"/>
      <c r="AD8" s="44"/>
      <c r="AE8" s="44"/>
    </row>
    <row r="9" spans="1:33" s="9" customFormat="1" ht="12.75" x14ac:dyDescent="0.2">
      <c r="B9" s="10" t="s">
        <v>7</v>
      </c>
      <c r="D9" s="10" t="s">
        <v>8</v>
      </c>
      <c r="F9" s="10" t="s">
        <v>9</v>
      </c>
      <c r="H9" s="11" t="s">
        <v>10</v>
      </c>
      <c r="J9" s="11" t="s">
        <v>11</v>
      </c>
      <c r="L9" s="11" t="s">
        <v>12</v>
      </c>
      <c r="N9" s="10" t="s">
        <v>9</v>
      </c>
      <c r="O9" s="11" t="s">
        <v>10</v>
      </c>
      <c r="Q9" s="11" t="s">
        <v>11</v>
      </c>
      <c r="S9" s="11" t="s">
        <v>12</v>
      </c>
      <c r="U9" s="11" t="s">
        <v>10</v>
      </c>
      <c r="W9" s="11" t="s">
        <v>11</v>
      </c>
      <c r="Y9" s="11" t="s">
        <v>12</v>
      </c>
      <c r="AA9" s="12" t="s">
        <v>10</v>
      </c>
      <c r="AC9" s="12" t="s">
        <v>11</v>
      </c>
      <c r="AE9" s="12" t="s">
        <v>12</v>
      </c>
    </row>
    <row r="10" spans="1:33" s="13" customFormat="1" x14ac:dyDescent="0.25">
      <c r="A10" s="13" t="s">
        <v>13</v>
      </c>
      <c r="B10" s="14"/>
      <c r="D10" s="13" t="s">
        <v>14</v>
      </c>
      <c r="F10" s="15"/>
      <c r="H10" s="16">
        <f>1173724+39917-8782</f>
        <v>1204859</v>
      </c>
      <c r="J10" s="17">
        <f>-15044+24167-5317</f>
        <v>3806</v>
      </c>
      <c r="L10" s="18">
        <f>SUM(H10+J10)</f>
        <v>1208665</v>
      </c>
      <c r="N10" s="15">
        <f>3+21+97+3+3+6+1</f>
        <v>134</v>
      </c>
      <c r="O10" s="17">
        <v>1138555.0100000002</v>
      </c>
      <c r="Q10" s="17">
        <v>3152.33</v>
      </c>
      <c r="S10" s="18">
        <f>SUM(O10+Q10)</f>
        <v>1141707.3400000003</v>
      </c>
      <c r="U10" s="18">
        <f>SUM(O10-H10)</f>
        <v>-66303.989999999758</v>
      </c>
      <c r="W10" s="18">
        <f>SUM(Q10-J10)</f>
        <v>-653.67000000000007</v>
      </c>
      <c r="Y10" s="18">
        <f>S10-L10</f>
        <v>-66957.659999999683</v>
      </c>
      <c r="AA10" s="19">
        <f>IF(U10=0,"------",(U10/H10*100))</f>
        <v>-5.5030497344502347</v>
      </c>
      <c r="AC10" s="19">
        <f>IF(W10=0,"------",(W10/J10*100))</f>
        <v>-17.174724119810829</v>
      </c>
      <c r="AE10" s="19">
        <f>IF(Y10=0,"------",(Y10/L10*100))</f>
        <v>-5.5398030057956245</v>
      </c>
    </row>
    <row r="11" spans="1:33" x14ac:dyDescent="0.25">
      <c r="A11" s="13" t="s">
        <v>13</v>
      </c>
      <c r="B11" s="20"/>
      <c r="D11" t="s">
        <v>15</v>
      </c>
      <c r="F11" s="21"/>
      <c r="H11" s="22">
        <f>4369382-31135</f>
        <v>4338247</v>
      </c>
      <c r="J11" s="23">
        <f>428938-18850</f>
        <v>410088</v>
      </c>
      <c r="L11" s="22">
        <f>SUM(H11+J11)</f>
        <v>4748335</v>
      </c>
      <c r="N11" s="21">
        <f>704-134</f>
        <v>570</v>
      </c>
      <c r="O11" s="22">
        <v>4099538.9899999993</v>
      </c>
      <c r="Q11" s="23">
        <v>337169.07</v>
      </c>
      <c r="S11" s="22">
        <f>SUM(O11+Q11)</f>
        <v>4436708.0599999996</v>
      </c>
      <c r="U11" s="22">
        <f>SUM(O11-H11)</f>
        <v>-238708.01000000071</v>
      </c>
      <c r="W11" s="22">
        <f>SUM(Q11-J11)</f>
        <v>-72918.929999999993</v>
      </c>
      <c r="Y11" s="22">
        <f>S11-L11</f>
        <v>-311626.94000000041</v>
      </c>
      <c r="AA11" s="24">
        <f>IF(U11=0,"------",(U11/H11*100))</f>
        <v>-5.5024070782507479</v>
      </c>
      <c r="AC11" s="24">
        <f>IF(W11=0,"------",(W11/J11*100))</f>
        <v>-17.781288406390821</v>
      </c>
      <c r="AE11" s="24">
        <f>IF(Y11=0,"------",(Y11/L11*100))</f>
        <v>-6.5628676157010917</v>
      </c>
    </row>
    <row r="12" spans="1:33" x14ac:dyDescent="0.25">
      <c r="B12" s="1" t="s">
        <v>16</v>
      </c>
      <c r="D12" s="1" t="s">
        <v>12</v>
      </c>
      <c r="E12" s="25"/>
      <c r="F12" s="26">
        <f>735+44</f>
        <v>779</v>
      </c>
      <c r="G12" s="25"/>
      <c r="H12" s="25">
        <f>SUM(H10:H11)</f>
        <v>5543106</v>
      </c>
      <c r="I12" s="25"/>
      <c r="J12" s="25">
        <f>SUM(J10:J11)</f>
        <v>413894</v>
      </c>
      <c r="K12" s="25"/>
      <c r="L12" s="25">
        <f>SUM(L10:L11)</f>
        <v>5957000</v>
      </c>
      <c r="N12" s="26">
        <f>SUM(N10:N11)</f>
        <v>704</v>
      </c>
      <c r="O12" s="25">
        <f>SUM(O10:O11)</f>
        <v>5238094</v>
      </c>
      <c r="P12" s="25"/>
      <c r="Q12" s="25">
        <f>SUM(Q10:Q11)</f>
        <v>340321.4</v>
      </c>
      <c r="R12" s="25"/>
      <c r="S12" s="25">
        <f>SUM(S10:S11)</f>
        <v>5578415.4000000004</v>
      </c>
      <c r="U12" s="25">
        <f>SUM(O12-H12)</f>
        <v>-305012</v>
      </c>
      <c r="V12" s="25"/>
      <c r="W12" s="25">
        <f>SUM(Q12-J12)</f>
        <v>-73572.599999999977</v>
      </c>
      <c r="X12" s="25"/>
      <c r="Y12" s="25">
        <f>SUM(S12-L12)</f>
        <v>-378584.59999999963</v>
      </c>
      <c r="AA12" s="19">
        <f>IF(U12=0,"------",(U12/H12*100))</f>
        <v>-5.5025467671013333</v>
      </c>
      <c r="AC12" s="19">
        <f>IF(W12=0,"------",(W12/J12*100))</f>
        <v>-17.775710689210275</v>
      </c>
      <c r="AE12" s="19">
        <f>IF(Y12=0,"------",(Y12/L12*100))</f>
        <v>-6.3552895752895688</v>
      </c>
    </row>
    <row r="13" spans="1:33" x14ac:dyDescent="0.25">
      <c r="F13" s="26"/>
      <c r="N13" s="26"/>
    </row>
    <row r="14" spans="1:33" s="13" customFormat="1" x14ac:dyDescent="0.25">
      <c r="A14" s="13" t="s">
        <v>13</v>
      </c>
      <c r="B14" s="14"/>
      <c r="D14" s="13" t="s">
        <v>14</v>
      </c>
      <c r="F14" s="15"/>
      <c r="H14" s="16">
        <f>1173724+39917-8782</f>
        <v>1204859</v>
      </c>
      <c r="J14" s="17">
        <f>+-15044+24167-5317</f>
        <v>3806</v>
      </c>
      <c r="L14" s="18">
        <f>SUM(H14+J14)</f>
        <v>1208665</v>
      </c>
      <c r="N14" s="15">
        <f>3+21+97+3+3+7+1</f>
        <v>135</v>
      </c>
      <c r="O14" s="17">
        <v>1077309.27</v>
      </c>
      <c r="Q14" s="17">
        <v>4148.76</v>
      </c>
      <c r="S14" s="18">
        <f>SUM(O14+Q14)</f>
        <v>1081458.03</v>
      </c>
      <c r="U14" s="18">
        <f>SUM(O14-H14)</f>
        <v>-127549.72999999998</v>
      </c>
      <c r="W14" s="18">
        <f>SUM(Q14-J14)</f>
        <v>342.76000000000022</v>
      </c>
      <c r="Y14" s="18">
        <f>S14-L14</f>
        <v>-127206.96999999997</v>
      </c>
      <c r="AA14" s="19">
        <f>IF(U14=0,"------",(U14/H14*100))</f>
        <v>-10.586278560395861</v>
      </c>
      <c r="AC14" s="19">
        <f>IF(W14=0,"------",(W14/J14*100))</f>
        <v>9.0057803468208153</v>
      </c>
      <c r="AE14" s="19">
        <f>IF(Y14=0,"------",(Y14/L14*100))</f>
        <v>-10.524584562306345</v>
      </c>
    </row>
    <row r="15" spans="1:33" x14ac:dyDescent="0.25">
      <c r="A15" s="13" t="s">
        <v>13</v>
      </c>
      <c r="B15" s="20"/>
      <c r="D15" t="s">
        <v>15</v>
      </c>
      <c r="F15" s="21"/>
      <c r="H15" s="22">
        <f>4388881-31135</f>
        <v>4357746</v>
      </c>
      <c r="J15" s="23">
        <f>428938-18850</f>
        <v>410088</v>
      </c>
      <c r="L15" s="22">
        <f>SUM(H15+J15)</f>
        <v>4767834</v>
      </c>
      <c r="N15" s="21">
        <f>704-N14</f>
        <v>569</v>
      </c>
      <c r="O15" s="22">
        <v>3790426.3000000003</v>
      </c>
      <c r="Q15" s="23">
        <v>281686.45</v>
      </c>
      <c r="S15" s="22">
        <f>SUM(O15+Q15)</f>
        <v>4072112.7500000005</v>
      </c>
      <c r="U15" s="22">
        <f>SUM(O15-H15)</f>
        <v>-567319.69999999972</v>
      </c>
      <c r="W15" s="22">
        <f>SUM(Q15-J15)</f>
        <v>-128401.54999999999</v>
      </c>
      <c r="Y15" s="22">
        <f>S15-L15</f>
        <v>-695721.24999999953</v>
      </c>
      <c r="AA15" s="24">
        <f>IF(U15=0,"------",(U15/H15*100))</f>
        <v>-13.018650008513569</v>
      </c>
      <c r="AC15" s="24">
        <f>IF(W15=0,"------",(W15/J15*100))</f>
        <v>-31.310730867521112</v>
      </c>
      <c r="AE15" s="24">
        <f>IF(Y15=0,"------",(Y15/L15*100))</f>
        <v>-14.591977195514765</v>
      </c>
    </row>
    <row r="16" spans="1:33" x14ac:dyDescent="0.25">
      <c r="B16" s="1" t="s">
        <v>17</v>
      </c>
      <c r="D16" s="1" t="s">
        <v>12</v>
      </c>
      <c r="E16" s="25"/>
      <c r="F16" s="26">
        <v>779</v>
      </c>
      <c r="G16" s="25"/>
      <c r="H16" s="25">
        <f>SUM(H14:H15)</f>
        <v>5562605</v>
      </c>
      <c r="I16" s="25"/>
      <c r="J16" s="25">
        <f>SUM(J14:J15)</f>
        <v>413894</v>
      </c>
      <c r="K16" s="25"/>
      <c r="L16" s="25">
        <f>SUM(L14:L15)</f>
        <v>5976499</v>
      </c>
      <c r="N16" s="26">
        <f>SUM(N14:N15)</f>
        <v>704</v>
      </c>
      <c r="O16" s="25">
        <f>SUM(O14:O15)</f>
        <v>4867735.57</v>
      </c>
      <c r="P16" s="25"/>
      <c r="Q16" s="25">
        <f>SUM(Q14:Q15)</f>
        <v>285835.21000000002</v>
      </c>
      <c r="R16" s="25"/>
      <c r="S16" s="25">
        <f>SUM(S14:S15)</f>
        <v>5153570.78</v>
      </c>
      <c r="U16" s="25">
        <f>SUM(O16-H16)</f>
        <v>-694869.4299999997</v>
      </c>
      <c r="V16" s="25"/>
      <c r="W16" s="25">
        <f>SUM(Q16-J16)</f>
        <v>-128058.78999999998</v>
      </c>
      <c r="X16" s="25"/>
      <c r="Y16" s="25">
        <f>SUM(S16-L16)</f>
        <v>-822928.21999999974</v>
      </c>
      <c r="AA16" s="19">
        <f>IF(U16=0,"------",(U16/H16*100))</f>
        <v>-12.491798896380377</v>
      </c>
      <c r="AC16" s="19">
        <f>IF(W16=0,"------",(W16/J16*100))</f>
        <v>-30.939996714134534</v>
      </c>
      <c r="AE16" s="19">
        <f>IF(Y16=0,"------",(Y16/L16*100))</f>
        <v>-13.769402789157997</v>
      </c>
    </row>
    <row r="17" spans="1:31" x14ac:dyDescent="0.25">
      <c r="F17" s="26"/>
      <c r="N17" s="26"/>
    </row>
    <row r="18" spans="1:31" s="13" customFormat="1" x14ac:dyDescent="0.25">
      <c r="A18" s="13" t="s">
        <v>13</v>
      </c>
      <c r="B18" s="14"/>
      <c r="D18" s="13" t="s">
        <v>14</v>
      </c>
      <c r="F18" s="15"/>
      <c r="H18" s="16">
        <f>1173724+39917-8782</f>
        <v>1204859</v>
      </c>
      <c r="J18" s="17">
        <f>-15044+24167-5317</f>
        <v>3806</v>
      </c>
      <c r="L18" s="18">
        <f>SUM(H18+J18)</f>
        <v>1208665</v>
      </c>
      <c r="N18" s="15">
        <v>137</v>
      </c>
      <c r="O18" s="17">
        <v>1110195.21</v>
      </c>
      <c r="Q18" s="17">
        <v>10222.08</v>
      </c>
      <c r="S18" s="18">
        <f>SUM(O18+Q18)</f>
        <v>1120417.29</v>
      </c>
      <c r="U18" s="18">
        <f>SUM(O18-H18)</f>
        <v>-94663.790000000037</v>
      </c>
      <c r="W18" s="18">
        <f>SUM(Q18-J18)</f>
        <v>6416.08</v>
      </c>
      <c r="Y18" s="18">
        <f>S18-L18</f>
        <v>-88247.709999999963</v>
      </c>
      <c r="AA18" s="19">
        <f>IF(U18=0,"------",(U18/H18*100))</f>
        <v>-7.8568355301325745</v>
      </c>
      <c r="AC18" s="19">
        <f>IF(W18=0,"------",(W18/J18*100))</f>
        <v>168.57803468208093</v>
      </c>
      <c r="AE18" s="19">
        <f>IF(Y18=0,"------",(Y18/L18*100))</f>
        <v>-7.301254690091957</v>
      </c>
    </row>
    <row r="19" spans="1:31" x14ac:dyDescent="0.25">
      <c r="A19" s="13" t="s">
        <v>13</v>
      </c>
      <c r="B19" s="20"/>
      <c r="D19" t="s">
        <v>15</v>
      </c>
      <c r="F19" s="21"/>
      <c r="H19" s="22">
        <f>4434258-31135</f>
        <v>4403123</v>
      </c>
      <c r="J19" s="23">
        <f>428938-18850</f>
        <v>410088</v>
      </c>
      <c r="L19" s="22">
        <f>SUM(H19+J19)</f>
        <v>4813211</v>
      </c>
      <c r="N19" s="21">
        <f>704-N18</f>
        <v>567</v>
      </c>
      <c r="O19" s="22">
        <v>3898844.54</v>
      </c>
      <c r="Q19" s="23">
        <v>506224.56</v>
      </c>
      <c r="S19" s="22">
        <f>SUM(O19+Q19)</f>
        <v>4405069.0999999996</v>
      </c>
      <c r="U19" s="22">
        <f>SUM(O19-H19)</f>
        <v>-504278.45999999996</v>
      </c>
      <c r="W19" s="22">
        <f>SUM(Q19-J19)</f>
        <v>96136.56</v>
      </c>
      <c r="Y19" s="22">
        <f>S19-L19</f>
        <v>-408141.90000000037</v>
      </c>
      <c r="AA19" s="24">
        <f>IF(U19=0,"------",(U19/H19*100))</f>
        <v>-11.452745244682012</v>
      </c>
      <c r="AC19" s="24">
        <f>IF(W19=0,"------",(W19/J19*100))</f>
        <v>23.442909814478842</v>
      </c>
      <c r="AE19" s="24">
        <f>IF(Y19=0,"------",(Y19/L19*100))</f>
        <v>-8.4796178684042811</v>
      </c>
    </row>
    <row r="20" spans="1:31" x14ac:dyDescent="0.25">
      <c r="B20" s="1" t="s">
        <v>18</v>
      </c>
      <c r="D20" s="1" t="s">
        <v>12</v>
      </c>
      <c r="E20" s="25"/>
      <c r="F20" s="26">
        <v>779</v>
      </c>
      <c r="G20" s="25"/>
      <c r="H20" s="25">
        <f>SUM(H18:H19)</f>
        <v>5607982</v>
      </c>
      <c r="I20" s="25"/>
      <c r="J20" s="25">
        <f>SUM(J18:J19)</f>
        <v>413894</v>
      </c>
      <c r="K20" s="25"/>
      <c r="L20" s="25">
        <f>SUM(L18:L19)</f>
        <v>6021876</v>
      </c>
      <c r="N20" s="26">
        <f>SUM(N18:N19)</f>
        <v>704</v>
      </c>
      <c r="O20" s="25">
        <f>SUM(O18:O19)</f>
        <v>5009039.75</v>
      </c>
      <c r="P20" s="25"/>
      <c r="Q20" s="25">
        <f>SUM(Q18:Q19)</f>
        <v>516446.64</v>
      </c>
      <c r="R20" s="25"/>
      <c r="S20" s="25">
        <f>SUM(S18:S19)</f>
        <v>5525486.3899999997</v>
      </c>
      <c r="U20" s="25">
        <f>SUM(O20-H20)</f>
        <v>-598942.25</v>
      </c>
      <c r="V20" s="25"/>
      <c r="W20" s="25">
        <f>SUM(Q20-J20)</f>
        <v>102552.64000000001</v>
      </c>
      <c r="X20" s="25"/>
      <c r="Y20" s="25">
        <f>SUM(S20-L20)</f>
        <v>-496389.61000000034</v>
      </c>
      <c r="AA20" s="19">
        <f>IF(U20=0,"------",(U20/H20*100))</f>
        <v>-10.680174258761886</v>
      </c>
      <c r="AC20" s="19">
        <f>IF(W20=0,"------",(W20/J20*100))</f>
        <v>24.777513083059919</v>
      </c>
      <c r="AE20" s="19">
        <f>IF(Y20=0,"------",(Y20/L20*100))</f>
        <v>-8.2431058029092643</v>
      </c>
    </row>
    <row r="21" spans="1:31" x14ac:dyDescent="0.25">
      <c r="F21" s="26"/>
      <c r="N21" s="26"/>
    </row>
    <row r="22" spans="1:31" s="13" customFormat="1" x14ac:dyDescent="0.25">
      <c r="A22" s="13" t="s">
        <v>13</v>
      </c>
      <c r="B22" s="14"/>
      <c r="D22" s="13" t="s">
        <v>14</v>
      </c>
      <c r="F22" s="15"/>
      <c r="H22" s="16">
        <f>1174784+39917-8782</f>
        <v>1205919</v>
      </c>
      <c r="J22" s="17">
        <f>-15044+24167-5317</f>
        <v>3806</v>
      </c>
      <c r="L22" s="18">
        <f>SUM(H22+J22)</f>
        <v>1209725</v>
      </c>
      <c r="N22" s="15">
        <v>137</v>
      </c>
      <c r="O22" s="17">
        <v>1180971.5200000003</v>
      </c>
      <c r="Q22" s="17">
        <v>14801.449999999999</v>
      </c>
      <c r="S22" s="18">
        <f>SUM(O22+Q22)</f>
        <v>1195772.9700000002</v>
      </c>
      <c r="U22" s="18">
        <f>SUM(O22-H22)</f>
        <v>-24947.479999999749</v>
      </c>
      <c r="W22" s="18">
        <f>SUM(Q22-J22)</f>
        <v>10995.449999999999</v>
      </c>
      <c r="Y22" s="18">
        <f>S22-L22</f>
        <v>-13952.029999999795</v>
      </c>
      <c r="AA22" s="19">
        <f>IF(U22=0,"------",(U22/H22*100))</f>
        <v>-2.0687525447397168</v>
      </c>
      <c r="AC22" s="19">
        <f>IF(W22=0,"------",(W22/J22*100))</f>
        <v>288.89779295848655</v>
      </c>
      <c r="AE22" s="19">
        <f>IF(Y22=0,"------",(Y22/L22*100))</f>
        <v>-1.1533224493169765</v>
      </c>
    </row>
    <row r="23" spans="1:31" x14ac:dyDescent="0.25">
      <c r="A23" s="13" t="s">
        <v>13</v>
      </c>
      <c r="B23" s="20"/>
      <c r="D23" t="s">
        <v>15</v>
      </c>
      <c r="F23" s="21"/>
      <c r="H23" s="22">
        <f>4429837-31135</f>
        <v>4398702</v>
      </c>
      <c r="J23" s="23">
        <f>568286-18850</f>
        <v>549436</v>
      </c>
      <c r="L23" s="22">
        <f>SUM(H23+J23)</f>
        <v>4948138</v>
      </c>
      <c r="N23" s="21">
        <f>701-N22</f>
        <v>564</v>
      </c>
      <c r="O23" s="22">
        <v>4112412.9499999997</v>
      </c>
      <c r="Q23" s="23">
        <v>667363.85</v>
      </c>
      <c r="S23" s="22">
        <f>SUM(O23+Q23)</f>
        <v>4779776.8</v>
      </c>
      <c r="U23" s="22">
        <f>SUM(O23-H23)</f>
        <v>-286289.05000000028</v>
      </c>
      <c r="W23" s="22">
        <f>SUM(Q23-J23)</f>
        <v>117927.84999999998</v>
      </c>
      <c r="Y23" s="22">
        <f>S23-L23</f>
        <v>-168361.20000000019</v>
      </c>
      <c r="AA23" s="24">
        <f>IF(U23=0,"------",(U23/H23*100))</f>
        <v>-6.5084893225319709</v>
      </c>
      <c r="AC23" s="24">
        <f>IF(W23=0,"------",(W23/J23*100))</f>
        <v>21.463437051813127</v>
      </c>
      <c r="AE23" s="24">
        <f>IF(Y23=0,"------",(Y23/L23*100))</f>
        <v>-3.4025162596516139</v>
      </c>
    </row>
    <row r="24" spans="1:31" x14ac:dyDescent="0.25">
      <c r="B24" s="1" t="s">
        <v>19</v>
      </c>
      <c r="D24" s="1" t="s">
        <v>12</v>
      </c>
      <c r="E24" s="25"/>
      <c r="F24" s="26">
        <v>779</v>
      </c>
      <c r="G24" s="25"/>
      <c r="H24" s="25">
        <f>SUM(H22:H23)</f>
        <v>5604621</v>
      </c>
      <c r="I24" s="25"/>
      <c r="J24" s="25">
        <f>SUM(J22:J23)</f>
        <v>553242</v>
      </c>
      <c r="K24" s="25"/>
      <c r="L24" s="25">
        <f>SUM(L22:L23)</f>
        <v>6157863</v>
      </c>
      <c r="N24" s="26">
        <f>SUM(N22:N23)</f>
        <v>701</v>
      </c>
      <c r="O24" s="25">
        <f>SUM(O22:O23)</f>
        <v>5293384.47</v>
      </c>
      <c r="P24" s="25"/>
      <c r="Q24" s="25">
        <f>SUM(Q22:Q23)</f>
        <v>682165.29999999993</v>
      </c>
      <c r="R24" s="25"/>
      <c r="S24" s="25">
        <f>SUM(S22:S23)</f>
        <v>5975549.7699999996</v>
      </c>
      <c r="U24" s="25">
        <f>SUM(O24-H24)</f>
        <v>-311236.53000000026</v>
      </c>
      <c r="V24" s="25"/>
      <c r="W24" s="25">
        <f>SUM(Q24-J24)</f>
        <v>128923.29999999993</v>
      </c>
      <c r="X24" s="25"/>
      <c r="Y24" s="25">
        <f>SUM(S24-L24)</f>
        <v>-182313.23000000045</v>
      </c>
      <c r="AA24" s="19">
        <f>IF(U24=0,"------",(U24/H24*100))</f>
        <v>-5.5532127863775314</v>
      </c>
      <c r="AC24" s="19">
        <f>IF(W24=0,"------",(W24/J24*100))</f>
        <v>23.303238004345282</v>
      </c>
      <c r="AE24" s="19">
        <f>IF(Y24=0,"------",(Y24/L24*100))</f>
        <v>-2.9606574553542431</v>
      </c>
    </row>
    <row r="25" spans="1:31" x14ac:dyDescent="0.25">
      <c r="F25" s="26"/>
      <c r="N25" s="26"/>
    </row>
    <row r="26" spans="1:31" s="13" customFormat="1" x14ac:dyDescent="0.25">
      <c r="A26" s="13" t="s">
        <v>13</v>
      </c>
      <c r="B26" s="14"/>
      <c r="D26" s="13" t="s">
        <v>14</v>
      </c>
      <c r="F26" s="15"/>
      <c r="H26" s="16">
        <f>1177984+39917-8782</f>
        <v>1209119</v>
      </c>
      <c r="J26" s="17">
        <f>-15044+24167-5317</f>
        <v>3806</v>
      </c>
      <c r="L26" s="18">
        <f>SUM(H26+J26)</f>
        <v>1212925</v>
      </c>
      <c r="N26" s="15">
        <v>139</v>
      </c>
      <c r="O26" s="17">
        <v>1255518.4299999997</v>
      </c>
      <c r="Q26" s="17">
        <v>21635.25</v>
      </c>
      <c r="S26" s="18">
        <f>SUM(O26+Q26)</f>
        <v>1277153.6799999997</v>
      </c>
      <c r="U26" s="18">
        <f>SUM(O26-H26)</f>
        <v>46399.429999999702</v>
      </c>
      <c r="W26" s="18">
        <f>SUM(Q26-J26)</f>
        <v>17829.25</v>
      </c>
      <c r="Y26" s="18">
        <f>S26-L26</f>
        <v>64228.679999999702</v>
      </c>
      <c r="AA26" s="19">
        <f>IF(U26=0,"------",(U26/H26*100))</f>
        <v>3.8374576861334333</v>
      </c>
      <c r="AC26" s="19">
        <f>IF(W26=0,"------",(W26/J26*100))</f>
        <v>468.45112979506041</v>
      </c>
      <c r="AE26" s="19">
        <f>IF(Y26=0,"------",(Y26/L26*100))</f>
        <v>5.2953546179689353</v>
      </c>
    </row>
    <row r="27" spans="1:31" x14ac:dyDescent="0.25">
      <c r="A27" s="13" t="s">
        <v>13</v>
      </c>
      <c r="B27" s="20"/>
      <c r="D27" t="s">
        <v>15</v>
      </c>
      <c r="F27" s="21"/>
      <c r="H27" s="22">
        <f>4472420-31135</f>
        <v>4441285</v>
      </c>
      <c r="J27" s="23">
        <f>588476-18850</f>
        <v>569626</v>
      </c>
      <c r="L27" s="22">
        <f>SUM(H27+J27)</f>
        <v>5010911</v>
      </c>
      <c r="N27" s="21">
        <f>722-N26</f>
        <v>583</v>
      </c>
      <c r="O27" s="22">
        <v>4716722.620000001</v>
      </c>
      <c r="Q27" s="23">
        <v>1001063.7100000001</v>
      </c>
      <c r="S27" s="22">
        <f>SUM(O27+Q27)</f>
        <v>5717786.330000001</v>
      </c>
      <c r="U27" s="22">
        <f>SUM(O27-H27)</f>
        <v>275437.62000000104</v>
      </c>
      <c r="W27" s="22">
        <f>SUM(Q27-J27)</f>
        <v>431437.71000000008</v>
      </c>
      <c r="Y27" s="22">
        <f>S27-L27</f>
        <v>706875.33000000101</v>
      </c>
      <c r="AA27" s="24">
        <f>IF(U27=0,"------",(U27/H27*100))</f>
        <v>6.2017551226728536</v>
      </c>
      <c r="AC27" s="24">
        <f>IF(W27=0,"------",(W27/J27*100))</f>
        <v>75.740522728948477</v>
      </c>
      <c r="AE27" s="24">
        <f>IF(Y27=0,"------",(Y27/L27*100))</f>
        <v>14.106722909267416</v>
      </c>
    </row>
    <row r="28" spans="1:31" x14ac:dyDescent="0.25">
      <c r="B28" s="1" t="s">
        <v>20</v>
      </c>
      <c r="D28" s="1" t="s">
        <v>12</v>
      </c>
      <c r="E28" s="25"/>
      <c r="F28" s="26">
        <v>779</v>
      </c>
      <c r="G28" s="25"/>
      <c r="H28" s="25">
        <f>SUM(H26:H27)</f>
        <v>5650404</v>
      </c>
      <c r="I28" s="25"/>
      <c r="J28" s="25">
        <f>SUM(J26:J27)</f>
        <v>573432</v>
      </c>
      <c r="K28" s="25"/>
      <c r="L28" s="25">
        <f>SUM(L26:L27)</f>
        <v>6223836</v>
      </c>
      <c r="N28" s="26">
        <f>SUM(N26:N27)</f>
        <v>722</v>
      </c>
      <c r="O28" s="25">
        <f>SUM(O26:O27)</f>
        <v>5972241.0500000007</v>
      </c>
      <c r="P28" s="25"/>
      <c r="Q28" s="25">
        <f>SUM(Q26:Q27)</f>
        <v>1022698.9600000001</v>
      </c>
      <c r="R28" s="25"/>
      <c r="S28" s="25">
        <f>SUM(S26:S27)</f>
        <v>6994940.0100000007</v>
      </c>
      <c r="U28" s="25">
        <f>SUM(O28-H28)</f>
        <v>321837.05000000075</v>
      </c>
      <c r="V28" s="25"/>
      <c r="W28" s="25">
        <f>SUM(Q28-J28)</f>
        <v>449266.96000000008</v>
      </c>
      <c r="X28" s="25"/>
      <c r="Y28" s="25">
        <f>SUM(S28-L28)</f>
        <v>771104.01000000071</v>
      </c>
      <c r="AA28" s="19">
        <f>IF(U28=0,"------",(U28/H28*100))</f>
        <v>5.6958236968542559</v>
      </c>
      <c r="AC28" s="19">
        <f>IF(W28=0,"------",(W28/J28*100))</f>
        <v>78.347033301245844</v>
      </c>
      <c r="AE28" s="19">
        <f>IF(Y28=0,"------",(Y28/L28*100))</f>
        <v>12.389529704831565</v>
      </c>
    </row>
    <row r="29" spans="1:31" x14ac:dyDescent="0.25">
      <c r="F29" s="26"/>
      <c r="N29" s="26"/>
    </row>
    <row r="30" spans="1:31" s="13" customFormat="1" x14ac:dyDescent="0.25">
      <c r="A30" s="13" t="s">
        <v>13</v>
      </c>
      <c r="B30" s="14"/>
      <c r="D30" s="13" t="s">
        <v>14</v>
      </c>
      <c r="F30" s="15"/>
      <c r="H30" s="16">
        <f>1181717+39917-8782</f>
        <v>1212852</v>
      </c>
      <c r="J30" s="17">
        <f>-15044+24167-5317</f>
        <v>3806</v>
      </c>
      <c r="L30" s="18">
        <f>SUM(H30+J30)</f>
        <v>1216658</v>
      </c>
      <c r="N30" s="15">
        <v>140</v>
      </c>
      <c r="O30" s="17">
        <v>1077741.3199999998</v>
      </c>
      <c r="Q30" s="17">
        <v>8401.84</v>
      </c>
      <c r="S30" s="18">
        <f>SUM(O30+Q30)</f>
        <v>1086143.1599999999</v>
      </c>
      <c r="U30" s="18">
        <f>SUM(O30-H30)</f>
        <v>-135110.68000000017</v>
      </c>
      <c r="W30" s="18">
        <f>SUM(Q30-J30)</f>
        <v>4595.84</v>
      </c>
      <c r="Y30" s="18">
        <f>S30-L30</f>
        <v>-130514.84000000008</v>
      </c>
      <c r="AA30" s="19">
        <f>IF(U30=0,"------",(U30/H30*100))</f>
        <v>-11.139914845339758</v>
      </c>
      <c r="AC30" s="19">
        <f>IF(W30=0,"------",(W30/J30*100))</f>
        <v>120.75249605885445</v>
      </c>
      <c r="AE30" s="19">
        <f>IF(Y30=0,"------",(Y30/L30*100))</f>
        <v>-10.727323537099174</v>
      </c>
    </row>
    <row r="31" spans="1:31" x14ac:dyDescent="0.25">
      <c r="A31" s="13" t="s">
        <v>13</v>
      </c>
      <c r="B31" s="20"/>
      <c r="D31" t="s">
        <v>15</v>
      </c>
      <c r="F31" s="21"/>
      <c r="H31" s="22">
        <f>4487004-31135</f>
        <v>4455869</v>
      </c>
      <c r="J31" s="23">
        <f>447128-18850</f>
        <v>428278</v>
      </c>
      <c r="L31" s="22">
        <f>SUM(H31+J31)</f>
        <v>4884147</v>
      </c>
      <c r="N31" s="21">
        <f>727-N30</f>
        <v>587</v>
      </c>
      <c r="O31" s="22">
        <v>3876936.2099999995</v>
      </c>
      <c r="Q31" s="23">
        <v>380638.4</v>
      </c>
      <c r="S31" s="22">
        <f>SUM(O31+Q31)</f>
        <v>4257574.6099999994</v>
      </c>
      <c r="U31" s="22">
        <f>SUM(O31-H31)</f>
        <v>-578932.7900000005</v>
      </c>
      <c r="W31" s="22">
        <f>SUM(Q31-J31)</f>
        <v>-47639.599999999977</v>
      </c>
      <c r="Y31" s="22">
        <f>S31-L31</f>
        <v>-626572.3900000006</v>
      </c>
      <c r="AA31" s="24">
        <f>IF(U31=0,"------",(U31/H31*100))</f>
        <v>-12.99258999759644</v>
      </c>
      <c r="AC31" s="24">
        <f>IF(W31=0,"------",(W31/J31*100))</f>
        <v>-11.123522571787477</v>
      </c>
      <c r="AE31" s="24">
        <f>IF(Y31=0,"------",(Y31/L31*100))</f>
        <v>-12.828696392635205</v>
      </c>
    </row>
    <row r="32" spans="1:31" x14ac:dyDescent="0.25">
      <c r="B32" s="1" t="s">
        <v>21</v>
      </c>
      <c r="D32" s="1" t="s">
        <v>12</v>
      </c>
      <c r="E32" s="25"/>
      <c r="F32" s="26">
        <f>735+65</f>
        <v>800</v>
      </c>
      <c r="G32" s="25"/>
      <c r="H32" s="25">
        <f>SUM(H30:H31)</f>
        <v>5668721</v>
      </c>
      <c r="I32" s="25"/>
      <c r="J32" s="25">
        <f>SUM(J30:J31)</f>
        <v>432084</v>
      </c>
      <c r="K32" s="25"/>
      <c r="L32" s="25">
        <f>SUM(L30:L31)</f>
        <v>6100805</v>
      </c>
      <c r="N32" s="26">
        <f>SUM(N30:N31)</f>
        <v>727</v>
      </c>
      <c r="O32" s="25">
        <f>SUM(O30:O31)</f>
        <v>4954677.5299999993</v>
      </c>
      <c r="P32" s="25"/>
      <c r="Q32" s="25">
        <f>SUM(Q30:Q31)</f>
        <v>389040.24000000005</v>
      </c>
      <c r="R32" s="25"/>
      <c r="S32" s="25">
        <f>SUM(S30:S31)</f>
        <v>5343717.7699999996</v>
      </c>
      <c r="U32" s="25">
        <f>SUM(O32-H32)</f>
        <v>-714043.47000000067</v>
      </c>
      <c r="V32" s="25"/>
      <c r="W32" s="25">
        <f>SUM(Q32-J32)</f>
        <v>-43043.759999999951</v>
      </c>
      <c r="X32" s="25"/>
      <c r="Y32" s="25">
        <f>SUM(S32-L32)</f>
        <v>-757087.23000000045</v>
      </c>
      <c r="AA32" s="19">
        <f>IF(U32=0,"------",(U32/H32*100))</f>
        <v>-12.59620062444422</v>
      </c>
      <c r="AC32" s="19">
        <f>IF(W32=0,"------",(W32/J32*100))</f>
        <v>-9.9618962979420544</v>
      </c>
      <c r="AE32" s="19">
        <f>IF(Y32=0,"------",(Y32/L32*100))</f>
        <v>-12.409628401497843</v>
      </c>
    </row>
    <row r="33" spans="1:31" x14ac:dyDescent="0.25">
      <c r="F33" s="26"/>
      <c r="N33" s="26"/>
    </row>
    <row r="34" spans="1:31" s="13" customFormat="1" x14ac:dyDescent="0.25">
      <c r="A34" s="13" t="s">
        <v>13</v>
      </c>
      <c r="B34" s="14"/>
      <c r="D34" s="13" t="s">
        <v>14</v>
      </c>
      <c r="F34" s="15"/>
      <c r="H34" s="16">
        <f>1223405+39917-8782</f>
        <v>1254540</v>
      </c>
      <c r="J34" s="17">
        <f>-15044+24167-5317</f>
        <v>3806</v>
      </c>
      <c r="L34" s="18">
        <f>SUM(H34+J34)</f>
        <v>1258346</v>
      </c>
      <c r="N34" s="15">
        <v>140</v>
      </c>
      <c r="O34" s="17">
        <v>1300148.5399999998</v>
      </c>
      <c r="Q34" s="17">
        <v>5341.67</v>
      </c>
      <c r="S34" s="18">
        <f>SUM(O34+Q34)</f>
        <v>1305490.2099999997</v>
      </c>
      <c r="U34" s="18">
        <f>SUM(O34-H34)</f>
        <v>45608.539999999804</v>
      </c>
      <c r="W34" s="18">
        <f>SUM(Q34-J34)</f>
        <v>1535.67</v>
      </c>
      <c r="Y34" s="18">
        <f>S34-L34</f>
        <v>47144.20999999973</v>
      </c>
      <c r="AA34" s="19">
        <f>IF(U34=0,"------",(U34/H34*100))</f>
        <v>3.6354791397643602</v>
      </c>
      <c r="AC34" s="19">
        <f>IF(W34=0,"------",(W34/J34*100))</f>
        <v>40.348660010509725</v>
      </c>
      <c r="AE34" s="19">
        <f>IF(Y34=0,"------",(Y34/L34*100))</f>
        <v>3.746522021765057</v>
      </c>
    </row>
    <row r="35" spans="1:31" x14ac:dyDescent="0.25">
      <c r="A35" s="13" t="s">
        <v>13</v>
      </c>
      <c r="B35" s="20"/>
      <c r="D35" t="s">
        <v>15</v>
      </c>
      <c r="F35" s="21"/>
      <c r="H35" s="22">
        <f>4609317-31135</f>
        <v>4578182</v>
      </c>
      <c r="J35" s="23">
        <f>429818-18850</f>
        <v>410968</v>
      </c>
      <c r="L35" s="22">
        <f>SUM(H35+J35)</f>
        <v>4989150</v>
      </c>
      <c r="N35" s="21">
        <f>726-N34</f>
        <v>586</v>
      </c>
      <c r="O35" s="22">
        <v>4443633.2699999996</v>
      </c>
      <c r="Q35" s="23">
        <v>386464.16999999993</v>
      </c>
      <c r="S35" s="22">
        <f>SUM(O35+Q35)</f>
        <v>4830097.4399999995</v>
      </c>
      <c r="U35" s="22">
        <f>SUM(O35-H35)</f>
        <v>-134548.73000000045</v>
      </c>
      <c r="W35" s="22">
        <f>SUM(Q35-J35)</f>
        <v>-24503.830000000075</v>
      </c>
      <c r="Y35" s="22">
        <f>S35-L35</f>
        <v>-159052.56000000052</v>
      </c>
      <c r="AA35" s="24">
        <f>IF(U35=0,"------",(U35/H35*100))</f>
        <v>-2.9389117776444982</v>
      </c>
      <c r="AC35" s="24">
        <f>IF(W35=0,"------",(W35/J35*100))</f>
        <v>-5.9624666640711865</v>
      </c>
      <c r="AE35" s="24">
        <f>IF(Y35=0,"------",(Y35/L35*100))</f>
        <v>-3.1879690929316724</v>
      </c>
    </row>
    <row r="36" spans="1:31" x14ac:dyDescent="0.25">
      <c r="B36" s="1" t="s">
        <v>22</v>
      </c>
      <c r="D36" s="1" t="s">
        <v>12</v>
      </c>
      <c r="E36" s="25"/>
      <c r="F36" s="26">
        <v>800</v>
      </c>
      <c r="G36" s="25"/>
      <c r="H36" s="25">
        <f>SUM(H34:H35)</f>
        <v>5832722</v>
      </c>
      <c r="I36" s="25"/>
      <c r="J36" s="25">
        <f>SUM(J34:J35)</f>
        <v>414774</v>
      </c>
      <c r="K36" s="25"/>
      <c r="L36" s="25">
        <f>SUM(L34:L35)</f>
        <v>6247496</v>
      </c>
      <c r="N36" s="26">
        <f>SUM(N34:N35)</f>
        <v>726</v>
      </c>
      <c r="O36" s="25">
        <f>SUM(O34:O35)</f>
        <v>5743781.8099999996</v>
      </c>
      <c r="P36" s="25"/>
      <c r="Q36" s="25">
        <f>SUM(Q34:Q35)</f>
        <v>391805.83999999991</v>
      </c>
      <c r="R36" s="25"/>
      <c r="S36" s="25">
        <f>SUM(S34:S35)</f>
        <v>6135587.6499999994</v>
      </c>
      <c r="U36" s="25">
        <f>SUM(O36-H36)</f>
        <v>-88940.19000000041</v>
      </c>
      <c r="V36" s="25"/>
      <c r="W36" s="25">
        <f>SUM(Q36-J36)</f>
        <v>-22968.160000000091</v>
      </c>
      <c r="X36" s="25"/>
      <c r="Y36" s="25">
        <f>SUM(S36-L36)</f>
        <v>-111908.35000000056</v>
      </c>
      <c r="AA36" s="19">
        <f>IF(U36=0,"------",(U36/H36*100))</f>
        <v>-1.5248487755802591</v>
      </c>
      <c r="AC36" s="19">
        <f>IF(W36=0,"------",(W36/J36*100))</f>
        <v>-5.537511994483765</v>
      </c>
      <c r="AE36" s="19">
        <f>IF(Y36=0,"------",(Y36/L36*100))</f>
        <v>-1.7912512468995667</v>
      </c>
    </row>
    <row r="37" spans="1:31" x14ac:dyDescent="0.25">
      <c r="F37" s="26"/>
      <c r="N37" s="26"/>
    </row>
    <row r="38" spans="1:31" s="13" customFormat="1" x14ac:dyDescent="0.25">
      <c r="A38" s="13" t="s">
        <v>13</v>
      </c>
      <c r="B38" s="14"/>
      <c r="D38" s="13" t="s">
        <v>14</v>
      </c>
      <c r="F38" s="15"/>
      <c r="H38" s="16">
        <f>1223406+39917-8782</f>
        <v>1254541</v>
      </c>
      <c r="J38" s="17">
        <f>-15044+24167-5317</f>
        <v>3806</v>
      </c>
      <c r="L38" s="18">
        <f>SUM(H38+J38)</f>
        <v>1258347</v>
      </c>
      <c r="N38" s="15">
        <v>139</v>
      </c>
      <c r="O38" s="17">
        <v>1215665.0700000003</v>
      </c>
      <c r="Q38" s="17">
        <v>6329.64</v>
      </c>
      <c r="S38" s="18">
        <f>SUM(O38+Q38)</f>
        <v>1221994.7100000002</v>
      </c>
      <c r="U38" s="18">
        <f>SUM(O38-H38)</f>
        <v>-38875.929999999702</v>
      </c>
      <c r="W38" s="18">
        <f>SUM(Q38-J38)</f>
        <v>2523.6400000000003</v>
      </c>
      <c r="Y38" s="18">
        <f>S38-L38</f>
        <v>-36352.289999999804</v>
      </c>
      <c r="AA38" s="19">
        <f>IF(U38=0,"------",(U38/H38*100))</f>
        <v>-3.0988170175386616</v>
      </c>
      <c r="AC38" s="19">
        <f>IF(W38=0,"------",(W38/J38*100))</f>
        <v>66.306883867577511</v>
      </c>
      <c r="AE38" s="19">
        <f>IF(Y38=0,"------",(Y38/L38*100))</f>
        <v>-2.888892332560081</v>
      </c>
    </row>
    <row r="39" spans="1:31" x14ac:dyDescent="0.25">
      <c r="A39" s="13" t="s">
        <v>13</v>
      </c>
      <c r="B39" s="20"/>
      <c r="D39" t="s">
        <v>15</v>
      </c>
      <c r="F39" s="21"/>
      <c r="H39" s="22">
        <f>4582603-31135</f>
        <v>4551468</v>
      </c>
      <c r="J39" s="23">
        <f>431338-18850</f>
        <v>412488</v>
      </c>
      <c r="L39" s="22">
        <f>SUM(H39+J39)</f>
        <v>4963956</v>
      </c>
      <c r="N39" s="21">
        <f>709-N38</f>
        <v>570</v>
      </c>
      <c r="O39" s="22">
        <v>4275357.1800000006</v>
      </c>
      <c r="Q39" s="23">
        <v>354527.44</v>
      </c>
      <c r="S39" s="22">
        <f>SUM(O39+Q39)</f>
        <v>4629884.620000001</v>
      </c>
      <c r="U39" s="22">
        <f>SUM(O39-H39)</f>
        <v>-276110.81999999937</v>
      </c>
      <c r="W39" s="22">
        <f>SUM(Q39-J39)</f>
        <v>-57960.56</v>
      </c>
      <c r="Y39" s="22">
        <f>S39-L39</f>
        <v>-334071.37999999896</v>
      </c>
      <c r="AA39" s="24">
        <f>IF(U39=0,"------",(U39/H39*100))</f>
        <v>-6.0664124190261113</v>
      </c>
      <c r="AC39" s="24">
        <f>IF(W39=0,"------",(W39/J39*100))</f>
        <v>-14.051453618044645</v>
      </c>
      <c r="AE39" s="24">
        <f>IF(Y39=0,"------",(Y39/L39*100))</f>
        <v>-6.7299424088368021</v>
      </c>
    </row>
    <row r="40" spans="1:31" x14ac:dyDescent="0.25">
      <c r="B40" s="1" t="s">
        <v>23</v>
      </c>
      <c r="D40" s="1" t="s">
        <v>12</v>
      </c>
      <c r="E40" s="25"/>
      <c r="F40" s="26">
        <v>800</v>
      </c>
      <c r="G40" s="25"/>
      <c r="H40" s="25">
        <f>SUM(H38:H39)</f>
        <v>5806009</v>
      </c>
      <c r="I40" s="25"/>
      <c r="J40" s="25">
        <f>SUM(J38:J39)</f>
        <v>416294</v>
      </c>
      <c r="K40" s="25"/>
      <c r="L40" s="25">
        <f>SUM(L38:L39)</f>
        <v>6222303</v>
      </c>
      <c r="N40" s="26">
        <f>SUM(N38:N39)</f>
        <v>709</v>
      </c>
      <c r="O40" s="25">
        <f>SUM(O38:O39)</f>
        <v>5491022.2500000009</v>
      </c>
      <c r="P40" s="25"/>
      <c r="Q40" s="25">
        <f>SUM(Q38:Q39)</f>
        <v>360857.08</v>
      </c>
      <c r="R40" s="25"/>
      <c r="S40" s="25">
        <f>SUM(S38:S39)</f>
        <v>5851879.330000001</v>
      </c>
      <c r="U40" s="25">
        <f>SUM(O40-H40)</f>
        <v>-314986.74999999907</v>
      </c>
      <c r="V40" s="25"/>
      <c r="W40" s="25">
        <f>SUM(Q40-J40)</f>
        <v>-55436.919999999984</v>
      </c>
      <c r="X40" s="25"/>
      <c r="Y40" s="25">
        <f>SUM(S40-L40)</f>
        <v>-370423.66999999899</v>
      </c>
      <c r="AA40" s="19">
        <f>IF(U40=0,"------",(U40/H40*100))</f>
        <v>-5.4251853553792122</v>
      </c>
      <c r="AC40" s="19">
        <f>IF(W40=0,"------",(W40/J40*100))</f>
        <v>-13.316771320268844</v>
      </c>
      <c r="AE40" s="19">
        <f>IF(Y40=0,"------",(Y40/L40*100))</f>
        <v>-5.9531602687943517</v>
      </c>
    </row>
    <row r="41" spans="1:31" x14ac:dyDescent="0.25">
      <c r="F41" s="26"/>
      <c r="N41" s="26"/>
    </row>
    <row r="42" spans="1:31" s="13" customFormat="1" x14ac:dyDescent="0.25">
      <c r="A42" s="13" t="s">
        <v>13</v>
      </c>
      <c r="B42" s="14"/>
      <c r="D42" s="13" t="s">
        <v>14</v>
      </c>
      <c r="F42" s="15"/>
      <c r="H42" s="16">
        <f>1216472+39917-8782</f>
        <v>1247607</v>
      </c>
      <c r="J42" s="17">
        <f>-15044+24167-5317</f>
        <v>3806</v>
      </c>
      <c r="L42" s="18">
        <f>SUM(H42+J42)</f>
        <v>1251413</v>
      </c>
      <c r="N42" s="15">
        <v>137</v>
      </c>
      <c r="O42" s="17">
        <v>1166019.78</v>
      </c>
      <c r="Q42" s="17">
        <v>5535.1100000000006</v>
      </c>
      <c r="S42" s="18">
        <f>SUM(O42+Q42)</f>
        <v>1171554.8900000001</v>
      </c>
      <c r="U42" s="18">
        <f>SUM(O42-H42)</f>
        <v>-81587.219999999972</v>
      </c>
      <c r="W42" s="18">
        <f>SUM(Q42-J42)</f>
        <v>1729.1100000000006</v>
      </c>
      <c r="Y42" s="18">
        <f>S42-L42</f>
        <v>-79858.10999999987</v>
      </c>
      <c r="AA42" s="19">
        <f>IF(U42=0,"------",(U42/H42*100))</f>
        <v>-6.5394968126982267</v>
      </c>
      <c r="AC42" s="19">
        <f>IF(W42=0,"------",(W42/J42*100))</f>
        <v>45.431161324224924</v>
      </c>
      <c r="AE42" s="19">
        <f>IF(Y42=0,"------",(Y42/L42*100))</f>
        <v>-6.3814352256209474</v>
      </c>
    </row>
    <row r="43" spans="1:31" x14ac:dyDescent="0.25">
      <c r="A43" s="13" t="s">
        <v>13</v>
      </c>
      <c r="B43" s="20"/>
      <c r="D43" t="s">
        <v>15</v>
      </c>
      <c r="F43" s="21"/>
      <c r="H43" s="22">
        <f>4577496-31135</f>
        <v>4546361</v>
      </c>
      <c r="J43" s="23">
        <f>439938-18850</f>
        <v>421088</v>
      </c>
      <c r="L43" s="22">
        <f>SUM(H43+J43)</f>
        <v>4967449</v>
      </c>
      <c r="N43" s="21">
        <f>709-N42</f>
        <v>572</v>
      </c>
      <c r="O43" s="22">
        <v>4074990.1</v>
      </c>
      <c r="Q43" s="23">
        <v>478995.01999999996</v>
      </c>
      <c r="S43" s="22">
        <f>SUM(O43+Q43)</f>
        <v>4553985.12</v>
      </c>
      <c r="U43" s="22">
        <f>SUM(O43-H43)</f>
        <v>-471370.89999999991</v>
      </c>
      <c r="W43" s="22">
        <f>SUM(Q43-J43)</f>
        <v>57907.01999999996</v>
      </c>
      <c r="Y43" s="22">
        <f>S43-L43</f>
        <v>-413463.87999999989</v>
      </c>
      <c r="AA43" s="24">
        <f>IF(U43=0,"------",(U43/H43*100))</f>
        <v>-10.36809219505446</v>
      </c>
      <c r="AC43" s="24">
        <f>IF(W43=0,"------",(W43/J43*100))</f>
        <v>13.751762101983426</v>
      </c>
      <c r="AE43" s="24">
        <f>IF(Y43=0,"------",(Y43/L43*100))</f>
        <v>-8.3234650219861308</v>
      </c>
    </row>
    <row r="44" spans="1:31" x14ac:dyDescent="0.25">
      <c r="B44" s="1" t="s">
        <v>24</v>
      </c>
      <c r="D44" s="1" t="s">
        <v>12</v>
      </c>
      <c r="E44" s="25"/>
      <c r="F44" s="26">
        <f>735+45</f>
        <v>780</v>
      </c>
      <c r="G44" s="25"/>
      <c r="H44" s="25">
        <f>SUM(H42:H43)</f>
        <v>5793968</v>
      </c>
      <c r="I44" s="25"/>
      <c r="J44" s="25">
        <f>SUM(J42:J43)</f>
        <v>424894</v>
      </c>
      <c r="K44" s="25"/>
      <c r="L44" s="25">
        <f>SUM(L42:L43)</f>
        <v>6218862</v>
      </c>
      <c r="N44" s="26">
        <f>SUM(N42:N43)</f>
        <v>709</v>
      </c>
      <c r="O44" s="25">
        <f>SUM(O42:O43)</f>
        <v>5241009.88</v>
      </c>
      <c r="P44" s="25"/>
      <c r="Q44" s="25">
        <f>SUM(Q42:Q43)</f>
        <v>484530.12999999995</v>
      </c>
      <c r="R44" s="25"/>
      <c r="S44" s="25">
        <f>SUM(S42:S43)</f>
        <v>5725540.0099999998</v>
      </c>
      <c r="U44" s="25">
        <f>SUM(O44-H44)</f>
        <v>-552958.12000000011</v>
      </c>
      <c r="V44" s="25"/>
      <c r="W44" s="25">
        <f>SUM(Q44-J44)</f>
        <v>59636.129999999946</v>
      </c>
      <c r="X44" s="25"/>
      <c r="Y44" s="25">
        <f>SUM(S44-L44)</f>
        <v>-493321.99000000022</v>
      </c>
      <c r="AA44" s="19">
        <f>IF(U44=0,"------",(U44/H44*100))</f>
        <v>-9.5436861232233277</v>
      </c>
      <c r="AC44" s="19">
        <f>IF(W44=0,"------",(W44/J44*100))</f>
        <v>14.035531214844161</v>
      </c>
      <c r="AE44" s="19">
        <f>IF(Y44=0,"------",(Y44/L44*100))</f>
        <v>-7.9326730517577051</v>
      </c>
    </row>
    <row r="45" spans="1:31" x14ac:dyDescent="0.25">
      <c r="F45" s="26"/>
      <c r="N45" s="26"/>
    </row>
    <row r="46" spans="1:31" s="13" customFormat="1" x14ac:dyDescent="0.25">
      <c r="A46" s="13" t="s">
        <v>13</v>
      </c>
      <c r="B46" s="14"/>
      <c r="D46" s="13" t="s">
        <v>14</v>
      </c>
      <c r="F46" s="15"/>
      <c r="H46" s="16">
        <f>1216472+39917-8782</f>
        <v>1247607</v>
      </c>
      <c r="J46" s="17">
        <f>-15044+24167-5317</f>
        <v>3806</v>
      </c>
      <c r="L46" s="18">
        <f>SUM(H46+J46)</f>
        <v>1251413</v>
      </c>
      <c r="N46" s="15">
        <v>136</v>
      </c>
      <c r="O46" s="17">
        <v>1277302.0700000003</v>
      </c>
      <c r="Q46" s="17">
        <v>4843.6099999999997</v>
      </c>
      <c r="S46" s="18">
        <f>SUM(O46+Q46)</f>
        <v>1282145.6800000004</v>
      </c>
      <c r="U46" s="18">
        <f>SUM(O46-H46)</f>
        <v>29695.070000000298</v>
      </c>
      <c r="W46" s="18">
        <f>SUM(Q46-J46)</f>
        <v>1037.6099999999997</v>
      </c>
      <c r="Y46" s="18">
        <f>S46-L46</f>
        <v>30732.6800000004</v>
      </c>
      <c r="AA46" s="19">
        <f>IF(U46=0,"------",(U46/H46*100))</f>
        <v>2.3801621824821679</v>
      </c>
      <c r="AC46" s="19">
        <f>IF(W46=0,"------",(W46/J46*100))</f>
        <v>27.262480294272194</v>
      </c>
      <c r="AE46" s="19">
        <f>IF(Y46=0,"------",(Y46/L46*100))</f>
        <v>2.4558383203626941</v>
      </c>
    </row>
    <row r="47" spans="1:31" x14ac:dyDescent="0.25">
      <c r="A47" s="13" t="s">
        <v>13</v>
      </c>
      <c r="B47" s="20"/>
      <c r="D47" t="s">
        <v>15</v>
      </c>
      <c r="F47" s="21"/>
      <c r="H47" s="22">
        <f>4591789-31135</f>
        <v>4560654</v>
      </c>
      <c r="J47" s="23">
        <f>431490-18850</f>
        <v>412640</v>
      </c>
      <c r="L47" s="22">
        <f>SUM(H47+J47)</f>
        <v>4973294</v>
      </c>
      <c r="N47" s="21">
        <f>707-N46</f>
        <v>571</v>
      </c>
      <c r="O47" s="22">
        <v>4353727.32</v>
      </c>
      <c r="Q47" s="23">
        <v>849259.4800000001</v>
      </c>
      <c r="S47" s="22">
        <f>SUM(O47+Q47)</f>
        <v>5202986.8000000007</v>
      </c>
      <c r="U47" s="22">
        <f>SUM(O47-H47)</f>
        <v>-206926.6799999997</v>
      </c>
      <c r="W47" s="22">
        <f>SUM(Q47-J47)</f>
        <v>436619.4800000001</v>
      </c>
      <c r="Y47" s="22">
        <f>S47-L47</f>
        <v>229692.80000000075</v>
      </c>
      <c r="AA47" s="24">
        <f>IF(U47=0,"------",(U47/H47*100))</f>
        <v>-4.5372150573141417</v>
      </c>
      <c r="AC47" s="24">
        <f>IF(W47=0,"------",(W47/J47*100))</f>
        <v>105.81123497479645</v>
      </c>
      <c r="AE47" s="24">
        <f>IF(Y47=0,"------",(Y47/L47*100))</f>
        <v>4.618524462861048</v>
      </c>
    </row>
    <row r="48" spans="1:31" x14ac:dyDescent="0.25">
      <c r="B48" s="1" t="s">
        <v>25</v>
      </c>
      <c r="D48" s="1" t="s">
        <v>12</v>
      </c>
      <c r="E48" s="25"/>
      <c r="F48" s="26">
        <v>780</v>
      </c>
      <c r="G48" s="25"/>
      <c r="H48" s="25">
        <f>SUM(H46:H47)</f>
        <v>5808261</v>
      </c>
      <c r="I48" s="25"/>
      <c r="J48" s="25">
        <f>SUM(J46:J47)</f>
        <v>416446</v>
      </c>
      <c r="K48" s="25"/>
      <c r="L48" s="25">
        <f>SUM(L46:L47)</f>
        <v>6224707</v>
      </c>
      <c r="N48" s="26">
        <f>SUM(N46:N47)</f>
        <v>707</v>
      </c>
      <c r="O48" s="25">
        <f>SUM(O46:O47)</f>
        <v>5631029.3900000006</v>
      </c>
      <c r="P48" s="25"/>
      <c r="Q48" s="25">
        <f>SUM(Q46:Q47)</f>
        <v>854103.09000000008</v>
      </c>
      <c r="R48" s="25"/>
      <c r="S48" s="25">
        <f>SUM(S46:S47)</f>
        <v>6485132.4800000014</v>
      </c>
      <c r="U48" s="25">
        <f>SUM(O48-H48)</f>
        <v>-177231.6099999994</v>
      </c>
      <c r="V48" s="25"/>
      <c r="W48" s="25">
        <f>SUM(Q48-J48)</f>
        <v>437657.09000000008</v>
      </c>
      <c r="X48" s="25"/>
      <c r="Y48" s="25">
        <f>SUM(S48-L48)</f>
        <v>260425.48000000138</v>
      </c>
      <c r="AA48" s="19">
        <f>IF(U48=0,"------",(U48/H48*100))</f>
        <v>-3.0513713140645606</v>
      </c>
      <c r="AC48" s="19">
        <f>IF(W48=0,"------",(W48/J48*100))</f>
        <v>105.09335904294916</v>
      </c>
      <c r="AE48" s="19">
        <f>IF(Y48=0,"------",(Y48/L48*100))</f>
        <v>4.183738768748495</v>
      </c>
    </row>
    <row r="49" spans="1:31" x14ac:dyDescent="0.25">
      <c r="F49" s="26"/>
      <c r="N49" s="26"/>
    </row>
    <row r="50" spans="1:31" s="13" customFormat="1" x14ac:dyDescent="0.25">
      <c r="A50" s="13" t="s">
        <v>13</v>
      </c>
      <c r="B50" s="14"/>
      <c r="D50" s="13" t="s">
        <v>14</v>
      </c>
      <c r="F50" s="15"/>
      <c r="H50" s="16">
        <f>1216472+39917-8782</f>
        <v>1247607</v>
      </c>
      <c r="J50" s="17">
        <f>-15044+24167-5317</f>
        <v>3806</v>
      </c>
      <c r="L50" s="18">
        <f>SUM(H50+J50)</f>
        <v>1251413</v>
      </c>
      <c r="N50" s="15">
        <v>138</v>
      </c>
      <c r="O50" s="17">
        <v>1207380.7600000002</v>
      </c>
      <c r="Q50" s="17">
        <v>10907.66</v>
      </c>
      <c r="S50" s="18">
        <f>SUM(O50+Q50)</f>
        <v>1218288.4200000002</v>
      </c>
      <c r="U50" s="18">
        <f>SUM(O50-H50)</f>
        <v>-40226.239999999758</v>
      </c>
      <c r="W50" s="18">
        <f>SUM(Q50-J50)</f>
        <v>7101.66</v>
      </c>
      <c r="Y50" s="18">
        <f>S50-L50</f>
        <v>-33124.579999999842</v>
      </c>
      <c r="AA50" s="19">
        <f>IF(U50=0,"------",(U50/H50*100))</f>
        <v>-3.2242717458301975</v>
      </c>
      <c r="AC50" s="19">
        <f>IF(W50=0,"------",(W50/J50*100))</f>
        <v>186.59117183394639</v>
      </c>
      <c r="AE50" s="19">
        <f>IF(Y50=0,"------",(Y50/L50*100))</f>
        <v>-2.6469742602961488</v>
      </c>
    </row>
    <row r="51" spans="1:31" x14ac:dyDescent="0.25">
      <c r="A51" s="13" t="s">
        <v>13</v>
      </c>
      <c r="B51" s="20"/>
      <c r="D51" t="s">
        <v>15</v>
      </c>
      <c r="F51" s="21"/>
      <c r="H51" s="22">
        <f>4526139-31135</f>
        <v>4495004</v>
      </c>
      <c r="J51" s="23">
        <f>428938-18850</f>
        <v>410088</v>
      </c>
      <c r="L51" s="22">
        <f>SUM(H51+J51)</f>
        <v>4905092</v>
      </c>
      <c r="N51" s="21">
        <f>713-N50</f>
        <v>575</v>
      </c>
      <c r="O51" s="22">
        <v>4553605.1000000006</v>
      </c>
      <c r="Q51" s="23">
        <v>1023421.6100000001</v>
      </c>
      <c r="S51" s="22">
        <f>SUM(O51+Q51)</f>
        <v>5577026.7100000009</v>
      </c>
      <c r="U51" s="22">
        <f>SUM(O51-H51)</f>
        <v>58601.100000000559</v>
      </c>
      <c r="W51" s="22">
        <f>SUM(Q51-J51)</f>
        <v>613333.6100000001</v>
      </c>
      <c r="Y51" s="22">
        <f>S51-L51</f>
        <v>671934.71000000089</v>
      </c>
      <c r="AA51" s="24">
        <f>IF(U51=0,"------",(U51/H51*100))</f>
        <v>1.3036940567794946</v>
      </c>
      <c r="AC51" s="24">
        <f>IF(W51=0,"------",(W51/J51*100))</f>
        <v>149.56146241782253</v>
      </c>
      <c r="AE51" s="24">
        <f>IF(Y51=0,"------",(Y51/L51*100))</f>
        <v>13.698717781440203</v>
      </c>
    </row>
    <row r="52" spans="1:31" x14ac:dyDescent="0.25">
      <c r="B52" s="1" t="s">
        <v>26</v>
      </c>
      <c r="D52" s="1" t="s">
        <v>12</v>
      </c>
      <c r="E52" s="25"/>
      <c r="F52" s="26">
        <v>780</v>
      </c>
      <c r="G52" s="25"/>
      <c r="H52" s="25">
        <f>SUM(H50:H51)</f>
        <v>5742611</v>
      </c>
      <c r="I52" s="25"/>
      <c r="J52" s="25">
        <f>SUM(J50:J51)</f>
        <v>413894</v>
      </c>
      <c r="K52" s="25"/>
      <c r="L52" s="25">
        <f>SUM(L50:L51)</f>
        <v>6156505</v>
      </c>
      <c r="N52" s="26">
        <f>SUM(N50:N51)</f>
        <v>713</v>
      </c>
      <c r="O52" s="25">
        <f>SUM(O50:O51)</f>
        <v>5760985.8600000013</v>
      </c>
      <c r="P52" s="25"/>
      <c r="Q52" s="25">
        <f>SUM(Q50:Q51)</f>
        <v>1034329.2700000001</v>
      </c>
      <c r="R52" s="25"/>
      <c r="S52" s="25">
        <f>SUM(S50:S51)</f>
        <v>6795315.1300000008</v>
      </c>
      <c r="U52" s="25">
        <f>SUM(O52-H52)</f>
        <v>18374.860000001267</v>
      </c>
      <c r="V52" s="25"/>
      <c r="W52" s="25">
        <f>SUM(Q52-J52)</f>
        <v>620435.27000000014</v>
      </c>
      <c r="X52" s="25"/>
      <c r="Y52" s="25">
        <f>SUM(S52-L52)</f>
        <v>638810.13000000082</v>
      </c>
      <c r="AA52" s="19">
        <f>IF(U52=0,"------",(U52/H52*100))</f>
        <v>0.31997396306316528</v>
      </c>
      <c r="AC52" s="19">
        <f>IF(W52=0,"------",(W52/J52*100))</f>
        <v>149.90197248570894</v>
      </c>
      <c r="AE52" s="19">
        <f>IF(Y52=0,"------",(Y52/L52*100))</f>
        <v>10.376181453600717</v>
      </c>
    </row>
    <row r="53" spans="1:31" x14ac:dyDescent="0.25">
      <c r="F53" s="26"/>
      <c r="N53" s="26"/>
    </row>
    <row r="54" spans="1:31" s="13" customFormat="1" x14ac:dyDescent="0.25">
      <c r="A54" s="13" t="s">
        <v>13</v>
      </c>
      <c r="B54" s="14"/>
      <c r="D54" s="13" t="s">
        <v>14</v>
      </c>
      <c r="F54" s="15"/>
      <c r="H54" s="16">
        <f>1216476+39913-8781</f>
        <v>1247608</v>
      </c>
      <c r="J54" s="17">
        <f>-15039+24163-5316</f>
        <v>3808</v>
      </c>
      <c r="L54" s="18">
        <f>SUM(H54+J54)</f>
        <v>1251416</v>
      </c>
      <c r="N54" s="15">
        <v>138</v>
      </c>
      <c r="O54" s="17">
        <v>1357076.43</v>
      </c>
      <c r="Q54" s="17">
        <v>4676.63</v>
      </c>
      <c r="S54" s="18">
        <f>SUM(O54+Q54)</f>
        <v>1361753.0599999998</v>
      </c>
      <c r="U54" s="18">
        <f>SUM(O54-H54)</f>
        <v>109468.42999999993</v>
      </c>
      <c r="W54" s="18">
        <f>SUM(Q54-J54)</f>
        <v>868.63000000000011</v>
      </c>
      <c r="Y54" s="18">
        <f>S54-L54</f>
        <v>110337.05999999982</v>
      </c>
      <c r="AA54" s="19">
        <f>IF(U54=0,"------",(U54/H54*100))</f>
        <v>8.7742648331847786</v>
      </c>
      <c r="AC54" s="19">
        <f>IF(W54=0,"------",(W54/J54*100))</f>
        <v>22.810661764705888</v>
      </c>
      <c r="AE54" s="19">
        <f>IF(Y54=0,"------",(Y54/L54*100))</f>
        <v>8.8169769285353414</v>
      </c>
    </row>
    <row r="55" spans="1:31" x14ac:dyDescent="0.25">
      <c r="A55" s="13" t="s">
        <v>13</v>
      </c>
      <c r="B55" s="20"/>
      <c r="D55" t="s">
        <v>15</v>
      </c>
      <c r="F55" s="21"/>
      <c r="H55" s="22">
        <f>4519243-31132</f>
        <v>4488111</v>
      </c>
      <c r="J55" s="23">
        <f>428895-18847</f>
        <v>410048</v>
      </c>
      <c r="L55" s="22">
        <f>SUM(H55+J55)</f>
        <v>4898159</v>
      </c>
      <c r="N55" s="21">
        <f>709-N54</f>
        <v>571</v>
      </c>
      <c r="O55" s="22">
        <v>4720929.6800000006</v>
      </c>
      <c r="Q55" s="23">
        <v>388702.10000000003</v>
      </c>
      <c r="S55" s="22">
        <f>SUM(O55+Q55)</f>
        <v>5109631.78</v>
      </c>
      <c r="U55" s="22">
        <f>SUM(O55-H55)</f>
        <v>232818.68000000063</v>
      </c>
      <c r="W55" s="22">
        <f>SUM(Q55-J55)</f>
        <v>-21345.899999999965</v>
      </c>
      <c r="Y55" s="22">
        <f>S55-L55</f>
        <v>211472.78000000026</v>
      </c>
      <c r="AA55" s="24">
        <f>IF(U55=0,"------",(U55/H55*100))</f>
        <v>5.1874536971122289</v>
      </c>
      <c r="AC55" s="24">
        <f>IF(W55=0,"------",(W55/J55*100))</f>
        <v>-5.2057076244732245</v>
      </c>
      <c r="AE55" s="24">
        <f>IF(Y55=0,"------",(Y55/L55*100))</f>
        <v>4.3173931266829078</v>
      </c>
    </row>
    <row r="56" spans="1:31" x14ac:dyDescent="0.25">
      <c r="B56" s="1" t="s">
        <v>27</v>
      </c>
      <c r="D56" s="1" t="s">
        <v>12</v>
      </c>
      <c r="E56" s="25"/>
      <c r="F56" s="26">
        <f>735+45</f>
        <v>780</v>
      </c>
      <c r="G56" s="25"/>
      <c r="H56" s="25">
        <f>SUM(H54:H55)</f>
        <v>5735719</v>
      </c>
      <c r="I56" s="25"/>
      <c r="J56" s="25">
        <f>SUM(J54:J55)</f>
        <v>413856</v>
      </c>
      <c r="K56" s="25"/>
      <c r="L56" s="25">
        <f>SUM(L54:L55)</f>
        <v>6149575</v>
      </c>
      <c r="N56" s="26">
        <f>SUM(N54:N55)</f>
        <v>709</v>
      </c>
      <c r="O56" s="25">
        <f>SUM(O54:O55)</f>
        <v>6078006.1100000003</v>
      </c>
      <c r="P56" s="25"/>
      <c r="Q56" s="25">
        <f>SUM(Q54:Q55)</f>
        <v>393378.73000000004</v>
      </c>
      <c r="R56" s="25"/>
      <c r="S56" s="25">
        <f>SUM(S54:S55)</f>
        <v>6471384.8399999999</v>
      </c>
      <c r="U56" s="25">
        <f>SUM(O56-H56)</f>
        <v>342287.11000000034</v>
      </c>
      <c r="V56" s="25"/>
      <c r="W56" s="25">
        <f>SUM(Q56-J56)</f>
        <v>-20477.26999999996</v>
      </c>
      <c r="X56" s="25"/>
      <c r="Y56" s="25">
        <f>SUM(S56-L56)</f>
        <v>321809.83999999985</v>
      </c>
      <c r="AA56" s="19">
        <f>IF(U56=0,"------",(U56/H56*100))</f>
        <v>5.9676408485143773</v>
      </c>
      <c r="AC56" s="19">
        <f>IF(W56=0,"------",(W56/J56*100))</f>
        <v>-4.9479214992654352</v>
      </c>
      <c r="AE56" s="19">
        <f>IF(Y56=0,"------",(Y56/L56*100))</f>
        <v>5.2330419581840992</v>
      </c>
    </row>
    <row r="57" spans="1:31" x14ac:dyDescent="0.25">
      <c r="F57" s="26"/>
      <c r="N57" s="26"/>
    </row>
    <row r="58" spans="1:31" s="13" customFormat="1" x14ac:dyDescent="0.25">
      <c r="A58" s="13" t="s">
        <v>13</v>
      </c>
      <c r="B58" s="14"/>
      <c r="D58" s="13" t="s">
        <v>14</v>
      </c>
      <c r="F58" s="27"/>
      <c r="H58" s="16">
        <f>14368360+479000-105383</f>
        <v>14741977</v>
      </c>
      <c r="J58" s="17">
        <f>-180523+290000-63803</f>
        <v>45674</v>
      </c>
      <c r="L58" s="18">
        <f>SUM(H58+J58)</f>
        <v>14787651</v>
      </c>
      <c r="N58" s="27">
        <f>(N54+N50+N46+N42+N38+N34+N30+N26+N22+N18+N14+N10)/12</f>
        <v>137.5</v>
      </c>
      <c r="O58" s="17">
        <v>14363883.410000002</v>
      </c>
      <c r="Q58" s="17">
        <v>99996.03</v>
      </c>
      <c r="S58" s="18">
        <f>SUM(O58+Q58)</f>
        <v>14463879.440000001</v>
      </c>
      <c r="U58" s="18">
        <f>SUM(O58-H58)</f>
        <v>-378093.58999999799</v>
      </c>
      <c r="W58" s="18">
        <f>SUM(Q58-J58)</f>
        <v>54322.03</v>
      </c>
      <c r="Y58" s="18">
        <f>S58-L58</f>
        <v>-323771.55999999866</v>
      </c>
      <c r="AA58" s="19">
        <f>IF(U58=0,"------",(U58/H58*100))</f>
        <v>-2.5647414183321406</v>
      </c>
      <c r="AC58" s="19">
        <f>IF(W58=0,"------",(W58/J58*100))</f>
        <v>118.93425143407627</v>
      </c>
      <c r="AE58" s="19">
        <f>IF(Y58=0,"------",(Y58/L58*100))</f>
        <v>-2.1894725538220956</v>
      </c>
    </row>
    <row r="59" spans="1:31" x14ac:dyDescent="0.25">
      <c r="A59" s="13" t="s">
        <v>13</v>
      </c>
      <c r="B59" s="20"/>
      <c r="D59" t="s">
        <v>15</v>
      </c>
      <c r="F59" s="28"/>
      <c r="H59" s="22">
        <f>53988369-373617</f>
        <v>53614752</v>
      </c>
      <c r="J59" s="23">
        <f>5481121-226197</f>
        <v>5254924</v>
      </c>
      <c r="L59" s="22">
        <f>SUM(H59+J59)</f>
        <v>58869676</v>
      </c>
      <c r="N59" s="28">
        <f>(N55+N51+N47+N43+N39+N35+N31+N27+N23+N19+N15+N11)/12</f>
        <v>573.75</v>
      </c>
      <c r="O59" s="22">
        <v>50917124.259999998</v>
      </c>
      <c r="Q59" s="23">
        <v>6655515.8599999994</v>
      </c>
      <c r="S59" s="22">
        <f>SUM(O59+Q59)</f>
        <v>57572640.119999997</v>
      </c>
      <c r="U59" s="22">
        <f>SUM(O59-H59)</f>
        <v>-2697627.7400000021</v>
      </c>
      <c r="W59" s="22">
        <f>SUM(Q59-J59)</f>
        <v>1400591.8599999994</v>
      </c>
      <c r="Y59" s="22">
        <f>S59-L59</f>
        <v>-1297035.8800000027</v>
      </c>
      <c r="AA59" s="24">
        <f>IF(U59=0,"------",(U59/H59*100))</f>
        <v>-5.0315027849051734</v>
      </c>
      <c r="AC59" s="24">
        <f>IF(W59=0,"------",(W59/J59*100))</f>
        <v>26.652942269003312</v>
      </c>
      <c r="AE59" s="24">
        <f>IF(Y59=0,"------",(Y59/L59*100))</f>
        <v>-2.2032325776686843</v>
      </c>
    </row>
    <row r="60" spans="1:31" x14ac:dyDescent="0.25">
      <c r="B60" s="1" t="s">
        <v>28</v>
      </c>
      <c r="D60" s="1" t="s">
        <v>12</v>
      </c>
      <c r="E60" s="25"/>
      <c r="F60" s="29">
        <f>(F56+F52+F48+F44+F40+F36+F32+F28+F24+F20+F16+F12)/12</f>
        <v>784.58333333333337</v>
      </c>
      <c r="G60" s="25"/>
      <c r="H60" s="25">
        <f>SUM(H58:H59)</f>
        <v>68356729</v>
      </c>
      <c r="I60" s="25"/>
      <c r="J60" s="25">
        <f>SUM(J58:J59)</f>
        <v>5300598</v>
      </c>
      <c r="K60" s="25"/>
      <c r="L60" s="25">
        <f>SUM(L58:L59)</f>
        <v>73657327</v>
      </c>
      <c r="N60" s="29">
        <f>SUM(N58:N59)</f>
        <v>711.25</v>
      </c>
      <c r="O60" s="25">
        <f>SUM(O58:O59)</f>
        <v>65281007.670000002</v>
      </c>
      <c r="P60" s="25"/>
      <c r="Q60" s="25">
        <f>SUM(Q58:Q59)</f>
        <v>6755511.8899999997</v>
      </c>
      <c r="R60" s="25"/>
      <c r="S60" s="25">
        <f>SUM(S58:S59)</f>
        <v>72036519.560000002</v>
      </c>
      <c r="U60" s="25">
        <f>SUM(O60-H60)</f>
        <v>-3075721.3299999982</v>
      </c>
      <c r="V60" s="25"/>
      <c r="W60" s="25">
        <f>SUM(Q60-J60)</f>
        <v>1454913.8899999997</v>
      </c>
      <c r="X60" s="25"/>
      <c r="Y60" s="25">
        <f>SUM(S60-L60)</f>
        <v>-1620807.4399999976</v>
      </c>
      <c r="AA60" s="19">
        <f>IF(U60=0,"------",(U60/H60*100))</f>
        <v>-4.499515080658699</v>
      </c>
      <c r="AC60" s="19">
        <f>IF(W60=0,"------",(W60/J60*100))</f>
        <v>27.448108496437566</v>
      </c>
      <c r="AE60" s="19">
        <f>IF(Y60=0,"------",(Y60/L60*100))</f>
        <v>-2.2004700767922216</v>
      </c>
    </row>
    <row r="61" spans="1:31" x14ac:dyDescent="0.25">
      <c r="D61" s="1"/>
      <c r="E61" s="25"/>
      <c r="F61" s="29"/>
      <c r="G61" s="25"/>
      <c r="H61" s="25"/>
      <c r="I61" s="25"/>
      <c r="J61" s="25"/>
      <c r="K61" s="25"/>
      <c r="L61" s="25"/>
      <c r="N61" s="29"/>
      <c r="O61" s="25"/>
      <c r="P61" s="25"/>
      <c r="Q61" s="25"/>
      <c r="R61" s="25"/>
      <c r="S61" s="25"/>
      <c r="U61" s="25"/>
      <c r="V61" s="25"/>
      <c r="W61" s="25"/>
      <c r="X61" s="25"/>
      <c r="Y61" s="25"/>
      <c r="AA61" s="19"/>
      <c r="AC61" s="19"/>
      <c r="AE61" s="19"/>
    </row>
    <row r="63" spans="1:31" ht="15" customHeight="1" x14ac:dyDescent="0.25">
      <c r="C63" s="40" t="s">
        <v>34</v>
      </c>
      <c r="D63" s="42" t="s">
        <v>35</v>
      </c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</row>
    <row r="64" spans="1:31" x14ac:dyDescent="0.25"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</row>
    <row r="65" spans="4:19" x14ac:dyDescent="0.25"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</row>
    <row r="66" spans="4:19" x14ac:dyDescent="0.25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</row>
    <row r="67" spans="4:19" x14ac:dyDescent="0.25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</row>
  </sheetData>
  <mergeCells count="5">
    <mergeCell ref="D63:S65"/>
    <mergeCell ref="N8:S8"/>
    <mergeCell ref="H8:L8"/>
    <mergeCell ref="U8:Y8"/>
    <mergeCell ref="AA8:AE8"/>
  </mergeCells>
  <pageMargins left="0.7" right="0.7" top="0.75" bottom="0.75" header="0.3" footer="0.3"/>
  <pageSetup scale="54" orientation="landscape" r:id="rId1"/>
  <ignoredErrors>
    <ignoredError sqref="C6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topLeftCell="B35" workbookViewId="0">
      <selection activeCell="AA8" sqref="AA8:AE8"/>
    </sheetView>
  </sheetViews>
  <sheetFormatPr defaultRowHeight="15" x14ac:dyDescent="0.25"/>
  <cols>
    <col min="1" max="1" width="9.140625" hidden="1" customWidth="1"/>
    <col min="2" max="2" width="9.140625" style="1" customWidth="1"/>
    <col min="3" max="3" width="3.7109375" customWidth="1"/>
    <col min="4" max="4" width="23.5703125" customWidth="1"/>
    <col min="5" max="5" width="1.28515625" customWidth="1"/>
    <col min="6" max="6" width="8" customWidth="1"/>
    <col min="7" max="7" width="1.28515625" customWidth="1"/>
    <col min="8" max="8" width="13.28515625" style="2" bestFit="1" customWidth="1"/>
    <col min="9" max="9" width="1.28515625" customWidth="1"/>
    <col min="10" max="10" width="11" style="2" customWidth="1"/>
    <col min="11" max="11" width="1.28515625" customWidth="1"/>
    <col min="12" max="12" width="11.7109375" style="2" customWidth="1"/>
    <col min="13" max="13" width="3.7109375" customWidth="1"/>
    <col min="14" max="14" width="6.5703125" bestFit="1" customWidth="1"/>
    <col min="15" max="15" width="13.28515625" style="2" bestFit="1" customWidth="1"/>
    <col min="16" max="16" width="1.28515625" customWidth="1"/>
    <col min="17" max="17" width="11" style="2" customWidth="1"/>
    <col min="18" max="18" width="1.28515625" customWidth="1"/>
    <col min="19" max="19" width="11.7109375" style="2" customWidth="1"/>
    <col min="20" max="20" width="3.7109375" customWidth="1"/>
    <col min="21" max="21" width="13.28515625" style="2" customWidth="1"/>
    <col min="22" max="22" width="1.28515625" customWidth="1"/>
    <col min="23" max="23" width="13.28515625" style="2" customWidth="1"/>
    <col min="24" max="24" width="1.28515625" customWidth="1"/>
    <col min="25" max="25" width="13.28515625" style="2" customWidth="1"/>
    <col min="26" max="26" width="3.7109375" customWidth="1"/>
    <col min="27" max="27" width="13.28515625" style="3" bestFit="1" customWidth="1"/>
    <col min="28" max="28" width="1.28515625" customWidth="1"/>
    <col min="29" max="29" width="13.28515625" style="3" customWidth="1"/>
    <col min="30" max="30" width="1.28515625" customWidth="1"/>
    <col min="31" max="31" width="10.42578125" style="3" customWidth="1"/>
  </cols>
  <sheetData>
    <row r="1" spans="1:33" hidden="1" x14ac:dyDescent="0.25">
      <c r="L1" s="2" t="s">
        <v>0</v>
      </c>
      <c r="S1" s="2" t="s">
        <v>0</v>
      </c>
      <c r="Y1" s="2" t="s">
        <v>0</v>
      </c>
      <c r="AA1" s="3" t="s">
        <v>0</v>
      </c>
      <c r="AC1" s="3" t="s">
        <v>0</v>
      </c>
      <c r="AE1" s="3" t="s">
        <v>0</v>
      </c>
    </row>
    <row r="2" spans="1:33" x14ac:dyDescent="0.25">
      <c r="B2" s="4" t="s">
        <v>1</v>
      </c>
    </row>
    <row r="3" spans="1:33" x14ac:dyDescent="0.25">
      <c r="B3" s="4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G3" s="6"/>
    </row>
    <row r="4" spans="1:33" x14ac:dyDescent="0.25">
      <c r="B4" s="4" t="s">
        <v>32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3" x14ac:dyDescent="0.25">
      <c r="B5" s="7" t="s">
        <v>29</v>
      </c>
    </row>
    <row r="6" spans="1:33" x14ac:dyDescent="0.25">
      <c r="B6" s="8"/>
    </row>
    <row r="7" spans="1:33" x14ac:dyDescent="0.25">
      <c r="B7" s="8"/>
    </row>
    <row r="8" spans="1:33" x14ac:dyDescent="0.25">
      <c r="F8" s="43" t="s">
        <v>4</v>
      </c>
      <c r="G8" s="43"/>
      <c r="H8" s="43"/>
      <c r="I8" s="43"/>
      <c r="J8" s="43"/>
      <c r="K8" s="43"/>
      <c r="L8" s="43"/>
      <c r="N8" s="43" t="s">
        <v>5</v>
      </c>
      <c r="O8" s="43"/>
      <c r="P8" s="43"/>
      <c r="Q8" s="43"/>
      <c r="R8" s="43"/>
      <c r="S8" s="43"/>
      <c r="U8" s="43" t="s">
        <v>6</v>
      </c>
      <c r="V8" s="43"/>
      <c r="W8" s="43"/>
      <c r="X8" s="43"/>
      <c r="Y8" s="43"/>
      <c r="AA8" s="44" t="s">
        <v>33</v>
      </c>
      <c r="AB8" s="44"/>
      <c r="AC8" s="44"/>
      <c r="AD8" s="44"/>
      <c r="AE8" s="44"/>
    </row>
    <row r="9" spans="1:33" s="9" customFormat="1" ht="12.75" x14ac:dyDescent="0.2">
      <c r="B9" s="10" t="s">
        <v>7</v>
      </c>
      <c r="D9" s="10" t="s">
        <v>8</v>
      </c>
      <c r="F9" s="10" t="s">
        <v>9</v>
      </c>
      <c r="H9" s="11" t="s">
        <v>10</v>
      </c>
      <c r="J9" s="11" t="s">
        <v>11</v>
      </c>
      <c r="L9" s="11" t="s">
        <v>12</v>
      </c>
      <c r="N9" s="10" t="s">
        <v>9</v>
      </c>
      <c r="O9" s="11" t="s">
        <v>10</v>
      </c>
      <c r="Q9" s="11" t="s">
        <v>11</v>
      </c>
      <c r="S9" s="11" t="s">
        <v>12</v>
      </c>
      <c r="U9" s="11" t="s">
        <v>10</v>
      </c>
      <c r="W9" s="11" t="s">
        <v>11</v>
      </c>
      <c r="Y9" s="11" t="s">
        <v>12</v>
      </c>
      <c r="AA9" s="12" t="s">
        <v>10</v>
      </c>
      <c r="AC9" s="12" t="s">
        <v>11</v>
      </c>
      <c r="AE9" s="12" t="s">
        <v>12</v>
      </c>
    </row>
    <row r="10" spans="1:33" s="13" customFormat="1" x14ac:dyDescent="0.25">
      <c r="A10" s="13" t="s">
        <v>13</v>
      </c>
      <c r="B10" s="14"/>
      <c r="D10" s="13" t="s">
        <v>14</v>
      </c>
      <c r="F10" s="30"/>
      <c r="H10" s="16">
        <v>1163733</v>
      </c>
      <c r="J10" s="17">
        <v>7836</v>
      </c>
      <c r="L10" s="18">
        <f>SUM(H10+J10)</f>
        <v>1171569</v>
      </c>
      <c r="N10" s="30">
        <v>137</v>
      </c>
      <c r="O10" s="17">
        <v>1104297.44</v>
      </c>
      <c r="Q10" s="17">
        <v>2893.75</v>
      </c>
      <c r="S10" s="18">
        <f>SUM(O10+Q10)</f>
        <v>1107191.19</v>
      </c>
      <c r="U10" s="18">
        <f>SUM(O10-H10)</f>
        <v>-59435.560000000056</v>
      </c>
      <c r="W10" s="18">
        <f>SUM(Q10-J10)</f>
        <v>-4942.25</v>
      </c>
      <c r="Y10" s="18">
        <f>S10-L10</f>
        <v>-64377.810000000056</v>
      </c>
      <c r="AA10" s="19">
        <f>IF(U10=0,"------",(U10/H10*100))</f>
        <v>-5.1073192905932938</v>
      </c>
      <c r="AC10" s="19">
        <f>IF(W10=0,"------",(W10/J10*100))</f>
        <v>-63.071082184788153</v>
      </c>
      <c r="AE10" s="19">
        <f>IF(Y10=0,"------",(Y10/L10*100))</f>
        <v>-5.4950079764828246</v>
      </c>
    </row>
    <row r="11" spans="1:33" x14ac:dyDescent="0.25">
      <c r="A11" s="13" t="s">
        <v>13</v>
      </c>
      <c r="B11" s="20"/>
      <c r="D11" t="s">
        <v>15</v>
      </c>
      <c r="F11" s="31"/>
      <c r="H11" s="22">
        <v>4174423</v>
      </c>
      <c r="J11" s="23">
        <v>304849</v>
      </c>
      <c r="L11" s="22">
        <f>SUM(H11+J11)</f>
        <v>4479272</v>
      </c>
      <c r="N11" s="31">
        <f>727-N10</f>
        <v>590</v>
      </c>
      <c r="O11" s="22">
        <v>4003050.2600000002</v>
      </c>
      <c r="Q11" s="23">
        <v>440969.75</v>
      </c>
      <c r="S11" s="22">
        <f>SUM(O11+Q11)</f>
        <v>4444020.01</v>
      </c>
      <c r="U11" s="22">
        <f>SUM(O11-H11)</f>
        <v>-171372.73999999976</v>
      </c>
      <c r="W11" s="22">
        <f>SUM(Q11-J11)</f>
        <v>136120.75</v>
      </c>
      <c r="Y11" s="22">
        <f>S11-L11</f>
        <v>-35251.990000000224</v>
      </c>
      <c r="AA11" s="24">
        <f>IF(U11=0,"------",(U11/H11*100))</f>
        <v>-4.1053036551398785</v>
      </c>
      <c r="AC11" s="24">
        <f>IF(W11=0,"------",(W11/J11*100))</f>
        <v>44.651860429261703</v>
      </c>
      <c r="AE11" s="24">
        <f>IF(Y11=0,"------",(Y11/L11*100))</f>
        <v>-0.78700266471873614</v>
      </c>
    </row>
    <row r="12" spans="1:33" x14ac:dyDescent="0.25">
      <c r="B12" s="1" t="s">
        <v>16</v>
      </c>
      <c r="D12" s="1" t="s">
        <v>12</v>
      </c>
      <c r="E12" s="25"/>
      <c r="F12" s="29">
        <f>718+49</f>
        <v>767</v>
      </c>
      <c r="G12" s="25"/>
      <c r="H12" s="25">
        <f>SUM(H10:H11)</f>
        <v>5338156</v>
      </c>
      <c r="I12" s="25"/>
      <c r="J12" s="25">
        <f>SUM(J10:J11)</f>
        <v>312685</v>
      </c>
      <c r="K12" s="25"/>
      <c r="L12" s="25">
        <f>SUM(L10:L11)</f>
        <v>5650841</v>
      </c>
      <c r="N12" s="29">
        <f>SUM(N10:N11)</f>
        <v>727</v>
      </c>
      <c r="O12" s="25">
        <f>SUM(O10:O11)</f>
        <v>5107347.7</v>
      </c>
      <c r="P12" s="25"/>
      <c r="Q12" s="25">
        <f>SUM(Q10:Q11)</f>
        <v>443863.5</v>
      </c>
      <c r="R12" s="25"/>
      <c r="S12" s="25">
        <f>SUM(S10:S11)</f>
        <v>5551211.1999999993</v>
      </c>
      <c r="U12" s="25">
        <f>SUM(O12-H12)</f>
        <v>-230808.29999999981</v>
      </c>
      <c r="V12" s="25"/>
      <c r="W12" s="25">
        <f>SUM(Q12-J12)</f>
        <v>131178.5</v>
      </c>
      <c r="X12" s="25"/>
      <c r="Y12" s="25">
        <f>SUM(S12-L12)</f>
        <v>-99629.800000000745</v>
      </c>
      <c r="AA12" s="19">
        <f>IF(U12=0,"------",(U12/H12*100))</f>
        <v>-4.3237458777900049</v>
      </c>
      <c r="AC12" s="19">
        <f>IF(W12=0,"------",(W12/J12*100))</f>
        <v>41.952284247725345</v>
      </c>
      <c r="AE12" s="19">
        <f>IF(Y12=0,"------",(Y12/L12*100))</f>
        <v>-1.7630968558485498</v>
      </c>
    </row>
    <row r="13" spans="1:33" x14ac:dyDescent="0.25">
      <c r="F13" s="29"/>
      <c r="N13" s="29"/>
    </row>
    <row r="14" spans="1:33" s="13" customFormat="1" x14ac:dyDescent="0.25">
      <c r="A14" s="13" t="s">
        <v>13</v>
      </c>
      <c r="B14" s="14"/>
      <c r="D14" s="13" t="s">
        <v>14</v>
      </c>
      <c r="F14" s="30"/>
      <c r="H14" s="16">
        <v>1167415</v>
      </c>
      <c r="J14" s="17">
        <v>7836</v>
      </c>
      <c r="L14" s="18">
        <f>SUM(H14+J14)</f>
        <v>1175251</v>
      </c>
      <c r="N14" s="30">
        <v>136</v>
      </c>
      <c r="O14" s="17">
        <v>1038595.0200000001</v>
      </c>
      <c r="Q14" s="17">
        <v>3979.66</v>
      </c>
      <c r="S14" s="18">
        <f>SUM(O14+Q14)</f>
        <v>1042574.6800000002</v>
      </c>
      <c r="U14" s="18">
        <f>SUM(O14-H14)</f>
        <v>-128819.97999999986</v>
      </c>
      <c r="W14" s="18">
        <f>SUM(Q14-J14)</f>
        <v>-3856.34</v>
      </c>
      <c r="Y14" s="18">
        <f>S14-L14</f>
        <v>-132676.31999999983</v>
      </c>
      <c r="AA14" s="19">
        <f>IF(U14=0,"------",(U14/H14*100))</f>
        <v>-11.034634641494231</v>
      </c>
      <c r="AC14" s="19">
        <f>IF(W14=0,"------",(W14/J14*100))</f>
        <v>-49.213118938233798</v>
      </c>
      <c r="AE14" s="19">
        <f>IF(Y14=0,"------",(Y14/L14*100))</f>
        <v>-11.289190138957537</v>
      </c>
    </row>
    <row r="15" spans="1:33" x14ac:dyDescent="0.25">
      <c r="A15" s="13" t="s">
        <v>13</v>
      </c>
      <c r="B15" s="20"/>
      <c r="D15" t="s">
        <v>15</v>
      </c>
      <c r="F15" s="31"/>
      <c r="H15" s="22">
        <v>4165648</v>
      </c>
      <c r="J15" s="23">
        <v>319963</v>
      </c>
      <c r="L15" s="22">
        <f>SUM(H15+J15)</f>
        <v>4485611</v>
      </c>
      <c r="N15" s="31">
        <f>727-N14</f>
        <v>591</v>
      </c>
      <c r="O15" s="22">
        <v>3771936.53</v>
      </c>
      <c r="Q15" s="23">
        <v>241843.90999999997</v>
      </c>
      <c r="S15" s="22">
        <f>SUM(O15+Q15)</f>
        <v>4013780.44</v>
      </c>
      <c r="U15" s="22">
        <f>SUM(O15-H15)</f>
        <v>-393711.4700000002</v>
      </c>
      <c r="W15" s="22">
        <f>SUM(Q15-J15)</f>
        <v>-78119.090000000026</v>
      </c>
      <c r="Y15" s="22">
        <f>S15-L15</f>
        <v>-471830.56000000006</v>
      </c>
      <c r="AA15" s="24">
        <f>IF(U15=0,"------",(U15/H15*100))</f>
        <v>-9.4513859548382442</v>
      </c>
      <c r="AC15" s="24">
        <f>IF(W15=0,"------",(W15/J15*100))</f>
        <v>-24.41503861383973</v>
      </c>
      <c r="AE15" s="24">
        <f>IF(Y15=0,"------",(Y15/L15*100))</f>
        <v>-10.51875786821461</v>
      </c>
    </row>
    <row r="16" spans="1:33" x14ac:dyDescent="0.25">
      <c r="B16" s="1" t="s">
        <v>17</v>
      </c>
      <c r="D16" s="1" t="s">
        <v>12</v>
      </c>
      <c r="E16" s="25"/>
      <c r="F16" s="29">
        <f>718+49</f>
        <v>767</v>
      </c>
      <c r="G16" s="25"/>
      <c r="H16" s="25">
        <f>SUM(H14:H15)</f>
        <v>5333063</v>
      </c>
      <c r="I16" s="25"/>
      <c r="J16" s="25">
        <f>SUM(J14:J15)</f>
        <v>327799</v>
      </c>
      <c r="K16" s="25"/>
      <c r="L16" s="25">
        <f>SUM(L14:L15)</f>
        <v>5660862</v>
      </c>
      <c r="N16" s="29">
        <f>SUM(N14:N15)</f>
        <v>727</v>
      </c>
      <c r="O16" s="25">
        <f>SUM(O14:O15)</f>
        <v>4810531.55</v>
      </c>
      <c r="P16" s="25"/>
      <c r="Q16" s="25">
        <f>SUM(Q14:Q15)</f>
        <v>245823.56999999998</v>
      </c>
      <c r="R16" s="25"/>
      <c r="S16" s="25">
        <f>SUM(S14:S15)</f>
        <v>5056355.12</v>
      </c>
      <c r="U16" s="25">
        <f>SUM(O16-H16)</f>
        <v>-522531.45000000019</v>
      </c>
      <c r="V16" s="25"/>
      <c r="W16" s="25">
        <f>SUM(Q16-J16)</f>
        <v>-81975.430000000022</v>
      </c>
      <c r="X16" s="25"/>
      <c r="Y16" s="25">
        <f>SUM(S16-L16)</f>
        <v>-604506.87999999989</v>
      </c>
      <c r="AA16" s="19">
        <f>IF(U16=0,"------",(U16/H16*100))</f>
        <v>-9.7979613216644967</v>
      </c>
      <c r="AC16" s="19">
        <f>IF(W16=0,"------",(W16/J16*100))</f>
        <v>-25.007834069048418</v>
      </c>
      <c r="AE16" s="19">
        <f>IF(Y16=0,"------",(Y16/L16*100))</f>
        <v>-10.678707235753139</v>
      </c>
    </row>
    <row r="17" spans="1:31" x14ac:dyDescent="0.25">
      <c r="F17" s="29"/>
      <c r="N17" s="29"/>
    </row>
    <row r="18" spans="1:31" s="13" customFormat="1" x14ac:dyDescent="0.25">
      <c r="A18" s="13" t="s">
        <v>13</v>
      </c>
      <c r="B18" s="14"/>
      <c r="D18" s="13" t="s">
        <v>14</v>
      </c>
      <c r="F18" s="30"/>
      <c r="H18" s="16">
        <v>1167919</v>
      </c>
      <c r="J18" s="17">
        <v>7836</v>
      </c>
      <c r="L18" s="18">
        <f>SUM(H18+J18)</f>
        <v>1175755</v>
      </c>
      <c r="N18" s="30">
        <v>135</v>
      </c>
      <c r="O18" s="17">
        <v>1169900.45</v>
      </c>
      <c r="Q18" s="17">
        <v>2884.43</v>
      </c>
      <c r="S18" s="18">
        <f>SUM(O18+Q18)</f>
        <v>1172784.8799999999</v>
      </c>
      <c r="U18" s="18">
        <f>SUM(O18-H18)</f>
        <v>1981.4499999999534</v>
      </c>
      <c r="W18" s="18">
        <f>SUM(Q18-J18)</f>
        <v>-4951.57</v>
      </c>
      <c r="Y18" s="18">
        <f>S18-L18</f>
        <v>-2970.1200000001118</v>
      </c>
      <c r="AA18" s="19">
        <f>IF(U18=0,"------",(U18/H18*100))</f>
        <v>0.1696564573399314</v>
      </c>
      <c r="AC18" s="19">
        <f>IF(W18=0,"------",(W18/J18*100))</f>
        <v>-63.190020418580907</v>
      </c>
      <c r="AE18" s="19">
        <f>IF(Y18=0,"------",(Y18/L18*100))</f>
        <v>-0.25261385237571704</v>
      </c>
    </row>
    <row r="19" spans="1:31" x14ac:dyDescent="0.25">
      <c r="A19" s="13" t="s">
        <v>13</v>
      </c>
      <c r="B19" s="20"/>
      <c r="D19" t="s">
        <v>15</v>
      </c>
      <c r="F19" s="31"/>
      <c r="H19" s="22">
        <v>4190690</v>
      </c>
      <c r="J19" s="23">
        <v>340083</v>
      </c>
      <c r="L19" s="22">
        <f>SUM(H19+J19)</f>
        <v>4530773</v>
      </c>
      <c r="N19" s="31">
        <f>727-N18</f>
        <v>592</v>
      </c>
      <c r="O19" s="22">
        <v>4068750.47</v>
      </c>
      <c r="Q19" s="23">
        <v>278513.04000000004</v>
      </c>
      <c r="S19" s="22">
        <f>SUM(O19+Q19)</f>
        <v>4347263.51</v>
      </c>
      <c r="U19" s="22">
        <f>SUM(O19-H19)</f>
        <v>-121939.5299999998</v>
      </c>
      <c r="W19" s="22">
        <f>SUM(Q19-J19)</f>
        <v>-61569.959999999963</v>
      </c>
      <c r="Y19" s="22">
        <f>S19-L19</f>
        <v>-183509.49000000022</v>
      </c>
      <c r="AA19" s="24">
        <f>IF(U19=0,"------",(U19/H19*100))</f>
        <v>-2.9097721377625114</v>
      </c>
      <c r="AC19" s="24">
        <f>IF(W19=0,"------",(W19/J19*100))</f>
        <v>-18.104392163089589</v>
      </c>
      <c r="AE19" s="24">
        <f>IF(Y19=0,"------",(Y19/L19*100))</f>
        <v>-4.050290976837732</v>
      </c>
    </row>
    <row r="20" spans="1:31" x14ac:dyDescent="0.25">
      <c r="B20" s="1" t="s">
        <v>18</v>
      </c>
      <c r="D20" s="1" t="s">
        <v>12</v>
      </c>
      <c r="E20" s="25"/>
      <c r="F20" s="29">
        <f>718+49</f>
        <v>767</v>
      </c>
      <c r="G20" s="25"/>
      <c r="H20" s="25">
        <f>SUM(H18:H19)</f>
        <v>5358609</v>
      </c>
      <c r="I20" s="25"/>
      <c r="J20" s="25">
        <f>SUM(J18:J19)</f>
        <v>347919</v>
      </c>
      <c r="K20" s="25"/>
      <c r="L20" s="25">
        <f>SUM(L18:L19)</f>
        <v>5706528</v>
      </c>
      <c r="N20" s="29">
        <f>SUM(N18:N19)</f>
        <v>727</v>
      </c>
      <c r="O20" s="25">
        <f>SUM(O18:O19)</f>
        <v>5238650.92</v>
      </c>
      <c r="P20" s="25"/>
      <c r="Q20" s="25">
        <f>SUM(Q18:Q19)</f>
        <v>281397.47000000003</v>
      </c>
      <c r="R20" s="25"/>
      <c r="S20" s="25">
        <f>SUM(S18:S19)</f>
        <v>5520048.3899999997</v>
      </c>
      <c r="U20" s="25">
        <f>SUM(O20-H20)</f>
        <v>-119958.08000000007</v>
      </c>
      <c r="V20" s="25"/>
      <c r="W20" s="25">
        <f>SUM(Q20-J20)</f>
        <v>-66521.52999999997</v>
      </c>
      <c r="X20" s="25"/>
      <c r="Y20" s="25">
        <f>SUM(S20-L20)</f>
        <v>-186479.61000000034</v>
      </c>
      <c r="AA20" s="19">
        <f>IF(U20=0,"------",(U20/H20*100))</f>
        <v>-2.238604831962923</v>
      </c>
      <c r="AC20" s="19">
        <f>IF(W20=0,"------",(W20/J20*100))</f>
        <v>-19.11983248974617</v>
      </c>
      <c r="AE20" s="19">
        <f>IF(Y20=0,"------",(Y20/L20*100))</f>
        <v>-3.2678295804384092</v>
      </c>
    </row>
    <row r="21" spans="1:31" x14ac:dyDescent="0.25">
      <c r="F21" s="29"/>
      <c r="N21" s="29"/>
    </row>
    <row r="22" spans="1:31" s="13" customFormat="1" x14ac:dyDescent="0.25">
      <c r="A22" s="13" t="s">
        <v>13</v>
      </c>
      <c r="B22" s="14"/>
      <c r="D22" s="13" t="s">
        <v>14</v>
      </c>
      <c r="F22" s="30"/>
      <c r="H22" s="16">
        <v>1167919</v>
      </c>
      <c r="J22" s="17">
        <v>7836</v>
      </c>
      <c r="L22" s="18">
        <f>SUM(H22+J22)</f>
        <v>1175755</v>
      </c>
      <c r="N22" s="30">
        <v>136</v>
      </c>
      <c r="O22" s="17">
        <v>1068135.19</v>
      </c>
      <c r="Q22" s="17">
        <v>10837.24</v>
      </c>
      <c r="S22" s="18">
        <f>SUM(O22+Q22)</f>
        <v>1078972.43</v>
      </c>
      <c r="U22" s="18">
        <f>SUM(O22-H22)</f>
        <v>-99783.810000000056</v>
      </c>
      <c r="W22" s="18">
        <f>SUM(Q22-J22)</f>
        <v>3001.24</v>
      </c>
      <c r="Y22" s="18">
        <f>S22-L22</f>
        <v>-96782.570000000065</v>
      </c>
      <c r="AA22" s="19">
        <f>IF(U22=0,"------",(U22/H22*100))</f>
        <v>-8.5437269194182175</v>
      </c>
      <c r="AC22" s="19">
        <f>IF(W22=0,"------",(W22/J22*100))</f>
        <v>38.300663603879528</v>
      </c>
      <c r="AE22" s="19">
        <f>IF(Y22=0,"------",(Y22/L22*100))</f>
        <v>-8.2315252752486767</v>
      </c>
    </row>
    <row r="23" spans="1:31" x14ac:dyDescent="0.25">
      <c r="A23" s="13" t="s">
        <v>13</v>
      </c>
      <c r="B23" s="20"/>
      <c r="D23" t="s">
        <v>15</v>
      </c>
      <c r="F23" s="29"/>
      <c r="H23" s="22">
        <v>4243875</v>
      </c>
      <c r="J23" s="23">
        <v>561841</v>
      </c>
      <c r="L23" s="22">
        <f>SUM(H23+J23)</f>
        <v>4805716</v>
      </c>
      <c r="N23" s="31">
        <f>724-N22</f>
        <v>588</v>
      </c>
      <c r="O23" s="22">
        <v>3882039.9199999995</v>
      </c>
      <c r="Q23" s="23">
        <v>518034.94999999995</v>
      </c>
      <c r="S23" s="22">
        <f>SUM(O23+Q23)</f>
        <v>4400074.8699999992</v>
      </c>
      <c r="U23" s="22">
        <f>SUM(O23-H23)</f>
        <v>-361835.08000000054</v>
      </c>
      <c r="W23" s="22">
        <f>SUM(Q23-J23)</f>
        <v>-43806.050000000047</v>
      </c>
      <c r="Y23" s="22">
        <f>S23-L23</f>
        <v>-405641.13000000082</v>
      </c>
      <c r="AA23" s="24">
        <f>IF(U23=0,"------",(U23/H23*100))</f>
        <v>-8.526054136844289</v>
      </c>
      <c r="AC23" s="24">
        <f>IF(W23=0,"------",(W23/J23*100))</f>
        <v>-7.7968766964319176</v>
      </c>
      <c r="AE23" s="24">
        <f>IF(Y23=0,"------",(Y23/L23*100))</f>
        <v>-8.4408052827091904</v>
      </c>
    </row>
    <row r="24" spans="1:31" x14ac:dyDescent="0.25">
      <c r="B24" s="1" t="s">
        <v>19</v>
      </c>
      <c r="D24" s="1" t="s">
        <v>12</v>
      </c>
      <c r="E24" s="25"/>
      <c r="F24" s="29">
        <f>718+49</f>
        <v>767</v>
      </c>
      <c r="G24" s="25"/>
      <c r="H24" s="25">
        <f>SUM(H22:H23)</f>
        <v>5411794</v>
      </c>
      <c r="I24" s="25"/>
      <c r="J24" s="25">
        <f>SUM(J22:J23)</f>
        <v>569677</v>
      </c>
      <c r="K24" s="25"/>
      <c r="L24" s="25">
        <f>SUM(L22:L23)</f>
        <v>5981471</v>
      </c>
      <c r="N24" s="29">
        <f>SUM(N22:N23)</f>
        <v>724</v>
      </c>
      <c r="O24" s="25">
        <f>SUM(O22:O23)</f>
        <v>4950175.1099999994</v>
      </c>
      <c r="P24" s="25"/>
      <c r="Q24" s="25">
        <f>SUM(Q22:Q23)</f>
        <v>528872.18999999994</v>
      </c>
      <c r="R24" s="25"/>
      <c r="S24" s="25">
        <f>SUM(S22:S23)</f>
        <v>5479047.2999999989</v>
      </c>
      <c r="U24" s="25">
        <f>SUM(O24-H24)</f>
        <v>-461618.8900000006</v>
      </c>
      <c r="V24" s="25"/>
      <c r="W24" s="25">
        <f>SUM(Q24-J24)</f>
        <v>-40804.810000000056</v>
      </c>
      <c r="X24" s="25"/>
      <c r="Y24" s="25">
        <f>SUM(S24-L24)</f>
        <v>-502423.70000000112</v>
      </c>
      <c r="AA24" s="19">
        <f>IF(U24=0,"------",(U24/H24*100))</f>
        <v>-8.5298680991922566</v>
      </c>
      <c r="AC24" s="19">
        <f>IF(W24=0,"------",(W24/J24*100))</f>
        <v>-7.1627975150831178</v>
      </c>
      <c r="AE24" s="19">
        <f>IF(Y24=0,"------",(Y24/L24*100))</f>
        <v>-8.3996679077772196</v>
      </c>
    </row>
    <row r="25" spans="1:31" x14ac:dyDescent="0.25">
      <c r="F25" s="29"/>
      <c r="N25" s="29"/>
    </row>
    <row r="26" spans="1:31" s="13" customFormat="1" x14ac:dyDescent="0.25">
      <c r="A26" s="13" t="s">
        <v>13</v>
      </c>
      <c r="B26" s="14"/>
      <c r="D26" s="13" t="s">
        <v>14</v>
      </c>
      <c r="F26" s="30"/>
      <c r="H26" s="16">
        <v>1167918</v>
      </c>
      <c r="J26" s="17">
        <v>7836</v>
      </c>
      <c r="L26" s="18">
        <f>SUM(H26+J26)</f>
        <v>1175754</v>
      </c>
      <c r="N26" s="30">
        <v>135</v>
      </c>
      <c r="O26" s="17">
        <v>1222697.3700000001</v>
      </c>
      <c r="Q26" s="17">
        <v>11390.73</v>
      </c>
      <c r="S26" s="18">
        <f>SUM(O26+Q26)</f>
        <v>1234088.1000000001</v>
      </c>
      <c r="U26" s="18">
        <f>SUM(O26-H26)</f>
        <v>54779.370000000112</v>
      </c>
      <c r="W26" s="18">
        <f>SUM(Q26-J26)</f>
        <v>3554.7299999999996</v>
      </c>
      <c r="Y26" s="18">
        <f>S26-L26</f>
        <v>58334.100000000093</v>
      </c>
      <c r="AA26" s="19">
        <f>IF(U26=0,"------",(U26/H26*100))</f>
        <v>4.6903438426327968</v>
      </c>
      <c r="AC26" s="19">
        <f>IF(W26=0,"------",(W26/J26*100))</f>
        <v>45.36408882082695</v>
      </c>
      <c r="AE26" s="19">
        <f>IF(Y26=0,"------",(Y26/L26*100))</f>
        <v>4.9614205012273054</v>
      </c>
    </row>
    <row r="27" spans="1:31" x14ac:dyDescent="0.25">
      <c r="A27" s="13" t="s">
        <v>13</v>
      </c>
      <c r="B27" s="20"/>
      <c r="D27" t="s">
        <v>15</v>
      </c>
      <c r="F27" s="31"/>
      <c r="H27" s="22">
        <v>4265977</v>
      </c>
      <c r="J27" s="23">
        <v>505124</v>
      </c>
      <c r="L27" s="22">
        <f>SUM(H27+J27)</f>
        <v>4771101</v>
      </c>
      <c r="N27" s="31">
        <f>738-N26</f>
        <v>603</v>
      </c>
      <c r="O27" s="22">
        <v>4216958.3900000006</v>
      </c>
      <c r="Q27" s="23">
        <v>568894.78</v>
      </c>
      <c r="S27" s="22">
        <f>SUM(O27+Q27)</f>
        <v>4785853.1700000009</v>
      </c>
      <c r="U27" s="22">
        <f>SUM(O27-H27)</f>
        <v>-49018.609999999404</v>
      </c>
      <c r="W27" s="22">
        <f>SUM(Q27-J27)</f>
        <v>63770.780000000028</v>
      </c>
      <c r="Y27" s="22">
        <f>S27-L27</f>
        <v>14752.170000000857</v>
      </c>
      <c r="AA27" s="24">
        <f>IF(U27=0,"------",(U27/H27*100))</f>
        <v>-1.1490594065556237</v>
      </c>
      <c r="AC27" s="24">
        <f>IF(W27=0,"------",(W27/J27*100))</f>
        <v>12.624777282409868</v>
      </c>
      <c r="AE27" s="24">
        <f>IF(Y27=0,"------",(Y27/L27*100))</f>
        <v>0.30919844287515308</v>
      </c>
    </row>
    <row r="28" spans="1:31" x14ac:dyDescent="0.25">
      <c r="B28" s="1" t="s">
        <v>20</v>
      </c>
      <c r="D28" s="1" t="s">
        <v>12</v>
      </c>
      <c r="E28" s="25"/>
      <c r="F28" s="29">
        <f>718+49</f>
        <v>767</v>
      </c>
      <c r="G28" s="25"/>
      <c r="H28" s="25">
        <f>SUM(H26:H27)</f>
        <v>5433895</v>
      </c>
      <c r="I28" s="25"/>
      <c r="J28" s="25">
        <f>SUM(J26:J27)</f>
        <v>512960</v>
      </c>
      <c r="K28" s="25"/>
      <c r="L28" s="25">
        <f>SUM(L26:L27)</f>
        <v>5946855</v>
      </c>
      <c r="N28" s="29">
        <f>SUM(N26:N27)</f>
        <v>738</v>
      </c>
      <c r="O28" s="25">
        <f>SUM(O26:O27)</f>
        <v>5439655.7600000007</v>
      </c>
      <c r="P28" s="25"/>
      <c r="Q28" s="25">
        <f>SUM(Q26:Q27)</f>
        <v>580285.51</v>
      </c>
      <c r="R28" s="25"/>
      <c r="S28" s="25">
        <f>SUM(S26:S27)</f>
        <v>6019941.2700000014</v>
      </c>
      <c r="U28" s="25">
        <f>SUM(O28-H28)</f>
        <v>5760.7600000007078</v>
      </c>
      <c r="V28" s="25"/>
      <c r="W28" s="25">
        <f>SUM(Q28-J28)</f>
        <v>67325.510000000009</v>
      </c>
      <c r="X28" s="25"/>
      <c r="Y28" s="25">
        <f>SUM(S28-L28)</f>
        <v>73086.270000001416</v>
      </c>
      <c r="AA28" s="19">
        <f>IF(U28=0,"------",(U28/H28*100))</f>
        <v>0.10601529841855073</v>
      </c>
      <c r="AC28" s="19">
        <f>IF(W28=0,"------",(W28/J28*100))</f>
        <v>13.124904475982536</v>
      </c>
      <c r="AE28" s="19">
        <f>IF(Y28=0,"------",(Y28/L28*100))</f>
        <v>1.2289902814176807</v>
      </c>
    </row>
    <row r="29" spans="1:31" x14ac:dyDescent="0.25">
      <c r="F29" s="29"/>
      <c r="N29" s="29"/>
    </row>
    <row r="30" spans="1:31" s="13" customFormat="1" x14ac:dyDescent="0.25">
      <c r="A30" s="13" t="s">
        <v>13</v>
      </c>
      <c r="B30" s="14"/>
      <c r="D30" s="13" t="s">
        <v>14</v>
      </c>
      <c r="F30" s="30"/>
      <c r="H30" s="16">
        <v>1173938</v>
      </c>
      <c r="J30" s="17">
        <v>7836</v>
      </c>
      <c r="L30" s="18">
        <f>SUM(H30+J30)</f>
        <v>1181774</v>
      </c>
      <c r="N30" s="30">
        <v>135</v>
      </c>
      <c r="O30" s="17">
        <v>1079183.02</v>
      </c>
      <c r="Q30" s="17">
        <v>11261.8</v>
      </c>
      <c r="S30" s="18">
        <f>SUM(O30+Q30)</f>
        <v>1090444.82</v>
      </c>
      <c r="U30" s="18">
        <f>SUM(O30-H30)</f>
        <v>-94754.979999999981</v>
      </c>
      <c r="W30" s="18">
        <f>SUM(Q30-J30)</f>
        <v>3425.7999999999993</v>
      </c>
      <c r="Y30" s="18">
        <f>S30-L30</f>
        <v>-91329.179999999935</v>
      </c>
      <c r="AA30" s="19">
        <f>IF(U30=0,"------",(U30/H30*100))</f>
        <v>-8.071548923367331</v>
      </c>
      <c r="AC30" s="19">
        <f>IF(W30=0,"------",(W30/J30*100))</f>
        <v>43.718734047983652</v>
      </c>
      <c r="AE30" s="19">
        <f>IF(Y30=0,"------",(Y30/L30*100))</f>
        <v>-7.7281426059466476</v>
      </c>
    </row>
    <row r="31" spans="1:31" x14ac:dyDescent="0.25">
      <c r="A31" s="13" t="s">
        <v>13</v>
      </c>
      <c r="B31" s="20"/>
      <c r="D31" t="s">
        <v>15</v>
      </c>
      <c r="F31" s="31"/>
      <c r="H31" s="22">
        <v>4293819</v>
      </c>
      <c r="J31" s="23">
        <v>350201</v>
      </c>
      <c r="L31" s="22">
        <f>SUM(H31+J31)</f>
        <v>4644020</v>
      </c>
      <c r="N31" s="31">
        <f>734-N30</f>
        <v>599</v>
      </c>
      <c r="O31" s="22">
        <v>4357979.6300000018</v>
      </c>
      <c r="Q31" s="23">
        <v>603462.03999999992</v>
      </c>
      <c r="S31" s="22">
        <f>SUM(O31+Q31)</f>
        <v>4961441.6700000018</v>
      </c>
      <c r="U31" s="22">
        <f>SUM(O31-H31)</f>
        <v>64160.630000001751</v>
      </c>
      <c r="W31" s="22">
        <f>SUM(Q31-J31)</f>
        <v>253261.03999999992</v>
      </c>
      <c r="Y31" s="22">
        <f>S31-L31</f>
        <v>317421.67000000179</v>
      </c>
      <c r="AA31" s="24">
        <f>IF(U31=0,"------",(U31/H31*100))</f>
        <v>1.4942555799394841</v>
      </c>
      <c r="AC31" s="24">
        <f>IF(W31=0,"------",(W31/J31*100))</f>
        <v>72.318765508950548</v>
      </c>
      <c r="AE31" s="24">
        <f>IF(Y31=0,"------",(Y31/L31*100))</f>
        <v>6.8350625104974094</v>
      </c>
    </row>
    <row r="32" spans="1:31" x14ac:dyDescent="0.25">
      <c r="B32" s="1" t="s">
        <v>21</v>
      </c>
      <c r="D32" s="1" t="s">
        <v>12</v>
      </c>
      <c r="E32" s="25"/>
      <c r="F32" s="29">
        <f>718+72</f>
        <v>790</v>
      </c>
      <c r="G32" s="25"/>
      <c r="H32" s="25">
        <f>SUM(H30:H31)</f>
        <v>5467757</v>
      </c>
      <c r="I32" s="25"/>
      <c r="J32" s="25">
        <f>SUM(J30:J31)</f>
        <v>358037</v>
      </c>
      <c r="K32" s="25"/>
      <c r="L32" s="25">
        <f>SUM(L30:L31)</f>
        <v>5825794</v>
      </c>
      <c r="N32" s="29">
        <f>SUM(N30:N31)</f>
        <v>734</v>
      </c>
      <c r="O32" s="25">
        <f>SUM(O30:O31)</f>
        <v>5437162.6500000022</v>
      </c>
      <c r="P32" s="25"/>
      <c r="Q32" s="25">
        <f>SUM(Q30:Q31)</f>
        <v>614723.83999999997</v>
      </c>
      <c r="R32" s="25"/>
      <c r="S32" s="25">
        <f>SUM(S30:S31)</f>
        <v>6051886.4900000021</v>
      </c>
      <c r="U32" s="25">
        <f>SUM(O32-H32)</f>
        <v>-30594.349999997765</v>
      </c>
      <c r="V32" s="25"/>
      <c r="W32" s="25">
        <f>SUM(Q32-J32)</f>
        <v>256686.83999999997</v>
      </c>
      <c r="X32" s="25"/>
      <c r="Y32" s="25">
        <f>SUM(S32-L32)</f>
        <v>226092.49000000209</v>
      </c>
      <c r="AA32" s="19">
        <f>IF(U32=0,"------",(U32/H32*100))</f>
        <v>-0.55954114273911149</v>
      </c>
      <c r="AC32" s="19">
        <f>IF(W32=0,"------",(W32/J32*100))</f>
        <v>71.692825043221788</v>
      </c>
      <c r="AE32" s="19">
        <f>IF(Y32=0,"------",(Y32/L32*100))</f>
        <v>3.8808871374443052</v>
      </c>
    </row>
    <row r="33" spans="1:31" x14ac:dyDescent="0.25">
      <c r="F33" s="29"/>
      <c r="N33" s="29"/>
    </row>
    <row r="34" spans="1:31" s="13" customFormat="1" x14ac:dyDescent="0.25">
      <c r="A34" s="13" t="s">
        <v>13</v>
      </c>
      <c r="B34" s="14"/>
      <c r="D34" s="13" t="s">
        <v>14</v>
      </c>
      <c r="F34" s="30"/>
      <c r="H34" s="16">
        <v>1214171</v>
      </c>
      <c r="J34" s="17">
        <v>7836</v>
      </c>
      <c r="L34" s="18">
        <f>SUM(H34+J34)</f>
        <v>1222007</v>
      </c>
      <c r="N34" s="30">
        <v>136</v>
      </c>
      <c r="O34" s="17">
        <v>1191612.2499999998</v>
      </c>
      <c r="Q34" s="17">
        <v>4262.75</v>
      </c>
      <c r="S34" s="18">
        <f>SUM(O34+Q34)</f>
        <v>1195874.9999999998</v>
      </c>
      <c r="U34" s="18">
        <f>SUM(O34-H34)</f>
        <v>-22558.750000000233</v>
      </c>
      <c r="W34" s="18">
        <f>SUM(Q34-J34)</f>
        <v>-3573.25</v>
      </c>
      <c r="Y34" s="18">
        <f>S34-L34</f>
        <v>-26132.000000000233</v>
      </c>
      <c r="AA34" s="19">
        <f>IF(U34=0,"------",(U34/H34*100))</f>
        <v>-1.8579549338602415</v>
      </c>
      <c r="AC34" s="19">
        <f>IF(W34=0,"------",(W34/J34*100))</f>
        <v>-45.600433894844308</v>
      </c>
      <c r="AE34" s="19">
        <f>IF(Y34=0,"------",(Y34/L34*100))</f>
        <v>-2.1384492887520477</v>
      </c>
    </row>
    <row r="35" spans="1:31" x14ac:dyDescent="0.25">
      <c r="A35" s="13" t="s">
        <v>13</v>
      </c>
      <c r="B35" s="20"/>
      <c r="D35" t="s">
        <v>15</v>
      </c>
      <c r="F35" s="31"/>
      <c r="H35" s="22">
        <v>4413541</v>
      </c>
      <c r="J35" s="23">
        <v>319822</v>
      </c>
      <c r="L35" s="22">
        <f>SUM(H35+J35)</f>
        <v>4733363</v>
      </c>
      <c r="N35" s="31">
        <f>735-N34</f>
        <v>599</v>
      </c>
      <c r="O35" s="22">
        <v>4232066.72</v>
      </c>
      <c r="Q35" s="23">
        <v>354526.14</v>
      </c>
      <c r="S35" s="22">
        <f>SUM(O35+Q35)</f>
        <v>4586592.8599999994</v>
      </c>
      <c r="U35" s="22">
        <f>SUM(O35-H35)</f>
        <v>-181474.28000000026</v>
      </c>
      <c r="W35" s="22">
        <f>SUM(Q35-J35)</f>
        <v>34704.140000000014</v>
      </c>
      <c r="Y35" s="22">
        <f>S35-L35</f>
        <v>-146770.1400000006</v>
      </c>
      <c r="AA35" s="24">
        <f>IF(U35=0,"------",(U35/H35*100))</f>
        <v>-4.1117615085030419</v>
      </c>
      <c r="AC35" s="24">
        <f>IF(W35=0,"------",(W35/J35*100))</f>
        <v>10.851079663062583</v>
      </c>
      <c r="AE35" s="24">
        <f>IF(Y35=0,"------",(Y35/L35*100))</f>
        <v>-3.1007581713044319</v>
      </c>
    </row>
    <row r="36" spans="1:31" x14ac:dyDescent="0.25">
      <c r="B36" s="1" t="s">
        <v>22</v>
      </c>
      <c r="D36" s="1" t="s">
        <v>12</v>
      </c>
      <c r="E36" s="25"/>
      <c r="F36" s="29">
        <f>718+72</f>
        <v>790</v>
      </c>
      <c r="G36" s="25"/>
      <c r="H36" s="25">
        <f>SUM(H34:H35)</f>
        <v>5627712</v>
      </c>
      <c r="I36" s="25"/>
      <c r="J36" s="25">
        <f>SUM(J34:J35)</f>
        <v>327658</v>
      </c>
      <c r="K36" s="25"/>
      <c r="L36" s="25">
        <f>SUM(L34:L35)</f>
        <v>5955370</v>
      </c>
      <c r="N36" s="29">
        <f>SUM(N34:N35)</f>
        <v>735</v>
      </c>
      <c r="O36" s="25">
        <f>SUM(O34:O35)</f>
        <v>5423678.9699999997</v>
      </c>
      <c r="P36" s="25"/>
      <c r="Q36" s="25">
        <f>SUM(Q34:Q35)</f>
        <v>358788.89</v>
      </c>
      <c r="R36" s="25"/>
      <c r="S36" s="25">
        <f>SUM(S34:S35)</f>
        <v>5782467.8599999994</v>
      </c>
      <c r="U36" s="25">
        <f>SUM(O36-H36)</f>
        <v>-204033.03000000026</v>
      </c>
      <c r="V36" s="25"/>
      <c r="W36" s="25">
        <f>SUM(Q36-J36)</f>
        <v>31130.890000000014</v>
      </c>
      <c r="X36" s="25"/>
      <c r="Y36" s="25">
        <f>SUM(S36-L36)</f>
        <v>-172902.1400000006</v>
      </c>
      <c r="AA36" s="19">
        <f>IF(U36=0,"------",(U36/H36*100))</f>
        <v>-3.6255058894271821</v>
      </c>
      <c r="AC36" s="19">
        <f>IF(W36=0,"------",(W36/J36*100))</f>
        <v>9.5010315633984259</v>
      </c>
      <c r="AE36" s="19">
        <f>IF(Y36=0,"------",(Y36/L36*100))</f>
        <v>-2.9032980318603312</v>
      </c>
    </row>
    <row r="37" spans="1:31" x14ac:dyDescent="0.25">
      <c r="F37" s="29"/>
      <c r="N37" s="29"/>
    </row>
    <row r="38" spans="1:31" s="13" customFormat="1" x14ac:dyDescent="0.25">
      <c r="A38" s="13" t="s">
        <v>13</v>
      </c>
      <c r="B38" s="14"/>
      <c r="D38" s="13" t="s">
        <v>14</v>
      </c>
      <c r="F38" s="30"/>
      <c r="H38" s="16">
        <v>1214171</v>
      </c>
      <c r="J38" s="17">
        <v>7836</v>
      </c>
      <c r="L38" s="18">
        <f>SUM(H38+J38)</f>
        <v>1222007</v>
      </c>
      <c r="N38" s="30">
        <v>133</v>
      </c>
      <c r="O38" s="17">
        <v>1227529.76</v>
      </c>
      <c r="Q38" s="17">
        <v>2506.34</v>
      </c>
      <c r="S38" s="18">
        <f>SUM(O38+Q38)</f>
        <v>1230036.1000000001</v>
      </c>
      <c r="U38" s="18">
        <f>SUM(O38-H38)</f>
        <v>13358.760000000009</v>
      </c>
      <c r="W38" s="18">
        <f>SUM(Q38-J38)</f>
        <v>-5329.66</v>
      </c>
      <c r="Y38" s="18">
        <f>S38-L38</f>
        <v>8029.1000000000931</v>
      </c>
      <c r="AA38" s="19">
        <f>IF(U38=0,"------",(U38/H38*100))</f>
        <v>1.1002371165181848</v>
      </c>
      <c r="AC38" s="19">
        <f>IF(W38=0,"------",(W38/J38*100))</f>
        <v>-68.01505870342011</v>
      </c>
      <c r="AE38" s="19">
        <f>IF(Y38=0,"------",(Y38/L38*100))</f>
        <v>0.65704206277051547</v>
      </c>
    </row>
    <row r="39" spans="1:31" x14ac:dyDescent="0.25">
      <c r="A39" s="13" t="s">
        <v>13</v>
      </c>
      <c r="B39" s="20"/>
      <c r="D39" t="s">
        <v>15</v>
      </c>
      <c r="F39" s="31"/>
      <c r="H39" s="22">
        <v>4398313</v>
      </c>
      <c r="J39" s="23">
        <v>319922</v>
      </c>
      <c r="L39" s="22">
        <f>SUM(H39+J39)</f>
        <v>4718235</v>
      </c>
      <c r="N39" s="31">
        <f>717-N38</f>
        <v>584</v>
      </c>
      <c r="O39" s="22">
        <v>4291516.8599999994</v>
      </c>
      <c r="Q39" s="23">
        <v>394523.06</v>
      </c>
      <c r="S39" s="22">
        <f>SUM(O39+Q39)</f>
        <v>4686039.919999999</v>
      </c>
      <c r="U39" s="22">
        <f>SUM(O39-H39)</f>
        <v>-106796.1400000006</v>
      </c>
      <c r="W39" s="22">
        <f>SUM(Q39-J39)</f>
        <v>74601.06</v>
      </c>
      <c r="Y39" s="22">
        <f>S39-L39</f>
        <v>-32195.080000001006</v>
      </c>
      <c r="AA39" s="24">
        <f>IF(U39=0,"------",(U39/H39*100))</f>
        <v>-2.4281159617335235</v>
      </c>
      <c r="AC39" s="24">
        <f>IF(W39=0,"------",(W39/J39*100))</f>
        <v>23.318515138064903</v>
      </c>
      <c r="AE39" s="24">
        <f>IF(Y39=0,"------",(Y39/L39*100))</f>
        <v>-0.68235431257665213</v>
      </c>
    </row>
    <row r="40" spans="1:31" x14ac:dyDescent="0.25">
      <c r="B40" s="1" t="s">
        <v>23</v>
      </c>
      <c r="D40" s="1" t="s">
        <v>12</v>
      </c>
      <c r="E40" s="25"/>
      <c r="F40" s="29">
        <f>718+72</f>
        <v>790</v>
      </c>
      <c r="G40" s="25"/>
      <c r="H40" s="25">
        <f>SUM(H38:H39)</f>
        <v>5612484</v>
      </c>
      <c r="I40" s="25"/>
      <c r="J40" s="25">
        <f>SUM(J38:J39)</f>
        <v>327758</v>
      </c>
      <c r="K40" s="25"/>
      <c r="L40" s="25">
        <f>SUM(L38:L39)</f>
        <v>5940242</v>
      </c>
      <c r="N40" s="29">
        <f>SUM(N38:N39)</f>
        <v>717</v>
      </c>
      <c r="O40" s="25">
        <f>SUM(O38:O39)</f>
        <v>5519046.6199999992</v>
      </c>
      <c r="P40" s="25"/>
      <c r="Q40" s="25">
        <f>SUM(Q38:Q39)</f>
        <v>397029.4</v>
      </c>
      <c r="R40" s="25"/>
      <c r="S40" s="25">
        <f>SUM(S38:S39)</f>
        <v>5916076.0199999996</v>
      </c>
      <c r="U40" s="25">
        <f>SUM(O40-H40)</f>
        <v>-93437.38000000082</v>
      </c>
      <c r="V40" s="25"/>
      <c r="W40" s="25">
        <f>SUM(Q40-J40)</f>
        <v>69271.400000000023</v>
      </c>
      <c r="X40" s="25"/>
      <c r="Y40" s="25">
        <f>SUM(S40-L40)</f>
        <v>-24165.980000000447</v>
      </c>
      <c r="AA40" s="19">
        <f>IF(U40=0,"------",(U40/H40*100))</f>
        <v>-1.6648132983541837</v>
      </c>
      <c r="AC40" s="19">
        <f>IF(W40=0,"------",(W40/J40*100))</f>
        <v>21.134922717370749</v>
      </c>
      <c r="AE40" s="19">
        <f>IF(Y40=0,"------",(Y40/L40*100))</f>
        <v>-0.40681810606369984</v>
      </c>
    </row>
    <row r="41" spans="1:31" x14ac:dyDescent="0.25">
      <c r="F41" s="29"/>
      <c r="N41" s="29"/>
    </row>
    <row r="42" spans="1:31" s="13" customFormat="1" x14ac:dyDescent="0.25">
      <c r="A42" s="13" t="s">
        <v>13</v>
      </c>
      <c r="B42" s="14"/>
      <c r="D42" s="13" t="s">
        <v>14</v>
      </c>
      <c r="F42" s="30"/>
      <c r="H42" s="16">
        <v>1210438</v>
      </c>
      <c r="J42" s="17">
        <v>7836</v>
      </c>
      <c r="L42" s="18">
        <f>SUM(H42+J42)</f>
        <v>1218274</v>
      </c>
      <c r="N42" s="30">
        <v>132</v>
      </c>
      <c r="O42" s="17">
        <v>1055909.1200000001</v>
      </c>
      <c r="Q42" s="17">
        <v>8445.0499999999993</v>
      </c>
      <c r="S42" s="18">
        <f>SUM(O42+Q42)</f>
        <v>1064354.1700000002</v>
      </c>
      <c r="U42" s="18">
        <f>SUM(O42-H42)</f>
        <v>-154528.87999999989</v>
      </c>
      <c r="W42" s="18">
        <f>SUM(Q42-J42)</f>
        <v>609.04999999999927</v>
      </c>
      <c r="Y42" s="18">
        <f>S42-L42</f>
        <v>-153919.82999999984</v>
      </c>
      <c r="AA42" s="19">
        <f>IF(U42=0,"------",(U42/H42*100))</f>
        <v>-12.766360606656423</v>
      </c>
      <c r="AC42" s="19">
        <f>IF(W42=0,"------",(W42/J42*100))</f>
        <v>7.77246043899948</v>
      </c>
      <c r="AE42" s="19">
        <f>IF(Y42=0,"------",(Y42/L42*100))</f>
        <v>-12.634253870639926</v>
      </c>
    </row>
    <row r="43" spans="1:31" x14ac:dyDescent="0.25">
      <c r="A43" s="13" t="s">
        <v>13</v>
      </c>
      <c r="B43" s="20"/>
      <c r="D43" t="s">
        <v>15</v>
      </c>
      <c r="F43" s="31"/>
      <c r="H43" s="22">
        <v>4361148</v>
      </c>
      <c r="J43" s="23">
        <v>368670</v>
      </c>
      <c r="L43" s="22">
        <f>SUM(H43+J43)</f>
        <v>4729818</v>
      </c>
      <c r="N43" s="31">
        <f>714-N42</f>
        <v>582</v>
      </c>
      <c r="O43" s="22">
        <v>3813548.6700000004</v>
      </c>
      <c r="Q43" s="23">
        <v>430175.43000000005</v>
      </c>
      <c r="S43" s="22">
        <f>SUM(O43+Q43)</f>
        <v>4243724.1000000006</v>
      </c>
      <c r="U43" s="22">
        <f>SUM(O43-H43)</f>
        <v>-547599.32999999961</v>
      </c>
      <c r="W43" s="22">
        <f>SUM(Q43-J43)</f>
        <v>61505.430000000051</v>
      </c>
      <c r="Y43" s="22">
        <f>S43-L43</f>
        <v>-486093.89999999944</v>
      </c>
      <c r="AA43" s="24">
        <f>IF(U43=0,"------",(U43/H43*100))</f>
        <v>-12.556311549160901</v>
      </c>
      <c r="AC43" s="24">
        <f>IF(W43=0,"------",(W43/J43*100))</f>
        <v>16.683058019366928</v>
      </c>
      <c r="AE43" s="24">
        <f>IF(Y43=0,"------",(Y43/L43*100))</f>
        <v>-10.277222083386706</v>
      </c>
    </row>
    <row r="44" spans="1:31" x14ac:dyDescent="0.25">
      <c r="B44" s="1" t="s">
        <v>24</v>
      </c>
      <c r="D44" s="1" t="s">
        <v>12</v>
      </c>
      <c r="E44" s="25"/>
      <c r="F44" s="29">
        <f>718+51</f>
        <v>769</v>
      </c>
      <c r="G44" s="25"/>
      <c r="H44" s="25">
        <f>SUM(H42:H43)</f>
        <v>5571586</v>
      </c>
      <c r="I44" s="25"/>
      <c r="J44" s="25">
        <f>SUM(J42:J43)</f>
        <v>376506</v>
      </c>
      <c r="K44" s="25"/>
      <c r="L44" s="25">
        <f>SUM(L42:L43)</f>
        <v>5948092</v>
      </c>
      <c r="N44" s="29">
        <f>SUM(N42:N43)</f>
        <v>714</v>
      </c>
      <c r="O44" s="25">
        <f>SUM(O42:O43)</f>
        <v>4869457.790000001</v>
      </c>
      <c r="P44" s="25"/>
      <c r="Q44" s="25">
        <f>SUM(Q42:Q43)</f>
        <v>438620.48000000004</v>
      </c>
      <c r="R44" s="25"/>
      <c r="S44" s="25">
        <f>SUM(S42:S43)</f>
        <v>5308078.2700000005</v>
      </c>
      <c r="U44" s="25">
        <f>SUM(O44-H44)</f>
        <v>-702128.20999999903</v>
      </c>
      <c r="V44" s="25"/>
      <c r="W44" s="25">
        <f>SUM(Q44-J44)</f>
        <v>62114.48000000004</v>
      </c>
      <c r="X44" s="25"/>
      <c r="Y44" s="25">
        <f>SUM(S44-L44)</f>
        <v>-640013.72999999952</v>
      </c>
      <c r="AA44" s="19">
        <f>IF(U44=0,"------",(U44/H44*100))</f>
        <v>-12.601945119396865</v>
      </c>
      <c r="AC44" s="19">
        <f>IF(W44=0,"------",(W44/J44*100))</f>
        <v>16.497606943846854</v>
      </c>
      <c r="AE44" s="19">
        <f>IF(Y44=0,"------",(Y44/L44*100))</f>
        <v>-10.759983705699232</v>
      </c>
    </row>
    <row r="45" spans="1:31" x14ac:dyDescent="0.25">
      <c r="F45" s="29"/>
      <c r="N45" s="29"/>
    </row>
    <row r="46" spans="1:31" s="13" customFormat="1" x14ac:dyDescent="0.25">
      <c r="A46" s="13" t="s">
        <v>13</v>
      </c>
      <c r="B46" s="14"/>
      <c r="D46" s="13" t="s">
        <v>14</v>
      </c>
      <c r="F46" s="30"/>
      <c r="H46" s="16">
        <v>1210438</v>
      </c>
      <c r="J46" s="17">
        <v>7836</v>
      </c>
      <c r="L46" s="18">
        <f>SUM(H46+J46)</f>
        <v>1218274</v>
      </c>
      <c r="N46" s="30">
        <v>135</v>
      </c>
      <c r="O46" s="17">
        <v>1215742.82</v>
      </c>
      <c r="Q46" s="17">
        <v>14290.670000000002</v>
      </c>
      <c r="S46" s="18">
        <f>SUM(O46+Q46)</f>
        <v>1230033.49</v>
      </c>
      <c r="U46" s="18">
        <f>SUM(O46-H46)</f>
        <v>5304.8200000000652</v>
      </c>
      <c r="W46" s="18">
        <f>SUM(Q46-J46)</f>
        <v>6454.6700000000019</v>
      </c>
      <c r="Y46" s="18">
        <f>S46-L46</f>
        <v>11759.489999999991</v>
      </c>
      <c r="AA46" s="19">
        <f>IF(U46=0,"------",(U46/H46*100))</f>
        <v>0.43825623452007167</v>
      </c>
      <c r="AC46" s="19">
        <f>IF(W46=0,"------",(W46/J46*100))</f>
        <v>82.372001020929062</v>
      </c>
      <c r="AE46" s="19">
        <f>IF(Y46=0,"------",(Y46/L46*100))</f>
        <v>0.96525822598200328</v>
      </c>
    </row>
    <row r="47" spans="1:31" x14ac:dyDescent="0.25">
      <c r="A47" s="13" t="s">
        <v>13</v>
      </c>
      <c r="B47" s="20"/>
      <c r="D47" t="s">
        <v>15</v>
      </c>
      <c r="F47" s="31"/>
      <c r="H47" s="22">
        <v>4347999</v>
      </c>
      <c r="J47" s="23">
        <v>609192</v>
      </c>
      <c r="L47" s="22">
        <f>SUM(H47+J47)</f>
        <v>4957191</v>
      </c>
      <c r="N47" s="31">
        <f>718-N46</f>
        <v>583</v>
      </c>
      <c r="O47" s="22">
        <v>4245562.38</v>
      </c>
      <c r="Q47" s="23">
        <v>570475.43999999994</v>
      </c>
      <c r="S47" s="22">
        <f>SUM(O47+Q47)</f>
        <v>4816037.82</v>
      </c>
      <c r="U47" s="22">
        <f>SUM(O47-H47)</f>
        <v>-102436.62000000011</v>
      </c>
      <c r="W47" s="22">
        <f>SUM(Q47-J47)</f>
        <v>-38716.560000000056</v>
      </c>
      <c r="Y47" s="22">
        <f>S47-L47</f>
        <v>-141153.1799999997</v>
      </c>
      <c r="AA47" s="24">
        <f>IF(U47=0,"------",(U47/H47*100))</f>
        <v>-2.3559485639256152</v>
      </c>
      <c r="AC47" s="24">
        <f>IF(W47=0,"------",(W47/J47*100))</f>
        <v>-6.3553953433400396</v>
      </c>
      <c r="AE47" s="24">
        <f>IF(Y47=0,"------",(Y47/L47*100))</f>
        <v>-2.8474428360738915</v>
      </c>
    </row>
    <row r="48" spans="1:31" x14ac:dyDescent="0.25">
      <c r="B48" s="1" t="s">
        <v>25</v>
      </c>
      <c r="D48" s="1" t="s">
        <v>12</v>
      </c>
      <c r="E48" s="25"/>
      <c r="F48" s="29">
        <f>718+51</f>
        <v>769</v>
      </c>
      <c r="G48" s="25"/>
      <c r="H48" s="25">
        <f>SUM(H46:H47)</f>
        <v>5558437</v>
      </c>
      <c r="I48" s="25"/>
      <c r="J48" s="25">
        <f>SUM(J46:J47)</f>
        <v>617028</v>
      </c>
      <c r="K48" s="25"/>
      <c r="L48" s="25">
        <f>SUM(L46:L47)</f>
        <v>6175465</v>
      </c>
      <c r="N48" s="29">
        <f>SUM(N46:N47)</f>
        <v>718</v>
      </c>
      <c r="O48" s="25">
        <f>SUM(O46:O47)</f>
        <v>5461305.2000000002</v>
      </c>
      <c r="P48" s="25"/>
      <c r="Q48" s="25">
        <f>SUM(Q46:Q47)</f>
        <v>584766.11</v>
      </c>
      <c r="R48" s="25"/>
      <c r="S48" s="25">
        <f>SUM(S46:S47)</f>
        <v>6046071.3100000005</v>
      </c>
      <c r="U48" s="25">
        <f>SUM(O48-H48)</f>
        <v>-97131.799999999814</v>
      </c>
      <c r="V48" s="25"/>
      <c r="W48" s="25">
        <f>SUM(Q48-J48)</f>
        <v>-32261.890000000014</v>
      </c>
      <c r="X48" s="25"/>
      <c r="Y48" s="25">
        <f>SUM(S48-L48)</f>
        <v>-129393.68999999948</v>
      </c>
      <c r="AA48" s="19">
        <f>IF(U48=0,"------",(U48/H48*100))</f>
        <v>-1.7474660592537039</v>
      </c>
      <c r="AC48" s="19">
        <f>IF(W48=0,"------",(W48/J48*100))</f>
        <v>-5.2285941642842806</v>
      </c>
      <c r="AE48" s="19">
        <f>IF(Y48=0,"------",(Y48/L48*100))</f>
        <v>-2.095286589754771</v>
      </c>
    </row>
    <row r="49" spans="1:31" x14ac:dyDescent="0.25">
      <c r="F49" s="29"/>
      <c r="N49" s="29"/>
    </row>
    <row r="50" spans="1:31" s="13" customFormat="1" x14ac:dyDescent="0.25">
      <c r="A50" s="13" t="s">
        <v>13</v>
      </c>
      <c r="B50" s="14"/>
      <c r="D50" s="13" t="s">
        <v>14</v>
      </c>
      <c r="F50" s="30"/>
      <c r="H50" s="16">
        <v>1210437</v>
      </c>
      <c r="J50" s="17">
        <v>7836</v>
      </c>
      <c r="L50" s="18">
        <f>SUM(H50+J50)</f>
        <v>1218273</v>
      </c>
      <c r="N50" s="30">
        <v>136</v>
      </c>
      <c r="O50" s="17">
        <v>1221023.1600000004</v>
      </c>
      <c r="Q50" s="17">
        <v>14388.970000000001</v>
      </c>
      <c r="S50" s="18">
        <f>SUM(O50+Q50)</f>
        <v>1235412.1300000004</v>
      </c>
      <c r="U50" s="18">
        <f>SUM(O50-H50)</f>
        <v>10586.160000000382</v>
      </c>
      <c r="W50" s="18">
        <f>SUM(Q50-J50)</f>
        <v>6552.9700000000012</v>
      </c>
      <c r="Y50" s="18">
        <f>S50-L50</f>
        <v>17139.130000000354</v>
      </c>
      <c r="AA50" s="19">
        <f>IF(U50=0,"------",(U50/H50*100))</f>
        <v>0.87457339787203969</v>
      </c>
      <c r="AC50" s="19">
        <f>IF(W50=0,"------",(W50/J50*100))</f>
        <v>83.626467585502823</v>
      </c>
      <c r="AE50" s="19">
        <f>IF(Y50=0,"------",(Y50/L50*100))</f>
        <v>1.4068382045732239</v>
      </c>
    </row>
    <row r="51" spans="1:31" x14ac:dyDescent="0.25">
      <c r="A51" s="13" t="s">
        <v>13</v>
      </c>
      <c r="B51" s="20"/>
      <c r="D51" t="s">
        <v>15</v>
      </c>
      <c r="F51" s="31"/>
      <c r="H51" s="22">
        <v>4313916</v>
      </c>
      <c r="J51" s="23">
        <v>577293</v>
      </c>
      <c r="L51" s="22">
        <f>SUM(H51+J51)</f>
        <v>4891209</v>
      </c>
      <c r="N51" s="31">
        <f>719-N50</f>
        <v>583</v>
      </c>
      <c r="O51" s="22">
        <v>4591072.6099999994</v>
      </c>
      <c r="Q51" s="23">
        <v>943063.86999999988</v>
      </c>
      <c r="S51" s="22">
        <f>SUM(O51+Q51)</f>
        <v>5534136.4799999995</v>
      </c>
      <c r="U51" s="22">
        <f>SUM(O51-H51)</f>
        <v>277156.6099999994</v>
      </c>
      <c r="W51" s="22">
        <f>SUM(Q51-J51)</f>
        <v>365770.86999999988</v>
      </c>
      <c r="Y51" s="22">
        <f>S51-L51</f>
        <v>642927.47999999952</v>
      </c>
      <c r="AA51" s="24">
        <f>IF(U51=0,"------",(U51/H51*100))</f>
        <v>6.4247104023351262</v>
      </c>
      <c r="AC51" s="24">
        <f>IF(W51=0,"------",(W51/J51*100))</f>
        <v>63.359657920674572</v>
      </c>
      <c r="AE51" s="24">
        <f>IF(Y51=0,"------",(Y51/L51*100))</f>
        <v>13.144551377788179</v>
      </c>
    </row>
    <row r="52" spans="1:31" x14ac:dyDescent="0.25">
      <c r="B52" s="1" t="s">
        <v>26</v>
      </c>
      <c r="D52" s="1" t="s">
        <v>12</v>
      </c>
      <c r="E52" s="25"/>
      <c r="F52" s="29">
        <f>718+51</f>
        <v>769</v>
      </c>
      <c r="G52" s="25"/>
      <c r="H52" s="25">
        <f>SUM(H50:H51)</f>
        <v>5524353</v>
      </c>
      <c r="I52" s="25"/>
      <c r="J52" s="25">
        <f>SUM(J50:J51)</f>
        <v>585129</v>
      </c>
      <c r="K52" s="25"/>
      <c r="L52" s="25">
        <f>SUM(L50:L51)</f>
        <v>6109482</v>
      </c>
      <c r="N52" s="29">
        <f>SUM(N50:N51)</f>
        <v>719</v>
      </c>
      <c r="O52" s="25">
        <f>SUM(O50:O51)</f>
        <v>5812095.7699999996</v>
      </c>
      <c r="P52" s="25"/>
      <c r="Q52" s="25">
        <f>SUM(Q50:Q51)</f>
        <v>957452.83999999985</v>
      </c>
      <c r="R52" s="25"/>
      <c r="S52" s="25">
        <f>SUM(S50:S51)</f>
        <v>6769548.6099999994</v>
      </c>
      <c r="U52" s="25">
        <f>SUM(O52-H52)</f>
        <v>287742.76999999955</v>
      </c>
      <c r="V52" s="25"/>
      <c r="W52" s="25">
        <f>SUM(Q52-J52)</f>
        <v>372323.83999999985</v>
      </c>
      <c r="X52" s="25"/>
      <c r="Y52" s="25">
        <f>SUM(S52-L52)</f>
        <v>660066.6099999994</v>
      </c>
      <c r="AA52" s="19">
        <f>IF(U52=0,"------",(U52/H52*100))</f>
        <v>5.2086238877204183</v>
      </c>
      <c r="AC52" s="19">
        <f>IF(W52=0,"------",(W52/J52*100))</f>
        <v>63.631069388117808</v>
      </c>
      <c r="AE52" s="19">
        <f>IF(Y52=0,"------",(Y52/L52*100))</f>
        <v>10.803970123817361</v>
      </c>
    </row>
    <row r="53" spans="1:31" x14ac:dyDescent="0.25">
      <c r="F53" s="29"/>
      <c r="N53" s="29"/>
    </row>
    <row r="54" spans="1:31" s="13" customFormat="1" x14ac:dyDescent="0.25">
      <c r="A54" s="13" t="s">
        <v>13</v>
      </c>
      <c r="B54" s="14"/>
      <c r="D54" s="13" t="s">
        <v>14</v>
      </c>
      <c r="F54" s="30"/>
      <c r="H54" s="16">
        <v>1210431</v>
      </c>
      <c r="J54" s="17">
        <v>7840</v>
      </c>
      <c r="L54" s="18">
        <f>SUM(H54+J54)</f>
        <v>1218271</v>
      </c>
      <c r="N54" s="30">
        <v>133</v>
      </c>
      <c r="O54" s="17">
        <v>1397157.75</v>
      </c>
      <c r="Q54" s="17">
        <v>8116.9600000000009</v>
      </c>
      <c r="S54" s="18">
        <f>SUM(O54+Q54)</f>
        <v>1405274.71</v>
      </c>
      <c r="U54" s="18">
        <f>SUM(O54-H54)</f>
        <v>186726.75</v>
      </c>
      <c r="W54" s="18">
        <f>SUM(Q54-J54)</f>
        <v>276.96000000000095</v>
      </c>
      <c r="Y54" s="18">
        <f>S54-L54</f>
        <v>187003.70999999996</v>
      </c>
      <c r="AA54" s="19">
        <f>IF(U54=0,"------",(U54/H54*100))</f>
        <v>15.426467927539861</v>
      </c>
      <c r="AC54" s="19">
        <f>IF(W54=0,"------",(W54/J54*100))</f>
        <v>3.5326530612245022</v>
      </c>
      <c r="AE54" s="19">
        <f>IF(Y54=0,"------",(Y54/L54*100))</f>
        <v>15.34992706877205</v>
      </c>
    </row>
    <row r="55" spans="1:31" x14ac:dyDescent="0.25">
      <c r="A55" s="13" t="s">
        <v>13</v>
      </c>
      <c r="B55" s="20"/>
      <c r="D55" t="s">
        <v>15</v>
      </c>
      <c r="F55" s="31"/>
      <c r="H55" s="22">
        <v>4304161</v>
      </c>
      <c r="J55" s="23">
        <v>426276</v>
      </c>
      <c r="L55" s="22">
        <f>SUM(H55+J55)</f>
        <v>4730437</v>
      </c>
      <c r="N55" s="31">
        <f>706-N54</f>
        <v>573</v>
      </c>
      <c r="O55" s="22">
        <v>4215409.58</v>
      </c>
      <c r="Q55" s="23">
        <v>413278.63</v>
      </c>
      <c r="S55" s="22">
        <f>SUM(O55+Q55)</f>
        <v>4628688.21</v>
      </c>
      <c r="U55" s="22">
        <f>SUM(O55-H55)</f>
        <v>-88751.419999999925</v>
      </c>
      <c r="W55" s="22">
        <f>SUM(Q55-J55)</f>
        <v>-12997.369999999995</v>
      </c>
      <c r="Y55" s="22">
        <f>S55-L55</f>
        <v>-101748.79000000004</v>
      </c>
      <c r="AA55" s="24">
        <f>IF(U55=0,"------",(U55/H55*100))</f>
        <v>-2.0619911755159701</v>
      </c>
      <c r="AC55" s="24">
        <f>IF(W55=0,"------",(W55/J55*100))</f>
        <v>-3.0490503805046485</v>
      </c>
      <c r="AE55" s="24">
        <f>IF(Y55=0,"------",(Y55/L55*100))</f>
        <v>-2.1509384862328793</v>
      </c>
    </row>
    <row r="56" spans="1:31" x14ac:dyDescent="0.25">
      <c r="B56" s="1" t="s">
        <v>27</v>
      </c>
      <c r="D56" s="1" t="s">
        <v>12</v>
      </c>
      <c r="E56" s="25"/>
      <c r="F56" s="29">
        <f>718+51</f>
        <v>769</v>
      </c>
      <c r="G56" s="25"/>
      <c r="H56" s="25">
        <f>SUM(H54:H55)</f>
        <v>5514592</v>
      </c>
      <c r="I56" s="25"/>
      <c r="J56" s="25">
        <f>SUM(J54:J55)</f>
        <v>434116</v>
      </c>
      <c r="K56" s="25"/>
      <c r="L56" s="25">
        <f>SUM(L54:L55)</f>
        <v>5948708</v>
      </c>
      <c r="N56" s="29">
        <f>SUM(N54:N55)</f>
        <v>706</v>
      </c>
      <c r="O56" s="25">
        <f>SUM(O54:O55)</f>
        <v>5612567.3300000001</v>
      </c>
      <c r="P56" s="25"/>
      <c r="Q56" s="25">
        <f>SUM(Q54:Q55)</f>
        <v>421395.59</v>
      </c>
      <c r="R56" s="25"/>
      <c r="S56" s="25">
        <f>SUM(S54:S55)</f>
        <v>6033962.9199999999</v>
      </c>
      <c r="U56" s="25">
        <f>SUM(O56-H56)</f>
        <v>97975.330000000075</v>
      </c>
      <c r="V56" s="25"/>
      <c r="W56" s="25">
        <f>SUM(Q56-J56)</f>
        <v>-12720.409999999974</v>
      </c>
      <c r="X56" s="25"/>
      <c r="Y56" s="25">
        <f>SUM(S56-L56)</f>
        <v>85254.919999999925</v>
      </c>
      <c r="AA56" s="19">
        <f>IF(U56=0,"------",(U56/H56*100))</f>
        <v>1.7766560064643055</v>
      </c>
      <c r="AC56" s="19">
        <f>IF(W56=0,"------",(W56/J56*100))</f>
        <v>-2.9301868624975755</v>
      </c>
      <c r="AE56" s="19">
        <f>IF(Y56=0,"------",(Y56/L56*100))</f>
        <v>1.4331670002965338</v>
      </c>
    </row>
    <row r="57" spans="1:31" x14ac:dyDescent="0.25">
      <c r="F57" s="32"/>
      <c r="N57" s="32"/>
    </row>
    <row r="58" spans="1:31" s="13" customFormat="1" x14ac:dyDescent="0.25">
      <c r="A58" s="13" t="s">
        <v>13</v>
      </c>
      <c r="B58" s="14"/>
      <c r="D58" s="13" t="s">
        <v>14</v>
      </c>
      <c r="F58" s="33"/>
      <c r="H58" s="16">
        <v>14278928</v>
      </c>
      <c r="J58" s="17">
        <v>94036</v>
      </c>
      <c r="L58" s="18">
        <f>SUM(H58+J58)</f>
        <v>14372964</v>
      </c>
      <c r="N58" s="30">
        <f>(N54+N50+N46+N42+N38+N34+N30+N26+N22+N18+N14+N10)/12</f>
        <v>134.91666666666666</v>
      </c>
      <c r="O58" s="17">
        <v>13991783.350000001</v>
      </c>
      <c r="Q58" s="17">
        <v>95258.349999999991</v>
      </c>
      <c r="S58" s="18">
        <f>SUM(O58+Q58)</f>
        <v>14087041.700000001</v>
      </c>
      <c r="U58" s="18">
        <f>SUM(O58-H58)</f>
        <v>-287144.64999999851</v>
      </c>
      <c r="W58" s="18">
        <f>SUM(Q58-J58)</f>
        <v>1222.3499999999913</v>
      </c>
      <c r="Y58" s="18">
        <f>S58-L58</f>
        <v>-285922.29999999888</v>
      </c>
      <c r="AA58" s="19">
        <f>IF(U58=0,"------",(U58/H58*100))</f>
        <v>-2.0109678401627806</v>
      </c>
      <c r="AC58" s="19">
        <f>IF(W58=0,"------",(W58/J58*100))</f>
        <v>1.2998745161427445</v>
      </c>
      <c r="AE58" s="19">
        <f>IF(Y58=0,"------",(Y58/L58*100))</f>
        <v>-1.9893064506388443</v>
      </c>
    </row>
    <row r="59" spans="1:31" x14ac:dyDescent="0.25">
      <c r="A59" s="13" t="s">
        <v>13</v>
      </c>
      <c r="B59" s="20"/>
      <c r="D59" t="s">
        <v>15</v>
      </c>
      <c r="F59" s="34"/>
      <c r="H59" s="22">
        <v>51473510</v>
      </c>
      <c r="J59" s="23">
        <v>5003236</v>
      </c>
      <c r="L59" s="22">
        <f>SUM(H59+J59)</f>
        <v>56476746</v>
      </c>
      <c r="N59" s="35">
        <f>(N55+N51+N47+N43+N39+N35+N31+N27+N23+N19+N15+N11)/12</f>
        <v>588.91666666666663</v>
      </c>
      <c r="O59" s="22">
        <v>49689892.019999996</v>
      </c>
      <c r="Q59" s="23">
        <v>5757761.04</v>
      </c>
      <c r="S59" s="22">
        <f>SUM(O59+Q59)</f>
        <v>55447653.059999995</v>
      </c>
      <c r="U59" s="22">
        <f>SUM(O59-H59)</f>
        <v>-1783617.9800000042</v>
      </c>
      <c r="W59" s="22">
        <f>SUM(Q59-J59)</f>
        <v>754525.04</v>
      </c>
      <c r="Y59" s="22">
        <f>S59-L59</f>
        <v>-1029092.9400000051</v>
      </c>
      <c r="AA59" s="24">
        <f>IF(U59=0,"------",(U59/H59*100))</f>
        <v>-3.4651182326598748</v>
      </c>
      <c r="AC59" s="24">
        <f>IF(W59=0,"------",(W59/J59*100))</f>
        <v>15.080740544719459</v>
      </c>
      <c r="AE59" s="24">
        <f>IF(Y59=0,"------",(Y59/L59*100))</f>
        <v>-1.8221533868116357</v>
      </c>
    </row>
    <row r="60" spans="1:31" x14ac:dyDescent="0.25">
      <c r="B60" s="1" t="s">
        <v>28</v>
      </c>
      <c r="D60" s="1" t="s">
        <v>12</v>
      </c>
      <c r="E60" s="25"/>
      <c r="F60" s="36">
        <f>(F56+F52+F48+F44+F40+F36+F32+F28+F24+F20+F16+F12)/12</f>
        <v>773.41666666666663</v>
      </c>
      <c r="G60" s="25"/>
      <c r="H60" s="25">
        <f>SUM(H58:H59)</f>
        <v>65752438</v>
      </c>
      <c r="I60" s="25"/>
      <c r="J60" s="25">
        <f>SUM(J58:J59)</f>
        <v>5097272</v>
      </c>
      <c r="K60" s="25"/>
      <c r="L60" s="25">
        <f>SUM(L58:L59)</f>
        <v>70849710</v>
      </c>
      <c r="N60" s="30">
        <f>(N56+N52+N48+N44+N40+N36+N32+N28+N24+N20+N16+N12)/12</f>
        <v>723.83333333333337</v>
      </c>
      <c r="O60" s="25">
        <f>SUM(O58:O59)</f>
        <v>63681675.369999997</v>
      </c>
      <c r="P60" s="25"/>
      <c r="Q60" s="25">
        <f>SUM(Q58:Q59)</f>
        <v>5853019.3899999997</v>
      </c>
      <c r="R60" s="25"/>
      <c r="S60" s="25">
        <f>SUM(S58:S59)</f>
        <v>69534694.75999999</v>
      </c>
      <c r="U60" s="25">
        <f>SUM(O60-H60)</f>
        <v>-2070762.6300000027</v>
      </c>
      <c r="V60" s="25"/>
      <c r="W60" s="25">
        <f>SUM(Q60-J60)</f>
        <v>755747.38999999966</v>
      </c>
      <c r="X60" s="25"/>
      <c r="Y60" s="25">
        <f>SUM(S60-L60)</f>
        <v>-1315015.2400000095</v>
      </c>
      <c r="AA60" s="19">
        <f>IF(U60=0,"------",(U60/H60*100))</f>
        <v>-3.1493320901652391</v>
      </c>
      <c r="AC60" s="19">
        <f>IF(W60=0,"------",(W60/J60*100))</f>
        <v>14.826507002176845</v>
      </c>
      <c r="AE60" s="19">
        <f>IF(Y60=0,"------",(Y60/L60*100))</f>
        <v>-1.8560629817680405</v>
      </c>
    </row>
    <row r="63" spans="1:31" ht="15" customHeight="1" x14ac:dyDescent="0.25">
      <c r="C63" s="40" t="s">
        <v>34</v>
      </c>
      <c r="D63" s="42" t="s">
        <v>35</v>
      </c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</row>
    <row r="64" spans="1:31" x14ac:dyDescent="0.25"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</row>
    <row r="65" spans="4:19" x14ac:dyDescent="0.25"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</row>
  </sheetData>
  <mergeCells count="5">
    <mergeCell ref="U8:Y8"/>
    <mergeCell ref="AA8:AE8"/>
    <mergeCell ref="D63:S65"/>
    <mergeCell ref="F8:L8"/>
    <mergeCell ref="N8:S8"/>
  </mergeCells>
  <pageMargins left="0.7" right="0.7" top="0.75" bottom="0.75" header="0.3" footer="0.3"/>
  <pageSetup scale="54" orientation="landscape" horizontalDpi="4294967293" verticalDpi="300" r:id="rId1"/>
  <ignoredErrors>
    <ignoredError sqref="C6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topLeftCell="B14" workbookViewId="0">
      <selection activeCell="AA8" sqref="AA8:AE8"/>
    </sheetView>
  </sheetViews>
  <sheetFormatPr defaultRowHeight="15" x14ac:dyDescent="0.25"/>
  <cols>
    <col min="1" max="1" width="9.140625" hidden="1" customWidth="1"/>
    <col min="2" max="2" width="9.140625" style="1" customWidth="1"/>
    <col min="3" max="3" width="3.7109375" customWidth="1"/>
    <col min="4" max="4" width="23.5703125" customWidth="1"/>
    <col min="5" max="5" width="1.28515625" customWidth="1"/>
    <col min="6" max="6" width="8" customWidth="1"/>
    <col min="7" max="7" width="1.28515625" customWidth="1"/>
    <col min="8" max="8" width="13.28515625" style="2" bestFit="1" customWidth="1"/>
    <col min="9" max="9" width="1.28515625" customWidth="1"/>
    <col min="10" max="10" width="11" style="2" customWidth="1"/>
    <col min="11" max="11" width="1.28515625" customWidth="1"/>
    <col min="12" max="12" width="11.7109375" style="2" customWidth="1"/>
    <col min="13" max="13" width="3.7109375" customWidth="1"/>
    <col min="14" max="14" width="6.5703125" bestFit="1" customWidth="1"/>
    <col min="15" max="15" width="13.28515625" style="2" bestFit="1" customWidth="1"/>
    <col min="16" max="16" width="1.28515625" customWidth="1"/>
    <col min="17" max="17" width="11" style="2" customWidth="1"/>
    <col min="18" max="18" width="1.28515625" customWidth="1"/>
    <col min="19" max="19" width="11.7109375" style="2" customWidth="1"/>
    <col min="20" max="20" width="3.7109375" customWidth="1"/>
    <col min="21" max="21" width="13.28515625" style="2" customWidth="1"/>
    <col min="22" max="22" width="1.28515625" customWidth="1"/>
    <col min="23" max="23" width="13.28515625" style="2" customWidth="1"/>
    <col min="24" max="24" width="1.28515625" customWidth="1"/>
    <col min="25" max="25" width="13.28515625" style="2" customWidth="1"/>
    <col min="26" max="26" width="3.7109375" customWidth="1"/>
    <col min="27" max="27" width="13.28515625" style="3" bestFit="1" customWidth="1"/>
    <col min="28" max="28" width="1.28515625" customWidth="1"/>
    <col min="29" max="29" width="13.28515625" style="3" customWidth="1"/>
    <col min="30" max="30" width="1.28515625" customWidth="1"/>
    <col min="31" max="31" width="10.42578125" style="3" customWidth="1"/>
  </cols>
  <sheetData>
    <row r="1" spans="1:33" hidden="1" x14ac:dyDescent="0.25">
      <c r="L1" s="2" t="s">
        <v>0</v>
      </c>
      <c r="S1" s="2" t="s">
        <v>0</v>
      </c>
      <c r="Y1" s="2" t="s">
        <v>0</v>
      </c>
      <c r="AA1" s="3" t="s">
        <v>0</v>
      </c>
      <c r="AC1" s="3" t="s">
        <v>0</v>
      </c>
      <c r="AE1" s="3" t="s">
        <v>0</v>
      </c>
    </row>
    <row r="2" spans="1:33" x14ac:dyDescent="0.25">
      <c r="B2" s="4" t="s">
        <v>1</v>
      </c>
    </row>
    <row r="3" spans="1:33" x14ac:dyDescent="0.25">
      <c r="B3" s="4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G3" s="6"/>
    </row>
    <row r="4" spans="1:33" x14ac:dyDescent="0.25">
      <c r="B4" s="4" t="s">
        <v>32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3" x14ac:dyDescent="0.25">
      <c r="B5" s="7" t="s">
        <v>30</v>
      </c>
    </row>
    <row r="6" spans="1:33" x14ac:dyDescent="0.25">
      <c r="B6" s="8"/>
    </row>
    <row r="7" spans="1:33" x14ac:dyDescent="0.25">
      <c r="B7" s="8"/>
    </row>
    <row r="8" spans="1:33" x14ac:dyDescent="0.25">
      <c r="F8" s="43" t="s">
        <v>4</v>
      </c>
      <c r="G8" s="43"/>
      <c r="H8" s="43"/>
      <c r="I8" s="43"/>
      <c r="J8" s="43"/>
      <c r="K8" s="43"/>
      <c r="L8" s="43"/>
      <c r="N8" s="43" t="s">
        <v>5</v>
      </c>
      <c r="O8" s="43"/>
      <c r="P8" s="43"/>
      <c r="Q8" s="43"/>
      <c r="R8" s="43"/>
      <c r="S8" s="43"/>
      <c r="U8" s="43" t="s">
        <v>6</v>
      </c>
      <c r="V8" s="43"/>
      <c r="W8" s="43"/>
      <c r="X8" s="43"/>
      <c r="Y8" s="43"/>
      <c r="AA8" s="44" t="s">
        <v>33</v>
      </c>
      <c r="AB8" s="44"/>
      <c r="AC8" s="44"/>
      <c r="AD8" s="44"/>
      <c r="AE8" s="44"/>
    </row>
    <row r="9" spans="1:33" s="9" customFormat="1" ht="12.75" x14ac:dyDescent="0.2">
      <c r="B9" s="10" t="s">
        <v>7</v>
      </c>
      <c r="D9" s="10" t="s">
        <v>8</v>
      </c>
      <c r="F9" s="37" t="s">
        <v>9</v>
      </c>
      <c r="H9" s="11" t="s">
        <v>10</v>
      </c>
      <c r="J9" s="11" t="s">
        <v>11</v>
      </c>
      <c r="L9" s="11" t="s">
        <v>12</v>
      </c>
      <c r="N9" s="10" t="s">
        <v>9</v>
      </c>
      <c r="O9" s="11" t="s">
        <v>10</v>
      </c>
      <c r="Q9" s="11" t="s">
        <v>11</v>
      </c>
      <c r="S9" s="11" t="s">
        <v>12</v>
      </c>
      <c r="U9" s="11" t="s">
        <v>10</v>
      </c>
      <c r="W9" s="11" t="s">
        <v>11</v>
      </c>
      <c r="Y9" s="11" t="s">
        <v>12</v>
      </c>
      <c r="AA9" s="12" t="s">
        <v>10</v>
      </c>
      <c r="AC9" s="12" t="s">
        <v>11</v>
      </c>
      <c r="AE9" s="12" t="s">
        <v>12</v>
      </c>
    </row>
    <row r="10" spans="1:33" s="13" customFormat="1" x14ac:dyDescent="0.25">
      <c r="A10" s="13" t="s">
        <v>13</v>
      </c>
      <c r="B10" s="14"/>
      <c r="D10" s="13" t="s">
        <v>14</v>
      </c>
      <c r="F10" s="30"/>
      <c r="H10" s="16">
        <v>1118939</v>
      </c>
      <c r="J10" s="17">
        <v>9851</v>
      </c>
      <c r="L10" s="18">
        <f>SUM(H10+J10)</f>
        <v>1128790</v>
      </c>
      <c r="N10" s="30">
        <v>134</v>
      </c>
      <c r="O10" s="17">
        <v>1057689.83</v>
      </c>
      <c r="Q10" s="17">
        <v>4476.22</v>
      </c>
      <c r="S10" s="18">
        <f>SUM(O10+Q10)</f>
        <v>1062166.05</v>
      </c>
      <c r="U10" s="18">
        <f>SUM(O10-H10)</f>
        <v>-61249.169999999925</v>
      </c>
      <c r="W10" s="18">
        <f>SUM(Q10-J10)</f>
        <v>-5374.78</v>
      </c>
      <c r="Y10" s="18">
        <f>S10-L10</f>
        <v>-66623.949999999953</v>
      </c>
      <c r="AA10" s="19">
        <f>IF(U10=0,"------",(U10/H10*100))</f>
        <v>-5.4738613990574931</v>
      </c>
      <c r="AC10" s="19">
        <f>IF(W10=0,"------",(W10/J10*100))</f>
        <v>-54.560755253273776</v>
      </c>
      <c r="AE10" s="19">
        <f>IF(Y10=0,"------",(Y10/L10*100))</f>
        <v>-5.9022448816874666</v>
      </c>
    </row>
    <row r="11" spans="1:33" x14ac:dyDescent="0.25">
      <c r="A11" s="13" t="s">
        <v>13</v>
      </c>
      <c r="B11" s="20"/>
      <c r="D11" t="s">
        <v>15</v>
      </c>
      <c r="F11" s="31"/>
      <c r="H11" s="22">
        <v>4005883</v>
      </c>
      <c r="J11" s="23">
        <v>352728</v>
      </c>
      <c r="L11" s="22">
        <f>SUM(H11+J11)</f>
        <v>4358611</v>
      </c>
      <c r="N11" s="31">
        <f>717-N10</f>
        <v>583</v>
      </c>
      <c r="O11" s="22">
        <v>3800676.5099999993</v>
      </c>
      <c r="Q11" s="23">
        <v>374559.76</v>
      </c>
      <c r="S11" s="22">
        <f>SUM(O11+Q11)</f>
        <v>4175236.2699999996</v>
      </c>
      <c r="U11" s="22">
        <f>SUM(O11-H11)</f>
        <v>-205206.49000000069</v>
      </c>
      <c r="W11" s="22">
        <f>SUM(Q11-J11)</f>
        <v>21831.760000000009</v>
      </c>
      <c r="Y11" s="22">
        <f>S11-L11</f>
        <v>-183374.73000000045</v>
      </c>
      <c r="AA11" s="24">
        <f>IF(U11=0,"------",(U11/H11*100))</f>
        <v>-5.1226281446562636</v>
      </c>
      <c r="AC11" s="24">
        <f>IF(W11=0,"------",(W11/J11*100))</f>
        <v>6.1894037331881817</v>
      </c>
      <c r="AE11" s="24">
        <f>IF(Y11=0,"------",(Y11/L11*100))</f>
        <v>-4.2071827469806422</v>
      </c>
    </row>
    <row r="12" spans="1:33" x14ac:dyDescent="0.25">
      <c r="B12" s="1" t="s">
        <v>16</v>
      </c>
      <c r="D12" s="1" t="s">
        <v>12</v>
      </c>
      <c r="E12" s="25"/>
      <c r="F12" s="29">
        <f>713+50</f>
        <v>763</v>
      </c>
      <c r="G12" s="25"/>
      <c r="H12" s="25">
        <f>SUM(H10:H11)</f>
        <v>5124822</v>
      </c>
      <c r="I12" s="25"/>
      <c r="J12" s="25">
        <f>SUM(J10:J11)</f>
        <v>362579</v>
      </c>
      <c r="K12" s="25"/>
      <c r="L12" s="25">
        <f>SUM(L10:L11)</f>
        <v>5487401</v>
      </c>
      <c r="N12" s="29">
        <f>SUM(N10:N11)</f>
        <v>717</v>
      </c>
      <c r="O12" s="25">
        <f>SUM(O10:O11)</f>
        <v>4858366.34</v>
      </c>
      <c r="P12" s="25"/>
      <c r="Q12" s="25">
        <f>SUM(Q10:Q11)</f>
        <v>379035.98</v>
      </c>
      <c r="R12" s="25"/>
      <c r="S12" s="25">
        <f>SUM(S10:S11)</f>
        <v>5237402.3199999994</v>
      </c>
      <c r="U12" s="25">
        <f>SUM(O12-H12)</f>
        <v>-266455.66000000015</v>
      </c>
      <c r="V12" s="25"/>
      <c r="W12" s="25">
        <f>SUM(Q12-J12)</f>
        <v>16456.979999999981</v>
      </c>
      <c r="X12" s="25"/>
      <c r="Y12" s="25">
        <f>SUM(S12-L12)</f>
        <v>-249998.68000000063</v>
      </c>
      <c r="AA12" s="19">
        <f>IF(U12=0,"------",(U12/H12*100))</f>
        <v>-5.1993154103693779</v>
      </c>
      <c r="AC12" s="19">
        <f>IF(W12=0,"------",(W12/J12*100))</f>
        <v>4.5388673916580888</v>
      </c>
      <c r="AE12" s="19">
        <f>IF(Y12=0,"------",(Y12/L12*100))</f>
        <v>-4.5558667937699582</v>
      </c>
    </row>
    <row r="13" spans="1:33" x14ac:dyDescent="0.25">
      <c r="F13" s="29"/>
      <c r="N13" s="29"/>
    </row>
    <row r="14" spans="1:33" s="13" customFormat="1" x14ac:dyDescent="0.25">
      <c r="A14" s="13" t="s">
        <v>13</v>
      </c>
      <c r="B14" s="14"/>
      <c r="D14" s="13" t="s">
        <v>14</v>
      </c>
      <c r="F14" s="30"/>
      <c r="H14" s="16">
        <v>1120780</v>
      </c>
      <c r="J14" s="17">
        <v>9851</v>
      </c>
      <c r="L14" s="18">
        <f>SUM(H14+J14)</f>
        <v>1130631</v>
      </c>
      <c r="N14" s="30">
        <v>132</v>
      </c>
      <c r="O14" s="17">
        <v>978587.99</v>
      </c>
      <c r="Q14" s="17">
        <v>2795.21</v>
      </c>
      <c r="S14" s="18">
        <f>SUM(O14+Q14)</f>
        <v>981383.2</v>
      </c>
      <c r="U14" s="18">
        <f>SUM(O14-H14)</f>
        <v>-142192.01</v>
      </c>
      <c r="W14" s="18">
        <f>SUM(Q14-J14)</f>
        <v>-7055.79</v>
      </c>
      <c r="Y14" s="18">
        <f>S14-L14</f>
        <v>-149247.80000000005</v>
      </c>
      <c r="AA14" s="19">
        <f>IF(U14=0,"------",(U14/H14*100))</f>
        <v>-12.686879673084817</v>
      </c>
      <c r="AC14" s="19">
        <f>IF(W14=0,"------",(W14/J14*100))</f>
        <v>-71.625114201603907</v>
      </c>
      <c r="AE14" s="19">
        <f>IF(Y14=0,"------",(Y14/L14*100))</f>
        <v>-13.200398715407596</v>
      </c>
    </row>
    <row r="15" spans="1:33" x14ac:dyDescent="0.25">
      <c r="A15" s="13" t="s">
        <v>13</v>
      </c>
      <c r="B15" s="20"/>
      <c r="D15" t="s">
        <v>15</v>
      </c>
      <c r="F15" s="31"/>
      <c r="H15" s="22">
        <v>4008947</v>
      </c>
      <c r="J15" s="23">
        <v>327323</v>
      </c>
      <c r="L15" s="22">
        <f>SUM(H15+J15)</f>
        <v>4336270</v>
      </c>
      <c r="N15" s="31">
        <f>716-N14</f>
        <v>584</v>
      </c>
      <c r="O15" s="22">
        <v>3544535.67</v>
      </c>
      <c r="Q15" s="23">
        <v>273003.65000000002</v>
      </c>
      <c r="S15" s="22">
        <f>SUM(O15+Q15)</f>
        <v>3817539.32</v>
      </c>
      <c r="U15" s="22">
        <f>SUM(O15-H15)</f>
        <v>-464411.33000000007</v>
      </c>
      <c r="W15" s="22">
        <f>SUM(Q15-J15)</f>
        <v>-54319.349999999977</v>
      </c>
      <c r="Y15" s="22">
        <f>S15-L15</f>
        <v>-518730.68000000017</v>
      </c>
      <c r="AA15" s="24">
        <f>IF(U15=0,"------",(U15/H15*100))</f>
        <v>-11.584371906138946</v>
      </c>
      <c r="AC15" s="24">
        <f>IF(W15=0,"------",(W15/J15*100))</f>
        <v>-16.595029985671637</v>
      </c>
      <c r="AE15" s="24">
        <f>IF(Y15=0,"------",(Y15/L15*100))</f>
        <v>-11.962601037297036</v>
      </c>
    </row>
    <row r="16" spans="1:33" x14ac:dyDescent="0.25">
      <c r="B16" s="1" t="s">
        <v>17</v>
      </c>
      <c r="D16" s="1" t="s">
        <v>12</v>
      </c>
      <c r="E16" s="25"/>
      <c r="F16" s="29">
        <f>713+50</f>
        <v>763</v>
      </c>
      <c r="G16" s="25"/>
      <c r="H16" s="25">
        <f>SUM(H14:H15)</f>
        <v>5129727</v>
      </c>
      <c r="I16" s="25"/>
      <c r="J16" s="25">
        <f>SUM(J14:J15)</f>
        <v>337174</v>
      </c>
      <c r="K16" s="25"/>
      <c r="L16" s="25">
        <f>SUM(L14:L15)</f>
        <v>5466901</v>
      </c>
      <c r="N16" s="29">
        <f>SUM(N14:N15)</f>
        <v>716</v>
      </c>
      <c r="O16" s="25">
        <f>SUM(O14:O15)</f>
        <v>4523123.66</v>
      </c>
      <c r="P16" s="25"/>
      <c r="Q16" s="25">
        <f>SUM(Q14:Q15)</f>
        <v>275798.86000000004</v>
      </c>
      <c r="R16" s="25"/>
      <c r="S16" s="25">
        <f>SUM(S14:S15)</f>
        <v>4798922.5199999996</v>
      </c>
      <c r="U16" s="25">
        <f>SUM(O16-H16)</f>
        <v>-606603.33999999985</v>
      </c>
      <c r="V16" s="25"/>
      <c r="W16" s="25">
        <f>SUM(Q16-J16)</f>
        <v>-61375.139999999956</v>
      </c>
      <c r="X16" s="25"/>
      <c r="Y16" s="25">
        <f>SUM(S16-L16)</f>
        <v>-667978.48000000045</v>
      </c>
      <c r="AA16" s="19">
        <f>IF(U16=0,"------",(U16/H16*100))</f>
        <v>-11.825255807960147</v>
      </c>
      <c r="AC16" s="19">
        <f>IF(W16=0,"------",(W16/J16*100))</f>
        <v>-18.202809232028557</v>
      </c>
      <c r="AE16" s="19">
        <f>IF(Y16=0,"------",(Y16/L16*100))</f>
        <v>-12.218594776089789</v>
      </c>
    </row>
    <row r="17" spans="1:31" x14ac:dyDescent="0.25">
      <c r="F17" s="29"/>
      <c r="N17" s="29"/>
    </row>
    <row r="18" spans="1:31" s="13" customFormat="1" x14ac:dyDescent="0.25">
      <c r="A18" s="13" t="s">
        <v>13</v>
      </c>
      <c r="B18" s="14"/>
      <c r="D18" s="13" t="s">
        <v>14</v>
      </c>
      <c r="F18" s="30"/>
      <c r="H18" s="16">
        <v>1122251</v>
      </c>
      <c r="J18" s="17">
        <v>9851</v>
      </c>
      <c r="L18" s="18">
        <f>SUM(H18+J18)</f>
        <v>1132102</v>
      </c>
      <c r="N18" s="30">
        <v>133</v>
      </c>
      <c r="O18" s="17">
        <v>1102880.9099999999</v>
      </c>
      <c r="Q18" s="17">
        <v>2275.75</v>
      </c>
      <c r="S18" s="18">
        <f>SUM(O18+Q18)</f>
        <v>1105156.6599999999</v>
      </c>
      <c r="U18" s="18">
        <f>SUM(O18-H18)</f>
        <v>-19370.090000000084</v>
      </c>
      <c r="W18" s="18">
        <f>SUM(Q18-J18)</f>
        <v>-7575.25</v>
      </c>
      <c r="Y18" s="18">
        <f>S18-L18</f>
        <v>-26945.340000000084</v>
      </c>
      <c r="AA18" s="19">
        <f>IF(U18=0,"------",(U18/H18*100))</f>
        <v>-1.7260033628840681</v>
      </c>
      <c r="AC18" s="19">
        <f>IF(W18=0,"------",(W18/J18*100))</f>
        <v>-76.898284438128101</v>
      </c>
      <c r="AE18" s="19">
        <f>IF(Y18=0,"------",(Y18/L18*100))</f>
        <v>-2.3801159259501428</v>
      </c>
    </row>
    <row r="19" spans="1:31" x14ac:dyDescent="0.25">
      <c r="A19" s="13" t="s">
        <v>13</v>
      </c>
      <c r="B19" s="20"/>
      <c r="D19" t="s">
        <v>15</v>
      </c>
      <c r="F19" s="31"/>
      <c r="H19" s="22">
        <v>4010295</v>
      </c>
      <c r="J19" s="23">
        <v>507466</v>
      </c>
      <c r="L19" s="22">
        <f>SUM(H19+J19)</f>
        <v>4517761</v>
      </c>
      <c r="N19" s="31">
        <f>715-N18</f>
        <v>582</v>
      </c>
      <c r="O19" s="22">
        <v>4019445.6500000008</v>
      </c>
      <c r="Q19" s="23">
        <v>354667.9</v>
      </c>
      <c r="S19" s="22">
        <f>SUM(O19+Q19)</f>
        <v>4374113.5500000007</v>
      </c>
      <c r="U19" s="22">
        <f>SUM(O19-H19)</f>
        <v>9150.6500000008382</v>
      </c>
      <c r="W19" s="22">
        <f>SUM(Q19-J19)</f>
        <v>-152798.09999999998</v>
      </c>
      <c r="Y19" s="22">
        <f>S19-L19</f>
        <v>-143647.44999999925</v>
      </c>
      <c r="AA19" s="24">
        <f>IF(U19=0,"------",(U19/H19*100))</f>
        <v>0.22817897436474965</v>
      </c>
      <c r="AC19" s="24">
        <f>IF(W19=0,"------",(W19/J19*100))</f>
        <v>-30.110017222828716</v>
      </c>
      <c r="AE19" s="24">
        <f>IF(Y19=0,"------",(Y19/L19*100))</f>
        <v>-3.1796159646337916</v>
      </c>
    </row>
    <row r="20" spans="1:31" x14ac:dyDescent="0.25">
      <c r="B20" s="1" t="s">
        <v>18</v>
      </c>
      <c r="D20" s="1" t="s">
        <v>12</v>
      </c>
      <c r="E20" s="25"/>
      <c r="F20" s="29">
        <f>713+50</f>
        <v>763</v>
      </c>
      <c r="G20" s="25"/>
      <c r="H20" s="25">
        <f>SUM(H18:H19)</f>
        <v>5132546</v>
      </c>
      <c r="I20" s="25"/>
      <c r="J20" s="25">
        <f>SUM(J18:J19)</f>
        <v>517317</v>
      </c>
      <c r="K20" s="25"/>
      <c r="L20" s="25">
        <f>SUM(L18:L19)</f>
        <v>5649863</v>
      </c>
      <c r="N20" s="29">
        <f>SUM(N18:N19)</f>
        <v>715</v>
      </c>
      <c r="O20" s="25">
        <f>SUM(O18:O19)</f>
        <v>5122326.5600000005</v>
      </c>
      <c r="P20" s="25"/>
      <c r="Q20" s="25">
        <f>SUM(Q18:Q19)</f>
        <v>356943.65</v>
      </c>
      <c r="R20" s="25"/>
      <c r="S20" s="25">
        <f>SUM(S18:S19)</f>
        <v>5479270.2100000009</v>
      </c>
      <c r="U20" s="25">
        <f>SUM(O20-H20)</f>
        <v>-10219.439999999478</v>
      </c>
      <c r="V20" s="25"/>
      <c r="W20" s="25">
        <f>SUM(Q20-J20)</f>
        <v>-160373.34999999998</v>
      </c>
      <c r="X20" s="25"/>
      <c r="Y20" s="25">
        <f>SUM(S20-L20)</f>
        <v>-170592.78999999911</v>
      </c>
      <c r="AA20" s="19">
        <f>IF(U20=0,"------",(U20/H20*100))</f>
        <v>-0.19911053890212535</v>
      </c>
      <c r="AC20" s="19">
        <f>IF(W20=0,"------",(W20/J20*100))</f>
        <v>-31.000981989766423</v>
      </c>
      <c r="AE20" s="19">
        <f>IF(Y20=0,"------",(Y20/L20*100))</f>
        <v>-3.0194146300538458</v>
      </c>
    </row>
    <row r="21" spans="1:31" x14ac:dyDescent="0.25">
      <c r="F21" s="29"/>
      <c r="N21" s="29"/>
    </row>
    <row r="22" spans="1:31" s="13" customFormat="1" x14ac:dyDescent="0.25">
      <c r="A22" s="13" t="s">
        <v>13</v>
      </c>
      <c r="B22" s="14"/>
      <c r="D22" s="13" t="s">
        <v>14</v>
      </c>
      <c r="F22" s="30"/>
      <c r="H22" s="16">
        <v>1123526</v>
      </c>
      <c r="J22" s="17">
        <v>9851</v>
      </c>
      <c r="L22" s="18">
        <f>SUM(H22+J22)</f>
        <v>1133377</v>
      </c>
      <c r="N22" s="30">
        <v>134</v>
      </c>
      <c r="O22" s="17">
        <v>976383.72000000009</v>
      </c>
      <c r="Q22" s="17">
        <v>7465.33</v>
      </c>
      <c r="S22" s="18">
        <f>SUM(O22+Q22)</f>
        <v>983849.05</v>
      </c>
      <c r="U22" s="18">
        <f>SUM(O22-H22)</f>
        <v>-147142.27999999991</v>
      </c>
      <c r="W22" s="18">
        <f>SUM(Q22-J22)</f>
        <v>-2385.67</v>
      </c>
      <c r="Y22" s="18">
        <f>S22-L22</f>
        <v>-149527.94999999995</v>
      </c>
      <c r="AA22" s="19">
        <f>IF(U22=0,"------",(U22/H22*100))</f>
        <v>-13.096473067823968</v>
      </c>
      <c r="AC22" s="19">
        <f>IF(W22=0,"------",(W22/J22*100))</f>
        <v>-24.217541366358748</v>
      </c>
      <c r="AE22" s="19">
        <f>IF(Y22=0,"------",(Y22/L22*100))</f>
        <v>-13.193134323354009</v>
      </c>
    </row>
    <row r="23" spans="1:31" x14ac:dyDescent="0.25">
      <c r="A23" s="13" t="s">
        <v>13</v>
      </c>
      <c r="B23" s="20"/>
      <c r="D23" t="s">
        <v>15</v>
      </c>
      <c r="F23" s="31"/>
      <c r="H23" s="22">
        <v>4018990</v>
      </c>
      <c r="J23" s="23">
        <v>509761</v>
      </c>
      <c r="L23" s="22">
        <f>SUM(H23+J23)</f>
        <v>4528751</v>
      </c>
      <c r="N23" s="31">
        <f>715-N22</f>
        <v>581</v>
      </c>
      <c r="O23" s="22">
        <v>3566892.0699999994</v>
      </c>
      <c r="Q23" s="23">
        <v>618985.23</v>
      </c>
      <c r="S23" s="22">
        <f>SUM(O23+Q23)</f>
        <v>4185877.2999999993</v>
      </c>
      <c r="U23" s="22">
        <f>SUM(O23-H23)</f>
        <v>-452097.93000000063</v>
      </c>
      <c r="W23" s="22">
        <f>SUM(Q23-J23)</f>
        <v>109224.22999999998</v>
      </c>
      <c r="Y23" s="22">
        <f>S23-L23</f>
        <v>-342873.70000000065</v>
      </c>
      <c r="AA23" s="24">
        <f>IF(U23=0,"------",(U23/H23*100))</f>
        <v>-11.249043416380749</v>
      </c>
      <c r="AC23" s="24">
        <f>IF(W23=0,"------",(W23/J23*100))</f>
        <v>21.42655675895174</v>
      </c>
      <c r="AE23" s="24">
        <f>IF(Y23=0,"------",(Y23/L23*100))</f>
        <v>-7.5710433185662147</v>
      </c>
    </row>
    <row r="24" spans="1:31" x14ac:dyDescent="0.25">
      <c r="B24" s="1" t="s">
        <v>19</v>
      </c>
      <c r="D24" s="1" t="s">
        <v>12</v>
      </c>
      <c r="E24" s="25"/>
      <c r="F24" s="29">
        <f>713+50</f>
        <v>763</v>
      </c>
      <c r="G24" s="25"/>
      <c r="H24" s="25">
        <f>SUM(H22:H23)</f>
        <v>5142516</v>
      </c>
      <c r="I24" s="25"/>
      <c r="J24" s="25">
        <f>SUM(J22:J23)</f>
        <v>519612</v>
      </c>
      <c r="K24" s="25"/>
      <c r="L24" s="25">
        <f>SUM(L22:L23)</f>
        <v>5662128</v>
      </c>
      <c r="N24" s="29">
        <f>SUM(N22:N23)</f>
        <v>715</v>
      </c>
      <c r="O24" s="25">
        <f>SUM(O22:O23)</f>
        <v>4543275.7899999991</v>
      </c>
      <c r="P24" s="25"/>
      <c r="Q24" s="25">
        <f>SUM(Q22:Q23)</f>
        <v>626450.55999999994</v>
      </c>
      <c r="R24" s="25"/>
      <c r="S24" s="25">
        <f>SUM(S22:S23)</f>
        <v>5169726.3499999996</v>
      </c>
      <c r="U24" s="25">
        <f>SUM(O24-H24)</f>
        <v>-599240.21000000089</v>
      </c>
      <c r="V24" s="25"/>
      <c r="W24" s="25">
        <f>SUM(Q24-J24)</f>
        <v>106838.55999999994</v>
      </c>
      <c r="X24" s="25"/>
      <c r="Y24" s="25">
        <f>SUM(S24-L24)</f>
        <v>-492401.65000000037</v>
      </c>
      <c r="AA24" s="19">
        <f>IF(U24=0,"------",(U24/H24*100))</f>
        <v>-11.652665932395754</v>
      </c>
      <c r="AC24" s="19">
        <f>IF(W24=0,"------",(W24/J24*100))</f>
        <v>20.561218755532963</v>
      </c>
      <c r="AE24" s="19">
        <f>IF(Y24=0,"------",(Y24/L24*100))</f>
        <v>-8.6964061921595608</v>
      </c>
    </row>
    <row r="25" spans="1:31" x14ac:dyDescent="0.25">
      <c r="F25" s="29"/>
      <c r="N25" s="29"/>
    </row>
    <row r="26" spans="1:31" s="13" customFormat="1" x14ac:dyDescent="0.25">
      <c r="A26" s="13" t="s">
        <v>13</v>
      </c>
      <c r="B26" s="14"/>
      <c r="D26" s="13" t="s">
        <v>14</v>
      </c>
      <c r="F26" s="30"/>
      <c r="H26" s="16">
        <v>1126443</v>
      </c>
      <c r="J26" s="17">
        <v>9851</v>
      </c>
      <c r="L26" s="18">
        <f>SUM(H26+J26)</f>
        <v>1136294</v>
      </c>
      <c r="N26" s="30">
        <v>135</v>
      </c>
      <c r="O26" s="17">
        <v>1120766.46</v>
      </c>
      <c r="Q26" s="17">
        <v>9130.27</v>
      </c>
      <c r="S26" s="18">
        <f>SUM(O26+Q26)</f>
        <v>1129896.73</v>
      </c>
      <c r="U26" s="18">
        <f>SUM(O26-H26)</f>
        <v>-5676.5400000000373</v>
      </c>
      <c r="W26" s="18">
        <f>SUM(Q26-J26)</f>
        <v>-720.72999999999956</v>
      </c>
      <c r="Y26" s="18">
        <f>S26-L26</f>
        <v>-6397.2700000000186</v>
      </c>
      <c r="AA26" s="19">
        <f>IF(U26=0,"------",(U26/H26*100))</f>
        <v>-0.50393495276725386</v>
      </c>
      <c r="AC26" s="19">
        <f>IF(W26=0,"------",(W26/J26*100))</f>
        <v>-7.3163130646634826</v>
      </c>
      <c r="AE26" s="19">
        <f>IF(Y26=0,"------",(Y26/L26*100))</f>
        <v>-0.56299426028827204</v>
      </c>
    </row>
    <row r="27" spans="1:31" x14ac:dyDescent="0.25">
      <c r="A27" s="13" t="s">
        <v>13</v>
      </c>
      <c r="B27" s="20"/>
      <c r="D27" t="s">
        <v>15</v>
      </c>
      <c r="F27" s="31"/>
      <c r="H27" s="22">
        <v>4025789</v>
      </c>
      <c r="J27" s="23">
        <v>455026</v>
      </c>
      <c r="L27" s="22">
        <f>SUM(H27+J27)</f>
        <v>4480815</v>
      </c>
      <c r="N27" s="31">
        <f>730-N26</f>
        <v>595</v>
      </c>
      <c r="O27" s="22">
        <v>4000368.7500000005</v>
      </c>
      <c r="Q27" s="23">
        <v>674653.30999999994</v>
      </c>
      <c r="S27" s="22">
        <f>SUM(O27+Q27)</f>
        <v>4675022.0600000005</v>
      </c>
      <c r="U27" s="22">
        <f>SUM(O27-H27)</f>
        <v>-25420.249999999534</v>
      </c>
      <c r="W27" s="22">
        <f>SUM(Q27-J27)</f>
        <v>219627.30999999994</v>
      </c>
      <c r="Y27" s="22">
        <f>S27-L27</f>
        <v>194207.06000000052</v>
      </c>
      <c r="AA27" s="24">
        <f>IF(U27=0,"------",(U27/H27*100))</f>
        <v>-0.63143522921841</v>
      </c>
      <c r="AC27" s="24">
        <f>IF(W27=0,"------",(W27/J27*100))</f>
        <v>48.266980348375682</v>
      </c>
      <c r="AE27" s="24">
        <f>IF(Y27=0,"------",(Y27/L27*100))</f>
        <v>4.3341905434614132</v>
      </c>
    </row>
    <row r="28" spans="1:31" x14ac:dyDescent="0.25">
      <c r="B28" s="1" t="s">
        <v>20</v>
      </c>
      <c r="D28" s="1" t="s">
        <v>12</v>
      </c>
      <c r="E28" s="25"/>
      <c r="F28" s="29">
        <f>713+57</f>
        <v>770</v>
      </c>
      <c r="G28" s="25"/>
      <c r="H28" s="25">
        <f>SUM(H26:H27)</f>
        <v>5152232</v>
      </c>
      <c r="I28" s="25"/>
      <c r="J28" s="25">
        <f>SUM(J26:J27)</f>
        <v>464877</v>
      </c>
      <c r="K28" s="25"/>
      <c r="L28" s="25">
        <f>SUM(L26:L27)</f>
        <v>5617109</v>
      </c>
      <c r="N28" s="29">
        <f>SUM(N26:N27)</f>
        <v>730</v>
      </c>
      <c r="O28" s="25">
        <f>SUM(O26:O27)</f>
        <v>5121135.2100000009</v>
      </c>
      <c r="P28" s="25"/>
      <c r="Q28" s="25">
        <f>SUM(Q26:Q27)</f>
        <v>683783.58</v>
      </c>
      <c r="R28" s="25"/>
      <c r="S28" s="25">
        <f>SUM(S26:S27)</f>
        <v>5804918.790000001</v>
      </c>
      <c r="U28" s="25">
        <f>SUM(O28-H28)</f>
        <v>-31096.789999999106</v>
      </c>
      <c r="V28" s="25"/>
      <c r="W28" s="25">
        <f>SUM(Q28-J28)</f>
        <v>218906.57999999996</v>
      </c>
      <c r="X28" s="25"/>
      <c r="Y28" s="25">
        <f>SUM(S28-L28)</f>
        <v>187809.79000000097</v>
      </c>
      <c r="AA28" s="19">
        <f>IF(U28=0,"------",(U28/H28*100))</f>
        <v>-0.60355958349699912</v>
      </c>
      <c r="AC28" s="19">
        <f>IF(W28=0,"------",(W28/J28*100))</f>
        <v>47.089139707922733</v>
      </c>
      <c r="AE28" s="19">
        <f>IF(Y28=0,"------",(Y28/L28*100))</f>
        <v>3.3435311652310999</v>
      </c>
    </row>
    <row r="29" spans="1:31" x14ac:dyDescent="0.25">
      <c r="F29" s="29"/>
      <c r="N29" s="29"/>
    </row>
    <row r="30" spans="1:31" s="13" customFormat="1" x14ac:dyDescent="0.25">
      <c r="A30" s="13" t="s">
        <v>13</v>
      </c>
      <c r="B30" s="14"/>
      <c r="D30" s="13" t="s">
        <v>14</v>
      </c>
      <c r="F30" s="30"/>
      <c r="H30" s="16">
        <v>1126443</v>
      </c>
      <c r="J30" s="17">
        <v>9851</v>
      </c>
      <c r="L30" s="18">
        <f>SUM(H30+J30)</f>
        <v>1136294</v>
      </c>
      <c r="N30" s="30">
        <v>135</v>
      </c>
      <c r="O30" s="17">
        <v>1117399.6200000003</v>
      </c>
      <c r="Q30" s="17">
        <v>7162.02</v>
      </c>
      <c r="S30" s="18">
        <f>SUM(O30+Q30)</f>
        <v>1124561.6400000004</v>
      </c>
      <c r="U30" s="18">
        <f>SUM(O30-H30)</f>
        <v>-9043.3799999996554</v>
      </c>
      <c r="W30" s="18">
        <f>SUM(Q30-J30)</f>
        <v>-2688.9799999999996</v>
      </c>
      <c r="Y30" s="18">
        <f>S30-L30</f>
        <v>-11732.359999999637</v>
      </c>
      <c r="AA30" s="19">
        <f>IF(U30=0,"------",(U30/H30*100))</f>
        <v>-0.80282624154081972</v>
      </c>
      <c r="AC30" s="19">
        <f>IF(W30=0,"------",(W30/J30*100))</f>
        <v>-27.296518119987812</v>
      </c>
      <c r="AE30" s="19">
        <f>IF(Y30=0,"------",(Y30/L30*100))</f>
        <v>-1.0325109522711233</v>
      </c>
    </row>
    <row r="31" spans="1:31" x14ac:dyDescent="0.25">
      <c r="A31" s="13" t="s">
        <v>13</v>
      </c>
      <c r="B31" s="20"/>
      <c r="D31" t="s">
        <v>15</v>
      </c>
      <c r="F31" s="31"/>
      <c r="H31" s="22">
        <v>4052110</v>
      </c>
      <c r="J31" s="23">
        <v>385612</v>
      </c>
      <c r="L31" s="22">
        <f>SUM(H31+J31)</f>
        <v>4437722</v>
      </c>
      <c r="N31" s="31">
        <f>734-N30</f>
        <v>599</v>
      </c>
      <c r="O31" s="22">
        <v>4273684.78</v>
      </c>
      <c r="Q31" s="23">
        <v>520000.38</v>
      </c>
      <c r="S31" s="22">
        <f>SUM(O31+Q31)</f>
        <v>4793685.16</v>
      </c>
      <c r="U31" s="22">
        <f>SUM(O31-H31)</f>
        <v>221574.78000000026</v>
      </c>
      <c r="W31" s="22">
        <f>SUM(Q31-J31)</f>
        <v>134388.38</v>
      </c>
      <c r="Y31" s="22">
        <f>S31-L31</f>
        <v>355963.16000000015</v>
      </c>
      <c r="AA31" s="24">
        <f>IF(U31=0,"------",(U31/H31*100))</f>
        <v>5.4681333922326951</v>
      </c>
      <c r="AC31" s="24">
        <f>IF(W31=0,"------",(W31/J31*100))</f>
        <v>34.850673734219889</v>
      </c>
      <c r="AE31" s="24">
        <f>IF(Y31=0,"------",(Y31/L31*100))</f>
        <v>8.0213037229461452</v>
      </c>
    </row>
    <row r="32" spans="1:31" x14ac:dyDescent="0.25">
      <c r="B32" s="1" t="s">
        <v>21</v>
      </c>
      <c r="D32" s="1" t="s">
        <v>12</v>
      </c>
      <c r="E32" s="25"/>
      <c r="F32" s="29">
        <f>713+69</f>
        <v>782</v>
      </c>
      <c r="G32" s="25"/>
      <c r="H32" s="25">
        <f>SUM(H30:H31)</f>
        <v>5178553</v>
      </c>
      <c r="I32" s="25"/>
      <c r="J32" s="25">
        <f>SUM(J30:J31)</f>
        <v>395463</v>
      </c>
      <c r="K32" s="25"/>
      <c r="L32" s="25">
        <f>SUM(L30:L31)</f>
        <v>5574016</v>
      </c>
      <c r="N32" s="29">
        <f>SUM(N30:N31)</f>
        <v>734</v>
      </c>
      <c r="O32" s="25">
        <f>SUM(O30:O31)</f>
        <v>5391084.4000000004</v>
      </c>
      <c r="P32" s="25"/>
      <c r="Q32" s="25">
        <f>SUM(Q30:Q31)</f>
        <v>527162.4</v>
      </c>
      <c r="R32" s="25"/>
      <c r="S32" s="25">
        <f>SUM(S30:S31)</f>
        <v>5918246.8000000007</v>
      </c>
      <c r="U32" s="25">
        <f>SUM(O32-H32)</f>
        <v>212531.40000000037</v>
      </c>
      <c r="V32" s="25"/>
      <c r="W32" s="25">
        <f>SUM(Q32-J32)</f>
        <v>131699.40000000002</v>
      </c>
      <c r="X32" s="25"/>
      <c r="Y32" s="25">
        <f>SUM(S32-L32)</f>
        <v>344230.80000000075</v>
      </c>
      <c r="AA32" s="19">
        <f>IF(U32=0,"------",(U32/H32*100))</f>
        <v>4.1040692255153202</v>
      </c>
      <c r="AC32" s="19">
        <f>IF(W32=0,"------",(W32/J32*100))</f>
        <v>33.302584565433435</v>
      </c>
      <c r="AE32" s="19">
        <f>IF(Y32=0,"------",(Y32/L32*100))</f>
        <v>6.1756335109192495</v>
      </c>
    </row>
    <row r="33" spans="1:31" x14ac:dyDescent="0.25">
      <c r="F33" s="29"/>
      <c r="N33" s="29"/>
    </row>
    <row r="34" spans="1:31" s="13" customFormat="1" x14ac:dyDescent="0.25">
      <c r="A34" s="13" t="s">
        <v>13</v>
      </c>
      <c r="B34" s="14"/>
      <c r="D34" s="13" t="s">
        <v>14</v>
      </c>
      <c r="F34" s="30"/>
      <c r="H34" s="16">
        <v>1167279</v>
      </c>
      <c r="J34" s="17">
        <v>9851</v>
      </c>
      <c r="L34" s="18">
        <f>SUM(H34+J34)</f>
        <v>1177130</v>
      </c>
      <c r="N34" s="30">
        <v>137</v>
      </c>
      <c r="O34" s="17">
        <v>1075467.8600000001</v>
      </c>
      <c r="Q34" s="17">
        <v>6278.89</v>
      </c>
      <c r="S34" s="18">
        <f>SUM(O34+Q34)</f>
        <v>1081746.75</v>
      </c>
      <c r="U34" s="18">
        <f>SUM(O34-H34)</f>
        <v>-91811.139999999898</v>
      </c>
      <c r="W34" s="18">
        <f>SUM(Q34-J34)</f>
        <v>-3572.1099999999997</v>
      </c>
      <c r="Y34" s="18">
        <f>S34-L34</f>
        <v>-95383.25</v>
      </c>
      <c r="AA34" s="19">
        <f>IF(U34=0,"------",(U34/H34*100))</f>
        <v>-7.8653980753530126</v>
      </c>
      <c r="AC34" s="19">
        <f>IF(W34=0,"------",(W34/J34*100))</f>
        <v>-36.261394782255607</v>
      </c>
      <c r="AE34" s="19">
        <f>IF(Y34=0,"------",(Y34/L34*100))</f>
        <v>-8.1030344991632184</v>
      </c>
    </row>
    <row r="35" spans="1:31" x14ac:dyDescent="0.25">
      <c r="A35" s="13" t="s">
        <v>13</v>
      </c>
      <c r="B35" s="20"/>
      <c r="D35" t="s">
        <v>15</v>
      </c>
      <c r="F35" s="31"/>
      <c r="H35" s="22">
        <v>4197437</v>
      </c>
      <c r="J35" s="23">
        <v>331363</v>
      </c>
      <c r="L35" s="22">
        <f>SUM(H35+J35)</f>
        <v>4528800</v>
      </c>
      <c r="N35" s="31">
        <f>740-N34</f>
        <v>603</v>
      </c>
      <c r="O35" s="22">
        <v>3881340.3099999996</v>
      </c>
      <c r="Q35" s="23">
        <v>328510.12</v>
      </c>
      <c r="S35" s="22">
        <f>SUM(O35+Q35)</f>
        <v>4209850.43</v>
      </c>
      <c r="U35" s="22">
        <f>SUM(O35-H35)</f>
        <v>-316096.69000000041</v>
      </c>
      <c r="W35" s="22">
        <f>SUM(Q35-J35)</f>
        <v>-2852.8800000000047</v>
      </c>
      <c r="Y35" s="22">
        <f>S35-L35</f>
        <v>-318949.5700000003</v>
      </c>
      <c r="AA35" s="24">
        <f>IF(U35=0,"------",(U35/H35*100))</f>
        <v>-7.530707191078756</v>
      </c>
      <c r="AC35" s="24">
        <f>IF(W35=0,"------",(W35/J35*100))</f>
        <v>-0.8609530937370814</v>
      </c>
      <c r="AE35" s="24">
        <f>IF(Y35=0,"------",(Y35/L35*100))</f>
        <v>-7.0426949743861575</v>
      </c>
    </row>
    <row r="36" spans="1:31" x14ac:dyDescent="0.25">
      <c r="B36" s="1" t="s">
        <v>22</v>
      </c>
      <c r="D36" s="1" t="s">
        <v>12</v>
      </c>
      <c r="E36" s="25"/>
      <c r="F36" s="29">
        <f>713+70</f>
        <v>783</v>
      </c>
      <c r="G36" s="25"/>
      <c r="H36" s="25">
        <f>SUM(H34:H35)</f>
        <v>5364716</v>
      </c>
      <c r="I36" s="25"/>
      <c r="J36" s="25">
        <f>SUM(J34:J35)</f>
        <v>341214</v>
      </c>
      <c r="K36" s="25"/>
      <c r="L36" s="25">
        <f>SUM(L34:L35)</f>
        <v>5705930</v>
      </c>
      <c r="N36" s="29">
        <f>SUM(N34:N35)</f>
        <v>740</v>
      </c>
      <c r="O36" s="25">
        <f>SUM(O34:O35)</f>
        <v>4956808.17</v>
      </c>
      <c r="P36" s="25"/>
      <c r="Q36" s="25">
        <f>SUM(Q34:Q35)</f>
        <v>334789.01</v>
      </c>
      <c r="R36" s="25"/>
      <c r="S36" s="25">
        <f>SUM(S34:S35)</f>
        <v>5291597.18</v>
      </c>
      <c r="U36" s="25">
        <f>SUM(O36-H36)</f>
        <v>-407907.83000000007</v>
      </c>
      <c r="V36" s="25"/>
      <c r="W36" s="25">
        <f>SUM(Q36-J36)</f>
        <v>-6424.9899999999907</v>
      </c>
      <c r="X36" s="25"/>
      <c r="Y36" s="25">
        <f>SUM(S36-L36)</f>
        <v>-414332.8200000003</v>
      </c>
      <c r="AA36" s="19">
        <f>IF(U36=0,"------",(U36/H36*100))</f>
        <v>-7.6035307367622078</v>
      </c>
      <c r="AC36" s="19">
        <f>IF(W36=0,"------",(W36/J36*100))</f>
        <v>-1.8829795963823264</v>
      </c>
      <c r="AE36" s="19">
        <f>IF(Y36=0,"------",(Y36/L36*100))</f>
        <v>-7.2614423941408379</v>
      </c>
    </row>
    <row r="37" spans="1:31" x14ac:dyDescent="0.25">
      <c r="F37" s="29"/>
      <c r="N37" s="29"/>
    </row>
    <row r="38" spans="1:31" s="13" customFormat="1" x14ac:dyDescent="0.25">
      <c r="A38" s="13" t="s">
        <v>13</v>
      </c>
      <c r="B38" s="14"/>
      <c r="D38" s="13" t="s">
        <v>14</v>
      </c>
      <c r="F38" s="30"/>
      <c r="H38" s="16">
        <v>1167279</v>
      </c>
      <c r="J38" s="17">
        <v>9851</v>
      </c>
      <c r="L38" s="18">
        <f>SUM(H38+J38)</f>
        <v>1177130</v>
      </c>
      <c r="N38" s="30">
        <v>135</v>
      </c>
      <c r="O38" s="17">
        <v>1173285.8600000001</v>
      </c>
      <c r="Q38" s="17">
        <v>4972.6100000000006</v>
      </c>
      <c r="S38" s="18">
        <f>SUM(O38+Q38)</f>
        <v>1178258.4700000002</v>
      </c>
      <c r="U38" s="18">
        <f>SUM(O38-H38)</f>
        <v>6006.8600000001024</v>
      </c>
      <c r="W38" s="18">
        <f>SUM(Q38-J38)</f>
        <v>-4878.3899999999994</v>
      </c>
      <c r="Y38" s="18">
        <f>S38-L38</f>
        <v>1128.4700000002049</v>
      </c>
      <c r="AA38" s="19">
        <f>IF(U38=0,"------",(U38/H38*100))</f>
        <v>0.5146036208995538</v>
      </c>
      <c r="AC38" s="19">
        <f>IF(W38=0,"------",(W38/J38*100))</f>
        <v>-49.521774439143229</v>
      </c>
      <c r="AE38" s="19">
        <f>IF(Y38=0,"------",(Y38/L38*100))</f>
        <v>9.5866216985397101E-2</v>
      </c>
    </row>
    <row r="39" spans="1:31" x14ac:dyDescent="0.25">
      <c r="A39" s="13" t="s">
        <v>13</v>
      </c>
      <c r="B39" s="20"/>
      <c r="D39" t="s">
        <v>15</v>
      </c>
      <c r="F39" s="31"/>
      <c r="H39" s="22">
        <v>4188127</v>
      </c>
      <c r="J39" s="23">
        <v>307913</v>
      </c>
      <c r="L39" s="22">
        <f>SUM(H39+J39)</f>
        <v>4496040</v>
      </c>
      <c r="N39" s="31">
        <f>722-N38</f>
        <v>587</v>
      </c>
      <c r="O39" s="22">
        <v>4219028.8600000003</v>
      </c>
      <c r="Q39" s="23">
        <v>299658.45</v>
      </c>
      <c r="S39" s="22">
        <f>SUM(O39+Q39)</f>
        <v>4518687.3100000005</v>
      </c>
      <c r="U39" s="22">
        <f>SUM(O39-H39)</f>
        <v>30901.860000000335</v>
      </c>
      <c r="W39" s="22">
        <f>SUM(Q39-J39)</f>
        <v>-8254.5499999999884</v>
      </c>
      <c r="Y39" s="22">
        <f>S39-L39</f>
        <v>22647.310000000522</v>
      </c>
      <c r="AA39" s="24">
        <f>IF(U39=0,"------",(U39/H39*100))</f>
        <v>0.73784438724041401</v>
      </c>
      <c r="AC39" s="24">
        <f>IF(W39=0,"------",(W39/J39*100))</f>
        <v>-2.6808059419381411</v>
      </c>
      <c r="AE39" s="24">
        <f>IF(Y39=0,"------",(Y39/L39*100))</f>
        <v>0.50371682636276638</v>
      </c>
    </row>
    <row r="40" spans="1:31" x14ac:dyDescent="0.25">
      <c r="B40" s="1" t="s">
        <v>23</v>
      </c>
      <c r="D40" s="1" t="s">
        <v>12</v>
      </c>
      <c r="E40" s="25"/>
      <c r="F40" s="29">
        <f>713+63</f>
        <v>776</v>
      </c>
      <c r="G40" s="25"/>
      <c r="H40" s="25">
        <f>SUM(H38:H39)</f>
        <v>5355406</v>
      </c>
      <c r="I40" s="25"/>
      <c r="J40" s="25">
        <f>SUM(J38:J39)</f>
        <v>317764</v>
      </c>
      <c r="K40" s="25"/>
      <c r="L40" s="25">
        <f>SUM(L38:L39)</f>
        <v>5673170</v>
      </c>
      <c r="N40" s="29">
        <f>SUM(N38:N39)</f>
        <v>722</v>
      </c>
      <c r="O40" s="25">
        <f>SUM(O38:O39)</f>
        <v>5392314.7200000007</v>
      </c>
      <c r="P40" s="25"/>
      <c r="Q40" s="25">
        <f>SUM(Q38:Q39)</f>
        <v>304631.06</v>
      </c>
      <c r="R40" s="25"/>
      <c r="S40" s="25">
        <f>SUM(S38:S39)</f>
        <v>5696945.7800000012</v>
      </c>
      <c r="U40" s="25">
        <f>SUM(O40-H40)</f>
        <v>36908.720000000671</v>
      </c>
      <c r="V40" s="25"/>
      <c r="W40" s="25">
        <f>SUM(Q40-J40)</f>
        <v>-13132.940000000002</v>
      </c>
      <c r="X40" s="25"/>
      <c r="Y40" s="25">
        <f>SUM(S40-L40)</f>
        <v>23775.780000001192</v>
      </c>
      <c r="AA40" s="19">
        <f>IF(U40=0,"------",(U40/H40*100))</f>
        <v>0.68918621669394753</v>
      </c>
      <c r="AC40" s="19">
        <f>IF(W40=0,"------",(W40/J40*100))</f>
        <v>-4.1329225462922174</v>
      </c>
      <c r="AE40" s="19">
        <f>IF(Y40=0,"------",(Y40/L40*100))</f>
        <v>0.419091618971425</v>
      </c>
    </row>
    <row r="41" spans="1:31" x14ac:dyDescent="0.25">
      <c r="F41" s="29"/>
      <c r="N41" s="29"/>
    </row>
    <row r="42" spans="1:31" s="13" customFormat="1" x14ac:dyDescent="0.25">
      <c r="A42" s="13" t="s">
        <v>13</v>
      </c>
      <c r="B42" s="14"/>
      <c r="D42" s="13" t="s">
        <v>14</v>
      </c>
      <c r="F42" s="30"/>
      <c r="H42" s="16">
        <v>1164879</v>
      </c>
      <c r="J42" s="17">
        <v>9851</v>
      </c>
      <c r="L42" s="18">
        <f>SUM(H42+J42)</f>
        <v>1174730</v>
      </c>
      <c r="N42" s="30">
        <v>134</v>
      </c>
      <c r="O42" s="17">
        <v>1064962.43</v>
      </c>
      <c r="Q42" s="17">
        <v>11475.900000000001</v>
      </c>
      <c r="S42" s="18">
        <f>SUM(O42+Q42)</f>
        <v>1076438.3299999998</v>
      </c>
      <c r="U42" s="18">
        <f>SUM(O42-H42)</f>
        <v>-99916.570000000065</v>
      </c>
      <c r="W42" s="18">
        <f>SUM(Q42-J42)</f>
        <v>1624.9000000000015</v>
      </c>
      <c r="Y42" s="18">
        <f>S42-L42</f>
        <v>-98291.670000000158</v>
      </c>
      <c r="AA42" s="19">
        <f>IF(U42=0,"------",(U42/H42*100))</f>
        <v>-8.5774204874497748</v>
      </c>
      <c r="AC42" s="19">
        <f>IF(W42=0,"------",(W42/J42*100))</f>
        <v>16.494772104354901</v>
      </c>
      <c r="AE42" s="19">
        <f>IF(Y42=0,"------",(Y42/L42*100))</f>
        <v>-8.3671711797604686</v>
      </c>
    </row>
    <row r="43" spans="1:31" x14ac:dyDescent="0.25">
      <c r="A43" s="13" t="s">
        <v>13</v>
      </c>
      <c r="B43" s="20"/>
      <c r="D43" t="s">
        <v>15</v>
      </c>
      <c r="F43" s="31"/>
      <c r="H43" s="22">
        <v>4173277</v>
      </c>
      <c r="J43" s="23">
        <v>320168</v>
      </c>
      <c r="L43" s="22">
        <f>SUM(H43+J43)</f>
        <v>4493445</v>
      </c>
      <c r="N43" s="31">
        <f>720-N42</f>
        <v>586</v>
      </c>
      <c r="O43" s="22">
        <v>3815029.1900000004</v>
      </c>
      <c r="Q43" s="23">
        <v>597802.81000000006</v>
      </c>
      <c r="S43" s="22">
        <f>SUM(O43+Q43)</f>
        <v>4412832</v>
      </c>
      <c r="U43" s="22">
        <f>SUM(O43-H43)</f>
        <v>-358247.80999999959</v>
      </c>
      <c r="W43" s="22">
        <f>SUM(Q43-J43)</f>
        <v>277634.81000000006</v>
      </c>
      <c r="Y43" s="22">
        <f>S43-L43</f>
        <v>-80613</v>
      </c>
      <c r="AA43" s="24">
        <f>IF(U43=0,"------",(U43/H43*100))</f>
        <v>-8.5843285744032709</v>
      </c>
      <c r="AC43" s="24">
        <f>IF(W43=0,"------",(W43/J43*100))</f>
        <v>86.715352564903441</v>
      </c>
      <c r="AE43" s="24">
        <f>IF(Y43=0,"------",(Y43/L43*100))</f>
        <v>-1.7940132793435772</v>
      </c>
    </row>
    <row r="44" spans="1:31" x14ac:dyDescent="0.25">
      <c r="B44" s="1" t="s">
        <v>24</v>
      </c>
      <c r="D44" s="1" t="s">
        <v>12</v>
      </c>
      <c r="E44" s="25"/>
      <c r="F44" s="29">
        <f>713+51</f>
        <v>764</v>
      </c>
      <c r="G44" s="25"/>
      <c r="H44" s="25">
        <f>SUM(H42:H43)</f>
        <v>5338156</v>
      </c>
      <c r="I44" s="25"/>
      <c r="J44" s="25">
        <f>SUM(J42:J43)</f>
        <v>330019</v>
      </c>
      <c r="K44" s="25"/>
      <c r="L44" s="25">
        <f>SUM(L42:L43)</f>
        <v>5668175</v>
      </c>
      <c r="N44" s="29">
        <f>SUM(N42:N43)</f>
        <v>720</v>
      </c>
      <c r="O44" s="25">
        <f>SUM(O42:O43)</f>
        <v>4879991.62</v>
      </c>
      <c r="P44" s="25"/>
      <c r="Q44" s="25">
        <f>SUM(Q42:Q43)</f>
        <v>609278.71000000008</v>
      </c>
      <c r="R44" s="25"/>
      <c r="S44" s="25">
        <f>SUM(S42:S43)</f>
        <v>5489270.3300000001</v>
      </c>
      <c r="U44" s="25">
        <f>SUM(O44-H44)</f>
        <v>-458164.37999999989</v>
      </c>
      <c r="V44" s="25"/>
      <c r="W44" s="25">
        <f>SUM(Q44-J44)</f>
        <v>279259.71000000008</v>
      </c>
      <c r="X44" s="25"/>
      <c r="Y44" s="25">
        <f>SUM(S44-L44)</f>
        <v>-178904.66999999993</v>
      </c>
      <c r="AA44" s="19">
        <f>IF(U44=0,"------",(U44/H44*100))</f>
        <v>-8.5828211090121727</v>
      </c>
      <c r="AC44" s="19">
        <f>IF(W44=0,"------",(W44/J44*100))</f>
        <v>84.619282526157619</v>
      </c>
      <c r="AE44" s="19">
        <f>IF(Y44=0,"------",(Y44/L44*100))</f>
        <v>-3.156301102206617</v>
      </c>
    </row>
    <row r="45" spans="1:31" x14ac:dyDescent="0.25">
      <c r="F45" s="29"/>
      <c r="N45" s="29"/>
    </row>
    <row r="46" spans="1:31" s="13" customFormat="1" x14ac:dyDescent="0.25">
      <c r="A46" s="13" t="s">
        <v>13</v>
      </c>
      <c r="B46" s="14"/>
      <c r="D46" s="13" t="s">
        <v>14</v>
      </c>
      <c r="F46" s="30"/>
      <c r="H46" s="16">
        <v>1164879</v>
      </c>
      <c r="J46" s="17">
        <v>9851</v>
      </c>
      <c r="L46" s="18">
        <f>SUM(H46+J46)</f>
        <v>1174730</v>
      </c>
      <c r="N46" s="30">
        <v>134</v>
      </c>
      <c r="O46" s="17">
        <v>1109446.9099999999</v>
      </c>
      <c r="Q46" s="17">
        <v>14321.949999999999</v>
      </c>
      <c r="S46" s="18">
        <f>SUM(O46+Q46)</f>
        <v>1123768.8599999999</v>
      </c>
      <c r="U46" s="18">
        <f>SUM(O46-H46)</f>
        <v>-55432.090000000084</v>
      </c>
      <c r="W46" s="18">
        <f>SUM(Q46-J46)</f>
        <v>4470.9499999999989</v>
      </c>
      <c r="Y46" s="18">
        <f>S46-L46</f>
        <v>-50961.14000000013</v>
      </c>
      <c r="AA46" s="19">
        <f>IF(U46=0,"------",(U46/H46*100))</f>
        <v>-4.7586135555710154</v>
      </c>
      <c r="AC46" s="19">
        <f>IF(W46=0,"------",(W46/J46*100))</f>
        <v>45.385747639833504</v>
      </c>
      <c r="AE46" s="19">
        <f>IF(Y46=0,"------",(Y46/L46*100))</f>
        <v>-4.3381151413516408</v>
      </c>
    </row>
    <row r="47" spans="1:31" x14ac:dyDescent="0.25">
      <c r="A47" s="13" t="s">
        <v>13</v>
      </c>
      <c r="B47" s="20"/>
      <c r="D47" t="s">
        <v>15</v>
      </c>
      <c r="F47" s="31"/>
      <c r="H47" s="22">
        <v>4175175</v>
      </c>
      <c r="J47" s="23">
        <v>505236</v>
      </c>
      <c r="L47" s="22">
        <f>SUM(H47+J47)</f>
        <v>4680411</v>
      </c>
      <c r="N47" s="31">
        <f>720-N46</f>
        <v>586</v>
      </c>
      <c r="O47" s="22">
        <v>4017759.8099999996</v>
      </c>
      <c r="Q47" s="23">
        <v>789647.58000000007</v>
      </c>
      <c r="S47" s="22">
        <f>SUM(O47+Q47)</f>
        <v>4807407.3899999997</v>
      </c>
      <c r="U47" s="22">
        <f>SUM(O47-H47)</f>
        <v>-157415.19000000041</v>
      </c>
      <c r="W47" s="22">
        <f>SUM(Q47-J47)</f>
        <v>284411.58000000007</v>
      </c>
      <c r="Y47" s="22">
        <f>S47-L47</f>
        <v>126996.38999999966</v>
      </c>
      <c r="AA47" s="24">
        <f>IF(U47=0,"------",(U47/H47*100))</f>
        <v>-3.7702656774865826</v>
      </c>
      <c r="AC47" s="24">
        <f>IF(W47=0,"------",(W47/J47*100))</f>
        <v>56.292817613946767</v>
      </c>
      <c r="AE47" s="24">
        <f>IF(Y47=0,"------",(Y47/L47*100))</f>
        <v>2.7133597882749969</v>
      </c>
    </row>
    <row r="48" spans="1:31" x14ac:dyDescent="0.25">
      <c r="B48" s="1" t="s">
        <v>25</v>
      </c>
      <c r="D48" s="1" t="s">
        <v>12</v>
      </c>
      <c r="E48" s="25"/>
      <c r="F48" s="29">
        <f>713+51</f>
        <v>764</v>
      </c>
      <c r="G48" s="25"/>
      <c r="H48" s="25">
        <f>SUM(H46:H47)</f>
        <v>5340054</v>
      </c>
      <c r="I48" s="25"/>
      <c r="J48" s="25">
        <f>SUM(J46:J47)</f>
        <v>515087</v>
      </c>
      <c r="K48" s="25"/>
      <c r="L48" s="25">
        <f>SUM(L46:L47)</f>
        <v>5855141</v>
      </c>
      <c r="N48" s="29">
        <f>SUM(N46:N47)</f>
        <v>720</v>
      </c>
      <c r="O48" s="25">
        <f>SUM(O46:O47)</f>
        <v>5127206.72</v>
      </c>
      <c r="P48" s="25"/>
      <c r="Q48" s="25">
        <f>SUM(Q46:Q47)</f>
        <v>803969.53</v>
      </c>
      <c r="R48" s="25"/>
      <c r="S48" s="25">
        <f>SUM(S46:S47)</f>
        <v>5931176.25</v>
      </c>
      <c r="U48" s="25">
        <f>SUM(O48-H48)</f>
        <v>-212847.28000000026</v>
      </c>
      <c r="V48" s="25"/>
      <c r="W48" s="25">
        <f>SUM(Q48-J48)</f>
        <v>288882.53000000003</v>
      </c>
      <c r="X48" s="25"/>
      <c r="Y48" s="25">
        <f>SUM(S48-L48)</f>
        <v>76035.25</v>
      </c>
      <c r="AA48" s="19">
        <f>IF(U48=0,"------",(U48/H48*100))</f>
        <v>-3.985863813362192</v>
      </c>
      <c r="AC48" s="19">
        <f>IF(W48=0,"------",(W48/J48*100))</f>
        <v>56.084220723877721</v>
      </c>
      <c r="AE48" s="19">
        <f>IF(Y48=0,"------",(Y48/L48*100))</f>
        <v>1.2986066432900591</v>
      </c>
    </row>
    <row r="49" spans="1:31" x14ac:dyDescent="0.25">
      <c r="F49" s="29"/>
      <c r="N49" s="29"/>
    </row>
    <row r="50" spans="1:31" s="13" customFormat="1" x14ac:dyDescent="0.25">
      <c r="A50" s="13" t="s">
        <v>13</v>
      </c>
      <c r="B50" s="14"/>
      <c r="D50" s="13" t="s">
        <v>14</v>
      </c>
      <c r="F50" s="30"/>
      <c r="H50" s="16">
        <v>1164879</v>
      </c>
      <c r="J50" s="17">
        <v>9851</v>
      </c>
      <c r="L50" s="18">
        <f>SUM(H50+J50)</f>
        <v>1174730</v>
      </c>
      <c r="N50" s="30">
        <v>134</v>
      </c>
      <c r="O50" s="17">
        <v>1116889.1000000001</v>
      </c>
      <c r="Q50" s="17">
        <v>19442.099999999999</v>
      </c>
      <c r="S50" s="18">
        <f>SUM(O50+Q50)</f>
        <v>1136331.2000000002</v>
      </c>
      <c r="U50" s="18">
        <f>SUM(O50-H50)</f>
        <v>-47989.899999999907</v>
      </c>
      <c r="W50" s="18">
        <f>SUM(Q50-J50)</f>
        <v>9591.0999999999985</v>
      </c>
      <c r="Y50" s="18">
        <f>S50-L50</f>
        <v>-38398.799999999814</v>
      </c>
      <c r="AA50" s="19">
        <f>IF(U50=0,"------",(U50/H50*100))</f>
        <v>-4.1197326074210201</v>
      </c>
      <c r="AC50" s="19">
        <f>IF(W50=0,"------",(W50/J50*100))</f>
        <v>97.361689168612315</v>
      </c>
      <c r="AE50" s="19">
        <f>IF(Y50=0,"------",(Y50/L50*100))</f>
        <v>-3.2687340920892303</v>
      </c>
    </row>
    <row r="51" spans="1:31" x14ac:dyDescent="0.25">
      <c r="A51" s="13" t="s">
        <v>13</v>
      </c>
      <c r="B51" s="20"/>
      <c r="D51" t="s">
        <v>15</v>
      </c>
      <c r="F51" s="31"/>
      <c r="H51" s="22">
        <v>4176099</v>
      </c>
      <c r="J51" s="23">
        <v>502844</v>
      </c>
      <c r="L51" s="22">
        <f>SUM(H51+J51)</f>
        <v>4678943</v>
      </c>
      <c r="N51" s="31">
        <f>718-N50</f>
        <v>584</v>
      </c>
      <c r="O51" s="22">
        <v>3938717.5700000003</v>
      </c>
      <c r="Q51" s="23">
        <v>868179.92</v>
      </c>
      <c r="S51" s="22">
        <f>SUM(O51+Q51)</f>
        <v>4806897.49</v>
      </c>
      <c r="U51" s="22">
        <f>SUM(O51-H51)</f>
        <v>-237381.4299999997</v>
      </c>
      <c r="W51" s="22">
        <f>SUM(Q51-J51)</f>
        <v>365335.92000000004</v>
      </c>
      <c r="Y51" s="22">
        <f>S51-L51</f>
        <v>127954.49000000022</v>
      </c>
      <c r="AA51" s="24">
        <f>IF(U51=0,"------",(U51/H51*100))</f>
        <v>-5.684286459684019</v>
      </c>
      <c r="AC51" s="24">
        <f>IF(W51=0,"------",(W51/J51*100))</f>
        <v>72.653928454948257</v>
      </c>
      <c r="AE51" s="24">
        <f>IF(Y51=0,"------",(Y51/L51*100))</f>
        <v>2.7346879412722109</v>
      </c>
    </row>
    <row r="52" spans="1:31" x14ac:dyDescent="0.25">
      <c r="B52" s="1" t="s">
        <v>26</v>
      </c>
      <c r="D52" s="1" t="s">
        <v>12</v>
      </c>
      <c r="E52" s="25"/>
      <c r="F52" s="29">
        <f>713+51</f>
        <v>764</v>
      </c>
      <c r="G52" s="25"/>
      <c r="H52" s="25">
        <f>SUM(H50:H51)</f>
        <v>5340978</v>
      </c>
      <c r="I52" s="25"/>
      <c r="J52" s="25">
        <f>SUM(J50:J51)</f>
        <v>512695</v>
      </c>
      <c r="K52" s="25"/>
      <c r="L52" s="25">
        <f>SUM(L50:L51)</f>
        <v>5853673</v>
      </c>
      <c r="N52" s="29">
        <f>SUM(N50:N51)</f>
        <v>718</v>
      </c>
      <c r="O52" s="25">
        <f>SUM(O50:O51)</f>
        <v>5055606.67</v>
      </c>
      <c r="P52" s="25"/>
      <c r="Q52" s="25">
        <f>SUM(Q50:Q51)</f>
        <v>887622.02</v>
      </c>
      <c r="R52" s="25"/>
      <c r="S52" s="25">
        <f>SUM(S50:S51)</f>
        <v>5943228.6900000004</v>
      </c>
      <c r="U52" s="25">
        <f>SUM(O52-H52)</f>
        <v>-285371.33000000007</v>
      </c>
      <c r="V52" s="25"/>
      <c r="W52" s="25">
        <f>SUM(Q52-J52)</f>
        <v>374927.02</v>
      </c>
      <c r="X52" s="25"/>
      <c r="Y52" s="25">
        <f>SUM(S52-L52)</f>
        <v>89555.69000000041</v>
      </c>
      <c r="AA52" s="19">
        <f>IF(U52=0,"------",(U52/H52*100))</f>
        <v>-5.34305383770538</v>
      </c>
      <c r="AC52" s="19">
        <f>IF(W52=0,"------",(W52/J52*100))</f>
        <v>73.128667141282833</v>
      </c>
      <c r="AE52" s="19">
        <f>IF(Y52=0,"------",(Y52/L52*100))</f>
        <v>1.5299059240241197</v>
      </c>
    </row>
    <row r="53" spans="1:31" x14ac:dyDescent="0.25">
      <c r="F53" s="29"/>
      <c r="N53" s="29"/>
    </row>
    <row r="54" spans="1:31" s="13" customFormat="1" x14ac:dyDescent="0.25">
      <c r="A54" s="13" t="s">
        <v>13</v>
      </c>
      <c r="B54" s="14"/>
      <c r="D54" s="13" t="s">
        <v>14</v>
      </c>
      <c r="F54" s="30"/>
      <c r="H54" s="16">
        <v>1164891</v>
      </c>
      <c r="J54" s="17">
        <v>9852</v>
      </c>
      <c r="L54" s="18">
        <f>SUM(H54+J54)</f>
        <v>1174743</v>
      </c>
      <c r="N54" s="30">
        <v>135</v>
      </c>
      <c r="O54" s="17">
        <v>1136063.2799999998</v>
      </c>
      <c r="Q54" s="17">
        <v>17610.97</v>
      </c>
      <c r="S54" s="18">
        <f>SUM(O54+Q54)</f>
        <v>1153674.2499999998</v>
      </c>
      <c r="U54" s="18">
        <f>SUM(O54-H54)</f>
        <v>-28827.720000000205</v>
      </c>
      <c r="W54" s="18">
        <f>SUM(Q54-J54)</f>
        <v>7758.9700000000012</v>
      </c>
      <c r="Y54" s="18">
        <f>S54-L54</f>
        <v>-21068.750000000233</v>
      </c>
      <c r="AA54" s="19">
        <f>IF(U54=0,"------",(U54/H54*100))</f>
        <v>-2.4747139431929859</v>
      </c>
      <c r="AC54" s="19">
        <f>IF(W54=0,"------",(W54/J54*100))</f>
        <v>78.755278116118561</v>
      </c>
      <c r="AE54" s="19">
        <f>IF(Y54=0,"------",(Y54/L54*100))</f>
        <v>-1.7934773818614143</v>
      </c>
    </row>
    <row r="55" spans="1:31" x14ac:dyDescent="0.25">
      <c r="A55" s="13" t="s">
        <v>13</v>
      </c>
      <c r="B55" s="20"/>
      <c r="D55" t="s">
        <v>15</v>
      </c>
      <c r="F55" s="31"/>
      <c r="H55" s="22">
        <v>4176981</v>
      </c>
      <c r="J55" s="23">
        <v>356493</v>
      </c>
      <c r="L55" s="22">
        <f>SUM(H55+J55)</f>
        <v>4533474</v>
      </c>
      <c r="N55" s="31">
        <f>719-N54</f>
        <v>584</v>
      </c>
      <c r="O55" s="22">
        <v>4889895.5700000012</v>
      </c>
      <c r="Q55" s="23">
        <v>901883.41</v>
      </c>
      <c r="S55" s="22">
        <f>SUM(O55+Q55)</f>
        <v>5791778.9800000014</v>
      </c>
      <c r="U55" s="22">
        <f>SUM(O55-H55)</f>
        <v>712914.57000000123</v>
      </c>
      <c r="W55" s="22">
        <f>SUM(Q55-J55)</f>
        <v>545390.41</v>
      </c>
      <c r="Y55" s="22">
        <f>S55-L55</f>
        <v>1258304.9800000014</v>
      </c>
      <c r="AA55" s="24">
        <f>IF(U55=0,"------",(U55/H55*100))</f>
        <v>17.067699613668371</v>
      </c>
      <c r="AC55" s="24">
        <f>IF(W55=0,"------",(W55/J55*100))</f>
        <v>152.98769120291283</v>
      </c>
      <c r="AE55" s="24">
        <f>IF(Y55=0,"------",(Y55/L55*100))</f>
        <v>27.755866251797219</v>
      </c>
    </row>
    <row r="56" spans="1:31" x14ac:dyDescent="0.25">
      <c r="B56" s="1" t="s">
        <v>27</v>
      </c>
      <c r="D56" s="1" t="s">
        <v>12</v>
      </c>
      <c r="E56" s="25"/>
      <c r="F56" s="29">
        <f>713+51</f>
        <v>764</v>
      </c>
      <c r="G56" s="25"/>
      <c r="H56" s="25">
        <f>SUM(H54:H55)</f>
        <v>5341872</v>
      </c>
      <c r="I56" s="25"/>
      <c r="J56" s="25">
        <f>SUM(J54:J55)</f>
        <v>366345</v>
      </c>
      <c r="K56" s="25"/>
      <c r="L56" s="25">
        <f>SUM(L54:L55)</f>
        <v>5708217</v>
      </c>
      <c r="N56" s="29">
        <f>SUM(N54:N55)</f>
        <v>719</v>
      </c>
      <c r="O56" s="25">
        <f>SUM(O54:O55)</f>
        <v>6025958.8500000015</v>
      </c>
      <c r="P56" s="25"/>
      <c r="Q56" s="25">
        <f>SUM(Q54:Q55)</f>
        <v>919494.38</v>
      </c>
      <c r="R56" s="25"/>
      <c r="S56" s="25">
        <f>SUM(S54:S55)</f>
        <v>6945453.2300000014</v>
      </c>
      <c r="U56" s="25">
        <f>SUM(O56-H56)</f>
        <v>684086.85000000149</v>
      </c>
      <c r="V56" s="25"/>
      <c r="W56" s="25">
        <f>SUM(Q56-J56)</f>
        <v>553149.38</v>
      </c>
      <c r="X56" s="25"/>
      <c r="Y56" s="25">
        <f>SUM(S56-L56)</f>
        <v>1237236.2300000014</v>
      </c>
      <c r="AA56" s="19">
        <f>IF(U56=0,"------",(U56/H56*100))</f>
        <v>12.806125830046126</v>
      </c>
      <c r="AC56" s="19">
        <f>IF(W56=0,"------",(W56/J56*100))</f>
        <v>150.99138244004968</v>
      </c>
      <c r="AE56" s="19">
        <f>IF(Y56=0,"------",(Y56/L56*100))</f>
        <v>21.674653048403755</v>
      </c>
    </row>
    <row r="57" spans="1:31" x14ac:dyDescent="0.25">
      <c r="F57" s="29"/>
      <c r="N57" s="29"/>
    </row>
    <row r="58" spans="1:31" s="13" customFormat="1" x14ac:dyDescent="0.25">
      <c r="A58" s="13" t="s">
        <v>13</v>
      </c>
      <c r="B58" s="14"/>
      <c r="D58" s="13" t="s">
        <v>14</v>
      </c>
      <c r="F58" s="30"/>
      <c r="H58" s="16">
        <v>13732468</v>
      </c>
      <c r="J58" s="17">
        <v>118213</v>
      </c>
      <c r="L58" s="18">
        <f>SUM(H58+J58)</f>
        <v>13850681</v>
      </c>
      <c r="N58" s="30">
        <f>(N54+N50+N46+N42+N38+N34+N30+N26+N22+N18+N14+N10)/12</f>
        <v>134.33333333333334</v>
      </c>
      <c r="O58" s="17">
        <v>13029823.969999999</v>
      </c>
      <c r="Q58" s="17">
        <v>107407.22</v>
      </c>
      <c r="S58" s="18">
        <f>SUM(O58+Q58)</f>
        <v>13137231.189999999</v>
      </c>
      <c r="U58" s="18">
        <f>SUM(O58-H58)</f>
        <v>-702644.03000000119</v>
      </c>
      <c r="W58" s="18">
        <f>SUM(Q58-J58)</f>
        <v>-10805.779999999999</v>
      </c>
      <c r="Y58" s="18">
        <f>S58-L58</f>
        <v>-713449.81000000052</v>
      </c>
      <c r="AA58" s="19">
        <f>IF(U58=0,"------",(U58/H58*100))</f>
        <v>-5.1166624236808795</v>
      </c>
      <c r="AC58" s="19">
        <f>IF(W58=0,"------",(W58/J58*100))</f>
        <v>-9.1409405056973423</v>
      </c>
      <c r="AE58" s="19">
        <f>IF(Y58=0,"------",(Y58/L58*100))</f>
        <v>-5.1510088926313475</v>
      </c>
    </row>
    <row r="59" spans="1:31" x14ac:dyDescent="0.25">
      <c r="A59" s="13" t="s">
        <v>13</v>
      </c>
      <c r="B59" s="20"/>
      <c r="D59" t="s">
        <v>15</v>
      </c>
      <c r="F59" s="31"/>
      <c r="H59" s="22">
        <v>49209110</v>
      </c>
      <c r="J59" s="23">
        <v>4861933</v>
      </c>
      <c r="L59" s="22">
        <f>SUM(H59+J59)</f>
        <v>54071043</v>
      </c>
      <c r="N59" s="35">
        <f t="shared" ref="N59:N60" si="0">(N55+N51+N47+N43+N39+N35+N31+N27+N23+N19+N15+N11)/12</f>
        <v>587.83333333333337</v>
      </c>
      <c r="O59" s="22">
        <v>47967374.74000001</v>
      </c>
      <c r="Q59" s="23">
        <v>6601552.5199999996</v>
      </c>
      <c r="S59" s="22">
        <f>SUM(O59+Q59)</f>
        <v>54568927.260000005</v>
      </c>
      <c r="U59" s="22">
        <f>SUM(O59-H59)</f>
        <v>-1241735.2599999905</v>
      </c>
      <c r="W59" s="22">
        <f>SUM(Q59-J59)</f>
        <v>1739619.5199999996</v>
      </c>
      <c r="Y59" s="22">
        <f>S59-L59</f>
        <v>497884.26000000536</v>
      </c>
      <c r="AA59" s="24">
        <f>IF(U59=0,"------",(U59/H59*100))</f>
        <v>-2.5233849179552128</v>
      </c>
      <c r="AC59" s="24">
        <f>IF(W59=0,"------",(W59/J59*100))</f>
        <v>35.780409150023239</v>
      </c>
      <c r="AE59" s="24">
        <f>IF(Y59=0,"------",(Y59/L59*100))</f>
        <v>0.92079647881030402</v>
      </c>
    </row>
    <row r="60" spans="1:31" x14ac:dyDescent="0.25">
      <c r="B60" s="1" t="s">
        <v>28</v>
      </c>
      <c r="D60" s="1" t="s">
        <v>12</v>
      </c>
      <c r="E60" s="25"/>
      <c r="F60" s="29">
        <f>(F56+F52+F48+F44+F40+F36+F32+F28+F24+F20+F16+F12)/12</f>
        <v>768.25</v>
      </c>
      <c r="G60" s="25"/>
      <c r="H60" s="25">
        <f>SUM(H58:H59)</f>
        <v>62941578</v>
      </c>
      <c r="I60" s="25"/>
      <c r="J60" s="25">
        <f>SUM(J58:J59)</f>
        <v>4980146</v>
      </c>
      <c r="K60" s="25"/>
      <c r="L60" s="25">
        <f>SUM(L58:L59)</f>
        <v>67921724</v>
      </c>
      <c r="N60" s="30">
        <f t="shared" si="0"/>
        <v>722.16666666666663</v>
      </c>
      <c r="O60" s="25">
        <f>SUM(O58:O59)</f>
        <v>60997198.710000008</v>
      </c>
      <c r="P60" s="25"/>
      <c r="Q60" s="25">
        <f>SUM(Q58:Q59)</f>
        <v>6708959.7399999993</v>
      </c>
      <c r="R60" s="25"/>
      <c r="S60" s="25">
        <f>SUM(S58:S59)</f>
        <v>67706158.450000003</v>
      </c>
      <c r="U60" s="25">
        <f>SUM(O60-H60)</f>
        <v>-1944379.2899999917</v>
      </c>
      <c r="V60" s="25"/>
      <c r="W60" s="25">
        <f>SUM(Q60-J60)</f>
        <v>1728813.7399999993</v>
      </c>
      <c r="X60" s="25"/>
      <c r="Y60" s="25">
        <f>SUM(S60-L60)</f>
        <v>-215565.54999999702</v>
      </c>
      <c r="AA60" s="19">
        <f>IF(U60=0,"------",(U60/H60*100))</f>
        <v>-3.0891810338787367</v>
      </c>
      <c r="AC60" s="19">
        <f>IF(W60=0,"------",(W60/J60*100))</f>
        <v>34.71411761823849</v>
      </c>
      <c r="AE60" s="19">
        <f>IF(Y60=0,"------",(Y60/L60*100))</f>
        <v>-0.31737349599665199</v>
      </c>
    </row>
    <row r="63" spans="1:31" x14ac:dyDescent="0.25">
      <c r="C63" s="40" t="s">
        <v>34</v>
      </c>
      <c r="D63" s="42" t="s">
        <v>35</v>
      </c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</row>
    <row r="64" spans="1:31" x14ac:dyDescent="0.25"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</row>
    <row r="65" spans="4:19" x14ac:dyDescent="0.25"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</row>
  </sheetData>
  <mergeCells count="5">
    <mergeCell ref="U8:Y8"/>
    <mergeCell ref="AA8:AE8"/>
    <mergeCell ref="D63:S65"/>
    <mergeCell ref="F8:L8"/>
    <mergeCell ref="N8:S8"/>
  </mergeCells>
  <pageMargins left="0.7" right="0.7" top="0.75" bottom="0.75" header="0.3" footer="0.3"/>
  <pageSetup scale="54" orientation="landscape" horizontalDpi="4294967293" verticalDpi="300" r:id="rId1"/>
  <ignoredErrors>
    <ignoredError sqref="C6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tabSelected="1" topLeftCell="B2" workbookViewId="0">
      <selection activeCell="AG17" sqref="AG17"/>
    </sheetView>
  </sheetViews>
  <sheetFormatPr defaultRowHeight="15" x14ac:dyDescent="0.25"/>
  <cols>
    <col min="1" max="1" width="9.140625" hidden="1" customWidth="1"/>
    <col min="2" max="2" width="9.140625" style="1" customWidth="1"/>
    <col min="3" max="3" width="3.7109375" customWidth="1"/>
    <col min="4" max="4" width="23.5703125" customWidth="1"/>
    <col min="5" max="5" width="1.28515625" customWidth="1"/>
    <col min="6" max="6" width="8" customWidth="1"/>
    <col min="7" max="7" width="1.28515625" customWidth="1"/>
    <col min="8" max="8" width="13.28515625" style="2" bestFit="1" customWidth="1"/>
    <col min="9" max="9" width="1.28515625" customWidth="1"/>
    <col min="10" max="10" width="11" style="2" customWidth="1"/>
    <col min="11" max="11" width="1.28515625" customWidth="1"/>
    <col min="12" max="12" width="11.7109375" style="2" customWidth="1"/>
    <col min="13" max="13" width="3.7109375" customWidth="1"/>
    <col min="14" max="14" width="5.85546875" customWidth="1"/>
    <col min="15" max="15" width="13.28515625" style="2" bestFit="1" customWidth="1"/>
    <col min="16" max="16" width="1.28515625" customWidth="1"/>
    <col min="17" max="17" width="11" style="2" customWidth="1"/>
    <col min="18" max="18" width="1.28515625" customWidth="1"/>
    <col min="19" max="19" width="11.7109375" style="2" customWidth="1"/>
    <col min="20" max="20" width="3.7109375" customWidth="1"/>
    <col min="21" max="21" width="13.28515625" style="2" customWidth="1"/>
    <col min="22" max="22" width="1.28515625" customWidth="1"/>
    <col min="23" max="23" width="13.28515625" style="2" customWidth="1"/>
    <col min="24" max="24" width="1.28515625" customWidth="1"/>
    <col min="25" max="25" width="13.28515625" style="2" customWidth="1"/>
    <col min="26" max="26" width="3.7109375" customWidth="1"/>
    <col min="27" max="27" width="13.28515625" style="3" bestFit="1" customWidth="1"/>
    <col min="28" max="28" width="1.28515625" customWidth="1"/>
    <col min="29" max="29" width="13.28515625" style="3" customWidth="1"/>
    <col min="30" max="30" width="1.28515625" customWidth="1"/>
    <col min="31" max="31" width="10.42578125" style="3" customWidth="1"/>
  </cols>
  <sheetData>
    <row r="1" spans="1:33" hidden="1" x14ac:dyDescent="0.25">
      <c r="L1" s="2" t="s">
        <v>0</v>
      </c>
      <c r="S1" s="2" t="s">
        <v>0</v>
      </c>
      <c r="Y1" s="2" t="s">
        <v>0</v>
      </c>
      <c r="AA1" s="3" t="s">
        <v>0</v>
      </c>
      <c r="AC1" s="3" t="s">
        <v>0</v>
      </c>
      <c r="AE1" s="3" t="s">
        <v>0</v>
      </c>
    </row>
    <row r="2" spans="1:33" ht="15.75" x14ac:dyDescent="0.25">
      <c r="B2" s="4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</row>
    <row r="3" spans="1:33" ht="15.75" x14ac:dyDescent="0.25">
      <c r="B3" s="4" t="s">
        <v>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</row>
    <row r="4" spans="1:33" x14ac:dyDescent="0.25">
      <c r="B4" s="4" t="s">
        <v>32</v>
      </c>
    </row>
    <row r="5" spans="1:33" x14ac:dyDescent="0.25">
      <c r="B5" s="7" t="s">
        <v>31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G5" s="6"/>
    </row>
    <row r="6" spans="1:33" x14ac:dyDescent="0.25">
      <c r="B6" s="8"/>
    </row>
    <row r="7" spans="1:33" x14ac:dyDescent="0.25">
      <c r="B7" s="8"/>
    </row>
    <row r="8" spans="1:33" x14ac:dyDescent="0.25">
      <c r="F8" s="43" t="s">
        <v>4</v>
      </c>
      <c r="G8" s="43"/>
      <c r="H8" s="43"/>
      <c r="I8" s="43"/>
      <c r="J8" s="43"/>
      <c r="K8" s="43"/>
      <c r="L8" s="43"/>
      <c r="N8" s="43" t="s">
        <v>5</v>
      </c>
      <c r="O8" s="43"/>
      <c r="P8" s="43"/>
      <c r="Q8" s="43"/>
      <c r="R8" s="43"/>
      <c r="S8" s="43"/>
      <c r="U8" s="43" t="s">
        <v>6</v>
      </c>
      <c r="V8" s="43"/>
      <c r="W8" s="43"/>
      <c r="X8" s="43"/>
      <c r="Y8" s="43"/>
      <c r="AA8" s="44" t="s">
        <v>33</v>
      </c>
      <c r="AB8" s="44"/>
      <c r="AC8" s="44"/>
      <c r="AD8" s="44"/>
      <c r="AE8" s="44"/>
    </row>
    <row r="9" spans="1:33" s="9" customFormat="1" ht="12.75" x14ac:dyDescent="0.2">
      <c r="B9" s="10" t="s">
        <v>7</v>
      </c>
      <c r="D9" s="10" t="s">
        <v>8</v>
      </c>
      <c r="F9" s="37" t="s">
        <v>9</v>
      </c>
      <c r="H9" s="11" t="s">
        <v>10</v>
      </c>
      <c r="J9" s="11" t="s">
        <v>11</v>
      </c>
      <c r="L9" s="11" t="s">
        <v>12</v>
      </c>
      <c r="N9" s="37" t="s">
        <v>9</v>
      </c>
      <c r="O9" s="11" t="s">
        <v>10</v>
      </c>
      <c r="Q9" s="11" t="s">
        <v>11</v>
      </c>
      <c r="S9" s="11" t="s">
        <v>12</v>
      </c>
      <c r="U9" s="11" t="s">
        <v>10</v>
      </c>
      <c r="W9" s="11" t="s">
        <v>11</v>
      </c>
      <c r="Y9" s="11" t="s">
        <v>12</v>
      </c>
      <c r="AA9" s="12" t="s">
        <v>10</v>
      </c>
      <c r="AC9" s="12" t="s">
        <v>11</v>
      </c>
      <c r="AE9" s="12" t="s">
        <v>12</v>
      </c>
    </row>
    <row r="10" spans="1:33" s="13" customFormat="1" x14ac:dyDescent="0.25">
      <c r="A10" s="13" t="s">
        <v>13</v>
      </c>
      <c r="B10" s="14"/>
      <c r="D10" s="13" t="s">
        <v>14</v>
      </c>
      <c r="F10" s="30"/>
      <c r="H10" s="16">
        <v>1082285</v>
      </c>
      <c r="J10" s="17">
        <v>8198</v>
      </c>
      <c r="L10" s="18">
        <f>SUM(H10+J10)</f>
        <v>1090483</v>
      </c>
      <c r="N10" s="30">
        <f>3+21+90+5+2+8</f>
        <v>129</v>
      </c>
      <c r="O10" s="17">
        <f>962011.87-73.19</f>
        <v>961938.68</v>
      </c>
      <c r="Q10" s="17">
        <v>2873.12</v>
      </c>
      <c r="S10" s="18">
        <f>SUM(O10+Q10)</f>
        <v>964811.8</v>
      </c>
      <c r="U10" s="18">
        <f>SUM(O10-H10)</f>
        <v>-120346.31999999995</v>
      </c>
      <c r="W10" s="18">
        <f>SUM(Q10-J10)</f>
        <v>-5324.88</v>
      </c>
      <c r="Y10" s="18">
        <f>S10-L10</f>
        <v>-125671.19999999995</v>
      </c>
      <c r="AA10" s="19">
        <f>IF(U10=0,"------",(U10/H10*100))</f>
        <v>-11.11965147812267</v>
      </c>
      <c r="AC10" s="19">
        <f>IF(W10=0,"------",(W10/J10*100))</f>
        <v>-64.953403269090032</v>
      </c>
      <c r="AE10" s="19">
        <f>IF(Y10=0,"------",(Y10/L10*100))</f>
        <v>-11.524361223421177</v>
      </c>
    </row>
    <row r="11" spans="1:33" x14ac:dyDescent="0.25">
      <c r="A11" s="13" t="s">
        <v>13</v>
      </c>
      <c r="B11" s="20"/>
      <c r="D11" t="s">
        <v>15</v>
      </c>
      <c r="F11" s="31"/>
      <c r="H11" s="22">
        <v>3845763</v>
      </c>
      <c r="J11" s="23">
        <v>414637</v>
      </c>
      <c r="L11" s="22">
        <f>SUM(H11+J11)</f>
        <v>4260400</v>
      </c>
      <c r="N11" s="31">
        <f>691-129</f>
        <v>562</v>
      </c>
      <c r="O11" s="22">
        <v>3405220.3499999996</v>
      </c>
      <c r="Q11" s="23">
        <v>275375.06999999995</v>
      </c>
      <c r="S11" s="22">
        <f>SUM(O11+Q11)</f>
        <v>3680595.4199999995</v>
      </c>
      <c r="U11" s="22">
        <f>SUM(O11-H11)</f>
        <v>-440542.65000000037</v>
      </c>
      <c r="W11" s="22">
        <f>SUM(Q11-J11)</f>
        <v>-139261.93000000005</v>
      </c>
      <c r="Y11" s="22">
        <f>S11-L11</f>
        <v>-579804.58000000054</v>
      </c>
      <c r="AA11" s="24">
        <f>IF(U11=0,"------",(U11/H11*100))</f>
        <v>-11.455272984840729</v>
      </c>
      <c r="AC11" s="24">
        <f>IF(W11=0,"------",(W11/J11*100))</f>
        <v>-33.586469610767985</v>
      </c>
      <c r="AE11" s="24">
        <f>IF(Y11=0,"------",(Y11/L11*100))</f>
        <v>-13.609158294995789</v>
      </c>
    </row>
    <row r="12" spans="1:33" x14ac:dyDescent="0.25">
      <c r="B12" s="1" t="s">
        <v>16</v>
      </c>
      <c r="D12" s="1" t="s">
        <v>12</v>
      </c>
      <c r="E12" s="25"/>
      <c r="F12" s="29">
        <f>705+51</f>
        <v>756</v>
      </c>
      <c r="G12" s="25"/>
      <c r="H12" s="25">
        <f>SUM(H10:H11)</f>
        <v>4928048</v>
      </c>
      <c r="I12" s="25"/>
      <c r="J12" s="25">
        <f>SUM(J10:J11)</f>
        <v>422835</v>
      </c>
      <c r="K12" s="25"/>
      <c r="L12" s="25">
        <f>SUM(L10:L11)</f>
        <v>5350883</v>
      </c>
      <c r="N12" s="29">
        <f>N11+N10</f>
        <v>691</v>
      </c>
      <c r="O12" s="25">
        <f>SUM(O10:O11)</f>
        <v>4367159.0299999993</v>
      </c>
      <c r="P12" s="25"/>
      <c r="Q12" s="25">
        <f>SUM(Q10:Q11)</f>
        <v>278248.18999999994</v>
      </c>
      <c r="R12" s="25"/>
      <c r="S12" s="25">
        <f>SUM(S10:S11)</f>
        <v>4645407.22</v>
      </c>
      <c r="U12" s="25">
        <f>SUM(O12-H12)</f>
        <v>-560888.97000000067</v>
      </c>
      <c r="V12" s="25"/>
      <c r="W12" s="25">
        <f>SUM(Q12-J12)</f>
        <v>-144586.81000000006</v>
      </c>
      <c r="X12" s="25"/>
      <c r="Y12" s="25">
        <f>SUM(S12-L12)</f>
        <v>-705475.78000000026</v>
      </c>
      <c r="AA12" s="19">
        <f>IF(U12=0,"------",(U12/H12*100))</f>
        <v>-11.381564668201298</v>
      </c>
      <c r="AC12" s="19">
        <f>IF(W12=0,"------",(W12/J12*100))</f>
        <v>-34.194617285702471</v>
      </c>
      <c r="AE12" s="19">
        <f>IF(Y12=0,"------",(Y12/L12*100))</f>
        <v>-13.184287154101487</v>
      </c>
    </row>
    <row r="13" spans="1:33" x14ac:dyDescent="0.25">
      <c r="F13" s="29"/>
      <c r="N13" s="29"/>
    </row>
    <row r="14" spans="1:33" s="13" customFormat="1" x14ac:dyDescent="0.25">
      <c r="A14" s="13" t="s">
        <v>13</v>
      </c>
      <c r="B14" s="14"/>
      <c r="D14" s="13" t="s">
        <v>14</v>
      </c>
      <c r="F14" s="30"/>
      <c r="H14" s="16">
        <v>1084155</v>
      </c>
      <c r="J14" s="17">
        <v>8198</v>
      </c>
      <c r="L14" s="18">
        <f>SUM(H14+J14)</f>
        <v>1092353</v>
      </c>
      <c r="N14" s="30">
        <f>3+21+90+5+2+7+2</f>
        <v>130</v>
      </c>
      <c r="O14" s="17">
        <v>976198.05999999994</v>
      </c>
      <c r="Q14" s="17">
        <v>2284.65</v>
      </c>
      <c r="S14" s="18">
        <f>SUM(O14+Q14)</f>
        <v>978482.71</v>
      </c>
      <c r="U14" s="18">
        <f>SUM(O14-H14)</f>
        <v>-107956.94000000006</v>
      </c>
      <c r="W14" s="18">
        <f>SUM(Q14-J14)</f>
        <v>-5913.35</v>
      </c>
      <c r="Y14" s="18">
        <f>S14-L14</f>
        <v>-113870.29000000004</v>
      </c>
      <c r="AA14" s="19">
        <f>IF(U14=0,"------",(U14/H14*100))</f>
        <v>-9.9577034649104661</v>
      </c>
      <c r="AC14" s="19">
        <f>IF(W14=0,"------",(W14/J14*100))</f>
        <v>-72.131617467675042</v>
      </c>
      <c r="AE14" s="19">
        <f>IF(Y14=0,"------",(Y14/L14*100))</f>
        <v>-10.424312470419364</v>
      </c>
    </row>
    <row r="15" spans="1:33" x14ac:dyDescent="0.25">
      <c r="A15" s="13" t="s">
        <v>13</v>
      </c>
      <c r="B15" s="20"/>
      <c r="D15" t="s">
        <v>15</v>
      </c>
      <c r="F15" s="31"/>
      <c r="H15" s="22">
        <v>3854591</v>
      </c>
      <c r="J15" s="23">
        <v>403637</v>
      </c>
      <c r="L15" s="22">
        <f>SUM(H15+J15)</f>
        <v>4258228</v>
      </c>
      <c r="N15" s="31">
        <f>697-130</f>
        <v>567</v>
      </c>
      <c r="O15" s="22">
        <v>3453841.9599999995</v>
      </c>
      <c r="Q15" s="23">
        <v>222363.22</v>
      </c>
      <c r="S15" s="22">
        <f>SUM(O15+Q15)</f>
        <v>3676205.1799999997</v>
      </c>
      <c r="U15" s="22">
        <f>SUM(O15-H15)</f>
        <v>-400749.0400000005</v>
      </c>
      <c r="W15" s="22">
        <f>SUM(Q15-J15)</f>
        <v>-181273.78</v>
      </c>
      <c r="Y15" s="22">
        <f>S15-L15</f>
        <v>-582022.8200000003</v>
      </c>
      <c r="AA15" s="24">
        <f>IF(U15=0,"------",(U15/H15*100))</f>
        <v>-10.396668284650707</v>
      </c>
      <c r="AC15" s="24">
        <f>IF(W15=0,"------",(W15/J15*100))</f>
        <v>-44.910099916509139</v>
      </c>
      <c r="AE15" s="24">
        <f>IF(Y15=0,"------",(Y15/L15*100))</f>
        <v>-13.668192966651862</v>
      </c>
    </row>
    <row r="16" spans="1:33" x14ac:dyDescent="0.25">
      <c r="B16" s="1" t="s">
        <v>17</v>
      </c>
      <c r="D16" s="1" t="s">
        <v>12</v>
      </c>
      <c r="E16" s="25"/>
      <c r="F16" s="29">
        <f>705+51</f>
        <v>756</v>
      </c>
      <c r="G16" s="25"/>
      <c r="H16" s="25">
        <f>SUM(H14:H15)</f>
        <v>4938746</v>
      </c>
      <c r="I16" s="25"/>
      <c r="J16" s="25">
        <f>SUM(J14:J15)</f>
        <v>411835</v>
      </c>
      <c r="K16" s="25"/>
      <c r="L16" s="25">
        <f>SUM(L14:L15)</f>
        <v>5350581</v>
      </c>
      <c r="N16" s="29">
        <f>N15+N14</f>
        <v>697</v>
      </c>
      <c r="O16" s="25">
        <f>SUM(O14:O15)</f>
        <v>4430040.0199999996</v>
      </c>
      <c r="P16" s="25"/>
      <c r="Q16" s="25">
        <f>SUM(Q14:Q15)</f>
        <v>224647.87</v>
      </c>
      <c r="R16" s="25"/>
      <c r="S16" s="25">
        <f>SUM(S14:S15)</f>
        <v>4654687.8899999997</v>
      </c>
      <c r="U16" s="25">
        <f>SUM(O16-H16)</f>
        <v>-508705.98000000045</v>
      </c>
      <c r="V16" s="25"/>
      <c r="W16" s="25">
        <f>SUM(Q16-J16)</f>
        <v>-187187.13</v>
      </c>
      <c r="X16" s="25"/>
      <c r="Y16" s="25">
        <f>SUM(S16-L16)</f>
        <v>-695893.11000000034</v>
      </c>
      <c r="AA16" s="19">
        <f>IF(U16=0,"------",(U16/H16*100))</f>
        <v>-10.300306596046859</v>
      </c>
      <c r="AC16" s="19">
        <f>IF(W16=0,"------",(W16/J16*100))</f>
        <v>-45.451972270448117</v>
      </c>
      <c r="AE16" s="19">
        <f>IF(Y16=0,"------",(Y16/L16*100))</f>
        <v>-13.005935430189739</v>
      </c>
    </row>
    <row r="17" spans="1:31" x14ac:dyDescent="0.25">
      <c r="F17" s="29"/>
      <c r="N17" s="29"/>
    </row>
    <row r="18" spans="1:31" s="13" customFormat="1" x14ac:dyDescent="0.25">
      <c r="A18" s="13" t="s">
        <v>13</v>
      </c>
      <c r="B18" s="14"/>
      <c r="D18" s="13" t="s">
        <v>14</v>
      </c>
      <c r="F18" s="30"/>
      <c r="H18" s="16">
        <v>1085901</v>
      </c>
      <c r="J18" s="17">
        <v>8198</v>
      </c>
      <c r="L18" s="18">
        <f>SUM(H18+J18)</f>
        <v>1094099</v>
      </c>
      <c r="N18" s="30">
        <f>3+21+91+5+2+7+2</f>
        <v>131</v>
      </c>
      <c r="O18" s="17">
        <v>1059582.6700000002</v>
      </c>
      <c r="Q18" s="17">
        <v>4807.32</v>
      </c>
      <c r="S18" s="18">
        <f>SUM(O18+Q18)</f>
        <v>1064389.9900000002</v>
      </c>
      <c r="U18" s="18">
        <f>SUM(O18-H18)</f>
        <v>-26318.329999999842</v>
      </c>
      <c r="W18" s="18">
        <f>SUM(Q18-J18)</f>
        <v>-3390.6800000000003</v>
      </c>
      <c r="Y18" s="18">
        <f>S18-L18</f>
        <v>-29709.009999999776</v>
      </c>
      <c r="AA18" s="19">
        <f>IF(U18=0,"------",(U18/H18*100))</f>
        <v>-2.4236399082420812</v>
      </c>
      <c r="AC18" s="19">
        <f>IF(W18=0,"------",(W18/J18*100))</f>
        <v>-41.359843864357167</v>
      </c>
      <c r="AE18" s="19">
        <f>IF(Y18=0,"------",(Y18/L18*100))</f>
        <v>-2.7153859020070192</v>
      </c>
    </row>
    <row r="19" spans="1:31" x14ac:dyDescent="0.25">
      <c r="A19" s="13" t="s">
        <v>13</v>
      </c>
      <c r="B19" s="20"/>
      <c r="D19" t="s">
        <v>15</v>
      </c>
      <c r="F19" s="31"/>
      <c r="H19" s="22">
        <v>3864388</v>
      </c>
      <c r="J19" s="23">
        <v>413637</v>
      </c>
      <c r="L19" s="22">
        <f>SUM(H19+J19)</f>
        <v>4278025</v>
      </c>
      <c r="N19" s="31">
        <f>698-131</f>
        <v>567</v>
      </c>
      <c r="O19" s="22">
        <v>3709241.05</v>
      </c>
      <c r="Q19" s="23">
        <v>254414.98</v>
      </c>
      <c r="S19" s="22">
        <f>SUM(O19+Q19)</f>
        <v>3963656.03</v>
      </c>
      <c r="U19" s="22">
        <f>SUM(O19-H19)</f>
        <v>-155146.95000000019</v>
      </c>
      <c r="W19" s="22">
        <f>SUM(Q19-J19)</f>
        <v>-159222.01999999999</v>
      </c>
      <c r="Y19" s="22">
        <f>S19-L19</f>
        <v>-314368.9700000002</v>
      </c>
      <c r="AA19" s="24">
        <f>IF(U19=0,"------",(U19/H19*100))</f>
        <v>-4.0147870762459714</v>
      </c>
      <c r="AC19" s="24">
        <f>IF(W19=0,"------",(W19/J19*100))</f>
        <v>-38.49317638412424</v>
      </c>
      <c r="AE19" s="24">
        <f>IF(Y19=0,"------",(Y19/L19*100))</f>
        <v>-7.3484603292407176</v>
      </c>
    </row>
    <row r="20" spans="1:31" x14ac:dyDescent="0.25">
      <c r="B20" s="1" t="s">
        <v>18</v>
      </c>
      <c r="D20" s="1" t="s">
        <v>12</v>
      </c>
      <c r="E20" s="25"/>
      <c r="F20" s="29">
        <f>707+52</f>
        <v>759</v>
      </c>
      <c r="G20" s="25"/>
      <c r="H20" s="25">
        <f>SUM(H18:H19)</f>
        <v>4950289</v>
      </c>
      <c r="I20" s="25"/>
      <c r="J20" s="25">
        <f>SUM(J18:J19)</f>
        <v>421835</v>
      </c>
      <c r="K20" s="25"/>
      <c r="L20" s="25">
        <f>SUM(L18:L19)</f>
        <v>5372124</v>
      </c>
      <c r="N20" s="29">
        <f>N19+N18</f>
        <v>698</v>
      </c>
      <c r="O20" s="25">
        <f>SUM(O18:O19)</f>
        <v>4768823.72</v>
      </c>
      <c r="P20" s="25"/>
      <c r="Q20" s="25">
        <f>SUM(Q18:Q19)</f>
        <v>259222.30000000002</v>
      </c>
      <c r="R20" s="25"/>
      <c r="S20" s="25">
        <f>SUM(S18:S19)</f>
        <v>5028046.0199999996</v>
      </c>
      <c r="U20" s="25">
        <f>SUM(O20-H20)</f>
        <v>-181465.28000000026</v>
      </c>
      <c r="V20" s="25"/>
      <c r="W20" s="25">
        <f>SUM(Q20-J20)</f>
        <v>-162612.69999999998</v>
      </c>
      <c r="X20" s="25"/>
      <c r="Y20" s="25">
        <f>SUM(S20-L20)</f>
        <v>-344077.98000000045</v>
      </c>
      <c r="AA20" s="19">
        <f>IF(U20=0,"------",(U20/H20*100))</f>
        <v>-3.6657512318977794</v>
      </c>
      <c r="AC20" s="19">
        <f>IF(W20=0,"------",(W20/J20*100))</f>
        <v>-38.548887598231531</v>
      </c>
      <c r="AE20" s="19">
        <f>IF(Y20=0,"------",(Y20/L20*100))</f>
        <v>-6.4048778471978762</v>
      </c>
    </row>
    <row r="21" spans="1:31" x14ac:dyDescent="0.25">
      <c r="F21" s="29"/>
      <c r="N21" s="29"/>
    </row>
    <row r="22" spans="1:31" s="13" customFormat="1" x14ac:dyDescent="0.25">
      <c r="A22" s="13" t="s">
        <v>13</v>
      </c>
      <c r="B22" s="14"/>
      <c r="D22" s="13" t="s">
        <v>14</v>
      </c>
      <c r="F22" s="30"/>
      <c r="H22" s="16">
        <v>1085901</v>
      </c>
      <c r="J22" s="17">
        <v>8198</v>
      </c>
      <c r="L22" s="18">
        <f>SUM(H22+J22)</f>
        <v>1094099</v>
      </c>
      <c r="N22" s="30">
        <f>3+21+90+5+2+7+2</f>
        <v>130</v>
      </c>
      <c r="O22" s="17">
        <v>974610.45</v>
      </c>
      <c r="Q22" s="17">
        <v>7428.12</v>
      </c>
      <c r="S22" s="18">
        <f>SUM(O22+Q22)</f>
        <v>982038.57</v>
      </c>
      <c r="U22" s="18">
        <f>SUM(O22-H22)</f>
        <v>-111290.55000000005</v>
      </c>
      <c r="W22" s="18">
        <f>SUM(Q22-J22)</f>
        <v>-769.88000000000011</v>
      </c>
      <c r="Y22" s="18">
        <f>S22-L22</f>
        <v>-112060.43000000005</v>
      </c>
      <c r="AA22" s="19">
        <f>IF(U22=0,"------",(U22/H22*100))</f>
        <v>-10.24868289098178</v>
      </c>
      <c r="AC22" s="19">
        <f>IF(W22=0,"------",(W22/J22*100))</f>
        <v>-9.3910709929251048</v>
      </c>
      <c r="AE22" s="19">
        <f>IF(Y22=0,"------",(Y22/L22*100))</f>
        <v>-10.242256870721942</v>
      </c>
    </row>
    <row r="23" spans="1:31" x14ac:dyDescent="0.25">
      <c r="A23" s="13" t="s">
        <v>13</v>
      </c>
      <c r="B23" s="20"/>
      <c r="D23" t="s">
        <v>15</v>
      </c>
      <c r="F23" s="31"/>
      <c r="H23" s="22">
        <v>3864646</v>
      </c>
      <c r="J23" s="23">
        <v>423937</v>
      </c>
      <c r="L23" s="22">
        <f>SUM(H23+J23)</f>
        <v>4288583</v>
      </c>
      <c r="N23" s="31">
        <f>706-130</f>
        <v>576</v>
      </c>
      <c r="O23" s="22">
        <v>3501578.99</v>
      </c>
      <c r="Q23" s="23">
        <v>528861.59</v>
      </c>
      <c r="S23" s="22">
        <f>SUM(O23+Q23)</f>
        <v>4030440.58</v>
      </c>
      <c r="U23" s="22">
        <f>SUM(O23-H23)</f>
        <v>-363067.00999999978</v>
      </c>
      <c r="W23" s="22">
        <f>SUM(Q23-J23)</f>
        <v>104924.58999999997</v>
      </c>
      <c r="Y23" s="22">
        <f>S23-L23</f>
        <v>-258142.41999999993</v>
      </c>
      <c r="AA23" s="24">
        <f>IF(U23=0,"------",(U23/H23*100))</f>
        <v>-9.394573526268637</v>
      </c>
      <c r="AC23" s="24">
        <f>IF(W23=0,"------",(W23/J23*100))</f>
        <v>24.750043048849232</v>
      </c>
      <c r="AE23" s="24">
        <f>IF(Y23=0,"------",(Y23/L23*100))</f>
        <v>-6.0192940185604416</v>
      </c>
    </row>
    <row r="24" spans="1:31" x14ac:dyDescent="0.25">
      <c r="B24" s="1" t="s">
        <v>19</v>
      </c>
      <c r="D24" s="1" t="s">
        <v>12</v>
      </c>
      <c r="E24" s="25"/>
      <c r="F24" s="29">
        <f>707+52</f>
        <v>759</v>
      </c>
      <c r="G24" s="25"/>
      <c r="H24" s="25">
        <f>SUM(H22:H23)</f>
        <v>4950547</v>
      </c>
      <c r="I24" s="25"/>
      <c r="J24" s="25">
        <f>SUM(J22:J23)</f>
        <v>432135</v>
      </c>
      <c r="K24" s="25"/>
      <c r="L24" s="25">
        <f>SUM(L22:L23)</f>
        <v>5382682</v>
      </c>
      <c r="N24" s="29">
        <f>N23+N22</f>
        <v>706</v>
      </c>
      <c r="O24" s="25">
        <f>SUM(O22:O23)</f>
        <v>4476189.4400000004</v>
      </c>
      <c r="P24" s="25"/>
      <c r="Q24" s="25">
        <f>SUM(Q22:Q23)</f>
        <v>536289.71</v>
      </c>
      <c r="R24" s="25"/>
      <c r="S24" s="25">
        <f>SUM(S22:S23)</f>
        <v>5012479.1500000004</v>
      </c>
      <c r="U24" s="25">
        <f>SUM(O24-H24)</f>
        <v>-474357.55999999959</v>
      </c>
      <c r="V24" s="25"/>
      <c r="W24" s="25">
        <f>SUM(Q24-J24)</f>
        <v>104154.70999999996</v>
      </c>
      <c r="X24" s="25"/>
      <c r="Y24" s="25">
        <f>SUM(S24-L24)</f>
        <v>-370202.84999999963</v>
      </c>
      <c r="AA24" s="19">
        <f>IF(U24=0,"------",(U24/H24*100))</f>
        <v>-9.5819221593088511</v>
      </c>
      <c r="AC24" s="19">
        <f>IF(W24=0,"------",(W24/J24*100))</f>
        <v>24.102354588265232</v>
      </c>
      <c r="AE24" s="19">
        <f>IF(Y24=0,"------",(Y24/L24*100))</f>
        <v>-6.877665260552261</v>
      </c>
    </row>
    <row r="25" spans="1:31" x14ac:dyDescent="0.25">
      <c r="F25" s="29"/>
      <c r="N25" s="29"/>
    </row>
    <row r="26" spans="1:31" s="13" customFormat="1" x14ac:dyDescent="0.25">
      <c r="A26" s="13" t="s">
        <v>13</v>
      </c>
      <c r="B26" s="14"/>
      <c r="D26" s="13" t="s">
        <v>14</v>
      </c>
      <c r="F26" s="30"/>
      <c r="H26" s="16">
        <v>1088501</v>
      </c>
      <c r="J26" s="17">
        <v>8198</v>
      </c>
      <c r="L26" s="18">
        <f>SUM(H26+J26)</f>
        <v>1096699</v>
      </c>
      <c r="N26" s="30">
        <f>3+20+90+5+2+7+3</f>
        <v>130</v>
      </c>
      <c r="O26" s="17">
        <v>997381.71</v>
      </c>
      <c r="Q26" s="17">
        <v>11043.960000000001</v>
      </c>
      <c r="S26" s="18">
        <f>SUM(O26+Q26)</f>
        <v>1008425.6699999999</v>
      </c>
      <c r="U26" s="18">
        <f>SUM(O26-H26)</f>
        <v>-91119.290000000037</v>
      </c>
      <c r="W26" s="18">
        <f>SUM(Q26-J26)</f>
        <v>2845.9600000000009</v>
      </c>
      <c r="Y26" s="18">
        <f>S26-L26</f>
        <v>-88273.330000000075</v>
      </c>
      <c r="AA26" s="19">
        <f>IF(U26=0,"------",(U26/H26*100))</f>
        <v>-8.3710800449425449</v>
      </c>
      <c r="AC26" s="19">
        <f>IF(W26=0,"------",(W26/J26*100))</f>
        <v>34.715296413759468</v>
      </c>
      <c r="AE26" s="19">
        <f>IF(Y26=0,"------",(Y26/L26*100))</f>
        <v>-8.0490025066130322</v>
      </c>
    </row>
    <row r="27" spans="1:31" x14ac:dyDescent="0.25">
      <c r="A27" s="13" t="s">
        <v>13</v>
      </c>
      <c r="B27" s="20"/>
      <c r="D27" t="s">
        <v>15</v>
      </c>
      <c r="F27" s="31"/>
      <c r="H27" s="22">
        <v>3876314</v>
      </c>
      <c r="J27" s="23">
        <v>415537</v>
      </c>
      <c r="L27" s="22">
        <f>SUM(H27+J27)</f>
        <v>4291851</v>
      </c>
      <c r="N27" s="31">
        <f>724-130</f>
        <v>594</v>
      </c>
      <c r="O27" s="22">
        <v>3718030.0700000003</v>
      </c>
      <c r="Q27" s="23">
        <v>546845.21</v>
      </c>
      <c r="S27" s="22">
        <f>SUM(O27+Q27)</f>
        <v>4264875.28</v>
      </c>
      <c r="U27" s="22">
        <f>SUM(O27-H27)</f>
        <v>-158283.9299999997</v>
      </c>
      <c r="W27" s="22">
        <f>SUM(Q27-J27)</f>
        <v>131308.20999999996</v>
      </c>
      <c r="Y27" s="22">
        <f>S27-L27</f>
        <v>-26975.719999999739</v>
      </c>
      <c r="AA27" s="24">
        <f>IF(U27=0,"------",(U27/H27*100))</f>
        <v>-4.0833619257882541</v>
      </c>
      <c r="AC27" s="24">
        <f>IF(W27=0,"------",(W27/J27*100))</f>
        <v>31.599643353058802</v>
      </c>
      <c r="AE27" s="24">
        <f>IF(Y27=0,"------",(Y27/L27*100))</f>
        <v>-0.62853346959155243</v>
      </c>
    </row>
    <row r="28" spans="1:31" x14ac:dyDescent="0.25">
      <c r="B28" s="1" t="s">
        <v>20</v>
      </c>
      <c r="D28" s="1" t="s">
        <v>12</v>
      </c>
      <c r="E28" s="25"/>
      <c r="F28" s="29">
        <f>707+59</f>
        <v>766</v>
      </c>
      <c r="G28" s="25"/>
      <c r="H28" s="25">
        <f>SUM(H26:H27)</f>
        <v>4964815</v>
      </c>
      <c r="I28" s="25"/>
      <c r="J28" s="25">
        <f>SUM(J26:J27)</f>
        <v>423735</v>
      </c>
      <c r="K28" s="25"/>
      <c r="L28" s="25">
        <f>SUM(L26:L27)</f>
        <v>5388550</v>
      </c>
      <c r="N28" s="29">
        <f>N27+N26</f>
        <v>724</v>
      </c>
      <c r="O28" s="25">
        <f>SUM(O26:O27)</f>
        <v>4715411.78</v>
      </c>
      <c r="P28" s="25"/>
      <c r="Q28" s="25">
        <f>SUM(Q26:Q27)</f>
        <v>557889.16999999993</v>
      </c>
      <c r="R28" s="25"/>
      <c r="S28" s="25">
        <f>SUM(S26:S27)</f>
        <v>5273300.95</v>
      </c>
      <c r="U28" s="25">
        <f>SUM(O28-H28)</f>
        <v>-249403.21999999974</v>
      </c>
      <c r="V28" s="25"/>
      <c r="W28" s="25">
        <f>SUM(Q28-J28)</f>
        <v>134154.16999999993</v>
      </c>
      <c r="X28" s="25"/>
      <c r="Y28" s="25">
        <f>SUM(S28-L28)</f>
        <v>-115249.04999999981</v>
      </c>
      <c r="AA28" s="19">
        <f>IF(U28=0,"------",(U28/H28*100))</f>
        <v>-5.0234141654824951</v>
      </c>
      <c r="AC28" s="19">
        <f>IF(W28=0,"------",(W28/J28*100))</f>
        <v>31.659921885140456</v>
      </c>
      <c r="AE28" s="19">
        <f>IF(Y28=0,"------",(Y28/L28*100))</f>
        <v>-2.1387766653366826</v>
      </c>
    </row>
    <row r="29" spans="1:31" x14ac:dyDescent="0.25">
      <c r="F29" s="29"/>
      <c r="N29" s="29"/>
    </row>
    <row r="30" spans="1:31" s="13" customFormat="1" x14ac:dyDescent="0.25">
      <c r="A30" s="13" t="s">
        <v>13</v>
      </c>
      <c r="B30" s="14"/>
      <c r="D30" s="13" t="s">
        <v>14</v>
      </c>
      <c r="F30" s="30"/>
      <c r="H30" s="16">
        <v>1089805</v>
      </c>
      <c r="J30" s="17">
        <v>8198</v>
      </c>
      <c r="L30" s="18">
        <f>SUM(H30+J30)</f>
        <v>1098003</v>
      </c>
      <c r="N30" s="30">
        <f>3+20+91+5+2+7+4</f>
        <v>132</v>
      </c>
      <c r="O30" s="17">
        <v>1012040.1099999999</v>
      </c>
      <c r="Q30" s="17">
        <v>4761.67</v>
      </c>
      <c r="S30" s="18">
        <f>SUM(O30+Q30)</f>
        <v>1016801.7799999999</v>
      </c>
      <c r="U30" s="18">
        <f>SUM(O30-H30)</f>
        <v>-77764.89000000013</v>
      </c>
      <c r="W30" s="18">
        <f>SUM(Q30-J30)</f>
        <v>-3436.33</v>
      </c>
      <c r="Y30" s="18">
        <f>S30-L30</f>
        <v>-81201.220000000088</v>
      </c>
      <c r="AA30" s="19">
        <f>IF(U30=0,"------",(U30/H30*100))</f>
        <v>-7.135670142823729</v>
      </c>
      <c r="AC30" s="19">
        <f>IF(W30=0,"------",(W30/J30*100))</f>
        <v>-41.916686996828496</v>
      </c>
      <c r="AE30" s="19">
        <f>IF(Y30=0,"------",(Y30/L30*100))</f>
        <v>-7.3953550217986734</v>
      </c>
    </row>
    <row r="31" spans="1:31" x14ac:dyDescent="0.25">
      <c r="A31" s="13" t="s">
        <v>13</v>
      </c>
      <c r="B31" s="20"/>
      <c r="D31" t="s">
        <v>15</v>
      </c>
      <c r="F31" s="31"/>
      <c r="H31" s="22">
        <v>3886743</v>
      </c>
      <c r="J31" s="23">
        <v>413939</v>
      </c>
      <c r="L31" s="22">
        <f>SUM(H31+J31)</f>
        <v>4300682</v>
      </c>
      <c r="N31" s="31">
        <f>730-132</f>
        <v>598</v>
      </c>
      <c r="O31" s="22">
        <v>3723545.25</v>
      </c>
      <c r="Q31" s="23">
        <v>351137.85</v>
      </c>
      <c r="S31" s="22">
        <f>SUM(O31+Q31)</f>
        <v>4074683.1</v>
      </c>
      <c r="U31" s="22">
        <f>SUM(O31-H31)</f>
        <v>-163197.75</v>
      </c>
      <c r="W31" s="22">
        <f>SUM(Q31-J31)</f>
        <v>-62801.150000000023</v>
      </c>
      <c r="Y31" s="22">
        <f>S31-L31</f>
        <v>-225998.89999999991</v>
      </c>
      <c r="AA31" s="24">
        <f>IF(U31=0,"------",(U31/H31*100))</f>
        <v>-4.1988304860907961</v>
      </c>
      <c r="AC31" s="24">
        <f>IF(W31=0,"------",(W31/J31*100))</f>
        <v>-15.17159533167931</v>
      </c>
      <c r="AE31" s="24">
        <f>IF(Y31=0,"------",(Y31/L31*100))</f>
        <v>-5.2549549118023586</v>
      </c>
    </row>
    <row r="32" spans="1:31" x14ac:dyDescent="0.25">
      <c r="B32" s="1" t="s">
        <v>21</v>
      </c>
      <c r="D32" s="1" t="s">
        <v>12</v>
      </c>
      <c r="E32" s="25"/>
      <c r="F32" s="29">
        <f>707+69</f>
        <v>776</v>
      </c>
      <c r="G32" s="25"/>
      <c r="H32" s="25">
        <f>SUM(H30:H31)</f>
        <v>4976548</v>
      </c>
      <c r="I32" s="25"/>
      <c r="J32" s="25">
        <f>SUM(J30:J31)</f>
        <v>422137</v>
      </c>
      <c r="K32" s="25"/>
      <c r="L32" s="25">
        <f>SUM(L30:L31)</f>
        <v>5398685</v>
      </c>
      <c r="N32" s="29">
        <f>N31+N30</f>
        <v>730</v>
      </c>
      <c r="O32" s="25">
        <f>SUM(O30:O31)</f>
        <v>4735585.3599999994</v>
      </c>
      <c r="P32" s="25"/>
      <c r="Q32" s="25">
        <f>SUM(Q30:Q31)</f>
        <v>355899.51999999996</v>
      </c>
      <c r="R32" s="25"/>
      <c r="S32" s="25">
        <f>SUM(S30:S31)</f>
        <v>5091484.88</v>
      </c>
      <c r="U32" s="25">
        <f>SUM(O32-H32)</f>
        <v>-240962.6400000006</v>
      </c>
      <c r="V32" s="25"/>
      <c r="W32" s="25">
        <f>SUM(Q32-J32)</f>
        <v>-66237.48000000004</v>
      </c>
      <c r="X32" s="25"/>
      <c r="Y32" s="25">
        <f>SUM(S32-L32)</f>
        <v>-307200.12000000011</v>
      </c>
      <c r="AA32" s="19">
        <f>IF(U32=0,"------",(U32/H32*100))</f>
        <v>-4.8419635458153039</v>
      </c>
      <c r="AC32" s="19">
        <f>IF(W32=0,"------",(W32/J32*100))</f>
        <v>-15.690991313246657</v>
      </c>
      <c r="AE32" s="19">
        <f>IF(Y32=0,"------",(Y32/L32*100))</f>
        <v>-5.6902767988871386</v>
      </c>
    </row>
    <row r="33" spans="1:31" x14ac:dyDescent="0.25">
      <c r="F33" s="29"/>
      <c r="N33" s="29"/>
    </row>
    <row r="34" spans="1:31" s="13" customFormat="1" x14ac:dyDescent="0.25">
      <c r="A34" s="13" t="s">
        <v>13</v>
      </c>
      <c r="B34" s="14"/>
      <c r="D34" s="13" t="s">
        <v>14</v>
      </c>
      <c r="F34" s="30"/>
      <c r="H34" s="16">
        <v>1126296</v>
      </c>
      <c r="J34" s="17">
        <v>8198</v>
      </c>
      <c r="L34" s="18">
        <f>SUM(H34+J34)</f>
        <v>1134494</v>
      </c>
      <c r="N34" s="30">
        <f>4+20+92+5+2+7+3</f>
        <v>133</v>
      </c>
      <c r="O34" s="17">
        <v>1069807.51</v>
      </c>
      <c r="Q34" s="17">
        <v>6136.84</v>
      </c>
      <c r="S34" s="18">
        <f>SUM(O34+Q34)</f>
        <v>1075944.3500000001</v>
      </c>
      <c r="U34" s="18">
        <f>SUM(O34-H34)</f>
        <v>-56488.489999999991</v>
      </c>
      <c r="W34" s="18">
        <f>SUM(Q34-J34)</f>
        <v>-2061.16</v>
      </c>
      <c r="Y34" s="18">
        <f>S34-L34</f>
        <v>-58549.649999999907</v>
      </c>
      <c r="AA34" s="19">
        <f>IF(U34=0,"------",(U34/H34*100))</f>
        <v>-5.0154213457208403</v>
      </c>
      <c r="AC34" s="19">
        <f>IF(W34=0,"------",(W34/J34*100))</f>
        <v>-25.142229812149303</v>
      </c>
      <c r="AE34" s="19">
        <f>IF(Y34=0,"------",(Y34/L34*100))</f>
        <v>-5.1608602601688425</v>
      </c>
    </row>
    <row r="35" spans="1:31" x14ac:dyDescent="0.25">
      <c r="A35" s="13" t="s">
        <v>13</v>
      </c>
      <c r="B35" s="20"/>
      <c r="D35" t="s">
        <v>15</v>
      </c>
      <c r="F35" s="31"/>
      <c r="H35" s="22">
        <v>4016744</v>
      </c>
      <c r="J35" s="23">
        <v>412680</v>
      </c>
      <c r="L35" s="22">
        <f>SUM(H35+J35)</f>
        <v>4429424</v>
      </c>
      <c r="N35" s="31">
        <f>732-133</f>
        <v>599</v>
      </c>
      <c r="O35" s="22">
        <v>4166157.8500000006</v>
      </c>
      <c r="Q35" s="23">
        <v>517681.26</v>
      </c>
      <c r="S35" s="22">
        <f>SUM(O35+Q35)</f>
        <v>4683839.1100000003</v>
      </c>
      <c r="U35" s="22">
        <f>SUM(O35-H35)</f>
        <v>149413.85000000056</v>
      </c>
      <c r="W35" s="22">
        <f>SUM(Q35-J35)</f>
        <v>105001.26000000001</v>
      </c>
      <c r="Y35" s="22">
        <f>S35-L35</f>
        <v>254415.11000000034</v>
      </c>
      <c r="AA35" s="24">
        <f>IF(U35=0,"------",(U35/H35*100))</f>
        <v>3.7197752707167937</v>
      </c>
      <c r="AC35" s="24">
        <f>IF(W35=0,"------",(W35/J35*100))</f>
        <v>25.443748182611227</v>
      </c>
      <c r="AE35" s="24">
        <f>IF(Y35=0,"------",(Y35/L35*100))</f>
        <v>5.7437515577646288</v>
      </c>
    </row>
    <row r="36" spans="1:31" x14ac:dyDescent="0.25">
      <c r="B36" s="1" t="s">
        <v>22</v>
      </c>
      <c r="D36" s="1" t="s">
        <v>12</v>
      </c>
      <c r="E36" s="25"/>
      <c r="F36" s="29">
        <f>707+69</f>
        <v>776</v>
      </c>
      <c r="G36" s="25"/>
      <c r="H36" s="25">
        <f>SUM(H34:H35)</f>
        <v>5143040</v>
      </c>
      <c r="I36" s="25"/>
      <c r="J36" s="25">
        <f>SUM(J34:J35)</f>
        <v>420878</v>
      </c>
      <c r="K36" s="25"/>
      <c r="L36" s="25">
        <f>SUM(L34:L35)</f>
        <v>5563918</v>
      </c>
      <c r="N36" s="29">
        <f>N35+N34</f>
        <v>732</v>
      </c>
      <c r="O36" s="25">
        <f>SUM(O34:O35)</f>
        <v>5235965.3600000003</v>
      </c>
      <c r="P36" s="25"/>
      <c r="Q36" s="25">
        <f>SUM(Q34:Q35)</f>
        <v>523818.10000000003</v>
      </c>
      <c r="R36" s="25"/>
      <c r="S36" s="25">
        <f>SUM(S34:S35)</f>
        <v>5759783.4600000009</v>
      </c>
      <c r="U36" s="25">
        <f>SUM(O36-H36)</f>
        <v>92925.360000000335</v>
      </c>
      <c r="V36" s="25"/>
      <c r="W36" s="25">
        <f>SUM(Q36-J36)</f>
        <v>102940.10000000003</v>
      </c>
      <c r="X36" s="25"/>
      <c r="Y36" s="25">
        <f>SUM(S36-L36)</f>
        <v>195865.46000000089</v>
      </c>
      <c r="AA36" s="19">
        <f>IF(U36=0,"------",(U36/H36*100))</f>
        <v>1.806817757590848</v>
      </c>
      <c r="AC36" s="19">
        <f>IF(W36=0,"------",(W36/J36*100))</f>
        <v>24.458417878815247</v>
      </c>
      <c r="AE36" s="19">
        <f>IF(Y36=0,"------",(Y36/L36*100))</f>
        <v>3.5202794146139622</v>
      </c>
    </row>
    <row r="37" spans="1:31" x14ac:dyDescent="0.25">
      <c r="F37" s="29"/>
      <c r="N37" s="29"/>
    </row>
    <row r="38" spans="1:31" s="13" customFormat="1" x14ac:dyDescent="0.25">
      <c r="A38" s="13" t="s">
        <v>13</v>
      </c>
      <c r="B38" s="14"/>
      <c r="D38" s="13" t="s">
        <v>14</v>
      </c>
      <c r="F38" s="30"/>
      <c r="H38" s="16">
        <v>1126296</v>
      </c>
      <c r="J38" s="17">
        <v>8198</v>
      </c>
      <c r="L38" s="18">
        <f>SUM(H38+J38)</f>
        <v>1134494</v>
      </c>
      <c r="N38" s="30">
        <f>4+20+94+5+2+6+2+1</f>
        <v>134</v>
      </c>
      <c r="O38" s="17">
        <v>1099669.6300000001</v>
      </c>
      <c r="Q38" s="17">
        <v>3012.58</v>
      </c>
      <c r="S38" s="18">
        <f>SUM(O38+Q38)</f>
        <v>1102682.2100000002</v>
      </c>
      <c r="U38" s="18">
        <f>SUM(O38-H38)</f>
        <v>-26626.369999999879</v>
      </c>
      <c r="W38" s="18">
        <f>SUM(Q38-J38)</f>
        <v>-5185.42</v>
      </c>
      <c r="Y38" s="18">
        <f>S38-L38</f>
        <v>-31811.789999999804</v>
      </c>
      <c r="AA38" s="19">
        <f>IF(U38=0,"------",(U38/H38*100))</f>
        <v>-2.3640650415166062</v>
      </c>
      <c r="AC38" s="19">
        <f>IF(W38=0,"------",(W38/J38*100))</f>
        <v>-63.252256647962923</v>
      </c>
      <c r="AE38" s="19">
        <f>IF(Y38=0,"------",(Y38/L38*100))</f>
        <v>-2.8040509689782231</v>
      </c>
    </row>
    <row r="39" spans="1:31" x14ac:dyDescent="0.25">
      <c r="A39" s="13" t="s">
        <v>13</v>
      </c>
      <c r="B39" s="20"/>
      <c r="D39" t="s">
        <v>15</v>
      </c>
      <c r="F39" s="31"/>
      <c r="H39" s="22">
        <v>4004903</v>
      </c>
      <c r="J39" s="23">
        <v>412680</v>
      </c>
      <c r="L39" s="22">
        <f>SUM(H39+J39)</f>
        <v>4417583</v>
      </c>
      <c r="N39" s="31">
        <f>724-134</f>
        <v>590</v>
      </c>
      <c r="O39" s="22">
        <v>4044539.84</v>
      </c>
      <c r="Q39" s="23">
        <v>304229.71000000002</v>
      </c>
      <c r="S39" s="22">
        <f>SUM(O39+Q39)</f>
        <v>4348769.55</v>
      </c>
      <c r="U39" s="22">
        <f>SUM(O39-H39)</f>
        <v>39636.839999999851</v>
      </c>
      <c r="W39" s="22">
        <f>SUM(Q39-J39)</f>
        <v>-108450.28999999998</v>
      </c>
      <c r="Y39" s="22">
        <f>S39-L39</f>
        <v>-68813.450000000186</v>
      </c>
      <c r="AA39" s="24">
        <f>IF(U39=0,"------",(U39/H39*100))</f>
        <v>0.98970786558375701</v>
      </c>
      <c r="AC39" s="24">
        <f>IF(W39=0,"------",(W39/J39*100))</f>
        <v>-26.279511970534063</v>
      </c>
      <c r="AE39" s="24">
        <f>IF(Y39=0,"------",(Y39/L39*100))</f>
        <v>-1.5577171951268418</v>
      </c>
    </row>
    <row r="40" spans="1:31" x14ac:dyDescent="0.25">
      <c r="B40" s="1" t="s">
        <v>23</v>
      </c>
      <c r="D40" s="1" t="s">
        <v>12</v>
      </c>
      <c r="E40" s="25"/>
      <c r="F40" s="29">
        <f>707+64</f>
        <v>771</v>
      </c>
      <c r="G40" s="25"/>
      <c r="H40" s="25">
        <f>SUM(H38:H39)</f>
        <v>5131199</v>
      </c>
      <c r="I40" s="25"/>
      <c r="J40" s="25">
        <f>SUM(J38:J39)</f>
        <v>420878</v>
      </c>
      <c r="K40" s="25"/>
      <c r="L40" s="25">
        <f>SUM(L38:L39)</f>
        <v>5552077</v>
      </c>
      <c r="N40" s="29">
        <f>N39+N38</f>
        <v>724</v>
      </c>
      <c r="O40" s="25">
        <f>SUM(O38:O39)</f>
        <v>5144209.47</v>
      </c>
      <c r="P40" s="25"/>
      <c r="Q40" s="25">
        <f>SUM(Q38:Q39)</f>
        <v>307242.29000000004</v>
      </c>
      <c r="R40" s="25"/>
      <c r="S40" s="25">
        <f>SUM(S38:S39)</f>
        <v>5451451.7599999998</v>
      </c>
      <c r="U40" s="25">
        <f>SUM(O40-H40)</f>
        <v>13010.469999999739</v>
      </c>
      <c r="V40" s="25"/>
      <c r="W40" s="25">
        <f>SUM(Q40-J40)</f>
        <v>-113635.70999999996</v>
      </c>
      <c r="X40" s="25"/>
      <c r="Y40" s="25">
        <f>SUM(S40-L40)</f>
        <v>-100625.24000000022</v>
      </c>
      <c r="AA40" s="19">
        <f>IF(U40=0,"------",(U40/H40*100))</f>
        <v>0.25355613765904889</v>
      </c>
      <c r="AC40" s="19">
        <f>IF(W40=0,"------",(W40/J40*100))</f>
        <v>-26.999679241965595</v>
      </c>
      <c r="AE40" s="19">
        <f>IF(Y40=0,"------",(Y40/L40*100))</f>
        <v>-1.8123891293294423</v>
      </c>
    </row>
    <row r="41" spans="1:31" x14ac:dyDescent="0.25">
      <c r="F41" s="29"/>
      <c r="N41" s="29"/>
    </row>
    <row r="42" spans="1:31" s="13" customFormat="1" x14ac:dyDescent="0.25">
      <c r="A42" s="13" t="s">
        <v>13</v>
      </c>
      <c r="B42" s="14"/>
      <c r="D42" s="13" t="s">
        <v>14</v>
      </c>
      <c r="F42" s="30"/>
      <c r="H42" s="16">
        <v>1123693</v>
      </c>
      <c r="J42" s="17">
        <v>8198</v>
      </c>
      <c r="L42" s="18">
        <f>SUM(H42+J42)</f>
        <v>1131891</v>
      </c>
      <c r="N42" s="30">
        <f>4+20+91+5+2+6+1+1</f>
        <v>130</v>
      </c>
      <c r="O42" s="17">
        <v>1071186.53</v>
      </c>
      <c r="Q42" s="17">
        <v>5154.22</v>
      </c>
      <c r="S42" s="18">
        <f>SUM(O42+Q42)</f>
        <v>1076340.75</v>
      </c>
      <c r="U42" s="18">
        <f>SUM(O42-H42)</f>
        <v>-52506.469999999972</v>
      </c>
      <c r="W42" s="18">
        <f>SUM(Q42-J42)</f>
        <v>-3043.7799999999997</v>
      </c>
      <c r="Y42" s="18">
        <f>S42-L42</f>
        <v>-55550.25</v>
      </c>
      <c r="AA42" s="19">
        <f>IF(U42=0,"------",(U42/H42*100))</f>
        <v>-4.6726703823909173</v>
      </c>
      <c r="AC42" s="19">
        <f>IF(W42=0,"------",(W42/J42*100))</f>
        <v>-37.128323981458891</v>
      </c>
      <c r="AE42" s="19">
        <f>IF(Y42=0,"------",(Y42/L42*100))</f>
        <v>-4.9077384659830319</v>
      </c>
    </row>
    <row r="43" spans="1:31" x14ac:dyDescent="0.25">
      <c r="A43" s="13" t="s">
        <v>13</v>
      </c>
      <c r="B43" s="20"/>
      <c r="D43" t="s">
        <v>15</v>
      </c>
      <c r="F43" s="31"/>
      <c r="H43" s="22">
        <v>3997569</v>
      </c>
      <c r="J43" s="23">
        <v>413480</v>
      </c>
      <c r="L43" s="22">
        <f>SUM(H43+J43)</f>
        <v>4411049</v>
      </c>
      <c r="N43" s="31">
        <f>719-130</f>
        <v>589</v>
      </c>
      <c r="O43" s="22">
        <v>3938004.86</v>
      </c>
      <c r="Q43" s="23">
        <v>391391.56</v>
      </c>
      <c r="S43" s="22">
        <f>SUM(O43+Q43)</f>
        <v>4329396.42</v>
      </c>
      <c r="U43" s="22">
        <f>SUM(O43-H43)</f>
        <v>-59564.14000000013</v>
      </c>
      <c r="W43" s="22">
        <f>SUM(Q43-J43)</f>
        <v>-22088.440000000002</v>
      </c>
      <c r="Y43" s="22">
        <f>S43-L43</f>
        <v>-81652.580000000075</v>
      </c>
      <c r="AA43" s="24">
        <f>IF(U43=0,"------",(U43/H43*100))</f>
        <v>-1.4900090530019652</v>
      </c>
      <c r="AC43" s="24">
        <f>IF(W43=0,"------",(W43/J43*100))</f>
        <v>-5.3420818419270582</v>
      </c>
      <c r="AE43" s="24">
        <f>IF(Y43=0,"------",(Y43/L43*100))</f>
        <v>-1.8510921098360067</v>
      </c>
    </row>
    <row r="44" spans="1:31" x14ac:dyDescent="0.25">
      <c r="B44" s="1" t="s">
        <v>24</v>
      </c>
      <c r="D44" s="1" t="s">
        <v>12</v>
      </c>
      <c r="E44" s="25"/>
      <c r="F44" s="29">
        <f>707+52</f>
        <v>759</v>
      </c>
      <c r="G44" s="25"/>
      <c r="H44" s="25">
        <f>SUM(H42:H43)</f>
        <v>5121262</v>
      </c>
      <c r="I44" s="25"/>
      <c r="J44" s="25">
        <f>SUM(J42:J43)</f>
        <v>421678</v>
      </c>
      <c r="K44" s="25"/>
      <c r="L44" s="25">
        <f>SUM(L42:L43)</f>
        <v>5542940</v>
      </c>
      <c r="N44" s="29">
        <f>N43+N42</f>
        <v>719</v>
      </c>
      <c r="O44" s="25">
        <f>SUM(O42:O43)</f>
        <v>5009191.3899999997</v>
      </c>
      <c r="P44" s="25"/>
      <c r="Q44" s="25">
        <f>SUM(Q42:Q43)</f>
        <v>396545.77999999997</v>
      </c>
      <c r="R44" s="25"/>
      <c r="S44" s="25">
        <f>SUM(S42:S43)</f>
        <v>5405737.1699999999</v>
      </c>
      <c r="U44" s="25">
        <f>SUM(O44-H44)</f>
        <v>-112070.61000000034</v>
      </c>
      <c r="V44" s="25"/>
      <c r="W44" s="25">
        <f>SUM(Q44-J44)</f>
        <v>-25132.22000000003</v>
      </c>
      <c r="X44" s="25"/>
      <c r="Y44" s="25">
        <f>SUM(S44-L44)</f>
        <v>-137202.83000000007</v>
      </c>
      <c r="AA44" s="19">
        <f>IF(U44=0,"------",(U44/H44*100))</f>
        <v>-2.1883397100167952</v>
      </c>
      <c r="AC44" s="19">
        <f>IF(W44=0,"------",(W44/J44*100))</f>
        <v>-5.9600500856103542</v>
      </c>
      <c r="AE44" s="19">
        <f>IF(Y44=0,"------",(Y44/L44*100))</f>
        <v>-2.4752717871743166</v>
      </c>
    </row>
    <row r="45" spans="1:31" x14ac:dyDescent="0.25">
      <c r="F45" s="29"/>
      <c r="N45" s="29"/>
    </row>
    <row r="46" spans="1:31" s="13" customFormat="1" x14ac:dyDescent="0.25">
      <c r="A46" s="13" t="s">
        <v>13</v>
      </c>
      <c r="B46" s="14"/>
      <c r="D46" s="13" t="s">
        <v>14</v>
      </c>
      <c r="F46" s="30"/>
      <c r="H46" s="16">
        <v>1122267</v>
      </c>
      <c r="J46" s="17">
        <v>8198</v>
      </c>
      <c r="L46" s="18">
        <f>SUM(H46+J46)</f>
        <v>1130465</v>
      </c>
      <c r="N46" s="30">
        <f>4+21+91+5+2+6+1+1</f>
        <v>131</v>
      </c>
      <c r="O46" s="17">
        <v>1008228.2899999999</v>
      </c>
      <c r="Q46" s="17">
        <v>11927.37</v>
      </c>
      <c r="S46" s="18">
        <f>SUM(O46+Q46)</f>
        <v>1020155.6599999999</v>
      </c>
      <c r="U46" s="18">
        <f>SUM(O46-H46)</f>
        <v>-114038.71000000008</v>
      </c>
      <c r="W46" s="18">
        <f>SUM(Q46-J46)</f>
        <v>3729.3700000000008</v>
      </c>
      <c r="Y46" s="18">
        <f>S46-L46</f>
        <v>-110309.34000000008</v>
      </c>
      <c r="AA46" s="19">
        <f>IF(U46=0,"------",(U46/H46*100))</f>
        <v>-10.161459795218079</v>
      </c>
      <c r="AC46" s="19">
        <f>IF(W46=0,"------",(W46/J46*100))</f>
        <v>45.491217370090276</v>
      </c>
      <c r="AE46" s="19">
        <f>IF(Y46=0,"------",(Y46/L46*100))</f>
        <v>-9.757873087623242</v>
      </c>
    </row>
    <row r="47" spans="1:31" x14ac:dyDescent="0.25">
      <c r="A47" s="13" t="s">
        <v>13</v>
      </c>
      <c r="B47" s="20"/>
      <c r="D47" t="s">
        <v>15</v>
      </c>
      <c r="F47" s="31"/>
      <c r="H47" s="22">
        <v>3988938</v>
      </c>
      <c r="J47" s="23">
        <v>412980</v>
      </c>
      <c r="L47" s="22">
        <f>SUM(H47+J47)</f>
        <v>4401918</v>
      </c>
      <c r="N47" s="31">
        <f>722-131</f>
        <v>591</v>
      </c>
      <c r="O47" s="22">
        <v>3688538.53</v>
      </c>
      <c r="Q47" s="23">
        <v>557988.42999999993</v>
      </c>
      <c r="S47" s="22">
        <f>SUM(O47+Q47)</f>
        <v>4246526.96</v>
      </c>
      <c r="U47" s="22">
        <f>SUM(O47-H47)</f>
        <v>-300399.4700000002</v>
      </c>
      <c r="W47" s="22">
        <f>SUM(Q47-J47)</f>
        <v>145008.42999999993</v>
      </c>
      <c r="Y47" s="22">
        <f>S47-L47</f>
        <v>-155391.04000000004</v>
      </c>
      <c r="AA47" s="24">
        <f>IF(U47=0,"------",(U47/H47*100))</f>
        <v>-7.5308132139431647</v>
      </c>
      <c r="AC47" s="24">
        <f>IF(W47=0,"------",(W47/J47*100))</f>
        <v>35.112700372899397</v>
      </c>
      <c r="AE47" s="24">
        <f>IF(Y47=0,"------",(Y47/L47*100))</f>
        <v>-3.530075753342067</v>
      </c>
    </row>
    <row r="48" spans="1:31" x14ac:dyDescent="0.25">
      <c r="B48" s="1" t="s">
        <v>25</v>
      </c>
      <c r="D48" s="1" t="s">
        <v>12</v>
      </c>
      <c r="E48" s="25"/>
      <c r="F48" s="29">
        <f>707+52</f>
        <v>759</v>
      </c>
      <c r="G48" s="25"/>
      <c r="H48" s="25">
        <f>SUM(H46:H47)</f>
        <v>5111205</v>
      </c>
      <c r="I48" s="25"/>
      <c r="J48" s="25">
        <f>SUM(J46:J47)</f>
        <v>421178</v>
      </c>
      <c r="K48" s="25"/>
      <c r="L48" s="25">
        <f>SUM(L46:L47)</f>
        <v>5532383</v>
      </c>
      <c r="N48" s="29">
        <f>N47+N46</f>
        <v>722</v>
      </c>
      <c r="O48" s="25">
        <f>SUM(O46:O47)</f>
        <v>4696766.8199999994</v>
      </c>
      <c r="P48" s="25"/>
      <c r="Q48" s="25">
        <f>SUM(Q46:Q47)</f>
        <v>569915.79999999993</v>
      </c>
      <c r="R48" s="25"/>
      <c r="S48" s="25">
        <f>SUM(S46:S47)</f>
        <v>5266682.62</v>
      </c>
      <c r="U48" s="25">
        <f>SUM(O48-H48)</f>
        <v>-414438.18000000063</v>
      </c>
      <c r="V48" s="25"/>
      <c r="W48" s="25">
        <f>SUM(Q48-J48)</f>
        <v>148737.79999999993</v>
      </c>
      <c r="X48" s="25"/>
      <c r="Y48" s="25">
        <f>SUM(S48-L48)</f>
        <v>-265700.37999999989</v>
      </c>
      <c r="AA48" s="19">
        <f>IF(U48=0,"------",(U48/H48*100))</f>
        <v>-8.1084241387305074</v>
      </c>
      <c r="AC48" s="19">
        <f>IF(W48=0,"------",(W48/J48*100))</f>
        <v>35.314712544339905</v>
      </c>
      <c r="AE48" s="19">
        <f>IF(Y48=0,"------",(Y48/L48*100))</f>
        <v>-4.8026389351568737</v>
      </c>
    </row>
    <row r="49" spans="1:31" x14ac:dyDescent="0.25">
      <c r="F49" s="29"/>
      <c r="N49" s="29"/>
    </row>
    <row r="50" spans="1:31" s="13" customFormat="1" x14ac:dyDescent="0.25">
      <c r="A50" s="13" t="s">
        <v>13</v>
      </c>
      <c r="B50" s="14"/>
      <c r="D50" s="13" t="s">
        <v>14</v>
      </c>
      <c r="F50" s="30"/>
      <c r="H50" s="16">
        <v>1122267</v>
      </c>
      <c r="J50" s="17">
        <v>8198</v>
      </c>
      <c r="L50" s="18">
        <f>SUM(H50+J50)</f>
        <v>1130465</v>
      </c>
      <c r="N50" s="30">
        <f>4+21+91+5+2+6+1+1</f>
        <v>131</v>
      </c>
      <c r="O50" s="17">
        <v>1061770.8000000003</v>
      </c>
      <c r="Q50" s="17">
        <v>11366.73</v>
      </c>
      <c r="S50" s="18">
        <f>SUM(O50+Q50)</f>
        <v>1073137.5300000003</v>
      </c>
      <c r="U50" s="18">
        <f>SUM(O50-H50)</f>
        <v>-60496.199999999721</v>
      </c>
      <c r="W50" s="18">
        <f>SUM(Q50-J50)</f>
        <v>3168.7299999999996</v>
      </c>
      <c r="Y50" s="18">
        <f>S50-L50</f>
        <v>-57327.469999999739</v>
      </c>
      <c r="AA50" s="19">
        <f>IF(U50=0,"------",(U50/H50*100))</f>
        <v>-5.3905354073495628</v>
      </c>
      <c r="AC50" s="19">
        <f>IF(W50=0,"------",(W50/J50*100))</f>
        <v>38.652476213710656</v>
      </c>
      <c r="AE50" s="19">
        <f>IF(Y50=0,"------",(Y50/L50*100))</f>
        <v>-5.07114063681757</v>
      </c>
    </row>
    <row r="51" spans="1:31" x14ac:dyDescent="0.25">
      <c r="A51" s="13" t="s">
        <v>13</v>
      </c>
      <c r="B51" s="20"/>
      <c r="D51" t="s">
        <v>15</v>
      </c>
      <c r="F51" s="31"/>
      <c r="H51" s="22">
        <v>3988938</v>
      </c>
      <c r="J51" s="23">
        <v>412680</v>
      </c>
      <c r="L51" s="22">
        <f>SUM(H51+J51)</f>
        <v>4401618</v>
      </c>
      <c r="N51" s="31">
        <f>724-131</f>
        <v>593</v>
      </c>
      <c r="O51" s="22">
        <v>3881016.3400000003</v>
      </c>
      <c r="Q51" s="23">
        <v>590454.79</v>
      </c>
      <c r="S51" s="22">
        <f>SUM(O51+Q51)</f>
        <v>4471471.1300000008</v>
      </c>
      <c r="U51" s="22">
        <f>SUM(O51-H51)</f>
        <v>-107921.65999999968</v>
      </c>
      <c r="W51" s="22">
        <f>SUM(Q51-J51)</f>
        <v>177774.79000000004</v>
      </c>
      <c r="Y51" s="22">
        <f>S51-L51</f>
        <v>69853.13000000082</v>
      </c>
      <c r="AA51" s="24">
        <f>IF(U51=0,"------",(U51/H51*100))</f>
        <v>-2.7055236255865518</v>
      </c>
      <c r="AC51" s="24">
        <f>IF(W51=0,"------",(W51/J51*100))</f>
        <v>43.078121062324328</v>
      </c>
      <c r="AE51" s="24">
        <f>IF(Y51=0,"------",(Y51/L51*100))</f>
        <v>1.5869875577571888</v>
      </c>
    </row>
    <row r="52" spans="1:31" x14ac:dyDescent="0.25">
      <c r="B52" s="1" t="s">
        <v>26</v>
      </c>
      <c r="D52" s="1" t="s">
        <v>12</v>
      </c>
      <c r="E52" s="25"/>
      <c r="F52" s="29">
        <f>707+51</f>
        <v>758</v>
      </c>
      <c r="G52" s="25"/>
      <c r="H52" s="25">
        <f>SUM(H50:H51)</f>
        <v>5111205</v>
      </c>
      <c r="I52" s="25"/>
      <c r="J52" s="25">
        <f>SUM(J50:J51)</f>
        <v>420878</v>
      </c>
      <c r="K52" s="25"/>
      <c r="L52" s="25">
        <f>SUM(L50:L51)</f>
        <v>5532083</v>
      </c>
      <c r="N52" s="29">
        <f>N51+N50</f>
        <v>724</v>
      </c>
      <c r="O52" s="25">
        <f>SUM(O50:O51)</f>
        <v>4942787.1400000006</v>
      </c>
      <c r="P52" s="25"/>
      <c r="Q52" s="25">
        <f>SUM(Q50:Q51)</f>
        <v>601821.52</v>
      </c>
      <c r="R52" s="25"/>
      <c r="S52" s="25">
        <f>SUM(S50:S51)</f>
        <v>5544608.6600000011</v>
      </c>
      <c r="U52" s="25">
        <f>SUM(O52-H52)</f>
        <v>-168417.8599999994</v>
      </c>
      <c r="V52" s="25"/>
      <c r="W52" s="25">
        <f>SUM(Q52-J52)</f>
        <v>180943.52000000002</v>
      </c>
      <c r="X52" s="25"/>
      <c r="Y52" s="25">
        <f>SUM(S52-L52)</f>
        <v>12525.66000000108</v>
      </c>
      <c r="AA52" s="19">
        <f>IF(U52=0,"------",(U52/H52*100))</f>
        <v>-3.2950715144471685</v>
      </c>
      <c r="AC52" s="19">
        <f>IF(W52=0,"------",(W52/J52*100))</f>
        <v>42.991916897533258</v>
      </c>
      <c r="AE52" s="19">
        <f>IF(Y52=0,"------",(Y52/L52*100))</f>
        <v>0.22641851179747446</v>
      </c>
    </row>
    <row r="53" spans="1:31" x14ac:dyDescent="0.25">
      <c r="F53" s="29"/>
      <c r="N53" s="29"/>
    </row>
    <row r="54" spans="1:31" s="13" customFormat="1" x14ac:dyDescent="0.25">
      <c r="A54" s="13" t="s">
        <v>13</v>
      </c>
      <c r="B54" s="14"/>
      <c r="D54" s="13" t="s">
        <v>14</v>
      </c>
      <c r="F54" s="30"/>
      <c r="H54" s="16">
        <v>1123502</v>
      </c>
      <c r="J54" s="17">
        <v>8188</v>
      </c>
      <c r="L54" s="18">
        <f>SUM(H54+J54)</f>
        <v>1131690</v>
      </c>
      <c r="N54" s="30">
        <f>4+21+92+5+2+7+2+1</f>
        <v>134</v>
      </c>
      <c r="O54" s="17">
        <v>1135225.1199999999</v>
      </c>
      <c r="Q54" s="17">
        <v>13444.800000000001</v>
      </c>
      <c r="S54" s="18">
        <f>SUM(O54+Q54)</f>
        <v>1148669.92</v>
      </c>
      <c r="U54" s="18">
        <f>SUM(O54-H54)</f>
        <v>11723.119999999879</v>
      </c>
      <c r="W54" s="18">
        <f>SUM(Q54-J54)</f>
        <v>5256.8000000000011</v>
      </c>
      <c r="Y54" s="18">
        <f>S54-L54</f>
        <v>16979.919999999925</v>
      </c>
      <c r="AA54" s="19">
        <f>IF(U54=0,"------",(U54/H54*100))</f>
        <v>1.0434445154525651</v>
      </c>
      <c r="AC54" s="19">
        <f>IF(W54=0,"------",(W54/J54*100))</f>
        <v>64.20127015144115</v>
      </c>
      <c r="AE54" s="19">
        <f>IF(Y54=0,"------",(Y54/L54*100))</f>
        <v>1.5004038208343209</v>
      </c>
    </row>
    <row r="55" spans="1:31" x14ac:dyDescent="0.25">
      <c r="A55" s="13" t="s">
        <v>13</v>
      </c>
      <c r="B55" s="20"/>
      <c r="D55" t="s">
        <v>15</v>
      </c>
      <c r="F55" s="31"/>
      <c r="H55" s="22">
        <v>3994324</v>
      </c>
      <c r="J55" s="23">
        <v>412644</v>
      </c>
      <c r="L55" s="22">
        <f>SUM(H55+J55)</f>
        <v>4406968</v>
      </c>
      <c r="N55" s="31">
        <f>727-134</f>
        <v>593</v>
      </c>
      <c r="O55" s="22">
        <v>4547056.3099999996</v>
      </c>
      <c r="Q55" s="23">
        <v>787338.2</v>
      </c>
      <c r="S55" s="22">
        <f>SUM(O55+Q55)</f>
        <v>5334394.51</v>
      </c>
      <c r="U55" s="22">
        <f>SUM(O55-H55)</f>
        <v>552732.30999999959</v>
      </c>
      <c r="W55" s="22">
        <f>SUM(Q55-J55)</f>
        <v>374694.19999999995</v>
      </c>
      <c r="Y55" s="22">
        <f>S55-L55</f>
        <v>927426.50999999978</v>
      </c>
      <c r="AA55" s="24">
        <f>IF(U55=0,"------",(U55/H55*100))</f>
        <v>13.83794379224118</v>
      </c>
      <c r="AC55" s="24">
        <f>IF(W55=0,"------",(W55/J55*100))</f>
        <v>90.803258983530583</v>
      </c>
      <c r="AE55" s="24">
        <f>IF(Y55=0,"------",(Y55/L55*100))</f>
        <v>21.044548315304304</v>
      </c>
    </row>
    <row r="56" spans="1:31" x14ac:dyDescent="0.25">
      <c r="B56" s="1" t="s">
        <v>27</v>
      </c>
      <c r="D56" s="1" t="s">
        <v>12</v>
      </c>
      <c r="E56" s="25"/>
      <c r="F56" s="29">
        <f>707+51</f>
        <v>758</v>
      </c>
      <c r="G56" s="25"/>
      <c r="H56" s="25">
        <f>SUM(H54:H55)</f>
        <v>5117826</v>
      </c>
      <c r="I56" s="25"/>
      <c r="J56" s="25">
        <f>SUM(J54:J55)</f>
        <v>420832</v>
      </c>
      <c r="K56" s="25"/>
      <c r="L56" s="25">
        <f>SUM(L54:L55)</f>
        <v>5538658</v>
      </c>
      <c r="N56" s="29">
        <f>N55+N54</f>
        <v>727</v>
      </c>
      <c r="O56" s="25">
        <f>SUM(O54:O55)</f>
        <v>5682281.4299999997</v>
      </c>
      <c r="P56" s="25"/>
      <c r="Q56" s="25">
        <f>SUM(Q54:Q55)</f>
        <v>800783</v>
      </c>
      <c r="R56" s="25"/>
      <c r="S56" s="25">
        <f>SUM(S54:S55)</f>
        <v>6483064.4299999997</v>
      </c>
      <c r="U56" s="25">
        <f>SUM(O56-H56)</f>
        <v>564455.4299999997</v>
      </c>
      <c r="V56" s="25"/>
      <c r="W56" s="25">
        <f>SUM(Q56-J56)</f>
        <v>379951</v>
      </c>
      <c r="X56" s="25"/>
      <c r="Y56" s="25">
        <f>SUM(S56-L56)</f>
        <v>944406.4299999997</v>
      </c>
      <c r="AA56" s="19">
        <f>IF(U56=0,"------",(U56/H56*100))</f>
        <v>11.029203220273603</v>
      </c>
      <c r="AC56" s="19">
        <f>IF(W56=0,"------",(W56/J56*100))</f>
        <v>90.285672192228731</v>
      </c>
      <c r="AE56" s="19">
        <f>IF(Y56=0,"------",(Y56/L56*100))</f>
        <v>17.05117792071653</v>
      </c>
    </row>
    <row r="57" spans="1:31" x14ac:dyDescent="0.25">
      <c r="F57" s="29"/>
      <c r="N57" s="29"/>
    </row>
    <row r="58" spans="1:31" s="13" customFormat="1" x14ac:dyDescent="0.25">
      <c r="A58" s="13" t="s">
        <v>13</v>
      </c>
      <c r="B58" s="14"/>
      <c r="D58" s="13" t="s">
        <v>14</v>
      </c>
      <c r="F58" s="30"/>
      <c r="H58" s="16">
        <v>13260869</v>
      </c>
      <c r="J58" s="17">
        <v>98366</v>
      </c>
      <c r="L58" s="18">
        <f>SUM(H58+J58)</f>
        <v>13359235</v>
      </c>
      <c r="N58" s="30">
        <f>(N54+N50+N46+N42+N38+N34+N30+N26+N22+N18+N14+N10)/12</f>
        <v>131.25</v>
      </c>
      <c r="O58" s="17">
        <f>12427712.75-73.19</f>
        <v>12427639.560000001</v>
      </c>
      <c r="Q58" s="17">
        <v>84241.38</v>
      </c>
      <c r="S58" s="18">
        <f>SUM(O58+Q58)</f>
        <v>12511880.940000001</v>
      </c>
      <c r="U58" s="18">
        <f>SUM(O58-H58)</f>
        <v>-833229.43999999948</v>
      </c>
      <c r="W58" s="18">
        <f>SUM(Q58-J58)</f>
        <v>-14124.619999999995</v>
      </c>
      <c r="Y58" s="18">
        <f>S58-L58</f>
        <v>-847354.05999999866</v>
      </c>
      <c r="AA58" s="19">
        <f>IF(U58=0,"------",(U58/H58*100))</f>
        <v>-6.2833698153567417</v>
      </c>
      <c r="AC58" s="19">
        <f>IF(W58=0,"------",(W58/J58*100))</f>
        <v>-14.359250147408654</v>
      </c>
      <c r="AE58" s="19">
        <f>IF(Y58=0,"------",(Y58/L58*100))</f>
        <v>-6.3428337026783241</v>
      </c>
    </row>
    <row r="59" spans="1:31" x14ac:dyDescent="0.25">
      <c r="A59" s="13" t="s">
        <v>13</v>
      </c>
      <c r="B59" s="20"/>
      <c r="D59" t="s">
        <v>15</v>
      </c>
      <c r="F59" s="31"/>
      <c r="H59" s="22">
        <v>47183861</v>
      </c>
      <c r="J59" s="23">
        <v>4962468</v>
      </c>
      <c r="L59" s="22">
        <f>SUM(H59+J59)</f>
        <v>52146329</v>
      </c>
      <c r="N59" s="30">
        <f t="shared" ref="N59:N60" si="0">(N55+N51+N47+N43+N39+N35+N31+N27+N23+N19+N15+N11)/12</f>
        <v>584.91666666666663</v>
      </c>
      <c r="O59" s="22">
        <v>45776771.399999999</v>
      </c>
      <c r="Q59" s="23">
        <v>5328081.87</v>
      </c>
      <c r="S59" s="22">
        <f>SUM(O59+Q59)</f>
        <v>51104853.269999996</v>
      </c>
      <c r="U59" s="22">
        <f>SUM(O59-H59)</f>
        <v>-1407089.6000000015</v>
      </c>
      <c r="W59" s="22">
        <f>SUM(Q59-J59)</f>
        <v>365613.87000000011</v>
      </c>
      <c r="Y59" s="22">
        <f>S59-L59</f>
        <v>-1041475.7300000042</v>
      </c>
      <c r="AA59" s="24">
        <f>IF(U59=0,"------",(U59/H59*100))</f>
        <v>-2.982141711548365</v>
      </c>
      <c r="AC59" s="24">
        <f>IF(W59=0,"------",(W59/J59*100))</f>
        <v>7.3675814131194421</v>
      </c>
      <c r="AE59" s="24">
        <f>IF(Y59=0,"------",(Y59/L59*100))</f>
        <v>-1.9972177331984464</v>
      </c>
    </row>
    <row r="60" spans="1:31" x14ac:dyDescent="0.25">
      <c r="B60" s="1" t="s">
        <v>28</v>
      </c>
      <c r="D60" s="1" t="s">
        <v>12</v>
      </c>
      <c r="E60" s="25"/>
      <c r="F60" s="29">
        <f>(F56+F52+F48+F44+F40+F36+F32+F28+F24+F20+F16+F12)/12</f>
        <v>762.75</v>
      </c>
      <c r="G60" s="25"/>
      <c r="H60" s="25">
        <f>SUM(H58:H59)</f>
        <v>60444730</v>
      </c>
      <c r="I60" s="25"/>
      <c r="J60" s="25">
        <f>SUM(J58:J59)</f>
        <v>5060834</v>
      </c>
      <c r="K60" s="25"/>
      <c r="L60" s="25">
        <f>SUM(L58:L59)</f>
        <v>65505564</v>
      </c>
      <c r="N60" s="30">
        <f t="shared" si="0"/>
        <v>716.16666666666663</v>
      </c>
      <c r="O60" s="25">
        <f>SUM(O58:O59)</f>
        <v>58204410.960000001</v>
      </c>
      <c r="P60" s="25"/>
      <c r="Q60" s="25">
        <f>SUM(Q58:Q59)</f>
        <v>5412323.25</v>
      </c>
      <c r="R60" s="25"/>
      <c r="S60" s="25">
        <f>SUM(S58:S59)</f>
        <v>63616734.209999993</v>
      </c>
      <c r="U60" s="25">
        <f>SUM(O60-H60)</f>
        <v>-2240319.0399999991</v>
      </c>
      <c r="V60" s="25"/>
      <c r="W60" s="25">
        <f>SUM(Q60-J60)</f>
        <v>351489.25</v>
      </c>
      <c r="X60" s="25"/>
      <c r="Y60" s="25">
        <f>SUM(S60-L60)</f>
        <v>-1888829.7900000066</v>
      </c>
      <c r="AA60" s="19">
        <f>IF(U60=0,"------",(U60/H60*100))</f>
        <v>-3.706392666490526</v>
      </c>
      <c r="AC60" s="19">
        <f>IF(W60=0,"------",(W60/J60*100))</f>
        <v>6.9452831292233643</v>
      </c>
      <c r="AE60" s="19">
        <f>IF(Y60=0,"------",(Y60/L60*100))</f>
        <v>-2.8834646626353857</v>
      </c>
    </row>
    <row r="63" spans="1:31" x14ac:dyDescent="0.25">
      <c r="C63" s="40" t="s">
        <v>34</v>
      </c>
      <c r="D63" s="42" t="s">
        <v>35</v>
      </c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</row>
    <row r="64" spans="1:31" x14ac:dyDescent="0.25"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</row>
    <row r="65" spans="4:19" x14ac:dyDescent="0.25"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</row>
  </sheetData>
  <mergeCells count="5">
    <mergeCell ref="U8:Y8"/>
    <mergeCell ref="AA8:AE8"/>
    <mergeCell ref="D63:S65"/>
    <mergeCell ref="F8:L8"/>
    <mergeCell ref="N8:S8"/>
  </mergeCells>
  <pageMargins left="0.7" right="0.7" top="0.75" bottom="0.75" header="0.3" footer="0.3"/>
  <pageSetup scale="54" orientation="landscape" horizontalDpi="4294967293" verticalDpi="300" r:id="rId1"/>
  <ignoredErrors>
    <ignoredError sqref="C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PSC DR1 20a-2019</vt:lpstr>
      <vt:lpstr>PSC DR1 20a-2018</vt:lpstr>
      <vt:lpstr>PSC DR1 20a-2017</vt:lpstr>
      <vt:lpstr>PSC DR1 20a-2016</vt:lpstr>
      <vt:lpstr>'PSC DR1 20a-2016'!Print_Area</vt:lpstr>
      <vt:lpstr>'PSC DR1 20a-2017'!Print_Area</vt:lpstr>
      <vt:lpstr>'PSC DR1 20a-2018'!Print_Area</vt:lpstr>
      <vt:lpstr>'PSC DR1 20a-2019'!Print_Area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Carpenter</dc:creator>
  <cp:lastModifiedBy>Michelle Carpenter</cp:lastModifiedBy>
  <cp:lastPrinted>2021-04-14T18:56:55Z</cp:lastPrinted>
  <dcterms:created xsi:type="dcterms:W3CDTF">2021-04-13T17:22:59Z</dcterms:created>
  <dcterms:modified xsi:type="dcterms:W3CDTF">2021-04-14T18:57:00Z</dcterms:modified>
</cp:coreProperties>
</file>