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206\Desktop\RATE CASE\"/>
    </mc:Choice>
  </mc:AlternateContent>
  <bookViews>
    <workbookView xWindow="0" yWindow="0" windowWidth="23040" windowHeight="10644" tabRatio="660"/>
  </bookViews>
  <sheets>
    <sheet name="EKPC Peer Comparison" sheetId="13" r:id="rId1"/>
    <sheet name="Cost of Capital Analysis" sheetId="14" r:id="rId2"/>
    <sheet name="EKPC Rating History" sheetId="1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4" l="1"/>
  <c r="F47" i="14" s="1"/>
  <c r="D39" i="14"/>
  <c r="D47" i="14" s="1"/>
  <c r="F37" i="14"/>
  <c r="F51" i="14" s="1"/>
  <c r="F49" i="14" s="1"/>
  <c r="D37" i="14"/>
  <c r="D51" i="14" l="1"/>
  <c r="D49" i="14" s="1"/>
  <c r="D41" i="14"/>
  <c r="D43" i="14" s="1"/>
  <c r="F41" i="14"/>
  <c r="F43" i="14" s="1"/>
  <c r="F11" i="14"/>
  <c r="F19" i="14" s="1"/>
  <c r="F23" i="14" s="1"/>
  <c r="F9" i="14"/>
  <c r="D9" i="14"/>
  <c r="D11" i="14"/>
  <c r="D19" i="14" s="1"/>
  <c r="D23" i="14" s="1"/>
  <c r="D25" i="14" l="1"/>
  <c r="F13" i="14"/>
  <c r="F27" i="14" s="1"/>
  <c r="D55" i="14"/>
  <c r="D13" i="14"/>
  <c r="F25" i="14"/>
  <c r="F15" i="14" l="1"/>
  <c r="F71" i="14"/>
  <c r="D71" i="14"/>
  <c r="D15" i="14"/>
  <c r="D27" i="14"/>
  <c r="AE47" i="13"/>
  <c r="AB43" i="13"/>
  <c r="X43" i="13"/>
  <c r="W43" i="13"/>
  <c r="V43" i="13"/>
  <c r="T43" i="13"/>
  <c r="O43" i="13"/>
  <c r="AQ42" i="13"/>
  <c r="AN42" i="13"/>
  <c r="AK42" i="13"/>
  <c r="V42" i="13" s="1"/>
  <c r="AB42" i="13"/>
  <c r="X42" i="13"/>
  <c r="W42" i="13"/>
  <c r="T42" i="13"/>
  <c r="O42" i="13"/>
  <c r="M42" i="13"/>
  <c r="L42" i="13"/>
  <c r="K42" i="13"/>
  <c r="J42" i="13"/>
  <c r="AB41" i="13"/>
  <c r="X41" i="13"/>
  <c r="W41" i="13"/>
  <c r="V41" i="13"/>
  <c r="T41" i="13"/>
  <c r="O41" i="13"/>
  <c r="M41" i="13"/>
  <c r="L41" i="13"/>
  <c r="K41" i="13"/>
  <c r="J41" i="13"/>
  <c r="AQ40" i="13"/>
  <c r="X40" i="13" s="1"/>
  <c r="AN40" i="13"/>
  <c r="W40" i="13" s="1"/>
  <c r="AK40" i="13"/>
  <c r="V40" i="13" s="1"/>
  <c r="T40" i="13"/>
  <c r="O40" i="13"/>
  <c r="M40" i="13"/>
  <c r="L40" i="13"/>
  <c r="F40" i="13"/>
  <c r="AB40" i="13" s="1"/>
  <c r="X39" i="13"/>
  <c r="W39" i="13"/>
  <c r="V39" i="13"/>
  <c r="T39" i="13"/>
  <c r="O39" i="13"/>
  <c r="M39" i="13"/>
  <c r="L39" i="13"/>
  <c r="F39" i="13"/>
  <c r="AB39" i="13" s="1"/>
  <c r="AB38" i="13"/>
  <c r="X38" i="13"/>
  <c r="W38" i="13"/>
  <c r="V38" i="13"/>
  <c r="T38" i="13"/>
  <c r="O38" i="13"/>
  <c r="M38" i="13"/>
  <c r="L38" i="13"/>
  <c r="K38" i="13"/>
  <c r="J38" i="13"/>
  <c r="AQ37" i="13"/>
  <c r="X37" i="13" s="1"/>
  <c r="AN37" i="13"/>
  <c r="W37" i="13" s="1"/>
  <c r="AK37" i="13"/>
  <c r="V37" i="13" s="1"/>
  <c r="T37" i="13"/>
  <c r="O37" i="13"/>
  <c r="M37" i="13"/>
  <c r="L37" i="13"/>
  <c r="F37" i="13"/>
  <c r="AB37" i="13" s="1"/>
  <c r="AB36" i="13"/>
  <c r="X36" i="13"/>
  <c r="W36" i="13"/>
  <c r="V36" i="13"/>
  <c r="T36" i="13"/>
  <c r="O36" i="13"/>
  <c r="M36" i="13"/>
  <c r="L36" i="13"/>
  <c r="K36" i="13"/>
  <c r="J36" i="13"/>
  <c r="X35" i="13"/>
  <c r="W35" i="13"/>
  <c r="V35" i="13"/>
  <c r="T35" i="13"/>
  <c r="O35" i="13"/>
  <c r="M35" i="13"/>
  <c r="L35" i="13"/>
  <c r="F35" i="13"/>
  <c r="J35" i="13" s="1"/>
  <c r="AB34" i="13"/>
  <c r="X34" i="13"/>
  <c r="W34" i="13"/>
  <c r="V34" i="13"/>
  <c r="T34" i="13"/>
  <c r="O34" i="13"/>
  <c r="M34" i="13"/>
  <c r="L34" i="13"/>
  <c r="K34" i="13"/>
  <c r="F34" i="13"/>
  <c r="J34" i="13" s="1"/>
  <c r="AZ33" i="13"/>
  <c r="AY33" i="13"/>
  <c r="R33" i="13" s="1"/>
  <c r="AX33" i="13"/>
  <c r="Q33" i="13" s="1"/>
  <c r="AQ33" i="13"/>
  <c r="AN33" i="13"/>
  <c r="W33" i="13" s="1"/>
  <c r="AK33" i="13"/>
  <c r="V33" i="13" s="1"/>
  <c r="X33" i="13"/>
  <c r="S33" i="13"/>
  <c r="O33" i="13"/>
  <c r="M33" i="13"/>
  <c r="L33" i="13"/>
  <c r="F33" i="13"/>
  <c r="AB33" i="13" s="1"/>
  <c r="AB32" i="13"/>
  <c r="X32" i="13"/>
  <c r="W32" i="13"/>
  <c r="V32" i="13"/>
  <c r="T32" i="13"/>
  <c r="O32" i="13"/>
  <c r="M32" i="13"/>
  <c r="L32" i="13"/>
  <c r="K32" i="13"/>
  <c r="J32" i="13"/>
  <c r="X31" i="13"/>
  <c r="W31" i="13"/>
  <c r="V31" i="13"/>
  <c r="T31" i="13"/>
  <c r="O31" i="13"/>
  <c r="M31" i="13"/>
  <c r="L31" i="13"/>
  <c r="F31" i="13"/>
  <c r="J31" i="13" s="1"/>
  <c r="AQ30" i="13"/>
  <c r="X30" i="13" s="1"/>
  <c r="AN30" i="13"/>
  <c r="W30" i="13" s="1"/>
  <c r="AK30" i="13"/>
  <c r="V30" i="13" s="1"/>
  <c r="T30" i="13"/>
  <c r="O30" i="13"/>
  <c r="M30" i="13"/>
  <c r="L30" i="13"/>
  <c r="F30" i="13"/>
  <c r="AB30" i="13" s="1"/>
  <c r="AQ29" i="13"/>
  <c r="X29" i="13" s="1"/>
  <c r="AN29" i="13"/>
  <c r="W29" i="13" s="1"/>
  <c r="AK29" i="13"/>
  <c r="V29" i="13" s="1"/>
  <c r="T29" i="13"/>
  <c r="O29" i="13"/>
  <c r="M29" i="13"/>
  <c r="L29" i="13"/>
  <c r="F29" i="13"/>
  <c r="AB29" i="13" s="1"/>
  <c r="X28" i="13"/>
  <c r="W28" i="13"/>
  <c r="V28" i="13"/>
  <c r="T28" i="13"/>
  <c r="O28" i="13"/>
  <c r="M28" i="13"/>
  <c r="L28" i="13"/>
  <c r="J28" i="13"/>
  <c r="F28" i="13"/>
  <c r="AB28" i="13" s="1"/>
  <c r="AZ27" i="13"/>
  <c r="S27" i="13" s="1"/>
  <c r="AY27" i="13"/>
  <c r="R27" i="13" s="1"/>
  <c r="AX27" i="13"/>
  <c r="Q27" i="13" s="1"/>
  <c r="AQ27" i="13"/>
  <c r="X27" i="13" s="1"/>
  <c r="AN27" i="13"/>
  <c r="W27" i="13" s="1"/>
  <c r="AK27" i="13"/>
  <c r="V27" i="13" s="1"/>
  <c r="O27" i="13"/>
  <c r="M27" i="13"/>
  <c r="L27" i="13"/>
  <c r="F27" i="13"/>
  <c r="AB27" i="13" s="1"/>
  <c r="X26" i="13"/>
  <c r="W26" i="13"/>
  <c r="V26" i="13"/>
  <c r="T26" i="13"/>
  <c r="O26" i="13"/>
  <c r="M26" i="13"/>
  <c r="L26" i="13"/>
  <c r="F26" i="13"/>
  <c r="AB26" i="13" s="1"/>
  <c r="AB25" i="13"/>
  <c r="X25" i="13"/>
  <c r="W25" i="13"/>
  <c r="V25" i="13"/>
  <c r="T25" i="13"/>
  <c r="O25" i="13"/>
  <c r="M25" i="13"/>
  <c r="L25" i="13"/>
  <c r="K25" i="13"/>
  <c r="J25" i="13"/>
  <c r="X24" i="13"/>
  <c r="W24" i="13"/>
  <c r="V24" i="13"/>
  <c r="T24" i="13"/>
  <c r="O24" i="13"/>
  <c r="M24" i="13"/>
  <c r="L24" i="13"/>
  <c r="F24" i="13"/>
  <c r="AB24" i="13" s="1"/>
  <c r="AB23" i="13"/>
  <c r="X23" i="13"/>
  <c r="W23" i="13"/>
  <c r="V23" i="13"/>
  <c r="T23" i="13"/>
  <c r="O23" i="13"/>
  <c r="M23" i="13"/>
  <c r="L23" i="13"/>
  <c r="K23" i="13"/>
  <c r="J23" i="13"/>
  <c r="AB22" i="13"/>
  <c r="X22" i="13"/>
  <c r="W22" i="13"/>
  <c r="V22" i="13"/>
  <c r="T22" i="13"/>
  <c r="O22" i="13"/>
  <c r="M22" i="13"/>
  <c r="L22" i="13"/>
  <c r="K22" i="13"/>
  <c r="J22" i="13"/>
  <c r="AQ21" i="13"/>
  <c r="AN21" i="13"/>
  <c r="W21" i="13" s="1"/>
  <c r="AK21" i="13"/>
  <c r="V21" i="13" s="1"/>
  <c r="AB21" i="13"/>
  <c r="X21" i="13"/>
  <c r="T21" i="13"/>
  <c r="O21" i="13"/>
  <c r="M21" i="13"/>
  <c r="L21" i="13"/>
  <c r="K21" i="13"/>
  <c r="J21" i="13"/>
  <c r="X20" i="13"/>
  <c r="W20" i="13"/>
  <c r="V20" i="13"/>
  <c r="T20" i="13"/>
  <c r="O20" i="13"/>
  <c r="M20" i="13"/>
  <c r="L20" i="13"/>
  <c r="F20" i="13"/>
  <c r="AB20" i="13" s="1"/>
  <c r="AB19" i="13"/>
  <c r="X19" i="13"/>
  <c r="W19" i="13"/>
  <c r="V19" i="13"/>
  <c r="T19" i="13"/>
  <c r="O19" i="13"/>
  <c r="M19" i="13"/>
  <c r="L19" i="13"/>
  <c r="K19" i="13"/>
  <c r="J19" i="13"/>
  <c r="X18" i="13"/>
  <c r="W18" i="13"/>
  <c r="V18" i="13"/>
  <c r="T18" i="13"/>
  <c r="O18" i="13"/>
  <c r="M18" i="13"/>
  <c r="L18" i="13"/>
  <c r="F18" i="13"/>
  <c r="J18" i="13" s="1"/>
  <c r="AY17" i="13"/>
  <c r="R17" i="13" s="1"/>
  <c r="AP17" i="13"/>
  <c r="AZ17" i="13" s="1"/>
  <c r="S17" i="13" s="1"/>
  <c r="AM17" i="13"/>
  <c r="AN17" i="13" s="1"/>
  <c r="W17" i="13" s="1"/>
  <c r="AJ17" i="13"/>
  <c r="AX17" i="13" s="1"/>
  <c r="Q17" i="13" s="1"/>
  <c r="O17" i="13"/>
  <c r="M17" i="13"/>
  <c r="L17" i="13"/>
  <c r="F17" i="13"/>
  <c r="J17" i="13" s="1"/>
  <c r="X16" i="13"/>
  <c r="W16" i="13"/>
  <c r="V16" i="13"/>
  <c r="T16" i="13"/>
  <c r="O16" i="13"/>
  <c r="M16" i="13"/>
  <c r="L16" i="13"/>
  <c r="F16" i="13"/>
  <c r="J16" i="13" s="1"/>
  <c r="X15" i="13"/>
  <c r="W15" i="13"/>
  <c r="V15" i="13"/>
  <c r="T15" i="13"/>
  <c r="O15" i="13"/>
  <c r="M15" i="13"/>
  <c r="L15" i="13"/>
  <c r="F15" i="13"/>
  <c r="J15" i="13" s="1"/>
  <c r="AB14" i="13"/>
  <c r="X14" i="13"/>
  <c r="W14" i="13"/>
  <c r="V14" i="13"/>
  <c r="T14" i="13"/>
  <c r="O14" i="13"/>
  <c r="M14" i="13"/>
  <c r="L14" i="13"/>
  <c r="K14" i="13"/>
  <c r="J14" i="13"/>
  <c r="K39" i="13" l="1"/>
  <c r="K27" i="13"/>
  <c r="F67" i="14"/>
  <c r="F69" i="14" s="1"/>
  <c r="F77" i="14" s="1"/>
  <c r="J30" i="13"/>
  <c r="Y15" i="13"/>
  <c r="K18" i="13"/>
  <c r="J27" i="13"/>
  <c r="J39" i="13"/>
  <c r="Y23" i="13"/>
  <c r="Y43" i="13"/>
  <c r="O47" i="13"/>
  <c r="K30" i="13"/>
  <c r="K35" i="13"/>
  <c r="AB35" i="13"/>
  <c r="Y39" i="13"/>
  <c r="AB18" i="13"/>
  <c r="Y20" i="13"/>
  <c r="Y22" i="13"/>
  <c r="K31" i="13"/>
  <c r="AB31" i="13"/>
  <c r="Y38" i="13"/>
  <c r="Y41" i="13"/>
  <c r="R45" i="13"/>
  <c r="T33" i="13"/>
  <c r="T27" i="13"/>
  <c r="Y25" i="13"/>
  <c r="K16" i="13"/>
  <c r="AB16" i="13"/>
  <c r="AB17" i="13"/>
  <c r="Y18" i="13"/>
  <c r="J26" i="13"/>
  <c r="Y28" i="13"/>
  <c r="J29" i="13"/>
  <c r="Y32" i="13"/>
  <c r="Y33" i="13"/>
  <c r="Y34" i="13"/>
  <c r="Y36" i="13"/>
  <c r="J40" i="13"/>
  <c r="Y42" i="13"/>
  <c r="K40" i="13"/>
  <c r="L45" i="13"/>
  <c r="Y16" i="13"/>
  <c r="M45" i="13"/>
  <c r="W45" i="13"/>
  <c r="K15" i="13"/>
  <c r="AB15" i="13"/>
  <c r="K17" i="13"/>
  <c r="Y19" i="13"/>
  <c r="Y21" i="13"/>
  <c r="Y24" i="13"/>
  <c r="Y26" i="13"/>
  <c r="Y31" i="13"/>
  <c r="Y35" i="13"/>
  <c r="S47" i="13"/>
  <c r="S45" i="13"/>
  <c r="Y27" i="13"/>
  <c r="Q47" i="13"/>
  <c r="Q45" i="13"/>
  <c r="T17" i="13"/>
  <c r="Y29" i="13"/>
  <c r="Y30" i="13"/>
  <c r="Y37" i="13"/>
  <c r="Y40" i="13"/>
  <c r="R47" i="13"/>
  <c r="W47" i="13"/>
  <c r="AK17" i="13"/>
  <c r="V17" i="13" s="1"/>
  <c r="V47" i="13" s="1"/>
  <c r="AQ17" i="13"/>
  <c r="X17" i="13" s="1"/>
  <c r="X47" i="13" s="1"/>
  <c r="J20" i="13"/>
  <c r="J24" i="13"/>
  <c r="K26" i="13"/>
  <c r="K28" i="13"/>
  <c r="K29" i="13"/>
  <c r="J33" i="13"/>
  <c r="J37" i="13"/>
  <c r="O45" i="13"/>
  <c r="K20" i="13"/>
  <c r="K24" i="13"/>
  <c r="K33" i="13"/>
  <c r="K37" i="13"/>
  <c r="Y14" i="13"/>
  <c r="F81" i="14" l="1"/>
  <c r="F83" i="14" s="1"/>
  <c r="T45" i="13"/>
  <c r="V45" i="13"/>
  <c r="K45" i="13"/>
  <c r="J45" i="13"/>
  <c r="T47" i="13"/>
  <c r="X45" i="13"/>
  <c r="Y17" i="13"/>
  <c r="Y47" i="13" s="1"/>
  <c r="F85" i="14" l="1"/>
  <c r="Y45" i="13"/>
  <c r="F55" i="14" l="1"/>
  <c r="D67" i="14"/>
  <c r="D69" i="14" l="1"/>
  <c r="D77" i="14" s="1"/>
  <c r="D81" i="14" l="1"/>
  <c r="D83" i="14" s="1"/>
  <c r="D85" i="14" l="1"/>
</calcChain>
</file>

<file path=xl/sharedStrings.xml><?xml version="1.0" encoding="utf-8"?>
<sst xmlns="http://schemas.openxmlformats.org/spreadsheetml/2006/main" count="325" uniqueCount="146">
  <si>
    <t>Cooperative</t>
  </si>
  <si>
    <t>TIER</t>
  </si>
  <si>
    <t>Financial Ratings Information</t>
  </si>
  <si>
    <t>Moody's</t>
  </si>
  <si>
    <t>Fitch</t>
  </si>
  <si>
    <t>S &amp; P</t>
  </si>
  <si>
    <t>No</t>
  </si>
  <si>
    <t>Yes</t>
  </si>
  <si>
    <t>Arizona Electric Power Cooperative, Inc.</t>
  </si>
  <si>
    <t>A-</t>
  </si>
  <si>
    <t>A</t>
  </si>
  <si>
    <t>Arkansas Electric Cooperative Corporation</t>
  </si>
  <si>
    <t>AA</t>
  </si>
  <si>
    <t>AA-</t>
  </si>
  <si>
    <t>Aa3</t>
  </si>
  <si>
    <t>Associated Electric Cooperative, Inc.</t>
  </si>
  <si>
    <t>Basin Electric Power Cooperative</t>
  </si>
  <si>
    <t>A3</t>
  </si>
  <si>
    <t>Big Rivers Electric Corporation</t>
  </si>
  <si>
    <t>Brazos Electric Cooperative, Inc.</t>
  </si>
  <si>
    <t>Buckeye Power, Inc.</t>
  </si>
  <si>
    <t>A2</t>
  </si>
  <si>
    <t>Central Electric Power - South Carolina</t>
  </si>
  <si>
    <t>A+</t>
  </si>
  <si>
    <t>Central Iowa Power Cooperative</t>
  </si>
  <si>
    <t>Chugach Electric Association, Inc.</t>
  </si>
  <si>
    <t>Cooperative Energy</t>
  </si>
  <si>
    <t>Corn Belt Power Cooperative</t>
  </si>
  <si>
    <t>Dairyland Power Cooperative</t>
  </si>
  <si>
    <t>East Kentucky Power Cooperative, Inc.</t>
  </si>
  <si>
    <t>Georgia Transmission Corporation</t>
  </si>
  <si>
    <t>Golden Spread Electric Cooperative</t>
  </si>
  <si>
    <t>Great River Energy</t>
  </si>
  <si>
    <t>Baa1</t>
  </si>
  <si>
    <t>Hoosier Energy Rural Electric Cooperative, Inc.</t>
  </si>
  <si>
    <t>Minnkota Power Cooperative, Inc.</t>
  </si>
  <si>
    <t>North Carolina Electric Membership Corporation</t>
  </si>
  <si>
    <t>Oglethorpe Power Corporation</t>
  </si>
  <si>
    <t>Old Dominion Electric Cooperative</t>
  </si>
  <si>
    <t>PowerSouth Energy Cooperative</t>
  </si>
  <si>
    <t>San Miguel Electric Cooperative, Inc.</t>
  </si>
  <si>
    <t>Seminole Electric Cooperative, Inc.</t>
  </si>
  <si>
    <t>South Texas Electric Cooperative, Inc.</t>
  </si>
  <si>
    <t>Square Butte Electric Cooperative</t>
  </si>
  <si>
    <t>Tri-State G&amp;T Association, Inc.</t>
  </si>
  <si>
    <t>Wabash Valley Power Association, Inc.</t>
  </si>
  <si>
    <t>Western Farmers Electric Cooperative</t>
  </si>
  <si>
    <t>BBB+</t>
  </si>
  <si>
    <t>BBB-</t>
  </si>
  <si>
    <t>Moody'sFitch</t>
  </si>
  <si>
    <t>Moodys/S&amp;P</t>
  </si>
  <si>
    <t>A1</t>
  </si>
  <si>
    <t>Baa2</t>
  </si>
  <si>
    <t>Moodys Issuer</t>
  </si>
  <si>
    <t>Ba1</t>
  </si>
  <si>
    <t>Moody's Unsecured</t>
  </si>
  <si>
    <t>red -= implied (no issuer)</t>
  </si>
  <si>
    <t>Baa3</t>
  </si>
  <si>
    <t>G&amp;T Accounting &amp; Finance Association Annual Directory is at places incomplete (e.g. STEC, Minnkota, Cooperative Energy and others do not list ratings in the directory)</t>
  </si>
  <si>
    <t>Note:  S&amp;P and Fitch Issuer / IDR ratings are same as Secured Ratings. Moody's Secured ratings are generally one notch higher.  So best Moody's comparison is the secured or implied secured rating.</t>
  </si>
  <si>
    <t>Moody's Secured</t>
  </si>
  <si>
    <t>Secured</t>
  </si>
  <si>
    <t>Unsecured</t>
  </si>
  <si>
    <t>Chugach has a Moody's short term rating, but no long term rating</t>
  </si>
  <si>
    <t>BB+</t>
  </si>
  <si>
    <t>Chugach and Georgia Transmission are not in the Fitch peer study (maybe because Chugach is a G&amp;T&amp;D and GT is just a T)</t>
  </si>
  <si>
    <t>Average Secured</t>
  </si>
  <si>
    <t>2019 TIER</t>
  </si>
  <si>
    <t>2019 MFI</t>
  </si>
  <si>
    <t>GTAFA</t>
  </si>
  <si>
    <t>Minnkota and Square Butte are related and rated same</t>
  </si>
  <si>
    <t>STEC and San Miguel are rated and same (SM is one generation facility owned by STEC)</t>
  </si>
  <si>
    <t>2018 TIER</t>
  </si>
  <si>
    <t>2017 TIER</t>
  </si>
  <si>
    <t>From Financials</t>
  </si>
  <si>
    <t>2019 Margin</t>
  </si>
  <si>
    <t>2019 Interest</t>
  </si>
  <si>
    <t>2019 Equity / Asset</t>
  </si>
  <si>
    <t>2018 Margin</t>
  </si>
  <si>
    <t>2018 Interest</t>
  </si>
  <si>
    <t>2017 Margin</t>
  </si>
  <si>
    <t>2017 Interest</t>
  </si>
  <si>
    <t>($ Thousands)</t>
  </si>
  <si>
    <t>Equity Ratio</t>
  </si>
  <si>
    <t>Median</t>
  </si>
  <si>
    <t>Average</t>
  </si>
  <si>
    <t>DSC</t>
  </si>
  <si>
    <t>2019 Principal</t>
  </si>
  <si>
    <t>2018 Principal</t>
  </si>
  <si>
    <t>2017 Principal</t>
  </si>
  <si>
    <t>2019 Depreciation</t>
  </si>
  <si>
    <t>2018 Depreciation</t>
  </si>
  <si>
    <t>2017 Depreciation</t>
  </si>
  <si>
    <t>bullet maturities</t>
  </si>
  <si>
    <t>2019 DSC</t>
  </si>
  <si>
    <t>2018 DSC</t>
  </si>
  <si>
    <t>2017 DSC</t>
  </si>
  <si>
    <t>Transmission Only</t>
  </si>
  <si>
    <t>State Regulated?</t>
  </si>
  <si>
    <t>G&amp;T Credit Ratings as of January 2021, sourced directly from  Moody's, Fitch, and S&amp;P websites</t>
  </si>
  <si>
    <t xml:space="preserve">Sources: </t>
  </si>
  <si>
    <t>Financial data and Regulatory status from G&amp;T Accounting and Finance Association Annual Directories or directly from individual Financial Statements</t>
  </si>
  <si>
    <t>Secured Financial Ratings Information</t>
  </si>
  <si>
    <t>RATED G&amp;T UNIVERSE FINANCIAL COMPARISON</t>
  </si>
  <si>
    <t>Avg. DSC</t>
  </si>
  <si>
    <t>Avg. TIER</t>
  </si>
  <si>
    <t>2017-2019</t>
  </si>
  <si>
    <t>Wolverine (Peninsula sub is rated entity)</t>
  </si>
  <si>
    <t/>
  </si>
  <si>
    <t>Equity</t>
  </si>
  <si>
    <t>Debt</t>
  </si>
  <si>
    <t>Target TIER</t>
  </si>
  <si>
    <t>2020 (unaudited)</t>
  </si>
  <si>
    <t>$ Million</t>
  </si>
  <si>
    <t>Debt (RUS basis - net of cushion of credit)</t>
  </si>
  <si>
    <t>Total Capital (Equity + Debt)</t>
  </si>
  <si>
    <t>Avg. Interest Rate (Return on Debt)</t>
  </si>
  <si>
    <t>Projected Interest (Debt x Average Rate)</t>
  </si>
  <si>
    <t>Target Margin (1- Target TIER) * Interest</t>
  </si>
  <si>
    <t>Implied ROE (Margin / Equity)</t>
  </si>
  <si>
    <t>Equity to Total Capital</t>
  </si>
  <si>
    <t>ASSUMED ROE (Margin / Equity)</t>
  </si>
  <si>
    <t>CALCULATED TIER</t>
  </si>
  <si>
    <t>Equity to Total Capital (Input)</t>
  </si>
  <si>
    <t xml:space="preserve">EKPC Return on Total Capital Analysis </t>
  </si>
  <si>
    <t>Target Return on Total Capital (Margin + Interest) / Total Capital</t>
  </si>
  <si>
    <t>What TIER would a 9.5% Return on Equity imply?</t>
  </si>
  <si>
    <t>What Returns on Equity and Total Capital does 1.5x TIER imply?</t>
  </si>
  <si>
    <t>What would a 1.5xTIER imply at a theoretical 40% equity?</t>
  </si>
  <si>
    <t>Exhibit TJS-3A</t>
  </si>
  <si>
    <t>Exhibit TJS-3B</t>
  </si>
  <si>
    <t>Exhibit TJS-3C</t>
  </si>
  <si>
    <t>EXHIBIT TJS-2</t>
  </si>
  <si>
    <t>EKPC Ratings History</t>
  </si>
  <si>
    <t>S&amp;P</t>
  </si>
  <si>
    <t xml:space="preserve">BBB </t>
  </si>
  <si>
    <t>Stable</t>
  </si>
  <si>
    <t>initial</t>
  </si>
  <si>
    <t>BBB</t>
  </si>
  <si>
    <t>affirmed</t>
  </si>
  <si>
    <t>Positive</t>
  </si>
  <si>
    <t>outlook revised up</t>
  </si>
  <si>
    <t>rating upgraded (guess on exact date)</t>
  </si>
  <si>
    <t>double-notch upgrade</t>
  </si>
  <si>
    <t>upgrade</t>
  </si>
  <si>
    <t>downgrade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</si>
</sst>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\x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6" fontId="0" fillId="0" borderId="0" xfId="0" applyNumberFormat="1" applyFont="1"/>
    <xf numFmtId="10" fontId="0" fillId="0" borderId="0" xfId="0" applyNumberFormat="1" applyFont="1"/>
    <xf numFmtId="0" fontId="0" fillId="2" borderId="0" xfId="0" applyFont="1" applyFill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164" fontId="0" fillId="0" borderId="0" xfId="2" applyNumberFormat="1" applyFont="1"/>
    <xf numFmtId="43" fontId="0" fillId="0" borderId="0" xfId="1" applyFont="1"/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3" fontId="0" fillId="0" borderId="0" xfId="0" applyNumberFormat="1" applyFont="1"/>
    <xf numFmtId="165" fontId="0" fillId="0" borderId="0" xfId="3" applyNumberFormat="1" applyFont="1"/>
    <xf numFmtId="166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169" fontId="0" fillId="0" borderId="0" xfId="0" applyNumberFormat="1"/>
    <xf numFmtId="165" fontId="0" fillId="3" borderId="0" xfId="3" applyNumberFormat="1" applyFont="1" applyFill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169" fontId="3" fillId="0" borderId="7" xfId="0" applyNumberFormat="1" applyFont="1" applyBorder="1"/>
    <xf numFmtId="169" fontId="3" fillId="0" borderId="8" xfId="0" applyNumberFormat="1" applyFont="1" applyBorder="1"/>
    <xf numFmtId="165" fontId="3" fillId="0" borderId="7" xfId="3" applyNumberFormat="1" applyFont="1" applyBorder="1"/>
    <xf numFmtId="165" fontId="3" fillId="0" borderId="8" xfId="3" applyNumberFormat="1" applyFont="1" applyBorder="1"/>
    <xf numFmtId="0" fontId="8" fillId="0" borderId="0" xfId="0" applyFont="1"/>
    <xf numFmtId="0" fontId="1" fillId="0" borderId="0" xfId="4"/>
    <xf numFmtId="14" fontId="1" fillId="0" borderId="0" xfId="4" applyNumberFormat="1"/>
    <xf numFmtId="14" fontId="10" fillId="0" borderId="0" xfId="4" applyNumberFormat="1" applyFont="1"/>
    <xf numFmtId="0" fontId="10" fillId="0" borderId="0" xfId="4" applyFont="1"/>
    <xf numFmtId="0" fontId="9" fillId="0" borderId="0" xfId="4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70034995625552E-2"/>
          <c:y val="0.19486111111111112"/>
          <c:w val="0.85991885389326339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v>'3-yr average TIER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#REF!</c:f>
            </c:numRef>
          </c:xVal>
          <c:yVal>
            <c:numRef>
              <c:f>'EKPC Peer Comparison'!$Y$14:$Y$43</c:f>
              <c:numCache>
                <c:formatCode>_(* #,##0.00_);_(* \(#,##0.00\);_(* "-"??_);_(@_)</c:formatCode>
                <c:ptCount val="30"/>
                <c:pt idx="0">
                  <c:v>1.82</c:v>
                </c:pt>
                <c:pt idx="1">
                  <c:v>2.0366666666666666</c:v>
                </c:pt>
                <c:pt idx="2">
                  <c:v>1.6166666666666665</c:v>
                </c:pt>
                <c:pt idx="3">
                  <c:v>1.3454791914673596</c:v>
                </c:pt>
                <c:pt idx="4">
                  <c:v>1.3866666666666667</c:v>
                </c:pt>
                <c:pt idx="5">
                  <c:v>1.5899999999999999</c:v>
                </c:pt>
                <c:pt idx="6">
                  <c:v>1.6766666666666667</c:v>
                </c:pt>
                <c:pt idx="7">
                  <c:v>1.4987860349193112</c:v>
                </c:pt>
                <c:pt idx="8">
                  <c:v>1.89</c:v>
                </c:pt>
                <c:pt idx="9">
                  <c:v>1.26</c:v>
                </c:pt>
                <c:pt idx="10">
                  <c:v>1.5</c:v>
                </c:pt>
                <c:pt idx="11">
                  <c:v>2.7566666666666664</c:v>
                </c:pt>
                <c:pt idx="12">
                  <c:v>1.5499999999999998</c:v>
                </c:pt>
                <c:pt idx="13">
                  <c:v>1.1817464247835239</c:v>
                </c:pt>
                <c:pt idx="14">
                  <c:v>2.1666666666666665</c:v>
                </c:pt>
                <c:pt idx="15">
                  <c:v>1.2111572550888952</c:v>
                </c:pt>
                <c:pt idx="16">
                  <c:v>1.5178350190875733</c:v>
                </c:pt>
                <c:pt idx="17">
                  <c:v>1.3333333333333333</c:v>
                </c:pt>
                <c:pt idx="18">
                  <c:v>1.4533333333333334</c:v>
                </c:pt>
                <c:pt idx="19">
                  <c:v>1.2181764809675761</c:v>
                </c:pt>
                <c:pt idx="20">
                  <c:v>1.2999999999999998</c:v>
                </c:pt>
                <c:pt idx="21">
                  <c:v>1.21</c:v>
                </c:pt>
                <c:pt idx="22">
                  <c:v>1.1733333333333333</c:v>
                </c:pt>
                <c:pt idx="23">
                  <c:v>1.4128516417821217</c:v>
                </c:pt>
                <c:pt idx="24">
                  <c:v>1.75</c:v>
                </c:pt>
                <c:pt idx="25">
                  <c:v>1.1399999999999999</c:v>
                </c:pt>
                <c:pt idx="26">
                  <c:v>1.3316191252337048</c:v>
                </c:pt>
                <c:pt idx="27">
                  <c:v>1.5899999999999999</c:v>
                </c:pt>
                <c:pt idx="28">
                  <c:v>1.3670612620747251</c:v>
                </c:pt>
                <c:pt idx="29">
                  <c:v>1.78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E1-4F41-AEC0-9E2C0C599A53}"/>
            </c:ext>
          </c:extLst>
        </c:ser>
        <c:ser>
          <c:idx val="1"/>
          <c:order val="1"/>
          <c:tx>
            <c:v>'3-yr average DSC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#REF!</c:f>
            </c:numRef>
          </c:xVal>
          <c:yVal>
            <c:numRef>
              <c:f>'EKPC Peer Comparison'!$T$14:$T$43</c:f>
              <c:numCache>
                <c:formatCode>_(* #,##0.00_);_(* \(#,##0.00\);_(* "-"??_);_(@_)</c:formatCode>
                <c:ptCount val="30"/>
                <c:pt idx="0">
                  <c:v>1.2466666666666666</c:v>
                </c:pt>
                <c:pt idx="1">
                  <c:v>1.89</c:v>
                </c:pt>
                <c:pt idx="2">
                  <c:v>1.3399999999999999</c:v>
                </c:pt>
                <c:pt idx="3">
                  <c:v>1.7538736906393373</c:v>
                </c:pt>
                <c:pt idx="4">
                  <c:v>1.3566666666666665</c:v>
                </c:pt>
                <c:pt idx="5">
                  <c:v>1.2266666666666666</c:v>
                </c:pt>
                <c:pt idx="6">
                  <c:v>1.3933333333333333</c:v>
                </c:pt>
                <c:pt idx="7">
                  <c:v>1.18</c:v>
                </c:pt>
                <c:pt idx="8">
                  <c:v>1.5633333333333335</c:v>
                </c:pt>
                <c:pt idx="9">
                  <c:v>1.2366666666666666</c:v>
                </c:pt>
                <c:pt idx="10">
                  <c:v>1.6866666666666668</c:v>
                </c:pt>
                <c:pt idx="11">
                  <c:v>1.8399999999999999</c:v>
                </c:pt>
                <c:pt idx="12">
                  <c:v>1.3366666666666667</c:v>
                </c:pt>
                <c:pt idx="13">
                  <c:v>1.3385014146196716</c:v>
                </c:pt>
                <c:pt idx="14">
                  <c:v>2.0566666666666666</c:v>
                </c:pt>
                <c:pt idx="15">
                  <c:v>1.2466666666666668</c:v>
                </c:pt>
                <c:pt idx="16">
                  <c:v>1.43</c:v>
                </c:pt>
                <c:pt idx="17">
                  <c:v>1.29</c:v>
                </c:pt>
                <c:pt idx="18">
                  <c:v>1.2433333333333332</c:v>
                </c:pt>
                <c:pt idx="19">
                  <c:v>0.92746724989895446</c:v>
                </c:pt>
                <c:pt idx="20">
                  <c:v>1.0933333333333335</c:v>
                </c:pt>
                <c:pt idx="21">
                  <c:v>1.2666666666666668</c:v>
                </c:pt>
                <c:pt idx="22">
                  <c:v>2.3199999999999998</c:v>
                </c:pt>
                <c:pt idx="23">
                  <c:v>1.2633333333333334</c:v>
                </c:pt>
                <c:pt idx="24">
                  <c:v>1.4333333333333333</c:v>
                </c:pt>
                <c:pt idx="25">
                  <c:v>1.1100000000000001</c:v>
                </c:pt>
                <c:pt idx="26">
                  <c:v>1.4733333333333334</c:v>
                </c:pt>
                <c:pt idx="27">
                  <c:v>1.43</c:v>
                </c:pt>
                <c:pt idx="28">
                  <c:v>1.28</c:v>
                </c:pt>
                <c:pt idx="29">
                  <c:v>1.43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E1-4F41-AEC0-9E2C0C599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562864"/>
        <c:axId val="603571064"/>
      </c:scatterChart>
      <c:scatterChart>
        <c:scatterStyle val="lineMarker"/>
        <c:varyColors val="0"/>
        <c:ser>
          <c:idx val="2"/>
          <c:order val="2"/>
          <c:tx>
            <c:v>'equity to asset ratio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#REF!</c:f>
            </c:numRef>
          </c:xVal>
          <c:yVal>
            <c:numRef>
              <c:f>'EKPC Peer Comparison'!$O$14:$O$43</c:f>
              <c:numCache>
                <c:formatCode>0.00%</c:formatCode>
                <c:ptCount val="30"/>
                <c:pt idx="0">
                  <c:v>0.40200000000000002</c:v>
                </c:pt>
                <c:pt idx="1">
                  <c:v>0.35320000000000001</c:v>
                </c:pt>
                <c:pt idx="2">
                  <c:v>0.23780000000000001</c:v>
                </c:pt>
                <c:pt idx="3">
                  <c:v>0.2135</c:v>
                </c:pt>
                <c:pt idx="4">
                  <c:v>0.3871</c:v>
                </c:pt>
                <c:pt idx="5">
                  <c:v>0.25130000000000002</c:v>
                </c:pt>
                <c:pt idx="6">
                  <c:v>0.27310000000000001</c:v>
                </c:pt>
                <c:pt idx="7">
                  <c:v>0.13139999999999999</c:v>
                </c:pt>
                <c:pt idx="8">
                  <c:v>0.28599999999999998</c:v>
                </c:pt>
                <c:pt idx="9">
                  <c:v>0.23300000000000001</c:v>
                </c:pt>
                <c:pt idx="10">
                  <c:v>0.22220000000000001</c:v>
                </c:pt>
                <c:pt idx="11">
                  <c:v>0.31909999999999999</c:v>
                </c:pt>
                <c:pt idx="12">
                  <c:v>0.2379</c:v>
                </c:pt>
                <c:pt idx="13">
                  <c:v>0.12330000000000001</c:v>
                </c:pt>
                <c:pt idx="14">
                  <c:v>0.39789999999999998</c:v>
                </c:pt>
                <c:pt idx="15">
                  <c:v>0.18029999999999999</c:v>
                </c:pt>
                <c:pt idx="16">
                  <c:v>0.2316</c:v>
                </c:pt>
                <c:pt idx="17">
                  <c:v>0.1394</c:v>
                </c:pt>
                <c:pt idx="18">
                  <c:v>0.15579999999999999</c:v>
                </c:pt>
                <c:pt idx="19">
                  <c:v>7.8299999999999995E-2</c:v>
                </c:pt>
                <c:pt idx="20">
                  <c:v>0.2034</c:v>
                </c:pt>
                <c:pt idx="21">
                  <c:v>0.1973</c:v>
                </c:pt>
                <c:pt idx="22">
                  <c:v>0.23949999999999999</c:v>
                </c:pt>
                <c:pt idx="23">
                  <c:v>0.20960000000000001</c:v>
                </c:pt>
                <c:pt idx="24">
                  <c:v>0.26029999999999998</c:v>
                </c:pt>
                <c:pt idx="25">
                  <c:v>0.13289999999999999</c:v>
                </c:pt>
                <c:pt idx="26">
                  <c:v>0.22439999999999999</c:v>
                </c:pt>
                <c:pt idx="27">
                  <c:v>0.1971</c:v>
                </c:pt>
                <c:pt idx="28">
                  <c:v>0.27060000000000001</c:v>
                </c:pt>
                <c:pt idx="29">
                  <c:v>0.24399999999999999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E1-4F41-AEC0-9E2C0C599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878736"/>
        <c:axId val="710881688"/>
      </c:scatterChart>
      <c:valAx>
        <c:axId val="60356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71064"/>
        <c:crosses val="autoZero"/>
        <c:crossBetween val="midCat"/>
      </c:valAx>
      <c:valAx>
        <c:axId val="60357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62864"/>
        <c:crosses val="autoZero"/>
        <c:crossBetween val="midCat"/>
      </c:valAx>
      <c:valAx>
        <c:axId val="71088168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878736"/>
        <c:crosses val="max"/>
        <c:crossBetween val="midCat"/>
      </c:valAx>
      <c:valAx>
        <c:axId val="71087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0881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61834276825379E-2"/>
          <c:y val="0.12906027547557808"/>
          <c:w val="0.85710195927804578"/>
          <c:h val="0.78877183948736651"/>
        </c:manualLayout>
      </c:layout>
      <c:scatterChart>
        <c:scatterStyle val="lineMarker"/>
        <c:varyColors val="0"/>
        <c:ser>
          <c:idx val="2"/>
          <c:order val="2"/>
          <c:tx>
            <c:strRef>
              <c:f>'EKPC Rating History'!$D$4</c:f>
              <c:strCache>
                <c:ptCount val="1"/>
                <c:pt idx="0">
                  <c:v>Fitch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'EKPC Rating History'!$A$5:$A$26</c:f>
              <c:numCache>
                <c:formatCode>m/d/yyyy</c:formatCode>
                <c:ptCount val="22"/>
                <c:pt idx="0">
                  <c:v>40847</c:v>
                </c:pt>
                <c:pt idx="1">
                  <c:v>40870</c:v>
                </c:pt>
                <c:pt idx="2">
                  <c:v>41211</c:v>
                </c:pt>
                <c:pt idx="3">
                  <c:v>41336</c:v>
                </c:pt>
                <c:pt idx="4">
                  <c:v>41337</c:v>
                </c:pt>
                <c:pt idx="5">
                  <c:v>41571</c:v>
                </c:pt>
                <c:pt idx="6">
                  <c:v>41572</c:v>
                </c:pt>
                <c:pt idx="7">
                  <c:v>41905</c:v>
                </c:pt>
                <c:pt idx="8">
                  <c:v>41906</c:v>
                </c:pt>
                <c:pt idx="9">
                  <c:v>41934</c:v>
                </c:pt>
                <c:pt idx="10">
                  <c:v>41935</c:v>
                </c:pt>
                <c:pt idx="11">
                  <c:v>42299</c:v>
                </c:pt>
                <c:pt idx="12">
                  <c:v>42347</c:v>
                </c:pt>
                <c:pt idx="13">
                  <c:v>42661</c:v>
                </c:pt>
                <c:pt idx="14">
                  <c:v>42662</c:v>
                </c:pt>
                <c:pt idx="15">
                  <c:v>42827</c:v>
                </c:pt>
                <c:pt idx="16">
                  <c:v>42828</c:v>
                </c:pt>
                <c:pt idx="17">
                  <c:v>43349</c:v>
                </c:pt>
                <c:pt idx="18">
                  <c:v>43305</c:v>
                </c:pt>
                <c:pt idx="19">
                  <c:v>43622</c:v>
                </c:pt>
                <c:pt idx="20">
                  <c:v>43623</c:v>
                </c:pt>
                <c:pt idx="21">
                  <c:v>44255</c:v>
                </c:pt>
              </c:numCache>
            </c:numRef>
          </c:xVal>
          <c:yVal>
            <c:numRef>
              <c:f>'EKPC Rating History'!$D$5:$D$26</c:f>
              <c:numCache>
                <c:formatCode>General</c:formatCode>
                <c:ptCount val="22"/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45-4FF9-BE23-BB68F9D30C20}"/>
            </c:ext>
          </c:extLst>
        </c:ser>
        <c:ser>
          <c:idx val="5"/>
          <c:order val="5"/>
          <c:tx>
            <c:strRef>
              <c:f>'EKPC Rating History'!$G$4</c:f>
              <c:strCache>
                <c:ptCount val="1"/>
                <c:pt idx="0">
                  <c:v>S&amp;P</c:v>
                </c:pt>
              </c:strCache>
            </c:strRef>
          </c:tx>
          <c:spPr>
            <a:ln w="444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'EKPC Rating History'!$A$5:$A$26</c:f>
              <c:numCache>
                <c:formatCode>m/d/yyyy</c:formatCode>
                <c:ptCount val="22"/>
                <c:pt idx="0">
                  <c:v>40847</c:v>
                </c:pt>
                <c:pt idx="1">
                  <c:v>40870</c:v>
                </c:pt>
                <c:pt idx="2">
                  <c:v>41211</c:v>
                </c:pt>
                <c:pt idx="3">
                  <c:v>41336</c:v>
                </c:pt>
                <c:pt idx="4">
                  <c:v>41337</c:v>
                </c:pt>
                <c:pt idx="5">
                  <c:v>41571</c:v>
                </c:pt>
                <c:pt idx="6">
                  <c:v>41572</c:v>
                </c:pt>
                <c:pt idx="7">
                  <c:v>41905</c:v>
                </c:pt>
                <c:pt idx="8">
                  <c:v>41906</c:v>
                </c:pt>
                <c:pt idx="9">
                  <c:v>41934</c:v>
                </c:pt>
                <c:pt idx="10">
                  <c:v>41935</c:v>
                </c:pt>
                <c:pt idx="11">
                  <c:v>42299</c:v>
                </c:pt>
                <c:pt idx="12">
                  <c:v>42347</c:v>
                </c:pt>
                <c:pt idx="13">
                  <c:v>42661</c:v>
                </c:pt>
                <c:pt idx="14">
                  <c:v>42662</c:v>
                </c:pt>
                <c:pt idx="15">
                  <c:v>42827</c:v>
                </c:pt>
                <c:pt idx="16">
                  <c:v>42828</c:v>
                </c:pt>
                <c:pt idx="17">
                  <c:v>43349</c:v>
                </c:pt>
                <c:pt idx="18">
                  <c:v>43305</c:v>
                </c:pt>
                <c:pt idx="19">
                  <c:v>43622</c:v>
                </c:pt>
                <c:pt idx="20">
                  <c:v>43623</c:v>
                </c:pt>
                <c:pt idx="21">
                  <c:v>44255</c:v>
                </c:pt>
              </c:numCache>
            </c:numRef>
          </c:xVal>
          <c:yVal>
            <c:numRef>
              <c:f>'EKPC Rating History'!$G$5:$G$26</c:f>
              <c:numCache>
                <c:formatCode>General</c:formatCode>
                <c:ptCount val="22"/>
                <c:pt idx="0">
                  <c:v>3.05</c:v>
                </c:pt>
                <c:pt idx="1">
                  <c:v>3.05</c:v>
                </c:pt>
                <c:pt idx="2">
                  <c:v>3.05</c:v>
                </c:pt>
                <c:pt idx="3">
                  <c:v>3.05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5.05</c:v>
                </c:pt>
                <c:pt idx="9">
                  <c:v>5.05</c:v>
                </c:pt>
                <c:pt idx="10">
                  <c:v>5.05</c:v>
                </c:pt>
                <c:pt idx="11">
                  <c:v>5.05</c:v>
                </c:pt>
                <c:pt idx="12">
                  <c:v>5.05</c:v>
                </c:pt>
                <c:pt idx="13">
                  <c:v>5.05</c:v>
                </c:pt>
                <c:pt idx="14">
                  <c:v>5.05</c:v>
                </c:pt>
                <c:pt idx="15">
                  <c:v>5.05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45-4FF9-BE23-BB68F9D30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069800"/>
        <c:axId val="65206783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'EKPC Rating History'!$B$4</c15:sqref>
                        </c15:formulaRef>
                      </c:ext>
                    </c:extLst>
                    <c:strCache>
                      <c:ptCount val="1"/>
                      <c:pt idx="0">
                        <c:v>Fitch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'EKPC Rating History'!$A$5:$A$26</c15:sqref>
                        </c15:formulaRef>
                      </c:ext>
                    </c:extLst>
                    <c:numCache>
                      <c:formatCode>m/d/yyyy</c:formatCode>
                      <c:ptCount val="22"/>
                      <c:pt idx="0">
                        <c:v>40847</c:v>
                      </c:pt>
                      <c:pt idx="1">
                        <c:v>40870</c:v>
                      </c:pt>
                      <c:pt idx="2">
                        <c:v>41211</c:v>
                      </c:pt>
                      <c:pt idx="3">
                        <c:v>41336</c:v>
                      </c:pt>
                      <c:pt idx="4">
                        <c:v>41337</c:v>
                      </c:pt>
                      <c:pt idx="5">
                        <c:v>41571</c:v>
                      </c:pt>
                      <c:pt idx="6">
                        <c:v>41572</c:v>
                      </c:pt>
                      <c:pt idx="7">
                        <c:v>41905</c:v>
                      </c:pt>
                      <c:pt idx="8">
                        <c:v>41906</c:v>
                      </c:pt>
                      <c:pt idx="9">
                        <c:v>41934</c:v>
                      </c:pt>
                      <c:pt idx="10">
                        <c:v>41935</c:v>
                      </c:pt>
                      <c:pt idx="11">
                        <c:v>42299</c:v>
                      </c:pt>
                      <c:pt idx="12">
                        <c:v>42347</c:v>
                      </c:pt>
                      <c:pt idx="13">
                        <c:v>42661</c:v>
                      </c:pt>
                      <c:pt idx="14">
                        <c:v>42662</c:v>
                      </c:pt>
                      <c:pt idx="15">
                        <c:v>42827</c:v>
                      </c:pt>
                      <c:pt idx="16">
                        <c:v>42828</c:v>
                      </c:pt>
                      <c:pt idx="17">
                        <c:v>43349</c:v>
                      </c:pt>
                      <c:pt idx="18">
                        <c:v>43305</c:v>
                      </c:pt>
                      <c:pt idx="19">
                        <c:v>43622</c:v>
                      </c:pt>
                      <c:pt idx="20">
                        <c:v>43623</c:v>
                      </c:pt>
                      <c:pt idx="21">
                        <c:v>44255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'EKPC Rating History'!$B$5:$B$26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1">
                        <c:v>0</c:v>
                      </c:pt>
                      <c:pt idx="2">
                        <c:v>0</c:v>
                      </c:pt>
                      <c:pt idx="6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4">
                        <c:v>0</c:v>
                      </c:pt>
                      <c:pt idx="17">
                        <c:v>0</c:v>
                      </c:pt>
                      <c:pt idx="20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9445-4FF9-BE23-BB68F9D30C20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History'!$C$4</c15:sqref>
                        </c15:formulaRef>
                      </c:ext>
                    </c:extLst>
                    <c:strCache>
                      <c:ptCount val="1"/>
                      <c:pt idx="0">
                        <c:v>Fitch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History'!$A$5:$A$24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40847</c:v>
                      </c:pt>
                      <c:pt idx="1">
                        <c:v>40870</c:v>
                      </c:pt>
                      <c:pt idx="2">
                        <c:v>41211</c:v>
                      </c:pt>
                      <c:pt idx="3">
                        <c:v>41336</c:v>
                      </c:pt>
                      <c:pt idx="4">
                        <c:v>41337</c:v>
                      </c:pt>
                      <c:pt idx="5">
                        <c:v>41571</c:v>
                      </c:pt>
                      <c:pt idx="6">
                        <c:v>41572</c:v>
                      </c:pt>
                      <c:pt idx="7">
                        <c:v>41905</c:v>
                      </c:pt>
                      <c:pt idx="8">
                        <c:v>41906</c:v>
                      </c:pt>
                      <c:pt idx="9">
                        <c:v>41934</c:v>
                      </c:pt>
                      <c:pt idx="10">
                        <c:v>41935</c:v>
                      </c:pt>
                      <c:pt idx="11">
                        <c:v>42299</c:v>
                      </c:pt>
                      <c:pt idx="12">
                        <c:v>42347</c:v>
                      </c:pt>
                      <c:pt idx="13">
                        <c:v>42661</c:v>
                      </c:pt>
                      <c:pt idx="14">
                        <c:v>42662</c:v>
                      </c:pt>
                      <c:pt idx="15">
                        <c:v>42827</c:v>
                      </c:pt>
                      <c:pt idx="16">
                        <c:v>42828</c:v>
                      </c:pt>
                      <c:pt idx="17">
                        <c:v>43349</c:v>
                      </c:pt>
                      <c:pt idx="18">
                        <c:v>43305</c:v>
                      </c:pt>
                      <c:pt idx="19">
                        <c:v>43622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History'!$C$5:$C$24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1">
                        <c:v>0</c:v>
                      </c:pt>
                      <c:pt idx="2">
                        <c:v>0</c:v>
                      </c:pt>
                      <c:pt idx="6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4">
                        <c:v>0</c:v>
                      </c:pt>
                      <c:pt idx="17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445-4FF9-BE23-BB68F9D30C20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History'!$E$4</c15:sqref>
                        </c15:formulaRef>
                      </c:ext>
                    </c:extLst>
                    <c:strCache>
                      <c:ptCount val="1"/>
                      <c:pt idx="0">
                        <c:v>S&amp;P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History'!$A$5:$A$24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40847</c:v>
                      </c:pt>
                      <c:pt idx="1">
                        <c:v>40870</c:v>
                      </c:pt>
                      <c:pt idx="2">
                        <c:v>41211</c:v>
                      </c:pt>
                      <c:pt idx="3">
                        <c:v>41336</c:v>
                      </c:pt>
                      <c:pt idx="4">
                        <c:v>41337</c:v>
                      </c:pt>
                      <c:pt idx="5">
                        <c:v>41571</c:v>
                      </c:pt>
                      <c:pt idx="6">
                        <c:v>41572</c:v>
                      </c:pt>
                      <c:pt idx="7">
                        <c:v>41905</c:v>
                      </c:pt>
                      <c:pt idx="8">
                        <c:v>41906</c:v>
                      </c:pt>
                      <c:pt idx="9">
                        <c:v>41934</c:v>
                      </c:pt>
                      <c:pt idx="10">
                        <c:v>41935</c:v>
                      </c:pt>
                      <c:pt idx="11">
                        <c:v>42299</c:v>
                      </c:pt>
                      <c:pt idx="12">
                        <c:v>42347</c:v>
                      </c:pt>
                      <c:pt idx="13">
                        <c:v>42661</c:v>
                      </c:pt>
                      <c:pt idx="14">
                        <c:v>42662</c:v>
                      </c:pt>
                      <c:pt idx="15">
                        <c:v>42827</c:v>
                      </c:pt>
                      <c:pt idx="16">
                        <c:v>42828</c:v>
                      </c:pt>
                      <c:pt idx="17">
                        <c:v>43349</c:v>
                      </c:pt>
                      <c:pt idx="18">
                        <c:v>43305</c:v>
                      </c:pt>
                      <c:pt idx="19">
                        <c:v>43622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History'!$E$5:$E$24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4">
                        <c:v>0</c:v>
                      </c:pt>
                      <c:pt idx="8">
                        <c:v>0</c:v>
                      </c:pt>
                      <c:pt idx="12">
                        <c:v>0</c:v>
                      </c:pt>
                      <c:pt idx="16">
                        <c:v>0</c:v>
                      </c:pt>
                      <c:pt idx="18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445-4FF9-BE23-BB68F9D30C20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History'!$F$4</c15:sqref>
                        </c15:formulaRef>
                      </c:ext>
                    </c:extLst>
                    <c:strCache>
                      <c:ptCount val="1"/>
                      <c:pt idx="0">
                        <c:v>S&amp;P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History'!$A$5:$A$24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40847</c:v>
                      </c:pt>
                      <c:pt idx="1">
                        <c:v>40870</c:v>
                      </c:pt>
                      <c:pt idx="2">
                        <c:v>41211</c:v>
                      </c:pt>
                      <c:pt idx="3">
                        <c:v>41336</c:v>
                      </c:pt>
                      <c:pt idx="4">
                        <c:v>41337</c:v>
                      </c:pt>
                      <c:pt idx="5">
                        <c:v>41571</c:v>
                      </c:pt>
                      <c:pt idx="6">
                        <c:v>41572</c:v>
                      </c:pt>
                      <c:pt idx="7">
                        <c:v>41905</c:v>
                      </c:pt>
                      <c:pt idx="8">
                        <c:v>41906</c:v>
                      </c:pt>
                      <c:pt idx="9">
                        <c:v>41934</c:v>
                      </c:pt>
                      <c:pt idx="10">
                        <c:v>41935</c:v>
                      </c:pt>
                      <c:pt idx="11">
                        <c:v>42299</c:v>
                      </c:pt>
                      <c:pt idx="12">
                        <c:v>42347</c:v>
                      </c:pt>
                      <c:pt idx="13">
                        <c:v>42661</c:v>
                      </c:pt>
                      <c:pt idx="14">
                        <c:v>42662</c:v>
                      </c:pt>
                      <c:pt idx="15">
                        <c:v>42827</c:v>
                      </c:pt>
                      <c:pt idx="16">
                        <c:v>42828</c:v>
                      </c:pt>
                      <c:pt idx="17">
                        <c:v>43349</c:v>
                      </c:pt>
                      <c:pt idx="18">
                        <c:v>43305</c:v>
                      </c:pt>
                      <c:pt idx="19">
                        <c:v>43622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History'!$F$5:$F$24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4">
                        <c:v>0</c:v>
                      </c:pt>
                      <c:pt idx="8">
                        <c:v>0</c:v>
                      </c:pt>
                      <c:pt idx="12">
                        <c:v>0</c:v>
                      </c:pt>
                      <c:pt idx="16">
                        <c:v>0</c:v>
                      </c:pt>
                      <c:pt idx="18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445-4FF9-BE23-BB68F9D30C20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History'!$H$4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History'!$A$5:$A$24</c15:sqref>
                        </c15:formulaRef>
                      </c:ext>
                    </c:extLst>
                    <c:numCache>
                      <c:formatCode>m/d/yyyy</c:formatCode>
                      <c:ptCount val="20"/>
                      <c:pt idx="0">
                        <c:v>40847</c:v>
                      </c:pt>
                      <c:pt idx="1">
                        <c:v>40870</c:v>
                      </c:pt>
                      <c:pt idx="2">
                        <c:v>41211</c:v>
                      </c:pt>
                      <c:pt idx="3">
                        <c:v>41336</c:v>
                      </c:pt>
                      <c:pt idx="4">
                        <c:v>41337</c:v>
                      </c:pt>
                      <c:pt idx="5">
                        <c:v>41571</c:v>
                      </c:pt>
                      <c:pt idx="6">
                        <c:v>41572</c:v>
                      </c:pt>
                      <c:pt idx="7">
                        <c:v>41905</c:v>
                      </c:pt>
                      <c:pt idx="8">
                        <c:v>41906</c:v>
                      </c:pt>
                      <c:pt idx="9">
                        <c:v>41934</c:v>
                      </c:pt>
                      <c:pt idx="10">
                        <c:v>41935</c:v>
                      </c:pt>
                      <c:pt idx="11">
                        <c:v>42299</c:v>
                      </c:pt>
                      <c:pt idx="12">
                        <c:v>42347</c:v>
                      </c:pt>
                      <c:pt idx="13">
                        <c:v>42661</c:v>
                      </c:pt>
                      <c:pt idx="14">
                        <c:v>42662</c:v>
                      </c:pt>
                      <c:pt idx="15">
                        <c:v>42827</c:v>
                      </c:pt>
                      <c:pt idx="16">
                        <c:v>42828</c:v>
                      </c:pt>
                      <c:pt idx="17">
                        <c:v>43349</c:v>
                      </c:pt>
                      <c:pt idx="18">
                        <c:v>43305</c:v>
                      </c:pt>
                      <c:pt idx="19">
                        <c:v>43622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'EKPC Rating History'!$H$5:$H$24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4">
                        <c:v>0</c:v>
                      </c:pt>
                      <c:pt idx="6">
                        <c:v>0</c:v>
                      </c:pt>
                      <c:pt idx="8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4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445-4FF9-BE23-BB68F9D30C20}"/>
                  </c:ext>
                </c:extLst>
              </c15:ser>
            </c15:filteredScatterSeries>
          </c:ext>
        </c:extLst>
      </c:scatterChart>
      <c:valAx>
        <c:axId val="652069800"/>
        <c:scaling>
          <c:orientation val="minMax"/>
          <c:max val="44260"/>
          <c:min val="40543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  <a:alpha val="80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[$-409]mmm\-yyyy;@" sourceLinked="0"/>
        <c:majorTickMark val="out"/>
        <c:minorTickMark val="out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67832"/>
        <c:crosses val="autoZero"/>
        <c:crossBetween val="midCat"/>
        <c:majorUnit val="365.3"/>
      </c:valAx>
      <c:valAx>
        <c:axId val="652067832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69800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650875</xdr:colOff>
      <xdr:row>56</xdr:row>
      <xdr:rowOff>128586</xdr:rowOff>
    </xdr:from>
    <xdr:to>
      <xdr:col>28</xdr:col>
      <xdr:colOff>246063</xdr:colOff>
      <xdr:row>80</xdr:row>
      <xdr:rowOff>103187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0.07595</cdr:x>
      <cdr:y>0.83613</cdr:y>
    </cdr:from>
    <cdr:to>
      <cdr:x>0.94937</cdr:x>
      <cdr:y>0.91044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250" y="3482976"/>
          <a:ext cx="5476875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Avg</a:t>
          </a:r>
          <a:r>
            <a:rPr lang="en-US" sz="1100" baseline="0"/>
            <a:t>. Rating:</a:t>
          </a:r>
          <a:r>
            <a:rPr lang="en-US" sz="1100"/>
            <a:t>         AA          AA-           A+</a:t>
          </a:r>
          <a:r>
            <a:rPr lang="en-US" sz="1100" baseline="0"/>
            <a:t>               A              A-          BBB+         BBB        BBB-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342898</xdr:colOff>
      <xdr:row>27</xdr:row>
      <xdr:rowOff>176646</xdr:rowOff>
    </xdr:from>
    <xdr:to>
      <xdr:col>19</xdr:col>
      <xdr:colOff>281940</xdr:colOff>
      <xdr:row>58</xdr:row>
      <xdr:rowOff>53974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0.02654</cdr:x>
      <cdr:y>0.72752</cdr:y>
    </cdr:from>
    <cdr:to>
      <cdr:x>0.11263</cdr:x>
      <cdr:y>0.7861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4069080"/>
          <a:ext cx="914400" cy="327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BBB</a:t>
          </a:r>
        </a:p>
      </cdr:txBody>
    </cdr:sp>
  </cdr:relSizeAnchor>
  <cdr:relSizeAnchor xmlns:cdr="http://schemas.openxmlformats.org/drawingml/2006/chartDrawing">
    <cdr:from>
      <cdr:x>0.02439</cdr:x>
      <cdr:y>0.57357</cdr:y>
    </cdr:from>
    <cdr:to>
      <cdr:x>0.11047</cdr:x>
      <cdr:y>0.61989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59080" y="3208020"/>
          <a:ext cx="9144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>
              <a:effectLst/>
              <a:latin typeface="+mn-lt"/>
              <a:ea typeface="+mn-ea"/>
              <a:cs typeface="+mn-cs"/>
            </a:rPr>
            <a:t>BBB+</a:t>
          </a:r>
          <a:endParaRPr lang="en-US" sz="2400">
            <a:effectLst/>
          </a:endParaRPr>
        </a:p>
        <a:p xmlns:a="http://schemas.openxmlformats.org/drawingml/2006/main">
          <a:endParaRPr lang="en-US" sz="2400"/>
        </a:p>
      </cdr:txBody>
    </cdr:sp>
  </cdr:relSizeAnchor>
  <cdr:relSizeAnchor xmlns:cdr="http://schemas.openxmlformats.org/drawingml/2006/chartDrawing">
    <cdr:from>
      <cdr:x>0.03587</cdr:x>
      <cdr:y>0.41281</cdr:y>
    </cdr:from>
    <cdr:to>
      <cdr:x>0.12195</cdr:x>
      <cdr:y>0.46866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1000" y="2308860"/>
          <a:ext cx="91440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A-</a:t>
          </a:r>
        </a:p>
      </cdr:txBody>
    </cdr:sp>
  </cdr:relSizeAnchor>
  <cdr:relSizeAnchor xmlns:cdr="http://schemas.openxmlformats.org/drawingml/2006/chartDrawing">
    <cdr:from>
      <cdr:x>0.0373</cdr:x>
      <cdr:y>0.25613</cdr:y>
    </cdr:from>
    <cdr:to>
      <cdr:x>0.10976</cdr:x>
      <cdr:y>0.31744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96240" y="1432560"/>
          <a:ext cx="76962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A</a:t>
          </a:r>
        </a:p>
      </cdr:txBody>
    </cdr:sp>
  </cdr:relSizeAnchor>
  <cdr:relSizeAnchor xmlns:cdr="http://schemas.openxmlformats.org/drawingml/2006/chartDrawing">
    <cdr:from>
      <cdr:x>0</cdr:x>
      <cdr:y>0.65531</cdr:y>
    </cdr:from>
    <cdr:to>
      <cdr:x>0.08608</cdr:x>
      <cdr:y>0.70572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3665220"/>
          <a:ext cx="91440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BBB (positive)</a:t>
          </a:r>
        </a:p>
      </cdr:txBody>
    </cdr:sp>
  </cdr:relSizeAnchor>
  <cdr:relSizeAnchor xmlns:cdr="http://schemas.openxmlformats.org/drawingml/2006/chartDrawing">
    <cdr:from>
      <cdr:x>0</cdr:x>
      <cdr:y>0.49455</cdr:y>
    </cdr:from>
    <cdr:to>
      <cdr:x>0.07747</cdr:x>
      <cdr:y>0.55177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0" y="2766060"/>
          <a:ext cx="82296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BBB+</a:t>
          </a:r>
          <a:r>
            <a:rPr lang="en-US" sz="1600" b="1" baseline="0"/>
            <a:t> (positive)</a:t>
          </a:r>
          <a:endParaRPr lang="en-US" sz="16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"/>
  <sheetViews>
    <sheetView tabSelected="1" topLeftCell="A8" zoomScaleNormal="100" workbookViewId="0">
      <selection activeCell="AA23" sqref="AA23"/>
    </sheetView>
  </sheetViews>
  <sheetFormatPr defaultColWidth="15.59765625" defaultRowHeight="13.8" x14ac:dyDescent="0.25"/>
  <cols>
    <col min="1" max="1" width="41.09765625" style="5" customWidth="1"/>
    <col min="2" max="2" width="10.3984375" style="5" customWidth="1"/>
    <col min="3" max="3" width="12.59765625" style="5" hidden="1" customWidth="1"/>
    <col min="4" max="5" width="10.296875" style="5" customWidth="1"/>
    <col min="6" max="6" width="18" style="5" hidden="1" customWidth="1"/>
    <col min="7" max="7" width="17.5" style="5" hidden="1" customWidth="1"/>
    <col min="8" max="13" width="0" style="5" hidden="1" customWidth="1"/>
    <col min="14" max="14" width="1.69921875" style="5" customWidth="1"/>
    <col min="15" max="15" width="11.5" style="5" customWidth="1"/>
    <col min="16" max="16" width="1.69921875" style="5" customWidth="1"/>
    <col min="17" max="19" width="15.59765625" style="5" hidden="1" customWidth="1"/>
    <col min="20" max="20" width="11.5" style="5" customWidth="1"/>
    <col min="21" max="21" width="1.69921875" style="5" customWidth="1"/>
    <col min="22" max="22" width="15.59765625" style="5" hidden="1" customWidth="1"/>
    <col min="23" max="24" width="0" style="5" hidden="1" customWidth="1"/>
    <col min="25" max="25" width="11.5" style="5" customWidth="1"/>
    <col min="26" max="26" width="1.296875" style="5" customWidth="1"/>
    <col min="27" max="27" width="15.69921875" style="5" customWidth="1"/>
    <col min="28" max="31" width="0" style="5" hidden="1" customWidth="1"/>
    <col min="32" max="32" width="0" hidden="1" customWidth="1"/>
    <col min="33" max="59" width="0" style="5" hidden="1" customWidth="1"/>
    <col min="60" max="16384" width="15.59765625" style="5"/>
  </cols>
  <sheetData>
    <row r="1" spans="1:52" hidden="1" x14ac:dyDescent="0.25"/>
    <row r="2" spans="1:52" hidden="1" x14ac:dyDescent="0.25">
      <c r="A2" s="5" t="s">
        <v>58</v>
      </c>
    </row>
    <row r="3" spans="1:52" hidden="1" x14ac:dyDescent="0.25">
      <c r="A3" s="5" t="s">
        <v>59</v>
      </c>
    </row>
    <row r="4" spans="1:52" hidden="1" x14ac:dyDescent="0.25">
      <c r="A4" s="5" t="s">
        <v>63</v>
      </c>
    </row>
    <row r="5" spans="1:52" hidden="1" x14ac:dyDescent="0.25">
      <c r="A5" s="5" t="s">
        <v>65</v>
      </c>
    </row>
    <row r="6" spans="1:52" hidden="1" x14ac:dyDescent="0.25">
      <c r="A6" s="5" t="s">
        <v>70</v>
      </c>
    </row>
    <row r="7" spans="1:52" hidden="1" x14ac:dyDescent="0.25">
      <c r="A7" s="5" t="s">
        <v>71</v>
      </c>
    </row>
    <row r="8" spans="1:52" x14ac:dyDescent="0.25">
      <c r="AA8" s="5" t="s">
        <v>132</v>
      </c>
    </row>
    <row r="9" spans="1:52" x14ac:dyDescent="0.25">
      <c r="A9" s="38" t="s">
        <v>103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1" spans="1:52" x14ac:dyDescent="0.25">
      <c r="C11" s="5" t="s">
        <v>56</v>
      </c>
      <c r="J11" s="5" t="s">
        <v>61</v>
      </c>
      <c r="K11" s="5" t="s">
        <v>61</v>
      </c>
      <c r="L11" s="5" t="s">
        <v>62</v>
      </c>
      <c r="M11" s="5" t="s">
        <v>62</v>
      </c>
      <c r="AI11" s="5" t="s">
        <v>74</v>
      </c>
      <c r="AJ11" s="6" t="s">
        <v>82</v>
      </c>
    </row>
    <row r="12" spans="1:52" x14ac:dyDescent="0.25">
      <c r="A12" s="3"/>
      <c r="B12" s="39" t="s">
        <v>102</v>
      </c>
      <c r="C12" s="40"/>
      <c r="D12" s="40"/>
      <c r="E12" s="41"/>
      <c r="F12" s="14"/>
      <c r="G12" s="39" t="s">
        <v>2</v>
      </c>
      <c r="H12" s="40"/>
      <c r="I12" s="41"/>
      <c r="J12" s="3" t="s">
        <v>49</v>
      </c>
      <c r="K12" s="3" t="s">
        <v>50</v>
      </c>
      <c r="L12" s="3" t="s">
        <v>49</v>
      </c>
      <c r="M12" s="3" t="s">
        <v>50</v>
      </c>
      <c r="N12" s="3"/>
      <c r="O12" s="16">
        <v>43830</v>
      </c>
      <c r="P12" s="3"/>
      <c r="Q12" s="3">
        <v>2019</v>
      </c>
      <c r="R12" s="3">
        <v>2018</v>
      </c>
      <c r="S12" s="3">
        <v>2017</v>
      </c>
      <c r="T12" s="3" t="s">
        <v>106</v>
      </c>
      <c r="U12" s="3"/>
      <c r="V12" s="3" t="s">
        <v>1</v>
      </c>
      <c r="W12" s="3" t="s">
        <v>1</v>
      </c>
      <c r="X12" s="3" t="s">
        <v>1</v>
      </c>
      <c r="Y12" s="3" t="s">
        <v>106</v>
      </c>
      <c r="Z12" s="3"/>
      <c r="AA12" s="3"/>
      <c r="AC12" s="11" t="s">
        <v>69</v>
      </c>
      <c r="AD12" s="11" t="s">
        <v>69</v>
      </c>
      <c r="AE12" s="11" t="s">
        <v>69</v>
      </c>
      <c r="AF12" s="11" t="s">
        <v>69</v>
      </c>
      <c r="AG12" s="11" t="s">
        <v>69</v>
      </c>
    </row>
    <row r="13" spans="1:52" ht="14.4" thickBot="1" x14ac:dyDescent="0.3">
      <c r="A13" s="9" t="s">
        <v>0</v>
      </c>
      <c r="B13" s="9" t="s">
        <v>3</v>
      </c>
      <c r="C13" s="9" t="s">
        <v>53</v>
      </c>
      <c r="D13" s="9" t="s">
        <v>4</v>
      </c>
      <c r="E13" s="9" t="s">
        <v>5</v>
      </c>
      <c r="F13" s="9" t="s">
        <v>60</v>
      </c>
      <c r="G13" s="9" t="s">
        <v>55</v>
      </c>
      <c r="H13" s="9" t="s">
        <v>4</v>
      </c>
      <c r="I13" s="9" t="s">
        <v>5</v>
      </c>
      <c r="J13" s="10"/>
      <c r="K13" s="10"/>
      <c r="L13" s="3"/>
      <c r="M13" s="3"/>
      <c r="N13" s="3"/>
      <c r="O13" s="3" t="s">
        <v>83</v>
      </c>
      <c r="P13" s="3"/>
      <c r="Q13" s="3" t="s">
        <v>86</v>
      </c>
      <c r="R13" s="3" t="s">
        <v>86</v>
      </c>
      <c r="S13" s="3" t="s">
        <v>86</v>
      </c>
      <c r="T13" s="3" t="s">
        <v>104</v>
      </c>
      <c r="U13" s="3"/>
      <c r="V13" s="3">
        <v>2019</v>
      </c>
      <c r="W13" s="3">
        <v>2018</v>
      </c>
      <c r="X13" s="3">
        <v>2017</v>
      </c>
      <c r="Y13" s="3" t="s">
        <v>105</v>
      </c>
      <c r="Z13" s="3"/>
      <c r="AA13" s="3" t="s">
        <v>98</v>
      </c>
      <c r="AB13" s="5" t="s">
        <v>66</v>
      </c>
      <c r="AC13" s="5" t="s">
        <v>77</v>
      </c>
      <c r="AD13" s="5" t="s">
        <v>68</v>
      </c>
      <c r="AE13" s="5" t="s">
        <v>67</v>
      </c>
      <c r="AF13" s="5" t="s">
        <v>72</v>
      </c>
      <c r="AG13" s="5" t="s">
        <v>73</v>
      </c>
      <c r="AI13" s="5" t="s">
        <v>75</v>
      </c>
      <c r="AJ13" s="5" t="s">
        <v>76</v>
      </c>
      <c r="AK13" s="5" t="s">
        <v>67</v>
      </c>
      <c r="AL13" s="5" t="s">
        <v>78</v>
      </c>
      <c r="AM13" s="5" t="s">
        <v>79</v>
      </c>
      <c r="AN13" s="5" t="s">
        <v>72</v>
      </c>
      <c r="AO13" s="5" t="s">
        <v>80</v>
      </c>
      <c r="AP13" s="5" t="s">
        <v>81</v>
      </c>
      <c r="AQ13" s="5" t="s">
        <v>73</v>
      </c>
      <c r="AR13" s="5" t="s">
        <v>87</v>
      </c>
      <c r="AS13" s="5" t="s">
        <v>88</v>
      </c>
      <c r="AT13" s="5" t="s">
        <v>89</v>
      </c>
      <c r="AU13" s="5" t="s">
        <v>90</v>
      </c>
      <c r="AV13" s="5" t="s">
        <v>91</v>
      </c>
      <c r="AW13" s="5" t="s">
        <v>92</v>
      </c>
      <c r="AX13" s="5" t="s">
        <v>94</v>
      </c>
      <c r="AY13" s="5" t="s">
        <v>95</v>
      </c>
      <c r="AZ13" s="5" t="s">
        <v>96</v>
      </c>
    </row>
    <row r="14" spans="1:52" x14ac:dyDescent="0.25">
      <c r="A14" s="5" t="s">
        <v>8</v>
      </c>
      <c r="B14" s="3"/>
      <c r="C14" s="3"/>
      <c r="D14" s="3" t="s">
        <v>10</v>
      </c>
      <c r="E14" s="3" t="s">
        <v>10</v>
      </c>
      <c r="F14" s="3"/>
      <c r="H14" s="5">
        <v>5</v>
      </c>
      <c r="I14" s="5">
        <v>5</v>
      </c>
      <c r="J14" s="5" t="str">
        <f t="shared" ref="J14:J42" si="0">IF(AND(F14&lt;&gt;"",H14&lt;&gt;""),(H14-F14),"")</f>
        <v/>
      </c>
      <c r="K14" s="5" t="str">
        <f t="shared" ref="K14:K42" si="1">IF(AND(F14&lt;&gt;"",I14&lt;&gt;""),(I14-F14),"")</f>
        <v/>
      </c>
      <c r="L14" s="5" t="str">
        <f t="shared" ref="L14:L42" si="2">IF(AND(G14&lt;&gt;"",H14&lt;&gt;""),(H14-G14),"")</f>
        <v/>
      </c>
      <c r="M14" s="5" t="str">
        <f t="shared" ref="M14:M42" si="3">IF(AND(G14&lt;&gt;"",I14&lt;&gt;""),(I14-G14),"")</f>
        <v/>
      </c>
      <c r="O14" s="7">
        <f>AC14</f>
        <v>0.40200000000000002</v>
      </c>
      <c r="Q14" s="13">
        <v>1.29</v>
      </c>
      <c r="R14" s="13">
        <v>1.22</v>
      </c>
      <c r="S14" s="13">
        <v>1.23</v>
      </c>
      <c r="T14" s="13">
        <f>AVERAGE(Q14:S14)</f>
        <v>1.2466666666666666</v>
      </c>
      <c r="U14" s="13"/>
      <c r="V14" s="13">
        <f>IF(AE14&lt;&gt;"",AE14,AK14)</f>
        <v>1.7</v>
      </c>
      <c r="W14" s="13">
        <f>IF(AF14&lt;&gt;"",AF14,AN14)</f>
        <v>1.92</v>
      </c>
      <c r="X14" s="13">
        <f>IF(AG14&lt;&gt;"",AG14,AQ14)</f>
        <v>1.84</v>
      </c>
      <c r="Y14" s="13">
        <f>AVERAGE(V14:X14)</f>
        <v>1.82</v>
      </c>
      <c r="Z14" s="13"/>
      <c r="AA14" s="4" t="s">
        <v>7</v>
      </c>
      <c r="AB14" s="5">
        <f t="shared" ref="AB14:AB43" si="4">AVERAGE(F14,H14,I14)</f>
        <v>5</v>
      </c>
      <c r="AC14" s="7">
        <v>0.40200000000000002</v>
      </c>
      <c r="AD14" s="13">
        <v>1.72</v>
      </c>
      <c r="AE14" s="13">
        <v>1.7</v>
      </c>
      <c r="AF14" s="13">
        <v>1.92</v>
      </c>
      <c r="AG14" s="13">
        <v>1.84</v>
      </c>
    </row>
    <row r="15" spans="1:52" x14ac:dyDescent="0.25">
      <c r="A15" s="5" t="s">
        <v>11</v>
      </c>
      <c r="B15" s="3" t="s">
        <v>14</v>
      </c>
      <c r="C15" s="2" t="s">
        <v>51</v>
      </c>
      <c r="D15" s="3" t="s">
        <v>13</v>
      </c>
      <c r="E15" s="3" t="s">
        <v>12</v>
      </c>
      <c r="F15" s="3">
        <f>G15-1</f>
        <v>3</v>
      </c>
      <c r="G15" s="5">
        <v>4</v>
      </c>
      <c r="H15" s="5">
        <v>3</v>
      </c>
      <c r="I15" s="5">
        <v>2</v>
      </c>
      <c r="J15" s="5">
        <f t="shared" si="0"/>
        <v>0</v>
      </c>
      <c r="K15" s="5">
        <f t="shared" si="1"/>
        <v>-1</v>
      </c>
      <c r="L15" s="5">
        <f t="shared" si="2"/>
        <v>-1</v>
      </c>
      <c r="M15" s="5">
        <f t="shared" si="3"/>
        <v>-2</v>
      </c>
      <c r="O15" s="7">
        <f t="shared" ref="O15:O43" si="5">AC15</f>
        <v>0.35320000000000001</v>
      </c>
      <c r="Q15" s="13">
        <v>1.78</v>
      </c>
      <c r="R15" s="13">
        <v>1.88</v>
      </c>
      <c r="S15" s="13">
        <v>2.0099999999999998</v>
      </c>
      <c r="T15" s="13">
        <f t="shared" ref="T15:T43" si="6">AVERAGE(Q15:S15)</f>
        <v>1.89</v>
      </c>
      <c r="U15" s="13"/>
      <c r="V15" s="13">
        <f t="shared" ref="V15:V43" si="7">IF(AE15&lt;&gt;"",AE15,AK15)</f>
        <v>1.74</v>
      </c>
      <c r="W15" s="13">
        <f t="shared" ref="W15:W43" si="8">IF(AF15&lt;&gt;"",AF15,AN15)</f>
        <v>2.23</v>
      </c>
      <c r="X15" s="13">
        <f t="shared" ref="X15:X43" si="9">IF(AG15&lt;&gt;"",AG15,AQ15)</f>
        <v>2.14</v>
      </c>
      <c r="Y15" s="13">
        <f t="shared" ref="Y15:Y43" si="10">AVERAGE(V15:X15)</f>
        <v>2.0366666666666666</v>
      </c>
      <c r="Z15" s="13"/>
      <c r="AA15" s="4" t="s">
        <v>7</v>
      </c>
      <c r="AB15" s="5">
        <f t="shared" si="4"/>
        <v>2.6666666666666665</v>
      </c>
      <c r="AC15" s="7">
        <v>0.35320000000000001</v>
      </c>
      <c r="AD15" s="13">
        <v>1.74</v>
      </c>
      <c r="AE15" s="13">
        <v>1.74</v>
      </c>
      <c r="AF15" s="13">
        <v>2.23</v>
      </c>
      <c r="AG15" s="13">
        <v>2.14</v>
      </c>
    </row>
    <row r="16" spans="1:52" x14ac:dyDescent="0.25">
      <c r="A16" s="5" t="s">
        <v>15</v>
      </c>
      <c r="B16" s="3" t="s">
        <v>14</v>
      </c>
      <c r="C16" s="3" t="s">
        <v>51</v>
      </c>
      <c r="D16" s="3" t="s">
        <v>13</v>
      </c>
      <c r="E16" s="3" t="s">
        <v>12</v>
      </c>
      <c r="F16" s="3">
        <f>G16-1</f>
        <v>3</v>
      </c>
      <c r="G16" s="5">
        <v>4</v>
      </c>
      <c r="H16" s="5">
        <v>3</v>
      </c>
      <c r="I16" s="5">
        <v>2</v>
      </c>
      <c r="J16" s="5">
        <f t="shared" si="0"/>
        <v>0</v>
      </c>
      <c r="K16" s="5">
        <f t="shared" si="1"/>
        <v>-1</v>
      </c>
      <c r="L16" s="5">
        <f t="shared" si="2"/>
        <v>-1</v>
      </c>
      <c r="M16" s="5">
        <f t="shared" si="3"/>
        <v>-2</v>
      </c>
      <c r="O16" s="7">
        <f t="shared" si="5"/>
        <v>0.23780000000000001</v>
      </c>
      <c r="Q16" s="13">
        <v>1.38</v>
      </c>
      <c r="R16" s="13">
        <v>1.27</v>
      </c>
      <c r="S16" s="13">
        <v>1.37</v>
      </c>
      <c r="T16" s="13">
        <f t="shared" si="6"/>
        <v>1.3399999999999999</v>
      </c>
      <c r="U16" s="13"/>
      <c r="V16" s="13">
        <f t="shared" si="7"/>
        <v>1.66</v>
      </c>
      <c r="W16" s="13">
        <f t="shared" si="8"/>
        <v>1.66</v>
      </c>
      <c r="X16" s="13">
        <f t="shared" si="9"/>
        <v>1.53</v>
      </c>
      <c r="Y16" s="13">
        <f t="shared" si="10"/>
        <v>1.6166666666666665</v>
      </c>
      <c r="Z16" s="13"/>
      <c r="AA16" s="5" t="s">
        <v>6</v>
      </c>
      <c r="AB16" s="5">
        <f t="shared" si="4"/>
        <v>2.6666666666666665</v>
      </c>
      <c r="AC16" s="7">
        <v>0.23780000000000001</v>
      </c>
      <c r="AD16" s="13">
        <v>1.66</v>
      </c>
      <c r="AE16" s="13">
        <v>1.66</v>
      </c>
      <c r="AF16" s="13">
        <v>1.66</v>
      </c>
      <c r="AG16" s="13">
        <v>1.53</v>
      </c>
    </row>
    <row r="17" spans="1:52" x14ac:dyDescent="0.25">
      <c r="A17" s="5" t="s">
        <v>16</v>
      </c>
      <c r="B17" s="3" t="s">
        <v>17</v>
      </c>
      <c r="C17" s="3" t="s">
        <v>33</v>
      </c>
      <c r="D17" s="3" t="s">
        <v>10</v>
      </c>
      <c r="E17" s="3" t="s">
        <v>10</v>
      </c>
      <c r="F17" s="3">
        <f>G17-1</f>
        <v>6</v>
      </c>
      <c r="G17" s="5">
        <v>7</v>
      </c>
      <c r="H17" s="5">
        <v>5</v>
      </c>
      <c r="I17" s="5">
        <v>5</v>
      </c>
      <c r="J17" s="5">
        <f t="shared" si="0"/>
        <v>-1</v>
      </c>
      <c r="K17" s="5">
        <f t="shared" si="1"/>
        <v>-1</v>
      </c>
      <c r="L17" s="5">
        <f t="shared" si="2"/>
        <v>-2</v>
      </c>
      <c r="M17" s="5">
        <f t="shared" si="3"/>
        <v>-2</v>
      </c>
      <c r="O17" s="7">
        <f t="shared" si="5"/>
        <v>0.2135</v>
      </c>
      <c r="Q17" s="13">
        <f>AX17</f>
        <v>1.6147064638561441</v>
      </c>
      <c r="R17" s="13">
        <f t="shared" ref="R17:S17" si="11">AY17</f>
        <v>1.7694908770714244</v>
      </c>
      <c r="S17" s="13">
        <f t="shared" si="11"/>
        <v>1.8774237309904436</v>
      </c>
      <c r="T17" s="13">
        <f t="shared" si="6"/>
        <v>1.7538736906393373</v>
      </c>
      <c r="U17" s="13"/>
      <c r="V17" s="13">
        <f t="shared" si="7"/>
        <v>1.3624374565094934</v>
      </c>
      <c r="W17" s="13">
        <f t="shared" si="8"/>
        <v>1.3092085090072825</v>
      </c>
      <c r="X17" s="13">
        <f t="shared" si="9"/>
        <v>1.3647916088853029</v>
      </c>
      <c r="Y17" s="13">
        <f t="shared" si="10"/>
        <v>1.3454791914673596</v>
      </c>
      <c r="Z17" s="13"/>
      <c r="AA17" s="5" t="s">
        <v>6</v>
      </c>
      <c r="AB17" s="5">
        <f t="shared" si="4"/>
        <v>5.333333333333333</v>
      </c>
      <c r="AC17" s="7">
        <v>0.2135</v>
      </c>
      <c r="AD17" s="13">
        <v>1.3</v>
      </c>
      <c r="AE17" s="13"/>
      <c r="AF17" s="13"/>
      <c r="AG17" s="13"/>
      <c r="AI17" s="12">
        <v>76566</v>
      </c>
      <c r="AJ17" s="12">
        <f>198892+12361</f>
        <v>211253</v>
      </c>
      <c r="AK17" s="13">
        <f>(AI17+AJ17)/AJ17</f>
        <v>1.3624374565094934</v>
      </c>
      <c r="AL17" s="12">
        <v>64538</v>
      </c>
      <c r="AM17" s="12">
        <f>198354+10366</f>
        <v>208720</v>
      </c>
      <c r="AN17" s="13">
        <f>(AL17+AM17)/AM17</f>
        <v>1.3092085090072825</v>
      </c>
      <c r="AO17" s="12">
        <v>72340</v>
      </c>
      <c r="AP17" s="12">
        <f>190648+7657</f>
        <v>198305</v>
      </c>
      <c r="AQ17" s="13">
        <f>(AO17+AP17)/AP17</f>
        <v>1.3647916088853029</v>
      </c>
      <c r="AR17" s="8">
        <v>97278</v>
      </c>
      <c r="AS17" s="8">
        <v>68384</v>
      </c>
      <c r="AT17" s="8">
        <v>50846</v>
      </c>
      <c r="AU17" s="8">
        <v>210368</v>
      </c>
      <c r="AV17" s="8">
        <v>217075</v>
      </c>
      <c r="AW17" s="8">
        <v>197117</v>
      </c>
      <c r="AX17" s="13">
        <f>(AI17+AJ17+AU17)/(AJ17+AR17)</f>
        <v>1.6147064638561441</v>
      </c>
      <c r="AY17" s="13">
        <f>(AL17+AM17+AV17)/(AM17+AS17)</f>
        <v>1.7694908770714244</v>
      </c>
      <c r="AZ17" s="13">
        <f>(AO17+AP17+AW17)/(AP17+AT17)</f>
        <v>1.8774237309904436</v>
      </c>
    </row>
    <row r="18" spans="1:52" x14ac:dyDescent="0.25">
      <c r="A18" s="5" t="s">
        <v>18</v>
      </c>
      <c r="B18" s="3" t="s">
        <v>57</v>
      </c>
      <c r="C18" s="2" t="s">
        <v>54</v>
      </c>
      <c r="D18" s="3" t="s">
        <v>48</v>
      </c>
      <c r="E18" s="3" t="s">
        <v>64</v>
      </c>
      <c r="F18" s="3">
        <f>G18-1</f>
        <v>9</v>
      </c>
      <c r="G18" s="5">
        <v>10</v>
      </c>
      <c r="H18" s="5">
        <v>9</v>
      </c>
      <c r="I18" s="5">
        <v>10</v>
      </c>
      <c r="J18" s="5">
        <f t="shared" si="0"/>
        <v>0</v>
      </c>
      <c r="K18" s="5">
        <f t="shared" si="1"/>
        <v>1</v>
      </c>
      <c r="L18" s="5">
        <f t="shared" si="2"/>
        <v>-1</v>
      </c>
      <c r="M18" s="5">
        <f t="shared" si="3"/>
        <v>0</v>
      </c>
      <c r="O18" s="7">
        <f t="shared" si="5"/>
        <v>0.3871</v>
      </c>
      <c r="Q18" s="13">
        <v>1.63</v>
      </c>
      <c r="R18" s="13">
        <v>1.22</v>
      </c>
      <c r="S18" s="13">
        <v>1.22</v>
      </c>
      <c r="T18" s="13">
        <f t="shared" si="6"/>
        <v>1.3566666666666665</v>
      </c>
      <c r="U18" s="13"/>
      <c r="V18" s="13">
        <f t="shared" si="7"/>
        <v>1.45</v>
      </c>
      <c r="W18" s="13">
        <f t="shared" si="8"/>
        <v>1.39</v>
      </c>
      <c r="X18" s="13">
        <f t="shared" si="9"/>
        <v>1.32</v>
      </c>
      <c r="Y18" s="13">
        <f t="shared" si="10"/>
        <v>1.3866666666666667</v>
      </c>
      <c r="Z18" s="13"/>
      <c r="AA18" s="4" t="s">
        <v>7</v>
      </c>
      <c r="AB18" s="5">
        <f t="shared" si="4"/>
        <v>9.3333333333333339</v>
      </c>
      <c r="AC18" s="7">
        <v>0.3871</v>
      </c>
      <c r="AD18" s="13">
        <v>1.45</v>
      </c>
      <c r="AE18" s="13">
        <v>1.45</v>
      </c>
      <c r="AF18" s="13">
        <v>1.39</v>
      </c>
      <c r="AG18" s="13">
        <v>1.32</v>
      </c>
      <c r="AI18" s="12"/>
      <c r="AJ18" s="12"/>
      <c r="AK18" s="13"/>
      <c r="AL18" s="12"/>
      <c r="AM18" s="12"/>
      <c r="AN18" s="13"/>
      <c r="AO18" s="12"/>
      <c r="AP18" s="12"/>
      <c r="AQ18" s="13"/>
    </row>
    <row r="19" spans="1:52" x14ac:dyDescent="0.25">
      <c r="A19" s="5" t="s">
        <v>19</v>
      </c>
      <c r="B19" s="3"/>
      <c r="C19" s="3"/>
      <c r="D19" s="3" t="s">
        <v>23</v>
      </c>
      <c r="E19" s="3" t="s">
        <v>10</v>
      </c>
      <c r="F19" s="3"/>
      <c r="H19" s="5">
        <v>4</v>
      </c>
      <c r="I19" s="5">
        <v>5</v>
      </c>
      <c r="J19" s="5" t="str">
        <f t="shared" si="0"/>
        <v/>
      </c>
      <c r="K19" s="5" t="str">
        <f t="shared" si="1"/>
        <v/>
      </c>
      <c r="L19" s="5" t="str">
        <f t="shared" si="2"/>
        <v/>
      </c>
      <c r="M19" s="5" t="str">
        <f t="shared" si="3"/>
        <v/>
      </c>
      <c r="O19" s="7">
        <f t="shared" si="5"/>
        <v>0.25130000000000002</v>
      </c>
      <c r="Q19" s="13">
        <v>1.25</v>
      </c>
      <c r="R19" s="13">
        <v>1.23</v>
      </c>
      <c r="S19" s="13">
        <v>1.2</v>
      </c>
      <c r="T19" s="13">
        <f t="shared" si="6"/>
        <v>1.2266666666666666</v>
      </c>
      <c r="U19" s="13"/>
      <c r="V19" s="13">
        <f t="shared" si="7"/>
        <v>1.62</v>
      </c>
      <c r="W19" s="13">
        <f t="shared" si="8"/>
        <v>1.59</v>
      </c>
      <c r="X19" s="13">
        <f t="shared" si="9"/>
        <v>1.56</v>
      </c>
      <c r="Y19" s="13">
        <f t="shared" si="10"/>
        <v>1.5899999999999999</v>
      </c>
      <c r="Z19" s="13"/>
      <c r="AA19" s="5" t="s">
        <v>97</v>
      </c>
      <c r="AB19" s="5">
        <f t="shared" si="4"/>
        <v>4.5</v>
      </c>
      <c r="AC19" s="7">
        <v>0.25130000000000002</v>
      </c>
      <c r="AD19" s="13">
        <v>1.84</v>
      </c>
      <c r="AE19" s="13">
        <v>1.62</v>
      </c>
      <c r="AF19" s="13">
        <v>1.59</v>
      </c>
      <c r="AG19" s="13">
        <v>1.56</v>
      </c>
      <c r="AI19" s="12"/>
      <c r="AJ19" s="12"/>
      <c r="AK19" s="13"/>
      <c r="AL19" s="12"/>
      <c r="AM19" s="12"/>
      <c r="AN19" s="13"/>
      <c r="AO19" s="12"/>
      <c r="AP19" s="12"/>
      <c r="AQ19" s="13"/>
    </row>
    <row r="20" spans="1:52" x14ac:dyDescent="0.25">
      <c r="A20" s="5" t="s">
        <v>20</v>
      </c>
      <c r="B20" s="3" t="s">
        <v>21</v>
      </c>
      <c r="C20" s="3" t="s">
        <v>17</v>
      </c>
      <c r="D20" s="3" t="s">
        <v>10</v>
      </c>
      <c r="E20" s="3" t="s">
        <v>10</v>
      </c>
      <c r="F20" s="3">
        <f>G20-1</f>
        <v>5</v>
      </c>
      <c r="G20" s="5">
        <v>6</v>
      </c>
      <c r="H20" s="5">
        <v>5</v>
      </c>
      <c r="I20" s="5">
        <v>5</v>
      </c>
      <c r="J20" s="5">
        <f t="shared" si="0"/>
        <v>0</v>
      </c>
      <c r="K20" s="5">
        <f t="shared" si="1"/>
        <v>0</v>
      </c>
      <c r="L20" s="5">
        <f t="shared" si="2"/>
        <v>-1</v>
      </c>
      <c r="M20" s="5">
        <f t="shared" si="3"/>
        <v>-1</v>
      </c>
      <c r="O20" s="7">
        <f t="shared" si="5"/>
        <v>0.27310000000000001</v>
      </c>
      <c r="Q20" s="13">
        <v>1.36</v>
      </c>
      <c r="R20" s="13">
        <v>1.44</v>
      </c>
      <c r="S20" s="13">
        <v>1.38</v>
      </c>
      <c r="T20" s="13">
        <f t="shared" si="6"/>
        <v>1.3933333333333333</v>
      </c>
      <c r="U20" s="13"/>
      <c r="V20" s="13">
        <f t="shared" si="7"/>
        <v>1.54</v>
      </c>
      <c r="W20" s="13">
        <f t="shared" si="8"/>
        <v>1.77</v>
      </c>
      <c r="X20" s="13">
        <f t="shared" si="9"/>
        <v>1.72</v>
      </c>
      <c r="Y20" s="13">
        <f t="shared" si="10"/>
        <v>1.6766666666666667</v>
      </c>
      <c r="Z20" s="13"/>
      <c r="AA20" s="5" t="s">
        <v>6</v>
      </c>
      <c r="AB20" s="5">
        <f t="shared" si="4"/>
        <v>5</v>
      </c>
      <c r="AC20" s="7">
        <v>0.27310000000000001</v>
      </c>
      <c r="AD20" s="13"/>
      <c r="AE20" s="13">
        <v>1.54</v>
      </c>
      <c r="AF20" s="13">
        <v>1.77</v>
      </c>
      <c r="AG20" s="13">
        <v>1.72</v>
      </c>
      <c r="AI20" s="12"/>
      <c r="AJ20" s="12"/>
      <c r="AK20" s="13"/>
      <c r="AL20" s="12"/>
      <c r="AM20" s="12"/>
      <c r="AN20" s="13"/>
      <c r="AO20" s="12"/>
      <c r="AP20" s="12"/>
      <c r="AQ20" s="13"/>
    </row>
    <row r="21" spans="1:52" x14ac:dyDescent="0.25">
      <c r="A21" s="5" t="s">
        <v>22</v>
      </c>
      <c r="B21" s="3"/>
      <c r="C21" s="3"/>
      <c r="D21" s="3"/>
      <c r="E21" s="3" t="s">
        <v>23</v>
      </c>
      <c r="F21" s="3"/>
      <c r="I21" s="5">
        <v>4</v>
      </c>
      <c r="J21" s="5" t="str">
        <f t="shared" si="0"/>
        <v/>
      </c>
      <c r="K21" s="5" t="str">
        <f t="shared" si="1"/>
        <v/>
      </c>
      <c r="L21" s="5" t="str">
        <f t="shared" si="2"/>
        <v/>
      </c>
      <c r="M21" s="5" t="str">
        <f t="shared" si="3"/>
        <v/>
      </c>
      <c r="O21" s="7">
        <f t="shared" si="5"/>
        <v>0.13139999999999999</v>
      </c>
      <c r="Q21" s="13">
        <v>1.24</v>
      </c>
      <c r="R21" s="13">
        <v>1.2</v>
      </c>
      <c r="S21" s="13">
        <v>1.1000000000000001</v>
      </c>
      <c r="T21" s="13">
        <f t="shared" si="6"/>
        <v>1.18</v>
      </c>
      <c r="U21" s="13"/>
      <c r="V21" s="13">
        <f t="shared" si="7"/>
        <v>1.3948465787200302</v>
      </c>
      <c r="W21" s="13">
        <f t="shared" si="8"/>
        <v>1.5811980577815212</v>
      </c>
      <c r="X21" s="13">
        <f t="shared" si="9"/>
        <v>1.5203134682563824</v>
      </c>
      <c r="Y21" s="13">
        <f t="shared" si="10"/>
        <v>1.4987860349193112</v>
      </c>
      <c r="Z21" s="13"/>
      <c r="AA21" s="5" t="s">
        <v>6</v>
      </c>
      <c r="AB21" s="5">
        <f t="shared" si="4"/>
        <v>4</v>
      </c>
      <c r="AC21" s="7">
        <v>0.13139999999999999</v>
      </c>
      <c r="AD21" s="13">
        <v>1.56</v>
      </c>
      <c r="AE21" s="13"/>
      <c r="AF21" s="13"/>
      <c r="AG21" s="13"/>
      <c r="AI21" s="12">
        <v>2885.4160000000002</v>
      </c>
      <c r="AJ21" s="12">
        <v>7307.6890000000003</v>
      </c>
      <c r="AK21" s="13">
        <f>(AI21+AJ21)/AJ21</f>
        <v>1.3948465787200302</v>
      </c>
      <c r="AL21" s="12">
        <v>4457.5450000000001</v>
      </c>
      <c r="AM21" s="12">
        <v>7669.58</v>
      </c>
      <c r="AN21" s="13">
        <f>(AL21+AM21)/AM21</f>
        <v>1.5811980577815212</v>
      </c>
      <c r="AO21" s="12">
        <v>3159.5770000000002</v>
      </c>
      <c r="AP21" s="12">
        <v>6072.4489999999996</v>
      </c>
      <c r="AQ21" s="13">
        <f>(AO21+AP21)/AP21</f>
        <v>1.5203134682563824</v>
      </c>
    </row>
    <row r="22" spans="1:52" x14ac:dyDescent="0.25">
      <c r="A22" s="5" t="s">
        <v>24</v>
      </c>
      <c r="B22" s="3"/>
      <c r="C22" s="3"/>
      <c r="D22" s="3" t="s">
        <v>9</v>
      </c>
      <c r="E22" s="3" t="s">
        <v>10</v>
      </c>
      <c r="F22" s="3"/>
      <c r="H22" s="5">
        <v>6</v>
      </c>
      <c r="I22" s="5">
        <v>5</v>
      </c>
      <c r="J22" s="5" t="str">
        <f t="shared" si="0"/>
        <v/>
      </c>
      <c r="K22" s="5" t="str">
        <f t="shared" si="1"/>
        <v/>
      </c>
      <c r="L22" s="5" t="str">
        <f t="shared" si="2"/>
        <v/>
      </c>
      <c r="M22" s="5" t="str">
        <f t="shared" si="3"/>
        <v/>
      </c>
      <c r="O22" s="7">
        <f t="shared" si="5"/>
        <v>0.28599999999999998</v>
      </c>
      <c r="Q22" s="13">
        <v>1.7</v>
      </c>
      <c r="R22" s="13">
        <v>1.5</v>
      </c>
      <c r="S22" s="13">
        <v>1.49</v>
      </c>
      <c r="T22" s="13">
        <f t="shared" si="6"/>
        <v>1.5633333333333335</v>
      </c>
      <c r="U22" s="13"/>
      <c r="V22" s="13">
        <f t="shared" si="7"/>
        <v>2.54</v>
      </c>
      <c r="W22" s="13">
        <f t="shared" si="8"/>
        <v>1.0900000000000001</v>
      </c>
      <c r="X22" s="13">
        <f t="shared" si="9"/>
        <v>2.04</v>
      </c>
      <c r="Y22" s="13">
        <f t="shared" si="10"/>
        <v>1.89</v>
      </c>
      <c r="Z22" s="13"/>
      <c r="AA22" s="5" t="s">
        <v>6</v>
      </c>
      <c r="AB22" s="5">
        <f t="shared" si="4"/>
        <v>5.5</v>
      </c>
      <c r="AC22" s="7">
        <v>0.28599999999999998</v>
      </c>
      <c r="AD22" s="13">
        <v>2.4300000000000002</v>
      </c>
      <c r="AE22" s="13">
        <v>2.54</v>
      </c>
      <c r="AF22" s="13">
        <v>1.0900000000000001</v>
      </c>
      <c r="AG22" s="13">
        <v>2.04</v>
      </c>
      <c r="AI22" s="12"/>
      <c r="AJ22" s="12"/>
      <c r="AK22" s="13"/>
      <c r="AL22" s="12"/>
      <c r="AM22" s="12"/>
      <c r="AN22" s="13"/>
      <c r="AO22" s="12"/>
      <c r="AP22" s="12"/>
      <c r="AQ22" s="13"/>
    </row>
    <row r="23" spans="1:52" x14ac:dyDescent="0.25">
      <c r="A23" s="5" t="s">
        <v>25</v>
      </c>
      <c r="B23" s="3"/>
      <c r="C23" s="3"/>
      <c r="D23" s="3" t="s">
        <v>10</v>
      </c>
      <c r="E23" s="3" t="s">
        <v>10</v>
      </c>
      <c r="F23" s="3"/>
      <c r="H23" s="5">
        <v>5</v>
      </c>
      <c r="I23" s="5">
        <v>5</v>
      </c>
      <c r="J23" s="5" t="str">
        <f t="shared" si="0"/>
        <v/>
      </c>
      <c r="K23" s="5" t="str">
        <f t="shared" si="1"/>
        <v/>
      </c>
      <c r="L23" s="5" t="str">
        <f t="shared" si="2"/>
        <v/>
      </c>
      <c r="M23" s="5" t="str">
        <f t="shared" si="3"/>
        <v/>
      </c>
      <c r="O23" s="7">
        <f t="shared" si="5"/>
        <v>0.23300000000000001</v>
      </c>
      <c r="Q23" s="13">
        <v>1.2</v>
      </c>
      <c r="R23" s="13">
        <v>1.18</v>
      </c>
      <c r="S23" s="13">
        <v>1.33</v>
      </c>
      <c r="T23" s="13">
        <f t="shared" si="6"/>
        <v>1.2366666666666666</v>
      </c>
      <c r="U23" s="13"/>
      <c r="V23" s="13">
        <f t="shared" si="7"/>
        <v>1.24</v>
      </c>
      <c r="W23" s="13">
        <f t="shared" si="8"/>
        <v>1.26</v>
      </c>
      <c r="X23" s="13">
        <f t="shared" si="9"/>
        <v>1.28</v>
      </c>
      <c r="Y23" s="13">
        <f t="shared" si="10"/>
        <v>1.26</v>
      </c>
      <c r="Z23" s="13"/>
      <c r="AA23" s="4" t="s">
        <v>7</v>
      </c>
      <c r="AB23" s="5">
        <f t="shared" si="4"/>
        <v>5</v>
      </c>
      <c r="AC23" s="7">
        <v>0.23300000000000001</v>
      </c>
      <c r="AD23" s="13"/>
      <c r="AE23" s="13">
        <v>1.24</v>
      </c>
      <c r="AF23" s="13">
        <v>1.26</v>
      </c>
      <c r="AG23" s="13">
        <v>1.28</v>
      </c>
      <c r="AI23" s="12"/>
      <c r="AJ23" s="12"/>
      <c r="AK23" s="13"/>
      <c r="AL23" s="12"/>
      <c r="AM23" s="12"/>
      <c r="AN23" s="13"/>
      <c r="AO23" s="12"/>
      <c r="AP23" s="12"/>
      <c r="AQ23" s="13"/>
    </row>
    <row r="24" spans="1:52" x14ac:dyDescent="0.25">
      <c r="A24" s="5" t="s">
        <v>26</v>
      </c>
      <c r="B24" s="3" t="s">
        <v>21</v>
      </c>
      <c r="C24" s="3" t="s">
        <v>17</v>
      </c>
      <c r="D24" s="3" t="s">
        <v>10</v>
      </c>
      <c r="E24" s="3"/>
      <c r="F24" s="3">
        <f>G24-1</f>
        <v>5</v>
      </c>
      <c r="G24" s="5">
        <v>6</v>
      </c>
      <c r="H24" s="5">
        <v>5</v>
      </c>
      <c r="J24" s="5">
        <f t="shared" si="0"/>
        <v>0</v>
      </c>
      <c r="K24" s="5" t="str">
        <f t="shared" si="1"/>
        <v/>
      </c>
      <c r="L24" s="5">
        <f t="shared" si="2"/>
        <v>-1</v>
      </c>
      <c r="M24" s="5" t="str">
        <f t="shared" si="3"/>
        <v/>
      </c>
      <c r="O24" s="7">
        <f t="shared" si="5"/>
        <v>0.22220000000000001</v>
      </c>
      <c r="Q24" s="13">
        <v>1.79</v>
      </c>
      <c r="R24" s="13">
        <v>1.66</v>
      </c>
      <c r="S24" s="13">
        <v>1.61</v>
      </c>
      <c r="T24" s="13">
        <f t="shared" si="6"/>
        <v>1.6866666666666668</v>
      </c>
      <c r="U24" s="13"/>
      <c r="V24" s="13">
        <f t="shared" si="7"/>
        <v>1.49</v>
      </c>
      <c r="W24" s="13">
        <f t="shared" si="8"/>
        <v>1.58</v>
      </c>
      <c r="X24" s="13">
        <f t="shared" si="9"/>
        <v>1.43</v>
      </c>
      <c r="Y24" s="13">
        <f t="shared" si="10"/>
        <v>1.5</v>
      </c>
      <c r="Z24" s="13"/>
      <c r="AA24" s="5" t="s">
        <v>6</v>
      </c>
      <c r="AB24" s="5">
        <f t="shared" si="4"/>
        <v>5</v>
      </c>
      <c r="AC24" s="7">
        <v>0.22220000000000001</v>
      </c>
      <c r="AD24" s="13">
        <v>1.54</v>
      </c>
      <c r="AE24" s="13">
        <v>1.49</v>
      </c>
      <c r="AF24" s="13">
        <v>1.58</v>
      </c>
      <c r="AG24" s="13">
        <v>1.43</v>
      </c>
      <c r="AI24" s="12"/>
      <c r="AJ24" s="12"/>
      <c r="AK24" s="13"/>
      <c r="AL24" s="12"/>
      <c r="AM24" s="12"/>
      <c r="AN24" s="13"/>
      <c r="AO24" s="12"/>
      <c r="AP24" s="12"/>
      <c r="AQ24" s="13"/>
    </row>
    <row r="25" spans="1:52" x14ac:dyDescent="0.25">
      <c r="A25" s="5" t="s">
        <v>27</v>
      </c>
      <c r="B25" s="3"/>
      <c r="C25" s="3"/>
      <c r="D25" s="3"/>
      <c r="E25" s="3" t="s">
        <v>10</v>
      </c>
      <c r="F25" s="3"/>
      <c r="I25" s="5">
        <v>5</v>
      </c>
      <c r="J25" s="5" t="str">
        <f t="shared" si="0"/>
        <v/>
      </c>
      <c r="K25" s="5" t="str">
        <f t="shared" si="1"/>
        <v/>
      </c>
      <c r="L25" s="5" t="str">
        <f t="shared" si="2"/>
        <v/>
      </c>
      <c r="M25" s="5" t="str">
        <f t="shared" si="3"/>
        <v/>
      </c>
      <c r="O25" s="7">
        <f t="shared" si="5"/>
        <v>0.31909999999999999</v>
      </c>
      <c r="Q25" s="13">
        <v>2.02</v>
      </c>
      <c r="R25" s="13">
        <v>2.06</v>
      </c>
      <c r="S25" s="13">
        <v>1.44</v>
      </c>
      <c r="T25" s="13">
        <f t="shared" si="6"/>
        <v>1.8399999999999999</v>
      </c>
      <c r="U25" s="13"/>
      <c r="V25" s="13">
        <f t="shared" si="7"/>
        <v>2.21</v>
      </c>
      <c r="W25" s="13">
        <f t="shared" si="8"/>
        <v>3.71</v>
      </c>
      <c r="X25" s="13">
        <f t="shared" si="9"/>
        <v>2.35</v>
      </c>
      <c r="Y25" s="13">
        <f t="shared" si="10"/>
        <v>2.7566666666666664</v>
      </c>
      <c r="Z25" s="13"/>
      <c r="AA25" s="5" t="s">
        <v>6</v>
      </c>
      <c r="AB25" s="5">
        <f t="shared" si="4"/>
        <v>5</v>
      </c>
      <c r="AC25" s="7">
        <v>0.31909999999999999</v>
      </c>
      <c r="AD25" s="13">
        <v>1.85</v>
      </c>
      <c r="AE25" s="13">
        <v>2.21</v>
      </c>
      <c r="AF25" s="13">
        <v>3.71</v>
      </c>
      <c r="AG25" s="13">
        <v>2.35</v>
      </c>
      <c r="AI25" s="12"/>
      <c r="AJ25" s="12"/>
      <c r="AK25" s="13"/>
      <c r="AL25" s="12"/>
      <c r="AM25" s="12"/>
      <c r="AN25" s="13"/>
      <c r="AO25" s="12"/>
      <c r="AP25" s="12"/>
      <c r="AQ25" s="13"/>
    </row>
    <row r="26" spans="1:52" x14ac:dyDescent="0.25">
      <c r="A26" s="5" t="s">
        <v>28</v>
      </c>
      <c r="B26" s="15" t="s">
        <v>21</v>
      </c>
      <c r="C26" s="3" t="s">
        <v>17</v>
      </c>
      <c r="D26" s="3"/>
      <c r="E26" s="3" t="s">
        <v>23</v>
      </c>
      <c r="F26" s="3">
        <f t="shared" ref="F26:F31" si="12">G26-1</f>
        <v>5</v>
      </c>
      <c r="G26" s="5">
        <v>6</v>
      </c>
      <c r="I26" s="5">
        <v>4</v>
      </c>
      <c r="J26" s="5" t="str">
        <f t="shared" si="0"/>
        <v/>
      </c>
      <c r="K26" s="5">
        <f t="shared" si="1"/>
        <v>-1</v>
      </c>
      <c r="L26" s="5" t="str">
        <f t="shared" si="2"/>
        <v/>
      </c>
      <c r="M26" s="5">
        <f t="shared" si="3"/>
        <v>-2</v>
      </c>
      <c r="O26" s="7">
        <f t="shared" si="5"/>
        <v>0.2379</v>
      </c>
      <c r="Q26" s="13">
        <v>1.46</v>
      </c>
      <c r="R26" s="13">
        <v>1.26</v>
      </c>
      <c r="S26" s="13">
        <v>1.29</v>
      </c>
      <c r="T26" s="13">
        <f t="shared" si="6"/>
        <v>1.3366666666666667</v>
      </c>
      <c r="U26" s="13"/>
      <c r="V26" s="13">
        <f t="shared" si="7"/>
        <v>1.55</v>
      </c>
      <c r="W26" s="13">
        <f t="shared" si="8"/>
        <v>1.42</v>
      </c>
      <c r="X26" s="13">
        <f t="shared" si="9"/>
        <v>1.68</v>
      </c>
      <c r="Y26" s="13">
        <f t="shared" si="10"/>
        <v>1.5499999999999998</v>
      </c>
      <c r="Z26" s="13"/>
      <c r="AA26" s="5" t="s">
        <v>6</v>
      </c>
      <c r="AB26" s="5">
        <f t="shared" si="4"/>
        <v>4.5</v>
      </c>
      <c r="AC26" s="7">
        <v>0.2379</v>
      </c>
      <c r="AD26" s="13">
        <v>1.51</v>
      </c>
      <c r="AE26" s="13">
        <v>1.55</v>
      </c>
      <c r="AF26" s="13">
        <v>1.42</v>
      </c>
      <c r="AG26" s="13">
        <v>1.68</v>
      </c>
      <c r="AI26" s="12"/>
      <c r="AJ26" s="12"/>
      <c r="AK26" s="13"/>
      <c r="AL26" s="12"/>
      <c r="AM26" s="12"/>
      <c r="AN26" s="13"/>
      <c r="AO26" s="12"/>
      <c r="AP26" s="12"/>
      <c r="AQ26" s="13"/>
    </row>
    <row r="27" spans="1:52" x14ac:dyDescent="0.25">
      <c r="A27" s="5" t="s">
        <v>30</v>
      </c>
      <c r="B27" s="15" t="s">
        <v>51</v>
      </c>
      <c r="C27" s="3" t="s">
        <v>21</v>
      </c>
      <c r="D27" s="3" t="s">
        <v>13</v>
      </c>
      <c r="E27" s="3" t="s">
        <v>13</v>
      </c>
      <c r="F27" s="3">
        <f t="shared" si="12"/>
        <v>4</v>
      </c>
      <c r="G27" s="5">
        <v>5</v>
      </c>
      <c r="H27" s="5">
        <v>3</v>
      </c>
      <c r="I27" s="5">
        <v>3</v>
      </c>
      <c r="J27" s="5">
        <f t="shared" si="0"/>
        <v>-1</v>
      </c>
      <c r="K27" s="5">
        <f t="shared" si="1"/>
        <v>-1</v>
      </c>
      <c r="L27" s="5">
        <f t="shared" si="2"/>
        <v>-2</v>
      </c>
      <c r="M27" s="5">
        <f t="shared" si="3"/>
        <v>-2</v>
      </c>
      <c r="O27" s="7">
        <f t="shared" si="5"/>
        <v>0.12330000000000001</v>
      </c>
      <c r="Q27" s="13">
        <f>AX27</f>
        <v>1.3021578449342588</v>
      </c>
      <c r="R27" s="13">
        <f t="shared" ref="R27:S27" si="13">AY27</f>
        <v>1.3645229873576668</v>
      </c>
      <c r="S27" s="13">
        <f t="shared" si="13"/>
        <v>1.3488234115670894</v>
      </c>
      <c r="T27" s="13">
        <f t="shared" si="6"/>
        <v>1.3385014146196716</v>
      </c>
      <c r="U27" s="13"/>
      <c r="V27" s="13">
        <f t="shared" si="7"/>
        <v>1.1864298652327951</v>
      </c>
      <c r="W27" s="13">
        <f t="shared" si="8"/>
        <v>1.1740512502725469</v>
      </c>
      <c r="X27" s="13">
        <f t="shared" si="9"/>
        <v>1.1847581588452294</v>
      </c>
      <c r="Y27" s="13">
        <f t="shared" si="10"/>
        <v>1.1817464247835239</v>
      </c>
      <c r="Z27" s="13"/>
      <c r="AA27" s="5" t="s">
        <v>6</v>
      </c>
      <c r="AB27" s="5">
        <f t="shared" si="4"/>
        <v>3.3333333333333335</v>
      </c>
      <c r="AC27" s="7">
        <v>0.12330000000000001</v>
      </c>
      <c r="AD27" s="13">
        <v>1.21</v>
      </c>
      <c r="AE27" s="13"/>
      <c r="AF27" s="13"/>
      <c r="AG27" s="13"/>
      <c r="AI27" s="12">
        <v>16365</v>
      </c>
      <c r="AJ27" s="12">
        <v>87781</v>
      </c>
      <c r="AK27" s="13">
        <f>(AI27+AJ27)/AJ27</f>
        <v>1.1864298652327951</v>
      </c>
      <c r="AL27" s="12">
        <v>15167</v>
      </c>
      <c r="AM27" s="12">
        <v>87141</v>
      </c>
      <c r="AN27" s="13">
        <f>(AL27+AM27)/AM27</f>
        <v>1.1740512502725469</v>
      </c>
      <c r="AO27" s="12">
        <v>14374</v>
      </c>
      <c r="AP27" s="12">
        <v>77799</v>
      </c>
      <c r="AQ27" s="13">
        <f>(AO27+AP27)/AP27</f>
        <v>1.1847581588452294</v>
      </c>
      <c r="AR27" s="8">
        <v>63342</v>
      </c>
      <c r="AS27" s="8">
        <v>53023</v>
      </c>
      <c r="AT27" s="8">
        <v>51983</v>
      </c>
      <c r="AU27" s="8">
        <v>92640</v>
      </c>
      <c r="AV27" s="8">
        <v>88949</v>
      </c>
      <c r="AW27" s="8">
        <v>82880</v>
      </c>
      <c r="AX27" s="13">
        <f>(AI27+AJ27+AU27)/(AJ27+AR27)</f>
        <v>1.3021578449342588</v>
      </c>
      <c r="AY27" s="13">
        <f>(AL27+AM27+AV27)/(AM27+AS27)</f>
        <v>1.3645229873576668</v>
      </c>
      <c r="AZ27" s="13">
        <f>(AO27+AP27+AW27)/(AP27+AT27)</f>
        <v>1.3488234115670894</v>
      </c>
    </row>
    <row r="28" spans="1:52" x14ac:dyDescent="0.25">
      <c r="A28" s="5" t="s">
        <v>31</v>
      </c>
      <c r="B28" s="15" t="s">
        <v>51</v>
      </c>
      <c r="C28" s="3" t="s">
        <v>21</v>
      </c>
      <c r="D28" s="3" t="s">
        <v>13</v>
      </c>
      <c r="E28" s="3" t="s">
        <v>13</v>
      </c>
      <c r="F28" s="3">
        <f t="shared" si="12"/>
        <v>4</v>
      </c>
      <c r="G28" s="5">
        <v>5</v>
      </c>
      <c r="H28" s="5">
        <v>3</v>
      </c>
      <c r="I28" s="5">
        <v>3</v>
      </c>
      <c r="J28" s="5">
        <f t="shared" si="0"/>
        <v>-1</v>
      </c>
      <c r="K28" s="5">
        <f t="shared" si="1"/>
        <v>-1</v>
      </c>
      <c r="L28" s="5">
        <f t="shared" si="2"/>
        <v>-2</v>
      </c>
      <c r="M28" s="5">
        <f t="shared" si="3"/>
        <v>-2</v>
      </c>
      <c r="O28" s="7">
        <f t="shared" si="5"/>
        <v>0.39789999999999998</v>
      </c>
      <c r="Q28" s="13">
        <v>1.97</v>
      </c>
      <c r="R28" s="13">
        <v>2.3199999999999998</v>
      </c>
      <c r="S28" s="13">
        <v>1.88</v>
      </c>
      <c r="T28" s="13">
        <f t="shared" si="6"/>
        <v>2.0566666666666666</v>
      </c>
      <c r="U28" s="13"/>
      <c r="V28" s="13">
        <f t="shared" si="7"/>
        <v>2.2400000000000002</v>
      </c>
      <c r="W28" s="13">
        <f t="shared" si="8"/>
        <v>2.5099999999999998</v>
      </c>
      <c r="X28" s="13">
        <f t="shared" si="9"/>
        <v>1.75</v>
      </c>
      <c r="Y28" s="13">
        <f t="shared" si="10"/>
        <v>2.1666666666666665</v>
      </c>
      <c r="Z28" s="13"/>
      <c r="AA28" s="5" t="s">
        <v>97</v>
      </c>
      <c r="AB28" s="5">
        <f t="shared" si="4"/>
        <v>3.3333333333333335</v>
      </c>
      <c r="AC28" s="7">
        <v>0.39789999999999998</v>
      </c>
      <c r="AD28" s="13"/>
      <c r="AE28" s="13">
        <v>2.2400000000000002</v>
      </c>
      <c r="AF28" s="13">
        <v>2.5099999999999998</v>
      </c>
      <c r="AG28" s="13">
        <v>1.75</v>
      </c>
      <c r="AI28" s="12"/>
      <c r="AJ28" s="12"/>
      <c r="AK28" s="13"/>
      <c r="AL28" s="12"/>
      <c r="AM28" s="12"/>
      <c r="AN28" s="13"/>
      <c r="AO28" s="12"/>
      <c r="AP28" s="12"/>
      <c r="AQ28" s="13"/>
    </row>
    <row r="29" spans="1:52" x14ac:dyDescent="0.25">
      <c r="A29" s="5" t="s">
        <v>32</v>
      </c>
      <c r="B29" s="15" t="s">
        <v>17</v>
      </c>
      <c r="C29" s="2" t="s">
        <v>33</v>
      </c>
      <c r="D29" s="3" t="s">
        <v>9</v>
      </c>
      <c r="E29" s="3" t="s">
        <v>9</v>
      </c>
      <c r="F29" s="3">
        <f t="shared" si="12"/>
        <v>7</v>
      </c>
      <c r="G29" s="5">
        <v>8</v>
      </c>
      <c r="H29" s="5">
        <v>6</v>
      </c>
      <c r="I29" s="5">
        <v>6</v>
      </c>
      <c r="J29" s="5">
        <f t="shared" si="0"/>
        <v>-1</v>
      </c>
      <c r="K29" s="5">
        <f t="shared" si="1"/>
        <v>-1</v>
      </c>
      <c r="L29" s="5">
        <f t="shared" si="2"/>
        <v>-2</v>
      </c>
      <c r="M29" s="5">
        <f t="shared" si="3"/>
        <v>-2</v>
      </c>
      <c r="O29" s="7">
        <f t="shared" si="5"/>
        <v>0.18029999999999999</v>
      </c>
      <c r="Q29" s="13">
        <v>1.26</v>
      </c>
      <c r="R29" s="13">
        <v>1.22</v>
      </c>
      <c r="S29" s="13">
        <v>1.26</v>
      </c>
      <c r="T29" s="13">
        <f t="shared" si="6"/>
        <v>1.2466666666666668</v>
      </c>
      <c r="U29" s="13"/>
      <c r="V29" s="13">
        <f t="shared" si="7"/>
        <v>1.1924992243251629</v>
      </c>
      <c r="W29" s="13">
        <f t="shared" si="8"/>
        <v>1.1839443982959785</v>
      </c>
      <c r="X29" s="13">
        <f t="shared" si="9"/>
        <v>1.2570281426455441</v>
      </c>
      <c r="Y29" s="13">
        <f t="shared" si="10"/>
        <v>1.2111572550888952</v>
      </c>
      <c r="Z29" s="13"/>
      <c r="AA29" s="5" t="s">
        <v>6</v>
      </c>
      <c r="AB29" s="5">
        <f t="shared" si="4"/>
        <v>6.333333333333333</v>
      </c>
      <c r="AC29" s="7">
        <v>0.18029999999999999</v>
      </c>
      <c r="AD29" s="13">
        <v>1.17</v>
      </c>
      <c r="AE29" s="13"/>
      <c r="AF29" s="13"/>
      <c r="AG29" s="13"/>
      <c r="AI29" s="12">
        <v>24817</v>
      </c>
      <c r="AJ29" s="12">
        <v>128920</v>
      </c>
      <c r="AK29" s="13">
        <f>(AI29+AJ29)/AJ29</f>
        <v>1.1924992243251629</v>
      </c>
      <c r="AL29" s="12">
        <v>24137</v>
      </c>
      <c r="AM29" s="12">
        <v>131219</v>
      </c>
      <c r="AN29" s="13">
        <f>(AL29+AM29)/AM29</f>
        <v>1.1839443982959785</v>
      </c>
      <c r="AO29" s="12">
        <v>34185</v>
      </c>
      <c r="AP29" s="12">
        <v>133001</v>
      </c>
      <c r="AQ29" s="13">
        <f>(AO29+AP29)/AP29</f>
        <v>1.2570281426455441</v>
      </c>
    </row>
    <row r="30" spans="1:52" x14ac:dyDescent="0.25">
      <c r="A30" s="5" t="s">
        <v>34</v>
      </c>
      <c r="B30" s="15" t="s">
        <v>21</v>
      </c>
      <c r="C30" s="3" t="s">
        <v>17</v>
      </c>
      <c r="D30" s="3"/>
      <c r="E30" s="3" t="s">
        <v>23</v>
      </c>
      <c r="F30" s="3">
        <f t="shared" si="12"/>
        <v>5</v>
      </c>
      <c r="G30" s="5">
        <v>6</v>
      </c>
      <c r="I30" s="5">
        <v>4</v>
      </c>
      <c r="J30" s="5" t="str">
        <f t="shared" si="0"/>
        <v/>
      </c>
      <c r="K30" s="5">
        <f t="shared" si="1"/>
        <v>-1</v>
      </c>
      <c r="L30" s="5" t="str">
        <f t="shared" si="2"/>
        <v/>
      </c>
      <c r="M30" s="5">
        <f t="shared" si="3"/>
        <v>-2</v>
      </c>
      <c r="O30" s="7">
        <f t="shared" si="5"/>
        <v>0.2316</v>
      </c>
      <c r="Q30" s="13">
        <v>1.47</v>
      </c>
      <c r="R30" s="13">
        <v>1.46</v>
      </c>
      <c r="S30" s="13">
        <v>1.36</v>
      </c>
      <c r="T30" s="13">
        <f t="shared" si="6"/>
        <v>1.43</v>
      </c>
      <c r="U30" s="13"/>
      <c r="V30" s="13">
        <f t="shared" si="7"/>
        <v>1.4942804177781797</v>
      </c>
      <c r="W30" s="13">
        <f t="shared" si="8"/>
        <v>1.4903834013719961</v>
      </c>
      <c r="X30" s="13">
        <f t="shared" si="9"/>
        <v>1.5688412381125447</v>
      </c>
      <c r="Y30" s="13">
        <f t="shared" si="10"/>
        <v>1.5178350190875733</v>
      </c>
      <c r="Z30" s="13"/>
      <c r="AA30" s="5" t="s">
        <v>6</v>
      </c>
      <c r="AB30" s="5">
        <f t="shared" si="4"/>
        <v>4.5</v>
      </c>
      <c r="AC30" s="7">
        <v>0.2316</v>
      </c>
      <c r="AD30" s="13">
        <v>1.52</v>
      </c>
      <c r="AE30" s="13"/>
      <c r="AF30" s="13"/>
      <c r="AG30" s="13"/>
      <c r="AI30" s="12">
        <v>21864</v>
      </c>
      <c r="AJ30" s="12">
        <v>44234</v>
      </c>
      <c r="AK30" s="13">
        <f>(AI30+AJ30)/AJ30</f>
        <v>1.4942804177781797</v>
      </c>
      <c r="AL30" s="12">
        <v>23304</v>
      </c>
      <c r="AM30" s="12">
        <v>47522</v>
      </c>
      <c r="AN30" s="13">
        <f>(AL30+AM30)/AM30</f>
        <v>1.4903834013719961</v>
      </c>
      <c r="AO30" s="12">
        <v>28173</v>
      </c>
      <c r="AP30" s="12">
        <v>49527</v>
      </c>
      <c r="AQ30" s="13">
        <f>(AO30+AP30)/AP30</f>
        <v>1.5688412381125447</v>
      </c>
    </row>
    <row r="31" spans="1:52" x14ac:dyDescent="0.25">
      <c r="A31" s="5" t="s">
        <v>35</v>
      </c>
      <c r="B31" s="15" t="s">
        <v>33</v>
      </c>
      <c r="C31" s="3" t="s">
        <v>52</v>
      </c>
      <c r="D31" s="3"/>
      <c r="E31" s="3" t="s">
        <v>9</v>
      </c>
      <c r="F31" s="3">
        <f t="shared" si="12"/>
        <v>7</v>
      </c>
      <c r="G31" s="5">
        <v>8</v>
      </c>
      <c r="I31" s="5">
        <v>6</v>
      </c>
      <c r="J31" s="5" t="str">
        <f t="shared" si="0"/>
        <v/>
      </c>
      <c r="K31" s="5">
        <f t="shared" si="1"/>
        <v>-1</v>
      </c>
      <c r="L31" s="5" t="str">
        <f t="shared" si="2"/>
        <v/>
      </c>
      <c r="M31" s="5">
        <f t="shared" si="3"/>
        <v>-2</v>
      </c>
      <c r="O31" s="7">
        <f t="shared" si="5"/>
        <v>0.1394</v>
      </c>
      <c r="Q31" s="13">
        <v>1.3</v>
      </c>
      <c r="R31" s="13">
        <v>1.29</v>
      </c>
      <c r="S31" s="13">
        <v>1.28</v>
      </c>
      <c r="T31" s="13">
        <f t="shared" si="6"/>
        <v>1.29</v>
      </c>
      <c r="U31" s="13"/>
      <c r="V31" s="13">
        <f t="shared" si="7"/>
        <v>1.37</v>
      </c>
      <c r="W31" s="13">
        <f t="shared" si="8"/>
        <v>1.31</v>
      </c>
      <c r="X31" s="13">
        <f t="shared" si="9"/>
        <v>1.32</v>
      </c>
      <c r="Y31" s="13">
        <f t="shared" si="10"/>
        <v>1.3333333333333333</v>
      </c>
      <c r="Z31" s="13"/>
      <c r="AA31" s="5" t="s">
        <v>6</v>
      </c>
      <c r="AB31" s="5">
        <f t="shared" si="4"/>
        <v>6.5</v>
      </c>
      <c r="AC31" s="7">
        <v>0.1394</v>
      </c>
      <c r="AD31" s="13">
        <v>1.36</v>
      </c>
      <c r="AE31" s="13">
        <v>1.37</v>
      </c>
      <c r="AF31" s="13">
        <v>1.31</v>
      </c>
      <c r="AG31" s="13">
        <v>1.32</v>
      </c>
      <c r="AI31" s="12"/>
      <c r="AJ31" s="12"/>
      <c r="AK31" s="13"/>
      <c r="AL31" s="12"/>
      <c r="AM31" s="12"/>
      <c r="AN31" s="13"/>
      <c r="AO31" s="12"/>
      <c r="AP31" s="12"/>
      <c r="AQ31" s="13"/>
    </row>
    <row r="32" spans="1:52" x14ac:dyDescent="0.25">
      <c r="A32" s="5" t="s">
        <v>36</v>
      </c>
      <c r="B32" s="3"/>
      <c r="C32" s="3"/>
      <c r="D32" s="3" t="s">
        <v>10</v>
      </c>
      <c r="E32" s="3" t="s">
        <v>9</v>
      </c>
      <c r="F32" s="3"/>
      <c r="H32" s="5">
        <v>5</v>
      </c>
      <c r="I32" s="5">
        <v>6</v>
      </c>
      <c r="J32" s="5" t="str">
        <f t="shared" si="0"/>
        <v/>
      </c>
      <c r="K32" s="5" t="str">
        <f t="shared" si="1"/>
        <v/>
      </c>
      <c r="L32" s="5" t="str">
        <f t="shared" si="2"/>
        <v/>
      </c>
      <c r="M32" s="5" t="str">
        <f t="shared" si="3"/>
        <v/>
      </c>
      <c r="O32" s="7">
        <f t="shared" si="5"/>
        <v>0.15579999999999999</v>
      </c>
      <c r="Q32" s="13">
        <v>1.24</v>
      </c>
      <c r="R32" s="13">
        <v>1.27</v>
      </c>
      <c r="S32" s="13">
        <v>1.22</v>
      </c>
      <c r="T32" s="13">
        <f t="shared" si="6"/>
        <v>1.2433333333333332</v>
      </c>
      <c r="U32" s="13"/>
      <c r="V32" s="13">
        <f t="shared" si="7"/>
        <v>1.5</v>
      </c>
      <c r="W32" s="13">
        <f t="shared" si="8"/>
        <v>1.49</v>
      </c>
      <c r="X32" s="13">
        <f t="shared" si="9"/>
        <v>1.37</v>
      </c>
      <c r="Y32" s="13">
        <f t="shared" si="10"/>
        <v>1.4533333333333334</v>
      </c>
      <c r="Z32" s="13"/>
      <c r="AA32" s="5" t="s">
        <v>6</v>
      </c>
      <c r="AB32" s="5">
        <f t="shared" si="4"/>
        <v>5.5</v>
      </c>
      <c r="AC32" s="7">
        <v>0.15579999999999999</v>
      </c>
      <c r="AD32" s="13">
        <v>1.55</v>
      </c>
      <c r="AE32" s="13"/>
      <c r="AF32" s="13"/>
      <c r="AG32" s="13"/>
      <c r="AI32" s="12"/>
      <c r="AJ32" s="12"/>
      <c r="AK32" s="13">
        <v>1.5</v>
      </c>
      <c r="AL32" s="12"/>
      <c r="AM32" s="12"/>
      <c r="AN32" s="13">
        <v>1.49</v>
      </c>
      <c r="AO32" s="12"/>
      <c r="AP32" s="12"/>
      <c r="AQ32" s="13">
        <v>1.37</v>
      </c>
    </row>
    <row r="33" spans="1:54" x14ac:dyDescent="0.25">
      <c r="A33" s="5" t="s">
        <v>37</v>
      </c>
      <c r="B33" s="3" t="s">
        <v>33</v>
      </c>
      <c r="C33" s="3" t="s">
        <v>52</v>
      </c>
      <c r="D33" s="3" t="s">
        <v>47</v>
      </c>
      <c r="E33" s="3" t="s">
        <v>47</v>
      </c>
      <c r="F33" s="3">
        <f>G33-1</f>
        <v>7</v>
      </c>
      <c r="G33" s="5">
        <v>8</v>
      </c>
      <c r="H33" s="5">
        <v>7</v>
      </c>
      <c r="I33" s="5">
        <v>7</v>
      </c>
      <c r="J33" s="5">
        <f t="shared" si="0"/>
        <v>0</v>
      </c>
      <c r="K33" s="5">
        <f t="shared" si="1"/>
        <v>0</v>
      </c>
      <c r="L33" s="5">
        <f t="shared" si="2"/>
        <v>-1</v>
      </c>
      <c r="M33" s="5">
        <f t="shared" si="3"/>
        <v>-1</v>
      </c>
      <c r="O33" s="7">
        <f t="shared" si="5"/>
        <v>7.8299999999999995E-2</v>
      </c>
      <c r="Q33" s="13">
        <f>AX33</f>
        <v>0.67867019894264446</v>
      </c>
      <c r="R33" s="13">
        <f t="shared" ref="R33:S33" si="14">AY33</f>
        <v>1.1659886572756646</v>
      </c>
      <c r="S33" s="13">
        <f t="shared" si="14"/>
        <v>0.93774289347855433</v>
      </c>
      <c r="T33" s="13">
        <f t="shared" si="6"/>
        <v>0.92746724989895446</v>
      </c>
      <c r="U33" s="13"/>
      <c r="V33" s="13">
        <f t="shared" si="7"/>
        <v>1.2399829027439333</v>
      </c>
      <c r="W33" s="13">
        <f t="shared" si="8"/>
        <v>1.211532025830548</v>
      </c>
      <c r="X33" s="13">
        <f t="shared" si="9"/>
        <v>1.2030145143282471</v>
      </c>
      <c r="Y33" s="13">
        <f t="shared" si="10"/>
        <v>1.2181764809675761</v>
      </c>
      <c r="Z33" s="13"/>
      <c r="AA33" s="5" t="s">
        <v>6</v>
      </c>
      <c r="AB33" s="5">
        <f t="shared" si="4"/>
        <v>7</v>
      </c>
      <c r="AC33" s="7">
        <v>7.8299999999999995E-2</v>
      </c>
      <c r="AD33" s="13">
        <v>1.1399999999999999</v>
      </c>
      <c r="AE33" s="13"/>
      <c r="AF33" s="13"/>
      <c r="AG33" s="13"/>
      <c r="AI33" s="12">
        <v>54461</v>
      </c>
      <c r="AJ33" s="12">
        <v>226937</v>
      </c>
      <c r="AK33" s="13">
        <f>(AI33+AJ33)/AJ33</f>
        <v>1.2399829027439333</v>
      </c>
      <c r="AL33" s="12">
        <v>51199</v>
      </c>
      <c r="AM33" s="12">
        <v>242039</v>
      </c>
      <c r="AN33" s="13">
        <f>(AL33+AM33)/AM33</f>
        <v>1.211532025830548</v>
      </c>
      <c r="AO33" s="12">
        <v>51277</v>
      </c>
      <c r="AP33" s="12">
        <v>252578</v>
      </c>
      <c r="AQ33" s="13">
        <f>(AO33+AP33)/AP33</f>
        <v>1.2030145143282471</v>
      </c>
      <c r="AR33" s="8">
        <v>546502</v>
      </c>
      <c r="AS33" s="8">
        <v>209528</v>
      </c>
      <c r="AT33" s="8">
        <v>310426</v>
      </c>
      <c r="AU33" s="8">
        <v>243512</v>
      </c>
      <c r="AV33" s="8">
        <v>233284</v>
      </c>
      <c r="AW33" s="8">
        <v>224098</v>
      </c>
      <c r="AX33" s="13">
        <f>(AI33+AJ33+AU33)/(AJ33+AR33)</f>
        <v>0.67867019894264446</v>
      </c>
      <c r="AY33" s="13">
        <f>(AL33+AM33+AV33)/(AM33+AS33)</f>
        <v>1.1659886572756646</v>
      </c>
      <c r="AZ33" s="13">
        <f>(AO33+AP33+AW33)/(AP33+AT33)</f>
        <v>0.93774289347855433</v>
      </c>
      <c r="BB33" s="5" t="s">
        <v>93</v>
      </c>
    </row>
    <row r="34" spans="1:54" x14ac:dyDescent="0.25">
      <c r="A34" s="5" t="s">
        <v>38</v>
      </c>
      <c r="B34" s="3" t="s">
        <v>21</v>
      </c>
      <c r="C34" s="2" t="s">
        <v>17</v>
      </c>
      <c r="D34" s="3" t="s">
        <v>23</v>
      </c>
      <c r="E34" s="3" t="s">
        <v>23</v>
      </c>
      <c r="F34" s="3">
        <f>G34-1</f>
        <v>5</v>
      </c>
      <c r="G34" s="5">
        <v>6</v>
      </c>
      <c r="H34" s="5">
        <v>4</v>
      </c>
      <c r="I34" s="5">
        <v>4</v>
      </c>
      <c r="J34" s="5">
        <f t="shared" si="0"/>
        <v>-1</v>
      </c>
      <c r="K34" s="5">
        <f t="shared" si="1"/>
        <v>-1</v>
      </c>
      <c r="L34" s="5">
        <f t="shared" si="2"/>
        <v>-2</v>
      </c>
      <c r="M34" s="5">
        <f t="shared" si="3"/>
        <v>-2</v>
      </c>
      <c r="O34" s="7">
        <f t="shared" si="5"/>
        <v>0.2034</v>
      </c>
      <c r="Q34" s="13">
        <v>0.79</v>
      </c>
      <c r="R34" s="13">
        <v>1.17</v>
      </c>
      <c r="S34" s="13">
        <v>1.32</v>
      </c>
      <c r="T34" s="13">
        <f t="shared" si="6"/>
        <v>1.0933333333333335</v>
      </c>
      <c r="U34" s="13"/>
      <c r="V34" s="13">
        <f t="shared" si="7"/>
        <v>1.27</v>
      </c>
      <c r="W34" s="13">
        <f t="shared" si="8"/>
        <v>1.2</v>
      </c>
      <c r="X34" s="13">
        <f t="shared" si="9"/>
        <v>1.43</v>
      </c>
      <c r="Y34" s="13">
        <f t="shared" si="10"/>
        <v>1.2999999999999998</v>
      </c>
      <c r="Z34" s="13"/>
      <c r="AA34" s="5" t="s">
        <v>6</v>
      </c>
      <c r="AB34" s="5">
        <f t="shared" si="4"/>
        <v>4.333333333333333</v>
      </c>
      <c r="AC34" s="7">
        <v>0.2034</v>
      </c>
      <c r="AD34" s="13">
        <v>1.29</v>
      </c>
      <c r="AE34" s="13">
        <v>1.27</v>
      </c>
      <c r="AF34" s="13">
        <v>1.2</v>
      </c>
      <c r="AG34" s="13">
        <v>1.43</v>
      </c>
      <c r="AI34" s="12"/>
      <c r="AJ34" s="12"/>
      <c r="AK34" s="13"/>
      <c r="AL34" s="12"/>
      <c r="AM34" s="12"/>
      <c r="AN34" s="13"/>
      <c r="AO34" s="12"/>
      <c r="AP34" s="12"/>
      <c r="AQ34" s="13"/>
    </row>
    <row r="35" spans="1:54" x14ac:dyDescent="0.25">
      <c r="A35" s="5" t="s">
        <v>39</v>
      </c>
      <c r="B35" s="3" t="s">
        <v>17</v>
      </c>
      <c r="C35" s="3" t="s">
        <v>33</v>
      </c>
      <c r="D35" s="3" t="s">
        <v>47</v>
      </c>
      <c r="E35" s="3" t="s">
        <v>47</v>
      </c>
      <c r="F35" s="3">
        <f>G35-1</f>
        <v>6</v>
      </c>
      <c r="G35" s="5">
        <v>7</v>
      </c>
      <c r="H35" s="5">
        <v>7</v>
      </c>
      <c r="I35" s="5">
        <v>7</v>
      </c>
      <c r="J35" s="5">
        <f t="shared" si="0"/>
        <v>1</v>
      </c>
      <c r="K35" s="5">
        <f t="shared" si="1"/>
        <v>1</v>
      </c>
      <c r="L35" s="5">
        <f t="shared" si="2"/>
        <v>0</v>
      </c>
      <c r="M35" s="5">
        <f t="shared" si="3"/>
        <v>0</v>
      </c>
      <c r="O35" s="7">
        <f t="shared" si="5"/>
        <v>0.1973</v>
      </c>
      <c r="Q35" s="13">
        <v>1.34</v>
      </c>
      <c r="R35" s="13">
        <v>1.23</v>
      </c>
      <c r="S35" s="13">
        <v>1.23</v>
      </c>
      <c r="T35" s="13">
        <f t="shared" si="6"/>
        <v>1.2666666666666668</v>
      </c>
      <c r="U35" s="13"/>
      <c r="V35" s="13">
        <f t="shared" si="7"/>
        <v>1.26</v>
      </c>
      <c r="W35" s="13">
        <f t="shared" si="8"/>
        <v>1.21</v>
      </c>
      <c r="X35" s="13">
        <f t="shared" si="9"/>
        <v>1.1599999999999999</v>
      </c>
      <c r="Y35" s="13">
        <f t="shared" si="10"/>
        <v>1.21</v>
      </c>
      <c r="Z35" s="13"/>
      <c r="AA35" s="5" t="s">
        <v>6</v>
      </c>
      <c r="AB35" s="5">
        <f t="shared" si="4"/>
        <v>6.666666666666667</v>
      </c>
      <c r="AC35" s="7">
        <v>0.1973</v>
      </c>
      <c r="AD35" s="13">
        <v>1.26</v>
      </c>
      <c r="AE35" s="13">
        <v>1.26</v>
      </c>
      <c r="AF35" s="13">
        <v>1.21</v>
      </c>
      <c r="AG35" s="13">
        <v>1.1599999999999999</v>
      </c>
      <c r="AI35" s="12"/>
      <c r="AJ35" s="12"/>
      <c r="AK35" s="13"/>
      <c r="AL35" s="12"/>
      <c r="AM35" s="12"/>
      <c r="AN35" s="13"/>
      <c r="AO35" s="12"/>
      <c r="AP35" s="12"/>
      <c r="AQ35" s="13"/>
    </row>
    <row r="36" spans="1:54" x14ac:dyDescent="0.25">
      <c r="A36" s="5" t="s">
        <v>40</v>
      </c>
      <c r="B36" s="3"/>
      <c r="C36" s="3"/>
      <c r="D36" s="3" t="s">
        <v>23</v>
      </c>
      <c r="E36" s="3" t="s">
        <v>10</v>
      </c>
      <c r="F36" s="3"/>
      <c r="H36" s="5">
        <v>4</v>
      </c>
      <c r="I36" s="5">
        <v>5</v>
      </c>
      <c r="J36" s="5" t="str">
        <f t="shared" si="0"/>
        <v/>
      </c>
      <c r="K36" s="5" t="str">
        <f t="shared" si="1"/>
        <v/>
      </c>
      <c r="L36" s="5" t="str">
        <f t="shared" si="2"/>
        <v/>
      </c>
      <c r="M36" s="5" t="str">
        <f t="shared" si="3"/>
        <v/>
      </c>
      <c r="O36" s="7">
        <f t="shared" si="5"/>
        <v>0.23949999999999999</v>
      </c>
      <c r="Q36" s="13">
        <v>2.25</v>
      </c>
      <c r="R36" s="13">
        <v>2.36</v>
      </c>
      <c r="S36" s="13">
        <v>2.35</v>
      </c>
      <c r="T36" s="13">
        <f t="shared" si="6"/>
        <v>2.3199999999999998</v>
      </c>
      <c r="U36" s="13"/>
      <c r="V36" s="13">
        <f t="shared" si="7"/>
        <v>1.28</v>
      </c>
      <c r="W36" s="13">
        <f t="shared" si="8"/>
        <v>1.18</v>
      </c>
      <c r="X36" s="13">
        <f t="shared" si="9"/>
        <v>1.06</v>
      </c>
      <c r="Y36" s="13">
        <f t="shared" si="10"/>
        <v>1.1733333333333333</v>
      </c>
      <c r="Z36" s="13"/>
      <c r="AA36" s="5" t="s">
        <v>6</v>
      </c>
      <c r="AB36" s="5">
        <f t="shared" si="4"/>
        <v>4.5</v>
      </c>
      <c r="AC36" s="7">
        <v>0.23949999999999999</v>
      </c>
      <c r="AD36" s="13">
        <v>1.76</v>
      </c>
      <c r="AE36" s="13">
        <v>1.28</v>
      </c>
      <c r="AF36" s="13">
        <v>1.18</v>
      </c>
      <c r="AG36" s="13">
        <v>1.06</v>
      </c>
      <c r="AI36" s="12"/>
      <c r="AJ36" s="12"/>
      <c r="AK36" s="13"/>
      <c r="AL36" s="12"/>
      <c r="AM36" s="12"/>
      <c r="AN36" s="13"/>
      <c r="AO36" s="12"/>
      <c r="AP36" s="12"/>
      <c r="AQ36" s="13"/>
    </row>
    <row r="37" spans="1:54" x14ac:dyDescent="0.25">
      <c r="A37" s="5" t="s">
        <v>41</v>
      </c>
      <c r="B37" s="3" t="s">
        <v>17</v>
      </c>
      <c r="C37" s="2" t="s">
        <v>33</v>
      </c>
      <c r="D37" s="3"/>
      <c r="E37" s="3" t="s">
        <v>9</v>
      </c>
      <c r="F37" s="3">
        <f>G37-1</f>
        <v>6</v>
      </c>
      <c r="G37" s="5">
        <v>7</v>
      </c>
      <c r="I37" s="5">
        <v>6</v>
      </c>
      <c r="J37" s="5" t="str">
        <f t="shared" si="0"/>
        <v/>
      </c>
      <c r="K37" s="5">
        <f t="shared" si="1"/>
        <v>0</v>
      </c>
      <c r="L37" s="5" t="str">
        <f t="shared" si="2"/>
        <v/>
      </c>
      <c r="M37" s="5">
        <f t="shared" si="3"/>
        <v>-1</v>
      </c>
      <c r="O37" s="7">
        <f t="shared" si="5"/>
        <v>0.20960000000000001</v>
      </c>
      <c r="Q37" s="13">
        <v>1.3</v>
      </c>
      <c r="R37" s="13">
        <v>1.27</v>
      </c>
      <c r="S37" s="13">
        <v>1.22</v>
      </c>
      <c r="T37" s="13">
        <f t="shared" si="6"/>
        <v>1.2633333333333334</v>
      </c>
      <c r="U37" s="13"/>
      <c r="V37" s="13">
        <f t="shared" si="7"/>
        <v>1.4285085634824242</v>
      </c>
      <c r="W37" s="13">
        <f t="shared" si="8"/>
        <v>1.3950499316133627</v>
      </c>
      <c r="X37" s="13">
        <f t="shared" si="9"/>
        <v>1.4149964302505791</v>
      </c>
      <c r="Y37" s="13">
        <f t="shared" si="10"/>
        <v>1.4128516417821217</v>
      </c>
      <c r="Z37" s="13"/>
      <c r="AA37" s="5" t="s">
        <v>6</v>
      </c>
      <c r="AB37" s="5">
        <f t="shared" si="4"/>
        <v>6</v>
      </c>
      <c r="AC37" s="7">
        <v>0.20960000000000001</v>
      </c>
      <c r="AD37" s="13">
        <v>1.51</v>
      </c>
      <c r="AE37" s="13"/>
      <c r="AF37" s="13"/>
      <c r="AG37" s="13"/>
      <c r="AI37" s="12">
        <v>24344</v>
      </c>
      <c r="AJ37" s="12">
        <v>56811</v>
      </c>
      <c r="AK37" s="13">
        <f>(AI37+AJ37)/AJ37</f>
        <v>1.4285085634824242</v>
      </c>
      <c r="AL37" s="12">
        <v>21085</v>
      </c>
      <c r="AM37" s="12">
        <v>53373</v>
      </c>
      <c r="AN37" s="13">
        <f>(AL37+AM37)/AM37</f>
        <v>1.3950499316133627</v>
      </c>
      <c r="AO37" s="12">
        <v>23832</v>
      </c>
      <c r="AP37" s="12">
        <v>57427</v>
      </c>
      <c r="AQ37" s="13">
        <f>(AO37+AP37)/AP37</f>
        <v>1.4149964302505791</v>
      </c>
    </row>
    <row r="38" spans="1:54" x14ac:dyDescent="0.25">
      <c r="A38" s="5" t="s">
        <v>42</v>
      </c>
      <c r="B38" s="3"/>
      <c r="C38" s="3"/>
      <c r="D38" s="3" t="s">
        <v>23</v>
      </c>
      <c r="E38" s="3" t="s">
        <v>10</v>
      </c>
      <c r="F38" s="3"/>
      <c r="H38" s="5">
        <v>4</v>
      </c>
      <c r="I38" s="5">
        <v>5</v>
      </c>
      <c r="J38" s="5" t="str">
        <f t="shared" si="0"/>
        <v/>
      </c>
      <c r="K38" s="5" t="str">
        <f t="shared" si="1"/>
        <v/>
      </c>
      <c r="L38" s="5" t="str">
        <f t="shared" si="2"/>
        <v/>
      </c>
      <c r="M38" s="5" t="str">
        <f t="shared" si="3"/>
        <v/>
      </c>
      <c r="O38" s="7">
        <f t="shared" si="5"/>
        <v>0.26029999999999998</v>
      </c>
      <c r="Q38" s="13">
        <v>1.44</v>
      </c>
      <c r="R38" s="13">
        <v>1.46</v>
      </c>
      <c r="S38" s="13">
        <v>1.4</v>
      </c>
      <c r="T38" s="13">
        <f t="shared" si="6"/>
        <v>1.4333333333333333</v>
      </c>
      <c r="U38" s="13"/>
      <c r="V38" s="13">
        <f t="shared" si="7"/>
        <v>1.88</v>
      </c>
      <c r="W38" s="13">
        <f t="shared" si="8"/>
        <v>1.75</v>
      </c>
      <c r="X38" s="13">
        <f t="shared" si="9"/>
        <v>1.62</v>
      </c>
      <c r="Y38" s="13">
        <f t="shared" si="10"/>
        <v>1.75</v>
      </c>
      <c r="Z38" s="13"/>
      <c r="AA38" s="5" t="s">
        <v>97</v>
      </c>
      <c r="AB38" s="5">
        <f t="shared" si="4"/>
        <v>4.5</v>
      </c>
      <c r="AC38" s="7">
        <v>0.26029999999999998</v>
      </c>
      <c r="AD38" s="13">
        <v>1.88</v>
      </c>
      <c r="AE38" s="13">
        <v>1.88</v>
      </c>
      <c r="AF38" s="13">
        <v>1.75</v>
      </c>
      <c r="AG38" s="13">
        <v>1.62</v>
      </c>
      <c r="AI38" s="12"/>
      <c r="AJ38" s="12"/>
      <c r="AK38" s="13"/>
      <c r="AL38" s="12"/>
      <c r="AM38" s="12"/>
      <c r="AN38" s="13"/>
      <c r="AO38" s="12"/>
      <c r="AP38" s="12"/>
      <c r="AQ38" s="13"/>
    </row>
    <row r="39" spans="1:54" x14ac:dyDescent="0.25">
      <c r="A39" s="5" t="s">
        <v>43</v>
      </c>
      <c r="B39" s="3" t="s">
        <v>33</v>
      </c>
      <c r="C39" s="2" t="s">
        <v>52</v>
      </c>
      <c r="D39" s="3"/>
      <c r="E39" s="3" t="s">
        <v>9</v>
      </c>
      <c r="F39" s="3">
        <f>G39-1</f>
        <v>7</v>
      </c>
      <c r="G39" s="5">
        <v>8</v>
      </c>
      <c r="I39" s="5">
        <v>6</v>
      </c>
      <c r="J39" s="5" t="str">
        <f t="shared" si="0"/>
        <v/>
      </c>
      <c r="K39" s="5">
        <f t="shared" si="1"/>
        <v>-1</v>
      </c>
      <c r="L39" s="5" t="str">
        <f t="shared" si="2"/>
        <v/>
      </c>
      <c r="M39" s="5">
        <f t="shared" si="3"/>
        <v>-2</v>
      </c>
      <c r="O39" s="7">
        <f t="shared" si="5"/>
        <v>0.13289999999999999</v>
      </c>
      <c r="Q39" s="13">
        <v>1.1200000000000001</v>
      </c>
      <c r="R39" s="13">
        <v>1.1000000000000001</v>
      </c>
      <c r="S39" s="13">
        <v>1.1100000000000001</v>
      </c>
      <c r="T39" s="13">
        <f t="shared" si="6"/>
        <v>1.1100000000000001</v>
      </c>
      <c r="U39" s="13"/>
      <c r="V39" s="13">
        <f t="shared" si="7"/>
        <v>1.1599999999999999</v>
      </c>
      <c r="W39" s="13">
        <f t="shared" si="8"/>
        <v>1.1299999999999999</v>
      </c>
      <c r="X39" s="13">
        <f t="shared" si="9"/>
        <v>1.1299999999999999</v>
      </c>
      <c r="Y39" s="13">
        <f t="shared" si="10"/>
        <v>1.1399999999999999</v>
      </c>
      <c r="Z39" s="13"/>
      <c r="AA39" s="5" t="s">
        <v>6</v>
      </c>
      <c r="AB39" s="5">
        <f t="shared" si="4"/>
        <v>6.5</v>
      </c>
      <c r="AC39" s="7">
        <v>0.13289999999999999</v>
      </c>
      <c r="AD39" s="13"/>
      <c r="AE39" s="13">
        <v>1.1599999999999999</v>
      </c>
      <c r="AF39" s="13">
        <v>1.1299999999999999</v>
      </c>
      <c r="AG39" s="13">
        <v>1.1299999999999999</v>
      </c>
      <c r="AI39" s="12"/>
      <c r="AJ39" s="12"/>
      <c r="AK39" s="13"/>
      <c r="AL39" s="12"/>
      <c r="AM39" s="12"/>
      <c r="AN39" s="13"/>
      <c r="AO39" s="12"/>
      <c r="AP39" s="12"/>
      <c r="AQ39" s="13"/>
    </row>
    <row r="40" spans="1:54" x14ac:dyDescent="0.25">
      <c r="A40" s="5" t="s">
        <v>44</v>
      </c>
      <c r="B40" s="3" t="s">
        <v>17</v>
      </c>
      <c r="C40" s="3" t="s">
        <v>33</v>
      </c>
      <c r="D40" s="3" t="s">
        <v>10</v>
      </c>
      <c r="E40" s="3" t="s">
        <v>9</v>
      </c>
      <c r="F40" s="3">
        <f>G40-1</f>
        <v>6</v>
      </c>
      <c r="G40" s="5">
        <v>7</v>
      </c>
      <c r="H40" s="5">
        <v>5</v>
      </c>
      <c r="I40" s="5">
        <v>6</v>
      </c>
      <c r="J40" s="5">
        <f t="shared" si="0"/>
        <v>-1</v>
      </c>
      <c r="K40" s="5">
        <f t="shared" si="1"/>
        <v>0</v>
      </c>
      <c r="L40" s="5">
        <f t="shared" si="2"/>
        <v>-2</v>
      </c>
      <c r="M40" s="5">
        <f t="shared" si="3"/>
        <v>-1</v>
      </c>
      <c r="O40" s="7">
        <f t="shared" si="5"/>
        <v>0.22439999999999999</v>
      </c>
      <c r="Q40" s="13">
        <v>1.38</v>
      </c>
      <c r="R40" s="13">
        <v>1.65</v>
      </c>
      <c r="S40" s="13">
        <v>1.39</v>
      </c>
      <c r="T40" s="13">
        <f t="shared" si="6"/>
        <v>1.4733333333333334</v>
      </c>
      <c r="U40" s="13"/>
      <c r="V40" s="13">
        <f t="shared" si="7"/>
        <v>1.2991285403050108</v>
      </c>
      <c r="W40" s="13">
        <f t="shared" si="8"/>
        <v>1.2780278977775466</v>
      </c>
      <c r="X40" s="13">
        <f t="shared" si="9"/>
        <v>1.4177009376185572</v>
      </c>
      <c r="Y40" s="13">
        <f t="shared" si="10"/>
        <v>1.3316191252337048</v>
      </c>
      <c r="Z40" s="13"/>
      <c r="AA40" s="5" t="s">
        <v>6</v>
      </c>
      <c r="AB40" s="5">
        <f t="shared" si="4"/>
        <v>5.666666666666667</v>
      </c>
      <c r="AC40" s="7">
        <v>0.22439999999999999</v>
      </c>
      <c r="AD40" s="13"/>
      <c r="AE40" s="13"/>
      <c r="AF40" s="13"/>
      <c r="AG40" s="13"/>
      <c r="AI40" s="12">
        <v>45309</v>
      </c>
      <c r="AJ40" s="12">
        <v>151470</v>
      </c>
      <c r="AK40" s="13">
        <f>(AI40+AJ40)/AJ40</f>
        <v>1.2991285403050108</v>
      </c>
      <c r="AL40" s="12">
        <v>42734</v>
      </c>
      <c r="AM40" s="12">
        <v>153704</v>
      </c>
      <c r="AN40" s="13">
        <f>(AL40+AM40)/AM40</f>
        <v>1.2780278977775466</v>
      </c>
      <c r="AO40" s="12">
        <v>61656</v>
      </c>
      <c r="AP40" s="12">
        <v>147608</v>
      </c>
      <c r="AQ40" s="13">
        <f>(AO40+AP40)/AP40</f>
        <v>1.4177009376185572</v>
      </c>
    </row>
    <row r="41" spans="1:54" x14ac:dyDescent="0.25">
      <c r="A41" s="5" t="s">
        <v>45</v>
      </c>
      <c r="B41" s="3"/>
      <c r="C41" s="3"/>
      <c r="D41" s="3"/>
      <c r="E41" s="3" t="s">
        <v>10</v>
      </c>
      <c r="F41" s="3"/>
      <c r="I41" s="5">
        <v>5</v>
      </c>
      <c r="J41" s="5" t="str">
        <f t="shared" si="0"/>
        <v/>
      </c>
      <c r="K41" s="5" t="str">
        <f t="shared" si="1"/>
        <v/>
      </c>
      <c r="L41" s="5" t="str">
        <f t="shared" si="2"/>
        <v/>
      </c>
      <c r="M41" s="5" t="str">
        <f t="shared" si="3"/>
        <v/>
      </c>
      <c r="O41" s="7">
        <f t="shared" si="5"/>
        <v>0.1971</v>
      </c>
      <c r="Q41" s="13">
        <v>1.42</v>
      </c>
      <c r="R41" s="13">
        <v>1.48</v>
      </c>
      <c r="S41" s="13">
        <v>1.39</v>
      </c>
      <c r="T41" s="13">
        <f t="shared" si="6"/>
        <v>1.43</v>
      </c>
      <c r="U41" s="13"/>
      <c r="V41" s="13">
        <f t="shared" si="7"/>
        <v>1.64</v>
      </c>
      <c r="W41" s="13">
        <f t="shared" si="8"/>
        <v>1.64</v>
      </c>
      <c r="X41" s="13">
        <f t="shared" si="9"/>
        <v>1.49</v>
      </c>
      <c r="Y41" s="13">
        <f t="shared" si="10"/>
        <v>1.5899999999999999</v>
      </c>
      <c r="Z41" s="13"/>
      <c r="AA41" s="5" t="s">
        <v>6</v>
      </c>
      <c r="AB41" s="5">
        <f t="shared" si="4"/>
        <v>5</v>
      </c>
      <c r="AC41" s="7">
        <v>0.1971</v>
      </c>
      <c r="AD41" s="13"/>
      <c r="AE41" s="13">
        <v>1.64</v>
      </c>
      <c r="AF41" s="13">
        <v>1.64</v>
      </c>
      <c r="AG41" s="13">
        <v>1.49</v>
      </c>
      <c r="AI41" s="12"/>
      <c r="AJ41" s="12"/>
      <c r="AK41" s="13"/>
      <c r="AL41" s="12"/>
      <c r="AM41" s="12"/>
      <c r="AN41" s="13"/>
      <c r="AO41" s="12"/>
      <c r="AP41" s="12"/>
      <c r="AQ41" s="13"/>
    </row>
    <row r="42" spans="1:54" x14ac:dyDescent="0.25">
      <c r="A42" s="5" t="s">
        <v>46</v>
      </c>
      <c r="B42" s="3"/>
      <c r="C42" s="3"/>
      <c r="D42" s="3" t="s">
        <v>9</v>
      </c>
      <c r="E42" s="3" t="s">
        <v>9</v>
      </c>
      <c r="F42" s="3"/>
      <c r="H42" s="5">
        <v>6</v>
      </c>
      <c r="I42" s="5">
        <v>6</v>
      </c>
      <c r="J42" s="5" t="str">
        <f t="shared" si="0"/>
        <v/>
      </c>
      <c r="K42" s="5" t="str">
        <f t="shared" si="1"/>
        <v/>
      </c>
      <c r="L42" s="5" t="str">
        <f t="shared" si="2"/>
        <v/>
      </c>
      <c r="M42" s="5" t="str">
        <f t="shared" si="3"/>
        <v/>
      </c>
      <c r="O42" s="7">
        <f t="shared" si="5"/>
        <v>0.27060000000000001</v>
      </c>
      <c r="Q42" s="13">
        <v>1.3</v>
      </c>
      <c r="R42" s="13">
        <v>1.28</v>
      </c>
      <c r="S42" s="13">
        <v>1.26</v>
      </c>
      <c r="T42" s="13">
        <f t="shared" si="6"/>
        <v>1.28</v>
      </c>
      <c r="U42" s="13"/>
      <c r="V42" s="13">
        <f t="shared" si="7"/>
        <v>1.3756949338344686</v>
      </c>
      <c r="W42" s="13">
        <f t="shared" si="8"/>
        <v>1.3842422618250034</v>
      </c>
      <c r="X42" s="13">
        <f t="shared" si="9"/>
        <v>1.3412465905647035</v>
      </c>
      <c r="Y42" s="13">
        <f t="shared" si="10"/>
        <v>1.3670612620747251</v>
      </c>
      <c r="Z42" s="13"/>
      <c r="AA42" s="5" t="s">
        <v>6</v>
      </c>
      <c r="AB42" s="5">
        <f t="shared" si="4"/>
        <v>6</v>
      </c>
      <c r="AC42" s="7">
        <v>0.27060000000000001</v>
      </c>
      <c r="AD42" s="13">
        <v>1.4</v>
      </c>
      <c r="AE42" s="13"/>
      <c r="AF42" s="13"/>
      <c r="AG42" s="13"/>
      <c r="AI42" s="12">
        <v>14394</v>
      </c>
      <c r="AJ42" s="12">
        <v>38313</v>
      </c>
      <c r="AK42" s="13">
        <f>(AI42+AJ42)/AJ42</f>
        <v>1.3756949338344686</v>
      </c>
      <c r="AL42" s="12">
        <v>14338</v>
      </c>
      <c r="AM42" s="12">
        <v>37315</v>
      </c>
      <c r="AN42" s="13">
        <f>(AL42+AM42)/AM42</f>
        <v>1.3842422618250034</v>
      </c>
      <c r="AO42" s="12">
        <v>13512</v>
      </c>
      <c r="AP42" s="12">
        <v>39596</v>
      </c>
      <c r="AQ42" s="13">
        <f>(AO42+AP42)/AP42</f>
        <v>1.3412465905647035</v>
      </c>
    </row>
    <row r="43" spans="1:54" x14ac:dyDescent="0.25">
      <c r="A43" s="5" t="s">
        <v>107</v>
      </c>
      <c r="E43" s="3" t="s">
        <v>10</v>
      </c>
      <c r="F43" s="3"/>
      <c r="I43" s="5">
        <v>5</v>
      </c>
      <c r="O43" s="7">
        <f t="shared" si="5"/>
        <v>0.24399999999999999</v>
      </c>
      <c r="Q43" s="13">
        <v>1.33</v>
      </c>
      <c r="R43" s="13">
        <v>1.51</v>
      </c>
      <c r="S43" s="13">
        <v>1.45</v>
      </c>
      <c r="T43" s="13">
        <f t="shared" si="6"/>
        <v>1.43</v>
      </c>
      <c r="U43" s="13"/>
      <c r="V43" s="13">
        <f t="shared" si="7"/>
        <v>1.68</v>
      </c>
      <c r="W43" s="13">
        <f t="shared" si="8"/>
        <v>1.89</v>
      </c>
      <c r="X43" s="13">
        <f t="shared" si="9"/>
        <v>1.77</v>
      </c>
      <c r="Y43" s="13">
        <f t="shared" si="10"/>
        <v>1.78</v>
      </c>
      <c r="Z43" s="13"/>
      <c r="AA43" s="5" t="s">
        <v>6</v>
      </c>
      <c r="AB43" s="5">
        <f t="shared" si="4"/>
        <v>5</v>
      </c>
      <c r="AC43" s="7">
        <v>0.24399999999999999</v>
      </c>
      <c r="AD43" s="13">
        <v>1.69</v>
      </c>
      <c r="AE43" s="13">
        <v>1.68</v>
      </c>
      <c r="AF43" s="13">
        <v>1.89</v>
      </c>
      <c r="AG43" s="13">
        <v>1.77</v>
      </c>
      <c r="AI43" s="12"/>
      <c r="AJ43" s="12"/>
      <c r="AK43" s="13"/>
      <c r="AL43" s="12"/>
      <c r="AM43" s="12"/>
      <c r="AN43" s="13"/>
      <c r="AO43" s="12"/>
      <c r="AP43" s="12"/>
      <c r="AQ43" s="13"/>
    </row>
    <row r="44" spans="1:54" x14ac:dyDescent="0.25">
      <c r="Q44" s="13"/>
      <c r="R44" s="13"/>
      <c r="S44" s="13"/>
      <c r="T44" s="13"/>
      <c r="U44" s="13"/>
      <c r="V44" s="13"/>
      <c r="W44" s="13"/>
      <c r="X44" s="13"/>
      <c r="Y44" s="13"/>
    </row>
    <row r="45" spans="1:54" x14ac:dyDescent="0.25">
      <c r="A45" s="5" t="s">
        <v>84</v>
      </c>
      <c r="J45" s="5">
        <f>AVERAGE(J3:J43)</f>
        <v>-0.38461538461538464</v>
      </c>
      <c r="K45" s="5">
        <f>AVERAGE(K3:K43)</f>
        <v>-0.52941176470588236</v>
      </c>
      <c r="L45" s="5">
        <f>AVERAGE(L3:L43)</f>
        <v>-1.3846153846153846</v>
      </c>
      <c r="M45" s="5">
        <f>AVERAGE(M3:M43)</f>
        <v>-1.5294117647058822</v>
      </c>
      <c r="O45" s="7">
        <f>MEDIAN(O14:O43)</f>
        <v>0.23230000000000001</v>
      </c>
      <c r="Q45" s="13">
        <f>MEDIAN(Q14:Q43)</f>
        <v>1.35</v>
      </c>
      <c r="R45" s="13">
        <f>MEDIAN(R14:R43)</f>
        <v>1.2850000000000001</v>
      </c>
      <c r="S45" s="13">
        <f>MEDIAN(S14:S43)</f>
        <v>1.3394117057835446</v>
      </c>
      <c r="T45" s="13">
        <f>MEDIAN(T14:T43)</f>
        <v>1.3392507073098359</v>
      </c>
      <c r="U45" s="13"/>
      <c r="V45" s="13">
        <f>MEDIAN(V14:V43)</f>
        <v>1.47</v>
      </c>
      <c r="W45" s="13">
        <f>MEDIAN(W14:W43)</f>
        <v>1.4075249658066813</v>
      </c>
      <c r="X45" s="13">
        <f>MEDIAN(X14:X43)</f>
        <v>1.43</v>
      </c>
      <c r="Y45" s="13">
        <f>MEDIAN(Y14:Y43)</f>
        <v>1.4760596841263223</v>
      </c>
      <c r="Z45" s="13"/>
    </row>
    <row r="46" spans="1:54" x14ac:dyDescent="0.25">
      <c r="O46" s="7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54" x14ac:dyDescent="0.25">
      <c r="A47" s="5" t="s">
        <v>85</v>
      </c>
      <c r="O47" s="7">
        <f>AVERAGE(O14:O43)</f>
        <v>0.23444333333333339</v>
      </c>
      <c r="Q47" s="13">
        <f>AVERAGE(Q14:Q43)</f>
        <v>1.4201844835911013</v>
      </c>
      <c r="R47" s="13">
        <f>AVERAGE(R14:R43)</f>
        <v>1.4496667507234919</v>
      </c>
      <c r="S47" s="13">
        <f>AVERAGE(S14:S43)</f>
        <v>1.3984663345345361</v>
      </c>
      <c r="T47" s="13">
        <f>AVERAGE(T14:T43)</f>
        <v>1.4227725229497097</v>
      </c>
      <c r="U47" s="13"/>
      <c r="V47" s="13">
        <f>AVERAGE(V14:V43)</f>
        <v>1.53312694943105</v>
      </c>
      <c r="W47" s="13">
        <f>AVERAGE(W14:W43)</f>
        <v>1.5645879244591929</v>
      </c>
      <c r="X47" s="13">
        <f>AVERAGE(X14:X43)</f>
        <v>1.5087563696502366</v>
      </c>
      <c r="Y47" s="13">
        <f>AVERAGE(Y14:Y43)</f>
        <v>1.5354904145134929</v>
      </c>
      <c r="Z47" s="13"/>
      <c r="AE47" s="5">
        <f>MEDIAN(AE14:AF43)</f>
        <v>1.585</v>
      </c>
    </row>
    <row r="48" spans="1:54" x14ac:dyDescent="0.25">
      <c r="O48" s="7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33" x14ac:dyDescent="0.25">
      <c r="A49" s="5" t="s">
        <v>29</v>
      </c>
      <c r="D49" s="5" t="s">
        <v>47</v>
      </c>
      <c r="E49" s="5" t="s">
        <v>10</v>
      </c>
      <c r="H49" s="5">
        <v>7</v>
      </c>
      <c r="I49" s="5">
        <v>5</v>
      </c>
      <c r="J49" s="5" t="s">
        <v>108</v>
      </c>
      <c r="K49" s="5" t="s">
        <v>108</v>
      </c>
      <c r="L49" s="5" t="s">
        <v>108</v>
      </c>
      <c r="M49" s="5" t="s">
        <v>108</v>
      </c>
      <c r="O49" s="7">
        <v>0.18940000000000001</v>
      </c>
      <c r="Q49" s="13">
        <v>1.39</v>
      </c>
      <c r="R49" s="13">
        <v>1.34</v>
      </c>
      <c r="S49" s="13">
        <v>1.26</v>
      </c>
      <c r="T49" s="13">
        <v>1.33</v>
      </c>
      <c r="U49" s="13"/>
      <c r="V49" s="13">
        <v>1.39</v>
      </c>
      <c r="W49" s="13">
        <v>1.35</v>
      </c>
      <c r="X49" s="13">
        <v>1.19</v>
      </c>
      <c r="Y49" s="13">
        <v>1.31</v>
      </c>
      <c r="Z49" s="13"/>
      <c r="AA49" s="5" t="s">
        <v>7</v>
      </c>
      <c r="AB49" s="5">
        <v>6</v>
      </c>
      <c r="AC49" s="5">
        <v>0.18940000000000001</v>
      </c>
      <c r="AD49" s="5">
        <v>1.42</v>
      </c>
      <c r="AE49" s="5">
        <v>1.39</v>
      </c>
      <c r="AF49">
        <v>1.35</v>
      </c>
      <c r="AG49" s="5">
        <v>1.19</v>
      </c>
    </row>
    <row r="50" spans="1:33" x14ac:dyDescent="0.25">
      <c r="O50" s="7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33" x14ac:dyDescent="0.25">
      <c r="A51" s="5" t="s">
        <v>100</v>
      </c>
      <c r="O51" s="7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33" x14ac:dyDescent="0.25">
      <c r="A52" s="5" t="s">
        <v>99</v>
      </c>
      <c r="O52" s="7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33" x14ac:dyDescent="0.25">
      <c r="A53" s="5" t="s">
        <v>101</v>
      </c>
      <c r="O53" s="7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33" x14ac:dyDescent="0.25">
      <c r="O54" s="7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33" hidden="1" x14ac:dyDescent="0.25">
      <c r="O55" s="7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33" hidden="1" x14ac:dyDescent="0.25"/>
    <row r="57" spans="1:33" hidden="1" x14ac:dyDescent="0.25"/>
    <row r="58" spans="1:33" hidden="1" x14ac:dyDescent="0.25">
      <c r="A58" s="5">
        <v>1</v>
      </c>
    </row>
    <row r="59" spans="1:33" hidden="1" x14ac:dyDescent="0.25">
      <c r="A59" s="5">
        <v>2</v>
      </c>
    </row>
    <row r="60" spans="1:33" hidden="1" x14ac:dyDescent="0.25">
      <c r="A60" s="5">
        <v>3</v>
      </c>
    </row>
    <row r="61" spans="1:33" hidden="1" x14ac:dyDescent="0.25">
      <c r="A61" s="5">
        <v>4</v>
      </c>
    </row>
    <row r="62" spans="1:33" hidden="1" x14ac:dyDescent="0.25">
      <c r="A62" s="5">
        <v>5</v>
      </c>
    </row>
    <row r="63" spans="1:33" hidden="1" x14ac:dyDescent="0.25">
      <c r="A63" s="5">
        <v>6</v>
      </c>
    </row>
    <row r="64" spans="1:33" hidden="1" x14ac:dyDescent="0.25">
      <c r="A64" s="5">
        <v>7</v>
      </c>
    </row>
    <row r="65" spans="1:1" hidden="1" x14ac:dyDescent="0.25">
      <c r="A65" s="5">
        <v>8</v>
      </c>
    </row>
    <row r="66" spans="1:1" hidden="1" x14ac:dyDescent="0.25">
      <c r="A66" s="5">
        <v>9</v>
      </c>
    </row>
    <row r="67" spans="1:1" hidden="1" x14ac:dyDescent="0.25">
      <c r="A67" s="5">
        <v>10</v>
      </c>
    </row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20:25" hidden="1" x14ac:dyDescent="0.25"/>
    <row r="98" spans="20:25" hidden="1" x14ac:dyDescent="0.25"/>
    <row r="99" spans="20:25" hidden="1" x14ac:dyDescent="0.25"/>
    <row r="100" spans="20:25" x14ac:dyDescent="0.25">
      <c r="T100" s="17"/>
      <c r="Y100" s="17"/>
    </row>
  </sheetData>
  <mergeCells count="3">
    <mergeCell ref="A9:AA9"/>
    <mergeCell ref="B12:E12"/>
    <mergeCell ref="G12:I12"/>
  </mergeCells>
  <pageMargins left="0.45" right="0.45" top="0.5" bottom="0.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1"/>
  <sheetViews>
    <sheetView workbookViewId="0">
      <selection activeCell="D29" sqref="D29"/>
    </sheetView>
  </sheetViews>
  <sheetFormatPr defaultRowHeight="13.8" x14ac:dyDescent="0.25"/>
  <cols>
    <col min="1" max="1" width="2.59765625" customWidth="1"/>
    <col min="2" max="2" width="54.8984375" customWidth="1"/>
    <col min="3" max="3" width="0.8984375" customWidth="1"/>
    <col min="4" max="4" width="14.19921875" customWidth="1"/>
    <col min="5" max="5" width="1.59765625" customWidth="1"/>
    <col min="6" max="6" width="14.19921875" customWidth="1"/>
    <col min="7" max="7" width="4.69921875" customWidth="1"/>
  </cols>
  <sheetData>
    <row r="2" spans="2:6" x14ac:dyDescent="0.25">
      <c r="B2" t="s">
        <v>129</v>
      </c>
    </row>
    <row r="4" spans="2:6" ht="22.8" x14ac:dyDescent="0.4">
      <c r="B4" s="42" t="s">
        <v>124</v>
      </c>
      <c r="C4" s="42"/>
      <c r="D4" s="42"/>
      <c r="E4" s="42"/>
      <c r="F4" s="42"/>
    </row>
    <row r="5" spans="2:6" ht="17.399999999999999" x14ac:dyDescent="0.3">
      <c r="B5" s="43" t="s">
        <v>127</v>
      </c>
      <c r="C5" s="43"/>
      <c r="D5" s="43"/>
      <c r="E5" s="43"/>
      <c r="F5" s="43"/>
    </row>
    <row r="7" spans="2:6" x14ac:dyDescent="0.25">
      <c r="B7" t="s">
        <v>113</v>
      </c>
      <c r="D7" s="25">
        <v>2019</v>
      </c>
      <c r="E7" s="24"/>
      <c r="F7" s="25" t="s">
        <v>112</v>
      </c>
    </row>
    <row r="9" spans="2:6" x14ac:dyDescent="0.25">
      <c r="B9" t="s">
        <v>109</v>
      </c>
      <c r="D9" s="20">
        <f>715371644.46/1000000</f>
        <v>715.37164446000008</v>
      </c>
      <c r="E9" s="20"/>
      <c r="F9" s="20">
        <f>744291459.57/1000000</f>
        <v>744.29145957000003</v>
      </c>
    </row>
    <row r="10" spans="2:6" x14ac:dyDescent="0.25">
      <c r="D10" s="20"/>
      <c r="E10" s="20"/>
      <c r="F10" s="20"/>
    </row>
    <row r="11" spans="2:6" x14ac:dyDescent="0.25">
      <c r="B11" t="s">
        <v>114</v>
      </c>
      <c r="D11" s="20">
        <f>2463892891.11/1000000</f>
        <v>2463.8928911100002</v>
      </c>
      <c r="E11" s="20"/>
      <c r="F11" s="20">
        <f>2560757416.49/1000000</f>
        <v>2560.7574164899997</v>
      </c>
    </row>
    <row r="12" spans="2:6" x14ac:dyDescent="0.25">
      <c r="D12" s="20"/>
      <c r="E12" s="20"/>
      <c r="F12" s="20"/>
    </row>
    <row r="13" spans="2:6" x14ac:dyDescent="0.25">
      <c r="B13" t="s">
        <v>115</v>
      </c>
      <c r="D13" s="20">
        <f>D9+D11</f>
        <v>3179.2645355700001</v>
      </c>
      <c r="E13" s="20"/>
      <c r="F13" s="20">
        <f>F9+F11</f>
        <v>3305.0488760599997</v>
      </c>
    </row>
    <row r="15" spans="2:6" x14ac:dyDescent="0.25">
      <c r="B15" t="s">
        <v>120</v>
      </c>
      <c r="D15" s="18">
        <f>D9/D13</f>
        <v>0.22501167690084758</v>
      </c>
      <c r="E15" s="18"/>
      <c r="F15" s="18">
        <f>F9/F13</f>
        <v>0.2251983215622764</v>
      </c>
    </row>
    <row r="17" spans="2:6" x14ac:dyDescent="0.25">
      <c r="B17" t="s">
        <v>116</v>
      </c>
      <c r="D17" s="1">
        <v>3.85E-2</v>
      </c>
      <c r="E17" s="1"/>
      <c r="F17" s="1">
        <v>3.4500000000000003E-2</v>
      </c>
    </row>
    <row r="19" spans="2:6" x14ac:dyDescent="0.25">
      <c r="B19" t="s">
        <v>117</v>
      </c>
      <c r="D19" s="19">
        <f>D17*D11</f>
        <v>94.859876307735007</v>
      </c>
      <c r="E19" s="19"/>
      <c r="F19" s="19">
        <f>F17*F11</f>
        <v>88.346130868904993</v>
      </c>
    </row>
    <row r="21" spans="2:6" x14ac:dyDescent="0.25">
      <c r="B21" t="s">
        <v>111</v>
      </c>
      <c r="D21" s="22">
        <v>1.5</v>
      </c>
      <c r="E21" s="22"/>
      <c r="F21" s="22">
        <v>1.5</v>
      </c>
    </row>
    <row r="23" spans="2:6" x14ac:dyDescent="0.25">
      <c r="B23" t="s">
        <v>118</v>
      </c>
      <c r="D23" s="20">
        <f>(D21-1)*D19</f>
        <v>47.429938153867504</v>
      </c>
      <c r="E23" s="20"/>
      <c r="F23" s="20">
        <f>(F21-1)*F19</f>
        <v>44.173065434452496</v>
      </c>
    </row>
    <row r="24" spans="2:6" ht="14.4" thickBot="1" x14ac:dyDescent="0.3"/>
    <row r="25" spans="2:6" ht="14.4" thickBot="1" x14ac:dyDescent="0.3">
      <c r="B25" s="26" t="s">
        <v>119</v>
      </c>
      <c r="C25" s="27"/>
      <c r="D25" s="30">
        <f>D23/D9</f>
        <v>6.6301115680465775E-2</v>
      </c>
      <c r="E25" s="30"/>
      <c r="F25" s="31">
        <f>F23/F9</f>
        <v>5.9349149941842178E-2</v>
      </c>
    </row>
    <row r="26" spans="2:6" ht="14.4" thickBot="1" x14ac:dyDescent="0.3">
      <c r="B26" s="4"/>
      <c r="C26" s="4"/>
      <c r="D26" s="4"/>
      <c r="E26" s="4"/>
      <c r="F26" s="4"/>
    </row>
    <row r="27" spans="2:6" ht="14.4" thickBot="1" x14ac:dyDescent="0.3">
      <c r="B27" s="26" t="s">
        <v>125</v>
      </c>
      <c r="C27" s="27"/>
      <c r="D27" s="30">
        <f>(D19+D23)/D13</f>
        <v>4.4755575658976053E-2</v>
      </c>
      <c r="E27" s="30"/>
      <c r="F27" s="31">
        <f>(F19+F23)/F13</f>
        <v>4.0095986859152201E-2</v>
      </c>
    </row>
    <row r="30" spans="2:6" x14ac:dyDescent="0.25">
      <c r="B30" t="s">
        <v>130</v>
      </c>
    </row>
    <row r="32" spans="2:6" ht="22.8" x14ac:dyDescent="0.4">
      <c r="B32" s="42" t="s">
        <v>124</v>
      </c>
      <c r="C32" s="42"/>
      <c r="D32" s="42"/>
      <c r="E32" s="42"/>
      <c r="F32" s="42"/>
    </row>
    <row r="33" spans="2:6" ht="17.399999999999999" x14ac:dyDescent="0.3">
      <c r="B33" s="43" t="s">
        <v>126</v>
      </c>
      <c r="C33" s="43"/>
      <c r="D33" s="43"/>
      <c r="E33" s="43"/>
      <c r="F33" s="43"/>
    </row>
    <row r="35" spans="2:6" x14ac:dyDescent="0.25">
      <c r="B35" t="s">
        <v>113</v>
      </c>
      <c r="D35" s="25">
        <v>2019</v>
      </c>
      <c r="E35" s="24"/>
      <c r="F35" s="25" t="s">
        <v>112</v>
      </c>
    </row>
    <row r="37" spans="2:6" x14ac:dyDescent="0.25">
      <c r="B37" t="s">
        <v>109</v>
      </c>
      <c r="D37" s="20">
        <f>715371644.46/1000000</f>
        <v>715.37164446000008</v>
      </c>
      <c r="E37" s="20"/>
      <c r="F37" s="20">
        <f>744291459.57/1000000</f>
        <v>744.29145957000003</v>
      </c>
    </row>
    <row r="38" spans="2:6" x14ac:dyDescent="0.25">
      <c r="D38" s="20"/>
      <c r="E38" s="20"/>
      <c r="F38" s="20"/>
    </row>
    <row r="39" spans="2:6" x14ac:dyDescent="0.25">
      <c r="B39" t="s">
        <v>114</v>
      </c>
      <c r="D39" s="20">
        <f>2463892891.11/1000000</f>
        <v>2463.8928911100002</v>
      </c>
      <c r="E39" s="20"/>
      <c r="F39" s="20">
        <f>2560757416.49/1000000</f>
        <v>2560.7574164899997</v>
      </c>
    </row>
    <row r="40" spans="2:6" x14ac:dyDescent="0.25">
      <c r="D40" s="20"/>
      <c r="E40" s="20"/>
      <c r="F40" s="20"/>
    </row>
    <row r="41" spans="2:6" x14ac:dyDescent="0.25">
      <c r="B41" t="s">
        <v>115</v>
      </c>
      <c r="D41" s="20">
        <f>D37+D39</f>
        <v>3179.2645355700001</v>
      </c>
      <c r="E41" s="20"/>
      <c r="F41" s="20">
        <f>F37+F39</f>
        <v>3305.0488760599997</v>
      </c>
    </row>
    <row r="43" spans="2:6" x14ac:dyDescent="0.25">
      <c r="B43" t="s">
        <v>120</v>
      </c>
      <c r="D43" s="18">
        <f>D37/D41</f>
        <v>0.22501167690084758</v>
      </c>
      <c r="E43" s="18"/>
      <c r="F43" s="18">
        <f>F37/F41</f>
        <v>0.2251983215622764</v>
      </c>
    </row>
    <row r="45" spans="2:6" x14ac:dyDescent="0.25">
      <c r="B45" t="s">
        <v>116</v>
      </c>
      <c r="D45" s="1">
        <v>3.85E-2</v>
      </c>
      <c r="E45" s="1"/>
      <c r="F45" s="1">
        <v>3.4500000000000003E-2</v>
      </c>
    </row>
    <row r="47" spans="2:6" x14ac:dyDescent="0.25">
      <c r="B47" t="s">
        <v>117</v>
      </c>
      <c r="D47" s="19">
        <f>D45*D39</f>
        <v>94.859876307735007</v>
      </c>
      <c r="E47" s="19"/>
      <c r="F47" s="19">
        <f>F45*F39</f>
        <v>88.346130868904993</v>
      </c>
    </row>
    <row r="48" spans="2:6" ht="14.4" thickBot="1" x14ac:dyDescent="0.3"/>
    <row r="49" spans="2:6" ht="14.4" thickBot="1" x14ac:dyDescent="0.3">
      <c r="B49" s="26" t="s">
        <v>122</v>
      </c>
      <c r="C49" s="27"/>
      <c r="D49" s="28">
        <f>(D51+D47)/D47</f>
        <v>1.7164283664384079</v>
      </c>
      <c r="E49" s="28"/>
      <c r="F49" s="29">
        <f>(F51+F47)/F47</f>
        <v>1.800348447223701</v>
      </c>
    </row>
    <row r="51" spans="2:6" x14ac:dyDescent="0.25">
      <c r="B51" t="s">
        <v>118</v>
      </c>
      <c r="D51" s="20">
        <f>D53*D37</f>
        <v>67.960306223700002</v>
      </c>
      <c r="E51" s="20"/>
      <c r="F51" s="20">
        <f>F53*F37</f>
        <v>70.707688659150008</v>
      </c>
    </row>
    <row r="53" spans="2:6" x14ac:dyDescent="0.25">
      <c r="B53" t="s">
        <v>121</v>
      </c>
      <c r="D53" s="23">
        <v>9.5000000000000001E-2</v>
      </c>
      <c r="E53" s="23"/>
      <c r="F53" s="23">
        <v>9.5000000000000001E-2</v>
      </c>
    </row>
    <row r="55" spans="2:6" x14ac:dyDescent="0.25">
      <c r="B55" t="s">
        <v>125</v>
      </c>
      <c r="D55" s="18">
        <f>(D47+D51)/D41</f>
        <v>5.1213159744897895E-2</v>
      </c>
      <c r="E55" s="18"/>
      <c r="F55" s="18">
        <f>(F47+F51)/F41</f>
        <v>4.8124498454517724E-2</v>
      </c>
    </row>
    <row r="56" spans="2:6" x14ac:dyDescent="0.25">
      <c r="D56" s="18"/>
      <c r="E56" s="18"/>
      <c r="F56" s="18"/>
    </row>
    <row r="57" spans="2:6" x14ac:dyDescent="0.25">
      <c r="D57" s="18"/>
      <c r="E57" s="18"/>
      <c r="F57" s="18"/>
    </row>
    <row r="58" spans="2:6" x14ac:dyDescent="0.25">
      <c r="D58" s="18"/>
      <c r="E58" s="18"/>
      <c r="F58" s="18"/>
    </row>
    <row r="59" spans="2:6" x14ac:dyDescent="0.25">
      <c r="B59" t="s">
        <v>131</v>
      </c>
      <c r="D59" s="18"/>
      <c r="E59" s="18"/>
      <c r="F59" s="18"/>
    </row>
    <row r="61" spans="2:6" ht="22.8" x14ac:dyDescent="0.4">
      <c r="B61" s="42" t="s">
        <v>124</v>
      </c>
      <c r="C61" s="42"/>
      <c r="D61" s="42"/>
      <c r="E61" s="42"/>
      <c r="F61" s="42"/>
    </row>
    <row r="62" spans="2:6" ht="22.8" x14ac:dyDescent="0.4">
      <c r="B62" s="42" t="s">
        <v>128</v>
      </c>
      <c r="C62" s="42"/>
      <c r="D62" s="42"/>
      <c r="E62" s="42"/>
      <c r="F62" s="42"/>
    </row>
    <row r="63" spans="2:6" ht="22.8" x14ac:dyDescent="0.4">
      <c r="B63" s="42"/>
      <c r="C63" s="42"/>
      <c r="D63" s="42"/>
      <c r="E63" s="42"/>
      <c r="F63" s="42"/>
    </row>
    <row r="65" spans="2:6" x14ac:dyDescent="0.25">
      <c r="B65" t="s">
        <v>113</v>
      </c>
      <c r="D65" s="25">
        <v>2019</v>
      </c>
      <c r="E65" s="24"/>
      <c r="F65" s="25" t="s">
        <v>112</v>
      </c>
    </row>
    <row r="66" spans="2:6" x14ac:dyDescent="0.25">
      <c r="D66" s="21"/>
      <c r="E66" s="21"/>
      <c r="F66" s="21"/>
    </row>
    <row r="67" spans="2:6" x14ac:dyDescent="0.25">
      <c r="B67" t="s">
        <v>109</v>
      </c>
      <c r="D67" s="21">
        <f>D73*D71</f>
        <v>1271.7058142280002</v>
      </c>
      <c r="E67" s="21"/>
      <c r="F67" s="21">
        <f>F73*F71</f>
        <v>1322.019550424</v>
      </c>
    </row>
    <row r="68" spans="2:6" x14ac:dyDescent="0.25">
      <c r="D68" s="21"/>
      <c r="E68" s="21"/>
      <c r="F68" s="21"/>
    </row>
    <row r="69" spans="2:6" x14ac:dyDescent="0.25">
      <c r="B69" t="s">
        <v>110</v>
      </c>
      <c r="D69" s="21">
        <f>D71-D67</f>
        <v>1907.5587213419999</v>
      </c>
      <c r="E69" s="21"/>
      <c r="F69" s="21">
        <f>F71-F67</f>
        <v>1983.0293256359996</v>
      </c>
    </row>
    <row r="70" spans="2:6" x14ac:dyDescent="0.25">
      <c r="D70" s="21"/>
      <c r="E70" s="21"/>
      <c r="F70" s="21"/>
    </row>
    <row r="71" spans="2:6" x14ac:dyDescent="0.25">
      <c r="B71" t="s">
        <v>115</v>
      </c>
      <c r="D71" s="20">
        <f>D13</f>
        <v>3179.2645355700001</v>
      </c>
      <c r="E71" s="20"/>
      <c r="F71" s="20">
        <f>F13</f>
        <v>3305.0488760599997</v>
      </c>
    </row>
    <row r="73" spans="2:6" x14ac:dyDescent="0.25">
      <c r="B73" t="s">
        <v>123</v>
      </c>
      <c r="D73" s="23">
        <v>0.4</v>
      </c>
      <c r="E73" s="23"/>
      <c r="F73" s="23">
        <v>0.4</v>
      </c>
    </row>
    <row r="75" spans="2:6" x14ac:dyDescent="0.25">
      <c r="B75" t="s">
        <v>116</v>
      </c>
      <c r="D75" s="1">
        <v>3.85E-2</v>
      </c>
      <c r="E75" s="1"/>
      <c r="F75" s="1">
        <v>3.4500000000000003E-2</v>
      </c>
    </row>
    <row r="77" spans="2:6" x14ac:dyDescent="0.25">
      <c r="B77" t="s">
        <v>117</v>
      </c>
      <c r="D77" s="19">
        <f>D75*D69</f>
        <v>73.441010771666996</v>
      </c>
      <c r="E77" s="19"/>
      <c r="F77" s="19">
        <f>F75*F69</f>
        <v>68.414511734441987</v>
      </c>
    </row>
    <row r="79" spans="2:6" x14ac:dyDescent="0.25">
      <c r="B79" t="s">
        <v>111</v>
      </c>
      <c r="D79" s="22">
        <v>1.5</v>
      </c>
      <c r="E79" s="22"/>
      <c r="F79" s="22">
        <v>1.5</v>
      </c>
    </row>
    <row r="81" spans="2:6" x14ac:dyDescent="0.25">
      <c r="B81" t="s">
        <v>118</v>
      </c>
      <c r="D81" s="20">
        <f>(D79-1)*D77</f>
        <v>36.720505385833498</v>
      </c>
      <c r="E81" s="20"/>
      <c r="F81" s="20">
        <f>(F79-1)*F77</f>
        <v>34.207255867220994</v>
      </c>
    </row>
    <row r="82" spans="2:6" ht="14.4" thickBot="1" x14ac:dyDescent="0.3"/>
    <row r="83" spans="2:6" ht="14.4" thickBot="1" x14ac:dyDescent="0.3">
      <c r="B83" s="26" t="s">
        <v>119</v>
      </c>
      <c r="C83" s="27"/>
      <c r="D83" s="30">
        <f>D81/D67</f>
        <v>2.8874999999999994E-2</v>
      </c>
      <c r="E83" s="30"/>
      <c r="F83" s="31">
        <f>F81/F67</f>
        <v>2.5874999999999995E-2</v>
      </c>
    </row>
    <row r="84" spans="2:6" ht="14.4" thickBot="1" x14ac:dyDescent="0.3"/>
    <row r="85" spans="2:6" ht="14.4" thickBot="1" x14ac:dyDescent="0.3">
      <c r="B85" s="26" t="s">
        <v>125</v>
      </c>
      <c r="C85" s="27"/>
      <c r="D85" s="30">
        <f>(D77+D81)/D71</f>
        <v>3.465E-2</v>
      </c>
      <c r="E85" s="30"/>
      <c r="F85" s="31">
        <f>(F77+F81)/F71</f>
        <v>3.1049999999999998E-2</v>
      </c>
    </row>
    <row r="87" spans="2:6" s="32" customFormat="1" ht="18" customHeight="1" x14ac:dyDescent="0.3"/>
    <row r="88" spans="2:6" s="32" customFormat="1" ht="18" customHeight="1" x14ac:dyDescent="0.3"/>
    <row r="89" spans="2:6" s="32" customFormat="1" ht="18" customHeight="1" x14ac:dyDescent="0.3"/>
    <row r="90" spans="2:6" s="32" customFormat="1" ht="18" customHeight="1" x14ac:dyDescent="0.3"/>
    <row r="91" spans="2:6" s="32" customFormat="1" ht="18" customHeight="1" x14ac:dyDescent="0.3"/>
  </sheetData>
  <mergeCells count="7">
    <mergeCell ref="B4:F4"/>
    <mergeCell ref="B63:F63"/>
    <mergeCell ref="B61:F61"/>
    <mergeCell ref="B5:F5"/>
    <mergeCell ref="B32:F32"/>
    <mergeCell ref="B33:F33"/>
    <mergeCell ref="B62:F62"/>
  </mergeCells>
  <pageMargins left="0.7" right="0.7" top="0.75" bottom="0.75" header="0.3" footer="0.3"/>
  <pageSetup scale="3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L20" sqref="L20"/>
    </sheetView>
  </sheetViews>
  <sheetFormatPr defaultRowHeight="14.4" x14ac:dyDescent="0.3"/>
  <cols>
    <col min="1" max="1" width="9.59765625" style="33" bestFit="1" customWidth="1"/>
    <col min="2" max="16384" width="8.796875" style="33"/>
  </cols>
  <sheetData>
    <row r="1" spans="1:8" x14ac:dyDescent="0.3">
      <c r="A1" s="33" t="s">
        <v>133</v>
      </c>
    </row>
    <row r="4" spans="1:8" x14ac:dyDescent="0.3">
      <c r="B4" s="33" t="s">
        <v>4</v>
      </c>
      <c r="C4" s="33" t="s">
        <v>4</v>
      </c>
      <c r="D4" s="33" t="s">
        <v>4</v>
      </c>
      <c r="E4" s="33" t="s">
        <v>134</v>
      </c>
      <c r="F4" s="33" t="s">
        <v>134</v>
      </c>
      <c r="G4" s="33" t="s">
        <v>134</v>
      </c>
    </row>
    <row r="5" spans="1:8" x14ac:dyDescent="0.3">
      <c r="A5" s="34">
        <v>40847</v>
      </c>
      <c r="E5" s="33" t="s">
        <v>135</v>
      </c>
      <c r="F5" s="33" t="s">
        <v>136</v>
      </c>
      <c r="G5" s="33">
        <v>3.05</v>
      </c>
      <c r="H5" s="33" t="s">
        <v>137</v>
      </c>
    </row>
    <row r="6" spans="1:8" x14ac:dyDescent="0.3">
      <c r="A6" s="34">
        <v>40870</v>
      </c>
      <c r="B6" s="33" t="s">
        <v>138</v>
      </c>
      <c r="C6" s="33" t="s">
        <v>136</v>
      </c>
      <c r="D6" s="33">
        <v>3</v>
      </c>
      <c r="G6" s="33">
        <v>3.05</v>
      </c>
      <c r="H6" s="33" t="s">
        <v>137</v>
      </c>
    </row>
    <row r="7" spans="1:8" x14ac:dyDescent="0.3">
      <c r="A7" s="34">
        <v>41211</v>
      </c>
      <c r="B7" s="33" t="s">
        <v>138</v>
      </c>
      <c r="C7" s="33" t="s">
        <v>136</v>
      </c>
      <c r="D7" s="33">
        <v>3</v>
      </c>
      <c r="G7" s="33">
        <v>3.05</v>
      </c>
      <c r="H7" s="33" t="s">
        <v>139</v>
      </c>
    </row>
    <row r="8" spans="1:8" x14ac:dyDescent="0.3">
      <c r="A8" s="34">
        <v>41336</v>
      </c>
      <c r="D8" s="33">
        <v>3</v>
      </c>
      <c r="G8" s="33">
        <v>3.05</v>
      </c>
    </row>
    <row r="9" spans="1:8" x14ac:dyDescent="0.3">
      <c r="A9" s="34">
        <v>41337</v>
      </c>
      <c r="D9" s="33">
        <v>3</v>
      </c>
      <c r="E9" s="33" t="s">
        <v>135</v>
      </c>
      <c r="F9" s="33" t="s">
        <v>140</v>
      </c>
      <c r="G9" s="33">
        <v>3.5</v>
      </c>
      <c r="H9" s="33" t="s">
        <v>141</v>
      </c>
    </row>
    <row r="10" spans="1:8" x14ac:dyDescent="0.3">
      <c r="A10" s="34">
        <v>41571</v>
      </c>
      <c r="D10" s="33">
        <v>3</v>
      </c>
      <c r="G10" s="33">
        <v>3.5</v>
      </c>
    </row>
    <row r="11" spans="1:8" x14ac:dyDescent="0.3">
      <c r="A11" s="35">
        <v>41572</v>
      </c>
      <c r="B11" s="36" t="s">
        <v>47</v>
      </c>
      <c r="C11" s="36" t="s">
        <v>136</v>
      </c>
      <c r="D11" s="36">
        <v>4</v>
      </c>
      <c r="G11" s="33">
        <v>3.5</v>
      </c>
      <c r="H11" s="33" t="s">
        <v>142</v>
      </c>
    </row>
    <row r="12" spans="1:8" x14ac:dyDescent="0.3">
      <c r="A12" s="35">
        <v>41905</v>
      </c>
      <c r="B12" s="36"/>
      <c r="C12" s="36"/>
      <c r="D12" s="36">
        <v>4</v>
      </c>
      <c r="G12" s="33">
        <v>3.5</v>
      </c>
    </row>
    <row r="13" spans="1:8" x14ac:dyDescent="0.3">
      <c r="A13" s="35">
        <v>41906</v>
      </c>
      <c r="B13" s="37"/>
      <c r="C13" s="37"/>
      <c r="D13" s="37">
        <v>4</v>
      </c>
      <c r="E13" s="33" t="s">
        <v>9</v>
      </c>
      <c r="F13" s="33" t="s">
        <v>136</v>
      </c>
      <c r="G13" s="33">
        <v>5.05</v>
      </c>
      <c r="H13" s="33" t="s">
        <v>143</v>
      </c>
    </row>
    <row r="14" spans="1:8" x14ac:dyDescent="0.3">
      <c r="A14" s="35">
        <v>41934</v>
      </c>
      <c r="B14" s="37"/>
      <c r="C14" s="37"/>
      <c r="D14" s="37">
        <v>4</v>
      </c>
      <c r="G14" s="33">
        <v>5.05</v>
      </c>
    </row>
    <row r="15" spans="1:8" x14ac:dyDescent="0.3">
      <c r="A15" s="34">
        <v>41935</v>
      </c>
      <c r="B15" s="33" t="s">
        <v>47</v>
      </c>
      <c r="C15" s="33" t="s">
        <v>140</v>
      </c>
      <c r="D15" s="33">
        <v>4.5</v>
      </c>
      <c r="G15" s="33">
        <v>5.05</v>
      </c>
      <c r="H15" s="33" t="s">
        <v>141</v>
      </c>
    </row>
    <row r="16" spans="1:8" x14ac:dyDescent="0.3">
      <c r="A16" s="34">
        <v>42299</v>
      </c>
      <c r="B16" s="33" t="s">
        <v>47</v>
      </c>
      <c r="C16" s="33" t="s">
        <v>140</v>
      </c>
      <c r="D16" s="33">
        <v>4.5</v>
      </c>
      <c r="G16" s="33">
        <v>5.05</v>
      </c>
      <c r="H16" s="33" t="s">
        <v>139</v>
      </c>
    </row>
    <row r="17" spans="1:8" x14ac:dyDescent="0.3">
      <c r="A17" s="34">
        <v>42347</v>
      </c>
      <c r="D17" s="33">
        <v>4.5</v>
      </c>
      <c r="E17" s="33" t="s">
        <v>9</v>
      </c>
      <c r="F17" s="33" t="s">
        <v>136</v>
      </c>
      <c r="G17" s="33">
        <v>5.05</v>
      </c>
      <c r="H17" s="33" t="s">
        <v>139</v>
      </c>
    </row>
    <row r="18" spans="1:8" x14ac:dyDescent="0.3">
      <c r="A18" s="34">
        <v>42661</v>
      </c>
      <c r="D18" s="33">
        <v>4.5</v>
      </c>
      <c r="G18" s="33">
        <v>5.05</v>
      </c>
    </row>
    <row r="19" spans="1:8" x14ac:dyDescent="0.3">
      <c r="A19" s="34">
        <v>42662</v>
      </c>
      <c r="B19" s="33" t="s">
        <v>9</v>
      </c>
      <c r="C19" s="33" t="s">
        <v>136</v>
      </c>
      <c r="D19" s="33">
        <v>5</v>
      </c>
      <c r="G19" s="33">
        <v>5.05</v>
      </c>
      <c r="H19" s="33" t="s">
        <v>144</v>
      </c>
    </row>
    <row r="20" spans="1:8" x14ac:dyDescent="0.3">
      <c r="A20" s="34">
        <v>42827</v>
      </c>
      <c r="D20" s="33">
        <v>5</v>
      </c>
      <c r="G20" s="33">
        <v>5.05</v>
      </c>
    </row>
    <row r="21" spans="1:8" x14ac:dyDescent="0.3">
      <c r="A21" s="34">
        <v>42828</v>
      </c>
      <c r="D21" s="33">
        <v>5</v>
      </c>
      <c r="E21" s="33" t="s">
        <v>10</v>
      </c>
      <c r="F21" s="33" t="s">
        <v>136</v>
      </c>
      <c r="G21" s="33">
        <v>6</v>
      </c>
      <c r="H21" s="33" t="s">
        <v>144</v>
      </c>
    </row>
    <row r="22" spans="1:8" x14ac:dyDescent="0.3">
      <c r="A22" s="34">
        <v>43349</v>
      </c>
      <c r="B22" s="33" t="s">
        <v>9</v>
      </c>
      <c r="C22" s="33" t="s">
        <v>136</v>
      </c>
      <c r="D22" s="33">
        <v>5</v>
      </c>
      <c r="G22" s="33">
        <v>6</v>
      </c>
      <c r="H22" s="33" t="s">
        <v>139</v>
      </c>
    </row>
    <row r="23" spans="1:8" x14ac:dyDescent="0.3">
      <c r="A23" s="34">
        <v>43305</v>
      </c>
      <c r="D23" s="33">
        <v>5</v>
      </c>
      <c r="E23" s="33" t="s">
        <v>10</v>
      </c>
      <c r="F23" s="33" t="s">
        <v>136</v>
      </c>
      <c r="G23" s="33">
        <v>6</v>
      </c>
      <c r="H23" s="33" t="s">
        <v>139</v>
      </c>
    </row>
    <row r="24" spans="1:8" x14ac:dyDescent="0.3">
      <c r="A24" s="34">
        <v>43622</v>
      </c>
      <c r="D24" s="33">
        <v>5</v>
      </c>
      <c r="G24" s="33">
        <v>6</v>
      </c>
    </row>
    <row r="25" spans="1:8" x14ac:dyDescent="0.3">
      <c r="A25" s="34">
        <v>43623</v>
      </c>
      <c r="B25" s="33" t="s">
        <v>47</v>
      </c>
      <c r="C25" s="33" t="s">
        <v>136</v>
      </c>
      <c r="D25" s="33">
        <v>4</v>
      </c>
      <c r="G25" s="33">
        <v>6</v>
      </c>
      <c r="H25" s="33" t="s">
        <v>145</v>
      </c>
    </row>
    <row r="26" spans="1:8" x14ac:dyDescent="0.3">
      <c r="A26" s="34">
        <v>44255</v>
      </c>
      <c r="D26" s="33">
        <v>4</v>
      </c>
      <c r="G26" s="33"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EKPC Peer Comparison</vt:lpstr>
      <vt:lpstr>Cost of Capital Analysis</vt:lpstr>
      <vt:lpstr>EKPC Rating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Tom Stachnik</cp:lastModifiedBy>
  <cp:lastPrinted>2021-03-11T21:59:58Z</cp:lastPrinted>
  <dcterms:created xsi:type="dcterms:W3CDTF">2018-07-16T18:20:12Z</dcterms:created>
  <dcterms:modified xsi:type="dcterms:W3CDTF">2021-04-08T19:23:28Z</dcterms:modified>
</cp:coreProperties>
</file>