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02" activeTab="0"/>
  </bookViews>
  <sheets>
    <sheet name="PSC DR1 #10" sheetId="1" r:id="rId1"/>
  </sheets>
  <definedNames>
    <definedName name="_xlnm.Print_Area" localSheetId="0">'PSC DR1 #10'!$A$1:$O$52</definedName>
    <definedName name="_xlnm.Print_Titles" localSheetId="0">'PSC DR1 #10'!$1:$6</definedName>
  </definedNames>
  <calcPr fullCalcOnLoad="1"/>
</workbook>
</file>

<file path=xl/sharedStrings.xml><?xml version="1.0" encoding="utf-8"?>
<sst xmlns="http://schemas.openxmlformats.org/spreadsheetml/2006/main" count="55" uniqueCount="42">
  <si>
    <t>13 Month</t>
  </si>
  <si>
    <t>Description</t>
  </si>
  <si>
    <t>Average</t>
  </si>
  <si>
    <t>b.  Plant purchased or sold (102)</t>
  </si>
  <si>
    <t>c.  Property held for future use (105)</t>
  </si>
  <si>
    <t xml:space="preserve">Total </t>
  </si>
  <si>
    <t>Company</t>
  </si>
  <si>
    <t>e.  Construction work in progress (107)</t>
  </si>
  <si>
    <t>d.  Completed construction not classified (106)</t>
  </si>
  <si>
    <t xml:space="preserve">     Plnt Matls/Op Supp-General (154000)</t>
  </si>
  <si>
    <t xml:space="preserve">     Plnt Matls/Op Supp-Poles (154001)</t>
  </si>
  <si>
    <t xml:space="preserve">     Plnt Matls/Op Supp-OCR (154002)</t>
  </si>
  <si>
    <t xml:space="preserve">     Plnt Matls/Op Supp-Gasoline (154020)</t>
  </si>
  <si>
    <t>a.  Plant in service</t>
  </si>
  <si>
    <t xml:space="preserve">     Plant acquisition adjustment (114)</t>
  </si>
  <si>
    <t xml:space="preserve">    Depreciation reserve (108)</t>
  </si>
  <si>
    <t>f.  Depreciation reserve</t>
  </si>
  <si>
    <t xml:space="preserve">    Amortization elec utility plant (111)</t>
  </si>
  <si>
    <t xml:space="preserve">    Amortization elec utility plant (115)</t>
  </si>
  <si>
    <t xml:space="preserve">    Amortization of leased plant (117)</t>
  </si>
  <si>
    <t xml:space="preserve">     Prepayments - Insurance (165100)</t>
  </si>
  <si>
    <t xml:space="preserve">          Total Balance in Accounts Payable applicable to Prepayments</t>
  </si>
  <si>
    <t>East Kentucky Power Cooperative, Inc.</t>
  </si>
  <si>
    <t xml:space="preserve">     Plant in service (300-399)</t>
  </si>
  <si>
    <t>N/A</t>
  </si>
  <si>
    <t xml:space="preserve">Monthly Account Balances and Calculation of Average 13 Month Balances </t>
  </si>
  <si>
    <t>2019 Test Year</t>
  </si>
  <si>
    <t>g.  Materials and supplies</t>
  </si>
  <si>
    <t>h.  Minimum cash requirements</t>
  </si>
  <si>
    <t>i.  Balance in accounts payable applicable to utility plant in service (101 &amp; 106) *</t>
  </si>
  <si>
    <t xml:space="preserve">          Total plant in service</t>
  </si>
  <si>
    <t xml:space="preserve">          Total depreciation reserve</t>
  </si>
  <si>
    <t xml:space="preserve">          Total Materials and supplies</t>
  </si>
  <si>
    <t xml:space="preserve">j.  Balance in accounts payable applicable to plant under construction (107) </t>
  </si>
  <si>
    <t xml:space="preserve">k.  Balance in accounts payable applicable to prepayments (165) </t>
  </si>
  <si>
    <t xml:space="preserve">     Plnt Matls/Op Supp-ETS Hardware (154004)</t>
  </si>
  <si>
    <t xml:space="preserve">     Plnt Matls/Op Supp-EK Computers (154011)</t>
  </si>
  <si>
    <t xml:space="preserve">     Plnt Matls/Op Supp-Transformers &amp;  Regulators (154003)</t>
  </si>
  <si>
    <t xml:space="preserve">     Temp Asset Recd/Not Stocked/Obsolete (154099)</t>
  </si>
  <si>
    <t>*  Item i. represents open A/P for completed construction not yet classified (Account 106).</t>
  </si>
  <si>
    <t>Case No. 2021-00103</t>
  </si>
  <si>
    <t xml:space="preserve">     Other Prepayments (165200)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</si>
</sst>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.0_);_(* \(#,##0.0\);_(* &quot;-&quot;??_);_(@_)"/>
    <numFmt numFmtId="166" formatCode="_(* #,##0_);_(* \(#,##0\);_(* &quot;-&quot;??_);_(@_)"/>
    <numFmt numFmtId="167" formatCode="0.00_);\(0.00\)"/>
    <numFmt numFmtId="168" formatCode="0_);\(0\)"/>
    <numFmt numFmtId="169" formatCode="_(* #,##0.0000_);_(* \(#,##0.0000\);_(* &quot;-&quot;????_);_(@_)"/>
    <numFmt numFmtId="170" formatCode="_(* #,##0.000_);_(* \(#,##0.000\);_(* &quot;-&quot;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  <numFmt numFmtId="176" formatCode="[$-409]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2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3" applyFont="1" applyFill="1">
      <alignment/>
      <protection/>
    </xf>
    <xf numFmtId="38" fontId="4" fillId="0" borderId="0" xfId="63" applyNumberFormat="1" applyFont="1" applyFill="1" applyBorder="1">
      <alignment/>
      <protection/>
    </xf>
    <xf numFmtId="0" fontId="46" fillId="0" borderId="0" xfId="0" applyFont="1" applyFill="1" applyAlignment="1">
      <alignment/>
    </xf>
    <xf numFmtId="0" fontId="2" fillId="0" borderId="0" xfId="63" applyFill="1">
      <alignment/>
      <protection/>
    </xf>
    <xf numFmtId="0" fontId="5" fillId="0" borderId="0" xfId="63" applyFont="1" applyFill="1" applyAlignment="1">
      <alignment horizontal="center"/>
      <protection/>
    </xf>
    <xf numFmtId="0" fontId="4" fillId="0" borderId="0" xfId="63" applyFont="1" applyFill="1" applyBorder="1">
      <alignment/>
      <protection/>
    </xf>
    <xf numFmtId="0" fontId="5" fillId="0" borderId="11" xfId="63" applyFont="1" applyFill="1" applyBorder="1" applyAlignment="1">
      <alignment horizontal="center"/>
      <protection/>
    </xf>
    <xf numFmtId="17" fontId="5" fillId="0" borderId="11" xfId="63" applyNumberFormat="1" applyFont="1" applyFill="1" applyBorder="1" applyAlignment="1">
      <alignment horizontal="center"/>
      <protection/>
    </xf>
    <xf numFmtId="0" fontId="4" fillId="0" borderId="11" xfId="63" applyFont="1" applyFill="1" applyBorder="1">
      <alignment/>
      <protection/>
    </xf>
    <xf numFmtId="0" fontId="46" fillId="0" borderId="11" xfId="0" applyFont="1" applyFill="1" applyBorder="1" applyAlignment="1">
      <alignment/>
    </xf>
    <xf numFmtId="38" fontId="4" fillId="0" borderId="0" xfId="44" applyNumberFormat="1" applyFont="1" applyFill="1" applyBorder="1" applyAlignment="1">
      <alignment/>
    </xf>
    <xf numFmtId="37" fontId="4" fillId="0" borderId="0" xfId="63" applyNumberFormat="1" applyFont="1" applyFill="1">
      <alignment/>
      <protection/>
    </xf>
    <xf numFmtId="38" fontId="46" fillId="0" borderId="0" xfId="0" applyNumberFormat="1" applyFont="1" applyFill="1" applyAlignment="1">
      <alignment/>
    </xf>
    <xf numFmtId="37" fontId="4" fillId="0" borderId="0" xfId="63" applyNumberFormat="1" applyFont="1" applyFill="1" applyBorder="1">
      <alignment/>
      <protection/>
    </xf>
    <xf numFmtId="39" fontId="4" fillId="0" borderId="0" xfId="63" applyNumberFormat="1" applyFont="1" applyFill="1" applyBorder="1">
      <alignment/>
      <protection/>
    </xf>
    <xf numFmtId="37" fontId="46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5" fillId="0" borderId="0" xfId="63" applyFont="1" applyFill="1">
      <alignment/>
      <protection/>
    </xf>
    <xf numFmtId="166" fontId="4" fillId="0" borderId="0" xfId="42" applyNumberFormat="1" applyFont="1" applyFill="1" applyBorder="1" applyAlignment="1">
      <alignment/>
    </xf>
    <xf numFmtId="166" fontId="4" fillId="0" borderId="0" xfId="42" applyNumberFormat="1" applyFont="1" applyFill="1" applyAlignment="1">
      <alignment/>
    </xf>
    <xf numFmtId="167" fontId="4" fillId="0" borderId="0" xfId="44" applyNumberFormat="1" applyFont="1" applyFill="1" applyAlignment="1">
      <alignment/>
    </xf>
    <xf numFmtId="167" fontId="4" fillId="0" borderId="0" xfId="63" applyNumberFormat="1" applyFont="1" applyFill="1">
      <alignment/>
      <protection/>
    </xf>
    <xf numFmtId="176" fontId="5" fillId="0" borderId="11" xfId="63" applyNumberFormat="1" applyFont="1" applyFill="1" applyBorder="1" applyAlignment="1">
      <alignment horizontal="center"/>
      <protection/>
    </xf>
    <xf numFmtId="0" fontId="4" fillId="0" borderId="0" xfId="63" applyFont="1" applyFill="1" applyAlignment="1">
      <alignment wrapText="1"/>
      <protection/>
    </xf>
    <xf numFmtId="17" fontId="5" fillId="0" borderId="0" xfId="63" applyNumberFormat="1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166" fontId="4" fillId="0" borderId="11" xfId="42" applyNumberFormat="1" applyFont="1" applyFill="1" applyBorder="1" applyAlignment="1">
      <alignment/>
    </xf>
    <xf numFmtId="166" fontId="4" fillId="0" borderId="12" xfId="42" applyNumberFormat="1" applyFont="1" applyFill="1" applyBorder="1" applyAlignment="1">
      <alignment/>
    </xf>
    <xf numFmtId="166" fontId="47" fillId="0" borderId="0" xfId="42" applyNumberFormat="1" applyFont="1" applyFill="1" applyAlignment="1">
      <alignment/>
    </xf>
    <xf numFmtId="166" fontId="4" fillId="0" borderId="0" xfId="42" applyNumberFormat="1" applyFont="1" applyFill="1" applyAlignment="1">
      <alignment horizontal="center"/>
    </xf>
    <xf numFmtId="0" fontId="5" fillId="0" borderId="0" xfId="63" applyFont="1" applyFill="1" applyAlignment="1">
      <alignment wrapText="1"/>
      <protection/>
    </xf>
    <xf numFmtId="0" fontId="5" fillId="0" borderId="0" xfId="63" applyFont="1" applyFill="1" applyAlignment="1">
      <alignment horizontal="center" wrapText="1"/>
      <protection/>
    </xf>
    <xf numFmtId="0" fontId="4" fillId="0" borderId="0" xfId="63" applyFont="1" applyFill="1" applyAlignment="1">
      <alignment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te" xfId="71"/>
    <cellStyle name="Output" xfId="72"/>
    <cellStyle name="Percent" xfId="73"/>
    <cellStyle name="PSChar" xfId="74"/>
    <cellStyle name="PSChar 2" xfId="75"/>
    <cellStyle name="PSChar 2 2" xfId="76"/>
    <cellStyle name="PSChar 2 3" xfId="77"/>
    <cellStyle name="PSDate" xfId="78"/>
    <cellStyle name="PSDate 2" xfId="79"/>
    <cellStyle name="PSDate 3" xfId="80"/>
    <cellStyle name="PSDec" xfId="81"/>
    <cellStyle name="PSDec 2" xfId="82"/>
    <cellStyle name="PSDec 3" xfId="83"/>
    <cellStyle name="PSHeading" xfId="84"/>
    <cellStyle name="PSHeading 2" xfId="85"/>
    <cellStyle name="PSHeading 2 2" xfId="86"/>
    <cellStyle name="PSHeading 3" xfId="87"/>
    <cellStyle name="PSInt" xfId="88"/>
    <cellStyle name="PSInt 2" xfId="89"/>
    <cellStyle name="PSInt 2 2" xfId="90"/>
    <cellStyle name="PSInt 2 3" xfId="91"/>
    <cellStyle name="PSSpacer" xfId="92"/>
    <cellStyle name="PSSpacer 2" xfId="93"/>
    <cellStyle name="PSSpacer 3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0" sqref="A20"/>
    </sheetView>
  </sheetViews>
  <sheetFormatPr defaultColWidth="8.8515625" defaultRowHeight="15"/>
  <cols>
    <col min="1" max="1" width="72.7109375" style="3" customWidth="1"/>
    <col min="2" max="12" width="16.57421875" style="3" customWidth="1"/>
    <col min="13" max="14" width="15.57421875" style="3" customWidth="1"/>
    <col min="15" max="15" width="16.57421875" style="3" customWidth="1"/>
    <col min="16" max="16" width="1.1484375" style="17" customWidth="1"/>
    <col min="17" max="17" width="1.8515625" style="3" customWidth="1"/>
    <col min="18" max="16384" width="8.8515625" style="3" customWidth="1"/>
  </cols>
  <sheetData>
    <row r="1" spans="1:17" ht="14.25">
      <c r="A1" s="5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6"/>
      <c r="Q1" s="1"/>
    </row>
    <row r="2" spans="1:17" ht="14.25">
      <c r="A2" s="5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ht="14.25">
      <c r="A3" s="32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 t="s">
        <v>5</v>
      </c>
      <c r="P3" s="6"/>
      <c r="Q3" s="1"/>
    </row>
    <row r="4" spans="1:17" ht="14.25">
      <c r="A4" s="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6</v>
      </c>
      <c r="P4" s="6"/>
      <c r="Q4" s="1"/>
    </row>
    <row r="5" spans="1:17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0</v>
      </c>
      <c r="P5" s="6"/>
      <c r="Q5" s="1"/>
    </row>
    <row r="6" spans="1:17" ht="14.25">
      <c r="A6" s="7" t="s">
        <v>1</v>
      </c>
      <c r="B6" s="23">
        <v>43465</v>
      </c>
      <c r="C6" s="23">
        <v>43496</v>
      </c>
      <c r="D6" s="23">
        <v>43524</v>
      </c>
      <c r="E6" s="23">
        <v>43555</v>
      </c>
      <c r="F6" s="23">
        <v>43585</v>
      </c>
      <c r="G6" s="23">
        <v>43616</v>
      </c>
      <c r="H6" s="23">
        <v>43646</v>
      </c>
      <c r="I6" s="23">
        <v>43677</v>
      </c>
      <c r="J6" s="23">
        <v>43708</v>
      </c>
      <c r="K6" s="23">
        <v>43738</v>
      </c>
      <c r="L6" s="23">
        <v>43769</v>
      </c>
      <c r="M6" s="23">
        <v>43799</v>
      </c>
      <c r="N6" s="23">
        <v>43830</v>
      </c>
      <c r="O6" s="7" t="s">
        <v>2</v>
      </c>
      <c r="P6" s="6"/>
      <c r="Q6" s="1"/>
    </row>
    <row r="7" spans="1:17" s="10" customFormat="1" ht="14.2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6"/>
      <c r="Q7" s="9"/>
    </row>
    <row r="8" spans="1:17" s="17" customFormat="1" ht="14.25">
      <c r="A8" s="18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6"/>
      <c r="Q8" s="6"/>
    </row>
    <row r="9" spans="1:17" ht="14.25">
      <c r="A9" s="1" t="s">
        <v>23</v>
      </c>
      <c r="B9" s="19">
        <v>4097798006.29</v>
      </c>
      <c r="C9" s="19">
        <v>4105957660.9810004</v>
      </c>
      <c r="D9" s="19">
        <v>4107644333.89</v>
      </c>
      <c r="E9" s="19">
        <v>4109343169.07</v>
      </c>
      <c r="F9" s="19">
        <v>4110600389.91</v>
      </c>
      <c r="G9" s="19">
        <v>4110964061.3</v>
      </c>
      <c r="H9" s="19">
        <v>4114144894.53</v>
      </c>
      <c r="I9" s="19">
        <v>4118059144.4</v>
      </c>
      <c r="J9" s="19">
        <v>4120634869.22</v>
      </c>
      <c r="K9" s="19">
        <v>4137205036.26</v>
      </c>
      <c r="L9" s="19">
        <v>4141007482.21</v>
      </c>
      <c r="M9" s="19">
        <v>4139601438.26</v>
      </c>
      <c r="N9" s="19">
        <v>4064925154.83</v>
      </c>
      <c r="O9" s="20">
        <f>ROUND(SUM(B9:N9)/13,2)</f>
        <v>4113683510.86</v>
      </c>
      <c r="P9" s="11"/>
      <c r="Q9" s="1"/>
    </row>
    <row r="10" spans="1:17" ht="14.25">
      <c r="A10" s="1" t="s">
        <v>14</v>
      </c>
      <c r="B10" s="27">
        <v>4019664.03</v>
      </c>
      <c r="C10" s="27">
        <v>4019664.03</v>
      </c>
      <c r="D10" s="27">
        <v>4019664.03</v>
      </c>
      <c r="E10" s="27">
        <v>4019664.03</v>
      </c>
      <c r="F10" s="27">
        <v>4019664.03</v>
      </c>
      <c r="G10" s="27">
        <v>4019664.03</v>
      </c>
      <c r="H10" s="27">
        <v>4019664.03</v>
      </c>
      <c r="I10" s="27">
        <v>4019664.03</v>
      </c>
      <c r="J10" s="27">
        <v>4019664.03</v>
      </c>
      <c r="K10" s="27">
        <v>4019664.03</v>
      </c>
      <c r="L10" s="27">
        <v>4019664.03</v>
      </c>
      <c r="M10" s="27">
        <v>4019664.03</v>
      </c>
      <c r="N10" s="27">
        <v>4019664.03</v>
      </c>
      <c r="O10" s="27">
        <f>ROUND(SUM(B10:N10)/13,2)</f>
        <v>4019664.03</v>
      </c>
      <c r="P10" s="11"/>
      <c r="Q10" s="1"/>
    </row>
    <row r="11" spans="1:17" ht="15" thickBot="1">
      <c r="A11" s="1" t="s">
        <v>30</v>
      </c>
      <c r="B11" s="28">
        <f>B9+B10</f>
        <v>4101817670.32</v>
      </c>
      <c r="C11" s="28">
        <f aca="true" t="shared" si="0" ref="C11:N11">C9+C10</f>
        <v>4109977325.0110006</v>
      </c>
      <c r="D11" s="28">
        <f t="shared" si="0"/>
        <v>4111663997.92</v>
      </c>
      <c r="E11" s="28">
        <f t="shared" si="0"/>
        <v>4113362833.1000004</v>
      </c>
      <c r="F11" s="28">
        <f t="shared" si="0"/>
        <v>4114620053.94</v>
      </c>
      <c r="G11" s="28">
        <f t="shared" si="0"/>
        <v>4114983725.3300004</v>
      </c>
      <c r="H11" s="28">
        <f t="shared" si="0"/>
        <v>4118164558.5600004</v>
      </c>
      <c r="I11" s="28">
        <f t="shared" si="0"/>
        <v>4122078808.4300003</v>
      </c>
      <c r="J11" s="28">
        <f t="shared" si="0"/>
        <v>4124654533.25</v>
      </c>
      <c r="K11" s="28">
        <f t="shared" si="0"/>
        <v>4141224700.2900004</v>
      </c>
      <c r="L11" s="28">
        <f t="shared" si="0"/>
        <v>4145027146.2400002</v>
      </c>
      <c r="M11" s="28">
        <f t="shared" si="0"/>
        <v>4143621102.2900004</v>
      </c>
      <c r="N11" s="28">
        <f t="shared" si="0"/>
        <v>4068944818.86</v>
      </c>
      <c r="O11" s="28">
        <f>ROUND(SUM(B11:N11)/13,2)</f>
        <v>4117703174.89</v>
      </c>
      <c r="P11" s="11"/>
      <c r="Q11" s="1"/>
    </row>
    <row r="12" spans="1:17" ht="15" thickTop="1">
      <c r="A12" s="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1"/>
      <c r="Q12" s="1"/>
    </row>
    <row r="13" spans="1:17" ht="14.25">
      <c r="A13" s="18" t="s">
        <v>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f>ROUND(SUM(B13:N13)/13,2)</f>
        <v>0</v>
      </c>
      <c r="P13" s="2"/>
      <c r="Q13" s="1"/>
    </row>
    <row r="14" spans="1:17" ht="14.25">
      <c r="A14" s="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"/>
      <c r="Q14" s="1"/>
    </row>
    <row r="15" spans="1:17" ht="14.25">
      <c r="A15" s="18" t="s">
        <v>4</v>
      </c>
      <c r="B15" s="19">
        <v>27461.55</v>
      </c>
      <c r="C15" s="19">
        <v>27461.55</v>
      </c>
      <c r="D15" s="19">
        <v>27461.55</v>
      </c>
      <c r="E15" s="19">
        <v>27461.55</v>
      </c>
      <c r="F15" s="19">
        <v>27461.55</v>
      </c>
      <c r="G15" s="19">
        <v>27461.55</v>
      </c>
      <c r="H15" s="19">
        <v>27461.55</v>
      </c>
      <c r="I15" s="19">
        <v>27461.55</v>
      </c>
      <c r="J15" s="19">
        <v>27461.55</v>
      </c>
      <c r="K15" s="19">
        <v>27461.55</v>
      </c>
      <c r="L15" s="19">
        <v>27461.55</v>
      </c>
      <c r="M15" s="19">
        <v>27461.55</v>
      </c>
      <c r="N15" s="19">
        <v>27461.55</v>
      </c>
      <c r="O15" s="20">
        <f>ROUND(SUM(B15:N15)/13,2)</f>
        <v>27461.55</v>
      </c>
      <c r="P15" s="2"/>
      <c r="Q15" s="1"/>
    </row>
    <row r="16" spans="1:17" ht="14.25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"/>
      <c r="Q16" s="1"/>
    </row>
    <row r="17" spans="1:17" ht="14.25">
      <c r="A17" s="18" t="s">
        <v>8</v>
      </c>
      <c r="B17" s="19">
        <v>96173829.83</v>
      </c>
      <c r="C17" s="19">
        <v>90622480.219</v>
      </c>
      <c r="D17" s="19">
        <v>93665020.42</v>
      </c>
      <c r="E17" s="19">
        <v>94926223.08</v>
      </c>
      <c r="F17" s="19">
        <v>95018582.97</v>
      </c>
      <c r="G17" s="19">
        <v>96915290.25</v>
      </c>
      <c r="H17" s="19">
        <v>91659126.1</v>
      </c>
      <c r="I17" s="19">
        <v>88585328.59</v>
      </c>
      <c r="J17" s="19">
        <v>92812731.23</v>
      </c>
      <c r="K17" s="19">
        <v>76525319.43</v>
      </c>
      <c r="L17" s="19">
        <v>73918111.5</v>
      </c>
      <c r="M17" s="19">
        <v>88430387.94</v>
      </c>
      <c r="N17" s="19">
        <v>112993881.73</v>
      </c>
      <c r="O17" s="19">
        <f>ROUND(SUM(B17:N17)/13,2)</f>
        <v>91711254.87</v>
      </c>
      <c r="P17" s="19"/>
      <c r="Q17" s="12"/>
    </row>
    <row r="18" spans="1:17" ht="14.25">
      <c r="A18" s="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"/>
      <c r="Q18" s="1"/>
    </row>
    <row r="19" spans="1:17" ht="14.25">
      <c r="A19" s="18" t="s">
        <v>7</v>
      </c>
      <c r="B19" s="19">
        <v>93330427.58</v>
      </c>
      <c r="C19" s="19">
        <v>95137424.72</v>
      </c>
      <c r="D19" s="19">
        <v>97959554.69</v>
      </c>
      <c r="E19" s="19">
        <v>113095263.99</v>
      </c>
      <c r="F19" s="19">
        <v>125786482.22</v>
      </c>
      <c r="G19" s="19">
        <v>139420641.82</v>
      </c>
      <c r="H19" s="19">
        <v>173598500.82</v>
      </c>
      <c r="I19" s="19">
        <v>188839240.06</v>
      </c>
      <c r="J19" s="19">
        <v>205652760.76</v>
      </c>
      <c r="K19" s="19">
        <v>216156541.74</v>
      </c>
      <c r="L19" s="19">
        <v>232724811.63</v>
      </c>
      <c r="M19" s="19">
        <v>235843352</v>
      </c>
      <c r="N19" s="19">
        <v>247392629.69</v>
      </c>
      <c r="O19" s="20">
        <f>ROUND(SUM(B19:N19)/13,2)</f>
        <v>166533663.98</v>
      </c>
      <c r="P19" s="2"/>
      <c r="Q19" s="1"/>
    </row>
    <row r="20" spans="1:17" ht="14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"/>
      <c r="Q20" s="1"/>
    </row>
    <row r="21" spans="1:17" ht="14.25">
      <c r="A21" s="18" t="s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"/>
      <c r="Q21" s="1"/>
    </row>
    <row r="22" spans="1:17" ht="14.25">
      <c r="A22" s="1" t="s">
        <v>15</v>
      </c>
      <c r="B22" s="20">
        <v>-1552889584.36</v>
      </c>
      <c r="C22" s="20">
        <v>-1562128146.85</v>
      </c>
      <c r="D22" s="20">
        <v>-1570326717.91</v>
      </c>
      <c r="E22" s="20">
        <v>-1579023669.46</v>
      </c>
      <c r="F22" s="20">
        <v>-1587871802.27</v>
      </c>
      <c r="G22" s="20">
        <v>-1595856613.64</v>
      </c>
      <c r="H22" s="20">
        <v>-1602076528.62</v>
      </c>
      <c r="I22" s="20">
        <v>-1610226041</v>
      </c>
      <c r="J22" s="20">
        <v>-1618876367.02</v>
      </c>
      <c r="K22" s="20">
        <v>-1622313617.76</v>
      </c>
      <c r="L22" s="20">
        <v>-1629653034.26</v>
      </c>
      <c r="M22" s="20">
        <v>-1633678429.29</v>
      </c>
      <c r="N22" s="20">
        <v>-1557110321.86</v>
      </c>
      <c r="O22" s="20">
        <f>ROUND(SUM(B22:N22)/13,2)</f>
        <v>-1594002374.95</v>
      </c>
      <c r="P22" s="20"/>
      <c r="Q22" s="12"/>
    </row>
    <row r="23" spans="1:17" ht="14.25">
      <c r="A23" s="1" t="s">
        <v>17</v>
      </c>
      <c r="B23" s="20">
        <v>-1206246.47</v>
      </c>
      <c r="C23" s="20">
        <v>-1214723.1400000001</v>
      </c>
      <c r="D23" s="20">
        <v>-1223199.81</v>
      </c>
      <c r="E23" s="20">
        <v>-1231676.48</v>
      </c>
      <c r="F23" s="20">
        <v>-1240153.15</v>
      </c>
      <c r="G23" s="20">
        <v>-1244979.82</v>
      </c>
      <c r="H23" s="20">
        <v>-1249806.49</v>
      </c>
      <c r="I23" s="20">
        <v>-1254633.16</v>
      </c>
      <c r="J23" s="20">
        <v>-1107804.88</v>
      </c>
      <c r="K23" s="20">
        <v>-1112569.41</v>
      </c>
      <c r="L23" s="20">
        <v>-1117333.94</v>
      </c>
      <c r="M23" s="20">
        <v>-1122098.47</v>
      </c>
      <c r="N23" s="20">
        <v>-1126863.04</v>
      </c>
      <c r="O23" s="20">
        <f>ROUND(SUM(B23:N23)/13,2)</f>
        <v>-1188622.17</v>
      </c>
      <c r="P23" s="20"/>
      <c r="Q23" s="12"/>
    </row>
    <row r="24" spans="1:17" ht="14.25">
      <c r="A24" s="1" t="s">
        <v>18</v>
      </c>
      <c r="B24" s="20">
        <v>-535955.2</v>
      </c>
      <c r="C24" s="20">
        <v>-550842.84</v>
      </c>
      <c r="D24" s="20">
        <v>-565730.48</v>
      </c>
      <c r="E24" s="20">
        <v>-580618.12</v>
      </c>
      <c r="F24" s="20">
        <v>-595505.76</v>
      </c>
      <c r="G24" s="20">
        <v>-610393.4</v>
      </c>
      <c r="H24" s="20">
        <v>-625281.04</v>
      </c>
      <c r="I24" s="20">
        <v>-640168.68</v>
      </c>
      <c r="J24" s="20">
        <v>-655056.3200000001</v>
      </c>
      <c r="K24" s="20">
        <v>-669943.96</v>
      </c>
      <c r="L24" s="20">
        <v>-684831.6</v>
      </c>
      <c r="M24" s="20">
        <v>-699719.24</v>
      </c>
      <c r="N24" s="20">
        <v>-714606.93</v>
      </c>
      <c r="O24" s="20">
        <f>ROUND(SUM(B24:N24)/13,2)</f>
        <v>-625281.04</v>
      </c>
      <c r="P24" s="20"/>
      <c r="Q24" s="12"/>
    </row>
    <row r="25" spans="1:17" ht="14.25">
      <c r="A25" s="1" t="s">
        <v>19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-7657.03</v>
      </c>
      <c r="O25" s="20">
        <f>ROUND(SUM(B25:N25)/13,2)</f>
        <v>-589</v>
      </c>
      <c r="P25" s="20"/>
      <c r="Q25" s="12"/>
    </row>
    <row r="26" spans="1:17" ht="15" thickBot="1">
      <c r="A26" s="1" t="s">
        <v>31</v>
      </c>
      <c r="B26" s="28">
        <f aca="true" t="shared" si="1" ref="B26:N26">SUM(B22:B25)</f>
        <v>-1554631786.03</v>
      </c>
      <c r="C26" s="28">
        <f t="shared" si="1"/>
        <v>-1563893712.83</v>
      </c>
      <c r="D26" s="28">
        <f t="shared" si="1"/>
        <v>-1572115648.2</v>
      </c>
      <c r="E26" s="28">
        <f t="shared" si="1"/>
        <v>-1580835964.06</v>
      </c>
      <c r="F26" s="28">
        <f t="shared" si="1"/>
        <v>-1589707461.18</v>
      </c>
      <c r="G26" s="28">
        <f t="shared" si="1"/>
        <v>-1597711986.8600001</v>
      </c>
      <c r="H26" s="28">
        <f t="shared" si="1"/>
        <v>-1603951616.1499999</v>
      </c>
      <c r="I26" s="28">
        <f t="shared" si="1"/>
        <v>-1612120842.8400002</v>
      </c>
      <c r="J26" s="28">
        <f t="shared" si="1"/>
        <v>-1620639228.22</v>
      </c>
      <c r="K26" s="28">
        <f t="shared" si="1"/>
        <v>-1624096131.13</v>
      </c>
      <c r="L26" s="28">
        <f t="shared" si="1"/>
        <v>-1631455199.8</v>
      </c>
      <c r="M26" s="28">
        <f t="shared" si="1"/>
        <v>-1635500247</v>
      </c>
      <c r="N26" s="28">
        <f t="shared" si="1"/>
        <v>-1558959448.86</v>
      </c>
      <c r="O26" s="28">
        <f>ROUND(SUM(B26:N26)/13,2)</f>
        <v>-1595816867.17</v>
      </c>
      <c r="P26" s="20"/>
      <c r="Q26" s="12"/>
    </row>
    <row r="27" spans="1:17" ht="15" thickTop="1">
      <c r="A27" s="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"/>
      <c r="Q27" s="1"/>
    </row>
    <row r="28" spans="1:17" ht="14.25">
      <c r="A28" s="18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"/>
      <c r="Q28" s="1"/>
    </row>
    <row r="29" spans="1:17" ht="14.25">
      <c r="A29" s="1" t="s">
        <v>9</v>
      </c>
      <c r="B29" s="20">
        <v>56865918.91</v>
      </c>
      <c r="C29" s="20">
        <v>57042481.41</v>
      </c>
      <c r="D29" s="20">
        <v>56936440.46</v>
      </c>
      <c r="E29" s="20">
        <v>56731925.97</v>
      </c>
      <c r="F29" s="20">
        <v>55758864.15</v>
      </c>
      <c r="G29" s="20">
        <v>56576959.75</v>
      </c>
      <c r="H29" s="20">
        <v>57135860.25</v>
      </c>
      <c r="I29" s="20">
        <v>57285414.16</v>
      </c>
      <c r="J29" s="20">
        <v>57393381.37</v>
      </c>
      <c r="K29" s="20">
        <v>57327314.07</v>
      </c>
      <c r="L29" s="20">
        <v>57120438.72</v>
      </c>
      <c r="M29" s="20">
        <v>56301584.91</v>
      </c>
      <c r="N29" s="20">
        <v>56318422.2</v>
      </c>
      <c r="O29" s="20">
        <f aca="true" t="shared" si="2" ref="O29:O37">ROUND(SUM(B29:N29)/13,2)</f>
        <v>56830385.1</v>
      </c>
      <c r="P29" s="2"/>
      <c r="Q29" s="1"/>
    </row>
    <row r="30" spans="1:17" ht="14.25">
      <c r="A30" s="1" t="s">
        <v>10</v>
      </c>
      <c r="B30" s="20">
        <v>424377.02</v>
      </c>
      <c r="C30" s="20">
        <v>424377.02</v>
      </c>
      <c r="D30" s="20">
        <v>414509.04000000004</v>
      </c>
      <c r="E30" s="20">
        <v>426204.98</v>
      </c>
      <c r="F30" s="20">
        <v>412472.06</v>
      </c>
      <c r="G30" s="20">
        <v>404970.81</v>
      </c>
      <c r="H30" s="20">
        <v>432205.81</v>
      </c>
      <c r="I30" s="20">
        <v>437950.24</v>
      </c>
      <c r="J30" s="20">
        <v>448611.48</v>
      </c>
      <c r="K30" s="20">
        <v>448735.08</v>
      </c>
      <c r="L30" s="20">
        <v>448013.4</v>
      </c>
      <c r="M30" s="20">
        <v>432546.63</v>
      </c>
      <c r="N30" s="20">
        <v>439621.64</v>
      </c>
      <c r="O30" s="20">
        <f t="shared" si="2"/>
        <v>430353.48</v>
      </c>
      <c r="P30" s="2"/>
      <c r="Q30" s="1"/>
    </row>
    <row r="31" spans="1:17" ht="14.25">
      <c r="A31" s="1" t="s">
        <v>11</v>
      </c>
      <c r="B31" s="20">
        <v>1816966.49</v>
      </c>
      <c r="C31" s="20">
        <v>1864199.54</v>
      </c>
      <c r="D31" s="20">
        <v>1868990.07</v>
      </c>
      <c r="E31" s="20">
        <v>1800165.6099999999</v>
      </c>
      <c r="F31" s="20">
        <v>1800603.92</v>
      </c>
      <c r="G31" s="20">
        <v>1705570.72</v>
      </c>
      <c r="H31" s="20">
        <v>1665112.31</v>
      </c>
      <c r="I31" s="20">
        <v>1620734.6</v>
      </c>
      <c r="J31" s="20">
        <v>1698658.32</v>
      </c>
      <c r="K31" s="20">
        <v>1433075.43</v>
      </c>
      <c r="L31" s="20">
        <v>1603995.83</v>
      </c>
      <c r="M31" s="20">
        <v>1547305.05</v>
      </c>
      <c r="N31" s="20">
        <v>1469336.38</v>
      </c>
      <c r="O31" s="20">
        <f t="shared" si="2"/>
        <v>1684208.79</v>
      </c>
      <c r="P31" s="2"/>
      <c r="Q31" s="1"/>
    </row>
    <row r="32" spans="1:17" ht="14.25">
      <c r="A32" s="1" t="s">
        <v>37</v>
      </c>
      <c r="B32" s="20">
        <v>5876732.27</v>
      </c>
      <c r="C32" s="20">
        <v>5858821.96</v>
      </c>
      <c r="D32" s="20">
        <v>5848207</v>
      </c>
      <c r="E32" s="20">
        <v>5985227.52</v>
      </c>
      <c r="F32" s="20">
        <v>5962877.79</v>
      </c>
      <c r="G32" s="20">
        <v>5924752.57</v>
      </c>
      <c r="H32" s="20">
        <v>5842381.45</v>
      </c>
      <c r="I32" s="20">
        <v>5840643.45</v>
      </c>
      <c r="J32" s="20">
        <v>6144544.18</v>
      </c>
      <c r="K32" s="20">
        <v>6155191.05</v>
      </c>
      <c r="L32" s="20">
        <v>5805978.72</v>
      </c>
      <c r="M32" s="20">
        <v>5690754.84</v>
      </c>
      <c r="N32" s="20">
        <v>5552043.67</v>
      </c>
      <c r="O32" s="20">
        <f t="shared" si="2"/>
        <v>5883704.34</v>
      </c>
      <c r="P32" s="2"/>
      <c r="Q32" s="1"/>
    </row>
    <row r="33" spans="1:17" ht="14.25">
      <c r="A33" s="1" t="s">
        <v>35</v>
      </c>
      <c r="B33" s="20">
        <v>30682.95</v>
      </c>
      <c r="C33" s="20">
        <v>31447.75</v>
      </c>
      <c r="D33" s="20">
        <v>31447.75</v>
      </c>
      <c r="E33" s="20">
        <v>31327.04</v>
      </c>
      <c r="F33" s="20">
        <v>31327.04</v>
      </c>
      <c r="G33" s="20">
        <v>31327.04</v>
      </c>
      <c r="H33" s="20">
        <v>31327.04</v>
      </c>
      <c r="I33" s="20">
        <v>31327.04</v>
      </c>
      <c r="J33" s="20">
        <v>31327.04</v>
      </c>
      <c r="K33" s="20">
        <v>31251.7</v>
      </c>
      <c r="L33" s="20">
        <v>30379.600000000002</v>
      </c>
      <c r="M33" s="20">
        <v>30017.46</v>
      </c>
      <c r="N33" s="20">
        <v>30017.46</v>
      </c>
      <c r="O33" s="20">
        <f t="shared" si="2"/>
        <v>31015.92</v>
      </c>
      <c r="P33" s="2"/>
      <c r="Q33" s="1"/>
    </row>
    <row r="34" spans="1:17" ht="14.25">
      <c r="A34" s="1" t="s">
        <v>36</v>
      </c>
      <c r="B34" s="20">
        <v>2499.26</v>
      </c>
      <c r="C34" s="20">
        <v>2499.26</v>
      </c>
      <c r="D34" s="20">
        <v>2257.76</v>
      </c>
      <c r="E34" s="20">
        <v>2257.76</v>
      </c>
      <c r="F34" s="20">
        <v>2257.76</v>
      </c>
      <c r="G34" s="20">
        <v>2257.76</v>
      </c>
      <c r="H34" s="20">
        <v>2016.26</v>
      </c>
      <c r="I34" s="20">
        <v>2016.26</v>
      </c>
      <c r="J34" s="20">
        <v>2016.26</v>
      </c>
      <c r="K34" s="20">
        <v>2016.26</v>
      </c>
      <c r="L34" s="20">
        <v>2016.26</v>
      </c>
      <c r="M34" s="20">
        <v>2016.26</v>
      </c>
      <c r="N34" s="20">
        <v>2658.26</v>
      </c>
      <c r="O34" s="20">
        <f t="shared" si="2"/>
        <v>2214.26</v>
      </c>
      <c r="P34" s="2"/>
      <c r="Q34" s="1"/>
    </row>
    <row r="35" spans="1:17" ht="14.25">
      <c r="A35" s="1" t="s">
        <v>12</v>
      </c>
      <c r="B35" s="20">
        <v>45033.42</v>
      </c>
      <c r="C35" s="20">
        <v>21138.510000000002</v>
      </c>
      <c r="D35" s="20">
        <v>26753.38</v>
      </c>
      <c r="E35" s="20">
        <v>12664.710000000001</v>
      </c>
      <c r="F35" s="20">
        <v>17169.15</v>
      </c>
      <c r="G35" s="20">
        <v>18175.98</v>
      </c>
      <c r="H35" s="20">
        <v>32044.670000000002</v>
      </c>
      <c r="I35" s="20">
        <v>30204.87</v>
      </c>
      <c r="J35" s="20">
        <v>18189.350000000002</v>
      </c>
      <c r="K35" s="20">
        <v>22998.760000000002</v>
      </c>
      <c r="L35" s="20">
        <v>23081.34</v>
      </c>
      <c r="M35" s="20">
        <v>25305.440000000002</v>
      </c>
      <c r="N35" s="20">
        <v>22633.760000000002</v>
      </c>
      <c r="O35" s="20">
        <f t="shared" si="2"/>
        <v>24261.03</v>
      </c>
      <c r="P35" s="2"/>
      <c r="Q35" s="1"/>
    </row>
    <row r="36" spans="1:17" ht="14.25">
      <c r="A36" s="1" t="s">
        <v>38</v>
      </c>
      <c r="B36" s="27">
        <v>-193053.86000000002</v>
      </c>
      <c r="C36" s="27">
        <v>-193053.86000000002</v>
      </c>
      <c r="D36" s="27">
        <v>-193053.86000000002</v>
      </c>
      <c r="E36" s="27">
        <v>-192524.03</v>
      </c>
      <c r="F36" s="27">
        <v>-193053.86000000002</v>
      </c>
      <c r="G36" s="27">
        <v>-193053.87</v>
      </c>
      <c r="H36" s="27">
        <v>-193053.86000000002</v>
      </c>
      <c r="I36" s="27">
        <v>-193053.86000000002</v>
      </c>
      <c r="J36" s="27">
        <v>-193053.86000000002</v>
      </c>
      <c r="K36" s="27">
        <v>-193053.86000000002</v>
      </c>
      <c r="L36" s="27">
        <v>-47070.36</v>
      </c>
      <c r="M36" s="27">
        <v>0</v>
      </c>
      <c r="N36" s="27">
        <v>-101809.69</v>
      </c>
      <c r="O36" s="27">
        <f t="shared" si="2"/>
        <v>-159914.53</v>
      </c>
      <c r="P36" s="2"/>
      <c r="Q36" s="1"/>
    </row>
    <row r="37" spans="1:17" ht="15" thickBot="1">
      <c r="A37" s="1" t="s">
        <v>32</v>
      </c>
      <c r="B37" s="28">
        <f>SUM(B29:B36)</f>
        <v>64869156.46</v>
      </c>
      <c r="C37" s="28">
        <f aca="true" t="shared" si="3" ref="C37:N37">SUM(C29:C36)</f>
        <v>65051911.589999996</v>
      </c>
      <c r="D37" s="28">
        <f t="shared" si="3"/>
        <v>64935551.6</v>
      </c>
      <c r="E37" s="28">
        <f t="shared" si="3"/>
        <v>64797249.559999995</v>
      </c>
      <c r="F37" s="28">
        <f t="shared" si="3"/>
        <v>63792518.01</v>
      </c>
      <c r="G37" s="28">
        <f t="shared" si="3"/>
        <v>64470960.76</v>
      </c>
      <c r="H37" s="28">
        <f t="shared" si="3"/>
        <v>64947893.93000001</v>
      </c>
      <c r="I37" s="28">
        <f t="shared" si="3"/>
        <v>65055236.76</v>
      </c>
      <c r="J37" s="28">
        <f t="shared" si="3"/>
        <v>65543674.13999999</v>
      </c>
      <c r="K37" s="28">
        <f t="shared" si="3"/>
        <v>65227528.489999995</v>
      </c>
      <c r="L37" s="28">
        <f t="shared" si="3"/>
        <v>64986833.51</v>
      </c>
      <c r="M37" s="28">
        <f t="shared" si="3"/>
        <v>64029530.58999999</v>
      </c>
      <c r="N37" s="28">
        <f t="shared" si="3"/>
        <v>63732923.68000001</v>
      </c>
      <c r="O37" s="28">
        <f t="shared" si="2"/>
        <v>64726228.39</v>
      </c>
      <c r="P37" s="2"/>
      <c r="Q37" s="1"/>
    </row>
    <row r="38" spans="1:17" ht="15" thickTop="1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"/>
      <c r="Q38" s="1"/>
    </row>
    <row r="39" spans="1:17" ht="14.25">
      <c r="A39" s="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"/>
      <c r="Q39" s="1"/>
    </row>
    <row r="40" spans="1:17" ht="14.25">
      <c r="A40" s="18" t="s">
        <v>28</v>
      </c>
      <c r="B40" s="30" t="s">
        <v>24</v>
      </c>
      <c r="C40" s="30" t="s">
        <v>24</v>
      </c>
      <c r="D40" s="30" t="s">
        <v>24</v>
      </c>
      <c r="E40" s="30" t="s">
        <v>24</v>
      </c>
      <c r="F40" s="30" t="s">
        <v>24</v>
      </c>
      <c r="G40" s="30" t="s">
        <v>24</v>
      </c>
      <c r="H40" s="30" t="s">
        <v>24</v>
      </c>
      <c r="I40" s="30" t="s">
        <v>24</v>
      </c>
      <c r="J40" s="30" t="s">
        <v>24</v>
      </c>
      <c r="K40" s="30" t="s">
        <v>24</v>
      </c>
      <c r="L40" s="30" t="s">
        <v>24</v>
      </c>
      <c r="M40" s="30" t="s">
        <v>24</v>
      </c>
      <c r="N40" s="30" t="s">
        <v>24</v>
      </c>
      <c r="O40" s="30" t="s">
        <v>24</v>
      </c>
      <c r="P40" s="30"/>
      <c r="Q40" s="1"/>
    </row>
    <row r="41" spans="1:17" ht="14.25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"/>
      <c r="Q41" s="1"/>
    </row>
    <row r="42" spans="1:17" ht="14.25">
      <c r="A42" s="18" t="s">
        <v>29</v>
      </c>
      <c r="B42" s="20">
        <f>1335613.63+558283.9+598467.23+524019.94</f>
        <v>3016384.6999999997</v>
      </c>
      <c r="C42" s="20">
        <f>682194.31+45326.01+341570-178+595149.42</f>
        <v>1664061.7400000002</v>
      </c>
      <c r="D42" s="20">
        <f>992720.27+102524.63+320763.81+507956.96</f>
        <v>1923965.67</v>
      </c>
      <c r="E42" s="20">
        <f>492369.69+20700+89072+129257.36+331891.24</f>
        <v>1063290.29</v>
      </c>
      <c r="F42" s="20">
        <f>1146426.44+297078.95+81044.57+129459.37</f>
        <v>1654009.33</v>
      </c>
      <c r="G42" s="20">
        <f>502382.72+52356+73050.52+106775.5+477623.01</f>
        <v>1212187.75</v>
      </c>
      <c r="H42" s="20">
        <f>2190152.38+65481+366321.97+175975.43+2018798.96</f>
        <v>4816729.74</v>
      </c>
      <c r="I42" s="20">
        <f>629107.44+430643.06+90728.98+1038586.24</f>
        <v>2189065.7199999997</v>
      </c>
      <c r="J42" s="20">
        <f>453561.31+44795.41+874088.98+1317001.82</f>
        <v>2689447.52</v>
      </c>
      <c r="K42" s="20">
        <f>512529.94+918024.15+22959+1345622.94</f>
        <v>2799136.0300000003</v>
      </c>
      <c r="L42" s="20">
        <f>594513.23+28126.72+293041.55+70278.95+1329503.52</f>
        <v>2315463.9699999997</v>
      </c>
      <c r="M42" s="20">
        <f>4021056.38+365083.73+145847.47+2321041.96</f>
        <v>6853029.539999999</v>
      </c>
      <c r="N42" s="20">
        <f>6509732.12+26120+646223.1+1108977.23+1707324.94</f>
        <v>9998377.389999999</v>
      </c>
      <c r="O42" s="20">
        <f>ROUND(SUM(B42:N42)/13,2)</f>
        <v>3245780.72</v>
      </c>
      <c r="P42" s="14"/>
      <c r="Q42" s="1"/>
    </row>
    <row r="43" spans="1:17" ht="14.25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4"/>
      <c r="Q43" s="1"/>
    </row>
    <row r="44" spans="1:17" ht="14.25">
      <c r="A44" s="18" t="s">
        <v>33</v>
      </c>
      <c r="B44" s="20">
        <f>9507049.03+10662817.6+84902.21-39760.78+64660.67+1642959.23-10678.3-524019.94</f>
        <v>21387929.72</v>
      </c>
      <c r="C44" s="20">
        <f>5048914.9+8471255.93+12729.8+616650.8-7471.5+58185.5-595149.42</f>
        <v>13605116.010000002</v>
      </c>
      <c r="D44" s="20">
        <f>2229508.96+8904316.49+441080.89+1130988.14-58238.27+58185.5-58185.5-507956.96</f>
        <v>12139699.25</v>
      </c>
      <c r="E44" s="20">
        <f>8792071.47+11490774.64+686342.97+1051308.34-138381.8-331891.24</f>
        <v>21550224.38</v>
      </c>
      <c r="F44" s="20">
        <f>11425155.68+8794220.78+1668129.26+1453761.94-46428.88-129459.37</f>
        <v>23165379.410000004</v>
      </c>
      <c r="G44" s="20">
        <f>7446696.26+10957559.96+1653006.94-46258.88-477623.01</f>
        <v>19533381.27</v>
      </c>
      <c r="H44" s="20">
        <f>5721133.49+20451748.89+743622.27+423836.87-53195.62+185905.57-2018798.96</f>
        <v>25454252.51</v>
      </c>
      <c r="I44" s="20">
        <f>17122610.79+10551628.35+2209273.04-793.42+868748.82+207771.52-1038586.24</f>
        <v>29920652.86</v>
      </c>
      <c r="J44" s="20">
        <f>6151355.7+18246248.51-2610883.5+384884.01-21107.52+880847.29+195673.05-1317001.82</f>
        <v>21910015.720000003</v>
      </c>
      <c r="K44" s="20">
        <f>11063114.38+17742197.97+1036657.35-89503.4+37662.75-1345622.94</f>
        <v>28444506.110000003</v>
      </c>
      <c r="L44" s="20">
        <f>14022339.64+18401266.4+388624.82+915450.5-94144.93+29300-1329503.52</f>
        <v>32333332.91</v>
      </c>
      <c r="M44" s="20">
        <f>8888006.02+20396977.69+1911443.31-186970.69-2321041.96</f>
        <v>28688414.369999997</v>
      </c>
      <c r="N44" s="20">
        <f>17750010.88+33173614.6+412761.57+335663.93+60067.59-261218.21+138445.06+10372335.35-4747060-84126.85-1707324.94-3585684</f>
        <v>51857484.98000001</v>
      </c>
      <c r="O44" s="20">
        <f>ROUND(SUM(B44:N44)/13,2)</f>
        <v>25383876.12</v>
      </c>
      <c r="P44" s="14"/>
      <c r="Q44" s="1"/>
    </row>
    <row r="45" spans="1:17" ht="14.25">
      <c r="A45" s="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4"/>
      <c r="Q45" s="1"/>
    </row>
    <row r="46" spans="1:17" ht="14.25">
      <c r="A46" s="18" t="s">
        <v>34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/>
      <c r="P46" s="14"/>
      <c r="Q46" s="1"/>
    </row>
    <row r="47" spans="1:17" ht="14.25">
      <c r="A47" s="1" t="s">
        <v>20</v>
      </c>
      <c r="B47" s="20">
        <v>0</v>
      </c>
      <c r="C47" s="20">
        <v>40000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196356.48</v>
      </c>
      <c r="M47" s="20">
        <v>0</v>
      </c>
      <c r="N47" s="20">
        <v>49125.93</v>
      </c>
      <c r="O47" s="29">
        <f>ROUND(SUM(B47:N47)/13,2)</f>
        <v>21960.19</v>
      </c>
      <c r="P47" s="14"/>
      <c r="Q47" s="1"/>
    </row>
    <row r="48" spans="1:17" ht="14.25">
      <c r="A48" s="24" t="s">
        <v>41</v>
      </c>
      <c r="B48" s="20">
        <f>5323467+108901.38</f>
        <v>5432368.38</v>
      </c>
      <c r="C48" s="20">
        <f>685287.49</f>
        <v>685287.49</v>
      </c>
      <c r="D48" s="20">
        <f>358864.2</f>
        <v>358864.2</v>
      </c>
      <c r="E48" s="20">
        <v>0</v>
      </c>
      <c r="F48" s="20">
        <v>0</v>
      </c>
      <c r="G48" s="20">
        <f>486866.17</f>
        <v>486866.17</v>
      </c>
      <c r="H48" s="20">
        <f>318808.39+54843</f>
        <v>373651.39</v>
      </c>
      <c r="I48" s="20">
        <v>755801.39</v>
      </c>
      <c r="J48" s="20">
        <f>393680.08+2610883.5-165272.5</f>
        <v>2839291.08</v>
      </c>
      <c r="K48" s="20">
        <v>-220115.5</v>
      </c>
      <c r="L48" s="20">
        <f>726486.9-156220.5</f>
        <v>570266.4</v>
      </c>
      <c r="M48" s="20">
        <f>342083.42-54843+54843</f>
        <v>342083.42</v>
      </c>
      <c r="N48" s="20">
        <f>-2591136.96-163385.5+163385.5+3585684</f>
        <v>994547.04</v>
      </c>
      <c r="O48" s="20">
        <f>ROUND(SUM(B48:N48)/13,2)</f>
        <v>970685.5</v>
      </c>
      <c r="P48" s="14"/>
      <c r="Q48" s="1"/>
    </row>
    <row r="49" spans="1:17" ht="15" thickBot="1">
      <c r="A49" s="1" t="s">
        <v>21</v>
      </c>
      <c r="B49" s="28">
        <f aca="true" t="shared" si="4" ref="B49:N49">SUM(B47:B48)</f>
        <v>5432368.38</v>
      </c>
      <c r="C49" s="28">
        <f t="shared" si="4"/>
        <v>725287.49</v>
      </c>
      <c r="D49" s="28">
        <f t="shared" si="4"/>
        <v>358864.2</v>
      </c>
      <c r="E49" s="28">
        <f t="shared" si="4"/>
        <v>0</v>
      </c>
      <c r="F49" s="28">
        <f t="shared" si="4"/>
        <v>0</v>
      </c>
      <c r="G49" s="28">
        <f t="shared" si="4"/>
        <v>486866.17</v>
      </c>
      <c r="H49" s="28">
        <f t="shared" si="4"/>
        <v>373651.39</v>
      </c>
      <c r="I49" s="28">
        <f t="shared" si="4"/>
        <v>755801.39</v>
      </c>
      <c r="J49" s="28">
        <f t="shared" si="4"/>
        <v>2839291.08</v>
      </c>
      <c r="K49" s="28">
        <f t="shared" si="4"/>
        <v>-220115.5</v>
      </c>
      <c r="L49" s="28">
        <f t="shared" si="4"/>
        <v>766622.88</v>
      </c>
      <c r="M49" s="28">
        <f t="shared" si="4"/>
        <v>342083.42</v>
      </c>
      <c r="N49" s="28">
        <f t="shared" si="4"/>
        <v>1043672.9700000001</v>
      </c>
      <c r="O49" s="28">
        <f>ROUND(SUM(B49:N49)/13,2)</f>
        <v>992645.68</v>
      </c>
      <c r="P49" s="14"/>
      <c r="Q49" s="1"/>
    </row>
    <row r="50" spans="1:17" ht="15" thickTop="1">
      <c r="A50" s="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4"/>
      <c r="Q50" s="1"/>
    </row>
    <row r="51" spans="1:17" ht="14.25">
      <c r="A51" s="1"/>
      <c r="B51" s="22"/>
      <c r="C51" s="22"/>
      <c r="D51" s="22"/>
      <c r="E51" s="22"/>
      <c r="F51" s="22"/>
      <c r="G51" s="21"/>
      <c r="H51" s="22"/>
      <c r="I51" s="22"/>
      <c r="J51" s="22"/>
      <c r="K51" s="22"/>
      <c r="L51" s="22"/>
      <c r="M51" s="22"/>
      <c r="N51" s="22"/>
      <c r="O51" s="22"/>
      <c r="P51" s="15"/>
      <c r="Q51" s="1"/>
    </row>
    <row r="52" spans="1:15" ht="14.25">
      <c r="A52" s="33" t="s">
        <v>39</v>
      </c>
      <c r="L52" s="16"/>
      <c r="M52" s="16"/>
      <c r="N52" s="16"/>
      <c r="O52" s="16"/>
    </row>
    <row r="53" spans="1:17" ht="14.25">
      <c r="A53" s="4"/>
      <c r="L53" s="13"/>
      <c r="M53" s="13"/>
      <c r="N53" s="13"/>
      <c r="O53" s="16"/>
      <c r="P53" s="6"/>
      <c r="Q53" s="1"/>
    </row>
    <row r="54" spans="1:17" ht="14.25">
      <c r="A54" s="18"/>
      <c r="P54" s="6"/>
      <c r="Q54" s="1"/>
    </row>
    <row r="55" spans="1:17" ht="14.25">
      <c r="A55" s="31"/>
      <c r="L55" s="16"/>
      <c r="M55" s="16"/>
      <c r="N55" s="16"/>
      <c r="P55" s="6"/>
      <c r="Q55" s="1"/>
    </row>
    <row r="56" spans="1:17" ht="14.25">
      <c r="A56" s="31"/>
      <c r="P56" s="6"/>
      <c r="Q56" s="1"/>
    </row>
    <row r="57" spans="1:17" ht="14.25">
      <c r="A57" s="31"/>
      <c r="P57" s="6"/>
      <c r="Q57" s="1"/>
    </row>
    <row r="58" spans="1:17" ht="14.25">
      <c r="A58" s="18"/>
      <c r="P58" s="6"/>
      <c r="Q58" s="1"/>
    </row>
    <row r="59" spans="1:17" ht="14.25">
      <c r="A59" s="1"/>
      <c r="P59" s="6"/>
      <c r="Q59" s="1"/>
    </row>
    <row r="60" spans="1:1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"/>
      <c r="Q60" s="1"/>
    </row>
    <row r="61" spans="1:1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"/>
      <c r="Q61" s="1"/>
    </row>
    <row r="62" spans="1:1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6"/>
      <c r="Q62" s="1"/>
    </row>
  </sheetData>
  <sheetProtection/>
  <printOptions/>
  <pageMargins left="0.3" right="0.3" top="1" bottom="0.3" header="0.3" footer="0.3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Michelle Carpenter</cp:lastModifiedBy>
  <cp:lastPrinted>2021-04-10T10:24:07Z</cp:lastPrinted>
  <dcterms:created xsi:type="dcterms:W3CDTF">2014-12-03T13:58:28Z</dcterms:created>
  <dcterms:modified xsi:type="dcterms:W3CDTF">2021-04-10T10:24:36Z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7f358140-4bc5-4811-983d-a1639bfc13bf</vt:lpwstr>
  </property>
  <property fmtid="{D5CDD505-2E9C-101B-9397-08002B2CF9AE}" pid="3" name="Operating Company">
    <vt:lpwstr>AEP Ohio</vt:lpwstr>
  </property>
  <property fmtid="{D5CDD505-2E9C-101B-9397-08002B2CF9AE}" pid="4" name="bjSaver">
    <vt:lpwstr>9+TeQWZhstWXTU9vFL1W7ATzCvipLVt3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bjDocumentSecurityLabel">
    <vt:lpwstr>AEP Internal</vt:lpwstr>
  </property>
</Properties>
</file>