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powersystem.sharepoint.com/sites/ext/EKPC2020RateStudy331/Shared Documents/Discovery/DR Responses/Nucor/Nucor DR1.7d Workpapers/"/>
    </mc:Choice>
  </mc:AlternateContent>
  <xr:revisionPtr revIDLastSave="0" documentId="8_{D9DACA26-D032-4143-8514-08CC81AE96B2}" xr6:coauthVersionLast="45" xr6:coauthVersionMax="45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Task" sheetId="18" r:id="rId1"/>
    <sheet name="Spur Stm" sheetId="19" r:id="rId2"/>
    <sheet name="Fixed Var O&amp;M" sheetId="7" r:id="rId3"/>
  </sheets>
  <definedNames>
    <definedName name="ASD">#REF!</definedName>
    <definedName name="NvsASD">"V2012-12-31"</definedName>
    <definedName name="NvsAutoDrillOk">"VN"</definedName>
    <definedName name="NvsElapsedTime">0.0000115740695036948</definedName>
    <definedName name="NvsEndTime">41304.7114583333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"%,X,RZF..COMMA,CZF.."</definedName>
    <definedName name="NvsPanelEffdt">"V1997-01-01"</definedName>
    <definedName name="NvsPanelSetid">"VEKPC"</definedName>
    <definedName name="NvsReqBU">"VEKPC"</definedName>
    <definedName name="NvsReqBUOnly">"VY"</definedName>
    <definedName name="NvsTransLed">"VN"</definedName>
    <definedName name="NvsTreeASD">"V2012-12-31"</definedName>
    <definedName name="NvsValTbl.ACCOUNT">"GL_ACCOUNT_TBL"</definedName>
    <definedName name="_xlnm.Print_Area" localSheetId="2">'Fixed Var O&amp;M'!$A$1:$BL$78</definedName>
    <definedName name="_xlnm.Print_Area" localSheetId="1">'Spur Stm'!$A$1:$K$32</definedName>
    <definedName name="runtim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52" i="7" l="1"/>
  <c r="AD51" i="7"/>
  <c r="AD49" i="7"/>
  <c r="AN49" i="7"/>
  <c r="AD40" i="7"/>
  <c r="AC38" i="7"/>
  <c r="I38" i="7"/>
  <c r="Q37" i="7"/>
  <c r="I37" i="7"/>
  <c r="AB25" i="7"/>
  <c r="P25" i="7"/>
  <c r="H25" i="7"/>
  <c r="BG62" i="7"/>
  <c r="AE52" i="7" l="1"/>
  <c r="AI52" i="7"/>
  <c r="AN51" i="7"/>
  <c r="AD50" i="7"/>
  <c r="AD48" i="7"/>
  <c r="AN48" i="7"/>
  <c r="AD47" i="7"/>
  <c r="AN47" i="7"/>
  <c r="AO44" i="7"/>
  <c r="AE42" i="7"/>
  <c r="AN40" i="7"/>
  <c r="AA38" i="7"/>
  <c r="Q38" i="7"/>
  <c r="K38" i="7"/>
  <c r="AC37" i="7"/>
  <c r="AA37" i="7"/>
  <c r="S37" i="7"/>
  <c r="M37" i="7"/>
  <c r="K37" i="7"/>
  <c r="AB36" i="7"/>
  <c r="Z36" i="7"/>
  <c r="J36" i="7"/>
  <c r="H36" i="7"/>
  <c r="AB31" i="7"/>
  <c r="Z31" i="7"/>
  <c r="P31" i="7"/>
  <c r="J31" i="7"/>
  <c r="H31" i="7"/>
  <c r="AB30" i="7"/>
  <c r="Z30" i="7"/>
  <c r="P30" i="7"/>
  <c r="J30" i="7"/>
  <c r="H30" i="7"/>
  <c r="I28" i="7"/>
  <c r="I26" i="7"/>
  <c r="D6" i="19" l="1"/>
  <c r="AE21" i="7" l="1"/>
  <c r="J9" i="19"/>
  <c r="J4" i="19"/>
  <c r="AD20" i="7" l="1"/>
  <c r="AE58" i="7" l="1"/>
  <c r="BE49" i="7" l="1"/>
  <c r="BE46" i="7"/>
  <c r="BE45" i="7"/>
  <c r="BE44" i="7"/>
  <c r="BE43" i="7"/>
  <c r="BE41" i="7"/>
  <c r="BE33" i="7"/>
  <c r="BD49" i="7"/>
  <c r="BD46" i="7"/>
  <c r="BD45" i="7"/>
  <c r="BD44" i="7"/>
  <c r="BD43" i="7"/>
  <c r="BD41" i="7"/>
  <c r="BD33" i="7"/>
  <c r="BD29" i="7"/>
  <c r="BD28" i="7"/>
  <c r="BD27" i="7"/>
  <c r="AF63" i="7"/>
  <c r="AG60" i="7"/>
  <c r="AG63" i="7" s="1"/>
  <c r="AG58" i="7"/>
  <c r="AF58" i="7"/>
  <c r="AF65" i="7" s="1"/>
  <c r="AF68" i="7" s="1"/>
  <c r="AG71" i="7" l="1"/>
  <c r="AG65" i="7"/>
  <c r="AG69" i="7" s="1"/>
  <c r="AG67" i="7"/>
  <c r="W22" i="7" l="1"/>
  <c r="AP20" i="7" l="1"/>
  <c r="AI60" i="7" l="1"/>
  <c r="AI67" i="7" s="1"/>
  <c r="AO60" i="7"/>
  <c r="D25" i="19" l="1"/>
  <c r="R20" i="7" l="1"/>
  <c r="T20" i="7"/>
  <c r="N20" i="7"/>
  <c r="V20" i="7" s="1"/>
  <c r="L20" i="7"/>
  <c r="U21" i="7" l="1"/>
  <c r="S21" i="7"/>
  <c r="O21" i="7"/>
  <c r="M21" i="7"/>
  <c r="E22" i="19" l="1"/>
  <c r="W21" i="7" l="1"/>
  <c r="E20" i="19" l="1"/>
  <c r="E19" i="19"/>
  <c r="E5" i="19"/>
  <c r="E6" i="19"/>
  <c r="U32" i="7"/>
  <c r="T32" i="7"/>
  <c r="O32" i="7"/>
  <c r="N32" i="7"/>
  <c r="AE60" i="7" l="1"/>
  <c r="AC60" i="7"/>
  <c r="AA60" i="7"/>
  <c r="Q60" i="7"/>
  <c r="Q67" i="7" s="1"/>
  <c r="K60" i="7"/>
  <c r="K67" i="7" s="1"/>
  <c r="I60" i="7"/>
  <c r="G60" i="7"/>
  <c r="BF43" i="7"/>
  <c r="B33" i="7"/>
  <c r="N27" i="7"/>
  <c r="N28" i="7"/>
  <c r="N29" i="7"/>
  <c r="O29" i="7"/>
  <c r="U29" i="7"/>
  <c r="U30" i="7"/>
  <c r="U28" i="7"/>
  <c r="O28" i="7"/>
  <c r="W28" i="7" l="1"/>
  <c r="BE28" i="7" s="1"/>
  <c r="W29" i="7"/>
  <c r="BE29" i="7" s="1"/>
  <c r="M60" i="7"/>
  <c r="M67" i="7" s="1"/>
  <c r="S60" i="7"/>
  <c r="S67" i="7" s="1"/>
  <c r="O27" i="7"/>
  <c r="U27" i="7"/>
  <c r="W27" i="7" l="1"/>
  <c r="T26" i="7"/>
  <c r="T30" i="7"/>
  <c r="U31" i="7"/>
  <c r="W32" i="7"/>
  <c r="BE32" i="7" s="1"/>
  <c r="T34" i="7"/>
  <c r="U34" i="7"/>
  <c r="T35" i="7"/>
  <c r="T36" i="7"/>
  <c r="U36" i="7"/>
  <c r="T37" i="7"/>
  <c r="T38" i="7"/>
  <c r="T39" i="7"/>
  <c r="U39" i="7"/>
  <c r="T40" i="7"/>
  <c r="U40" i="7"/>
  <c r="T42" i="7"/>
  <c r="U42" i="7"/>
  <c r="T47" i="7"/>
  <c r="U47" i="7"/>
  <c r="T48" i="7"/>
  <c r="U48" i="7"/>
  <c r="T50" i="7"/>
  <c r="U50" i="7"/>
  <c r="T51" i="7"/>
  <c r="U51" i="7"/>
  <c r="T52" i="7"/>
  <c r="U52" i="7"/>
  <c r="T53" i="7"/>
  <c r="U53" i="7"/>
  <c r="T54" i="7"/>
  <c r="U54" i="7"/>
  <c r="T55" i="7"/>
  <c r="U55" i="7"/>
  <c r="N26" i="7"/>
  <c r="O30" i="7"/>
  <c r="W30" i="7" s="1"/>
  <c r="BE30" i="7" s="1"/>
  <c r="N31" i="7"/>
  <c r="O31" i="7"/>
  <c r="N34" i="7"/>
  <c r="O34" i="7"/>
  <c r="N35" i="7"/>
  <c r="O36" i="7"/>
  <c r="N37" i="7"/>
  <c r="N38" i="7"/>
  <c r="N39" i="7"/>
  <c r="O39" i="7"/>
  <c r="N40" i="7"/>
  <c r="O40" i="7"/>
  <c r="N42" i="7"/>
  <c r="O42" i="7"/>
  <c r="N47" i="7"/>
  <c r="O47" i="7"/>
  <c r="N48" i="7"/>
  <c r="O48" i="7"/>
  <c r="N50" i="7"/>
  <c r="O50" i="7"/>
  <c r="N51" i="7"/>
  <c r="O51" i="7"/>
  <c r="N52" i="7"/>
  <c r="O52" i="7"/>
  <c r="N53" i="7"/>
  <c r="O53" i="7"/>
  <c r="N54" i="7"/>
  <c r="O54" i="7"/>
  <c r="N55" i="7"/>
  <c r="O55" i="7"/>
  <c r="J58" i="7"/>
  <c r="J63" i="7"/>
  <c r="M63" i="7"/>
  <c r="L63" i="7"/>
  <c r="N63" i="7"/>
  <c r="P63" i="7"/>
  <c r="S63" i="7"/>
  <c r="R63" i="7"/>
  <c r="R58" i="7"/>
  <c r="T63" i="7"/>
  <c r="U25" i="7"/>
  <c r="O25" i="7"/>
  <c r="S58" i="7"/>
  <c r="M58" i="7"/>
  <c r="U38" i="7"/>
  <c r="T31" i="7"/>
  <c r="U26" i="7"/>
  <c r="U60" i="7" s="1"/>
  <c r="U67" i="7" s="1"/>
  <c r="P58" i="7"/>
  <c r="P65" i="7" s="1"/>
  <c r="P68" i="7" s="1"/>
  <c r="O38" i="7"/>
  <c r="O37" i="7"/>
  <c r="N36" i="7"/>
  <c r="N30" i="7"/>
  <c r="O26" i="7"/>
  <c r="U35" i="7"/>
  <c r="O35" i="7"/>
  <c r="BE27" i="7" l="1"/>
  <c r="BF27" i="7" s="1"/>
  <c r="BG65" i="7" s="1"/>
  <c r="W25" i="7"/>
  <c r="BE25" i="7" s="1"/>
  <c r="J65" i="7"/>
  <c r="J68" i="7" s="1"/>
  <c r="V34" i="7"/>
  <c r="BD34" i="7" s="1"/>
  <c r="V26" i="7"/>
  <c r="BD26" i="7" s="1"/>
  <c r="V35" i="7"/>
  <c r="BD35" i="7" s="1"/>
  <c r="V31" i="7"/>
  <c r="BD31" i="7" s="1"/>
  <c r="O60" i="7"/>
  <c r="W53" i="7"/>
  <c r="BE53" i="7" s="1"/>
  <c r="W51" i="7"/>
  <c r="BE51" i="7" s="1"/>
  <c r="W42" i="7"/>
  <c r="BE42" i="7" s="1"/>
  <c r="W39" i="7"/>
  <c r="BE39" i="7" s="1"/>
  <c r="W36" i="7"/>
  <c r="BE36" i="7" s="1"/>
  <c r="R65" i="7"/>
  <c r="R68" i="7" s="1"/>
  <c r="V52" i="7"/>
  <c r="BD52" i="7" s="1"/>
  <c r="V50" i="7"/>
  <c r="BD50" i="7" s="1"/>
  <c r="V47" i="7"/>
  <c r="BD47" i="7" s="1"/>
  <c r="V40" i="7"/>
  <c r="BD40" i="7" s="1"/>
  <c r="V37" i="7"/>
  <c r="BD37" i="7" s="1"/>
  <c r="W52" i="7"/>
  <c r="BE52" i="7" s="1"/>
  <c r="W50" i="7"/>
  <c r="BE50" i="7" s="1"/>
  <c r="W47" i="7"/>
  <c r="BE47" i="7" s="1"/>
  <c r="W40" i="7"/>
  <c r="BE40" i="7" s="1"/>
  <c r="V38" i="7"/>
  <c r="BD38" i="7" s="1"/>
  <c r="W31" i="7"/>
  <c r="BE31" i="7" s="1"/>
  <c r="V53" i="7"/>
  <c r="BD53" i="7" s="1"/>
  <c r="V51" i="7"/>
  <c r="BD51" i="7" s="1"/>
  <c r="V48" i="7"/>
  <c r="BD48" i="7" s="1"/>
  <c r="V42" i="7"/>
  <c r="BD42" i="7" s="1"/>
  <c r="V36" i="7"/>
  <c r="BD36" i="7" s="1"/>
  <c r="W55" i="7"/>
  <c r="W48" i="7"/>
  <c r="BE48" i="7" s="1"/>
  <c r="V32" i="7"/>
  <c r="BD32" i="7" s="1"/>
  <c r="V55" i="7"/>
  <c r="W54" i="7"/>
  <c r="V54" i="7"/>
  <c r="V39" i="7"/>
  <c r="BD39" i="7" s="1"/>
  <c r="W35" i="7"/>
  <c r="BE35" i="7" s="1"/>
  <c r="W34" i="7"/>
  <c r="BE34" i="7" s="1"/>
  <c r="V30" i="7"/>
  <c r="BD30" i="7" s="1"/>
  <c r="W26" i="7"/>
  <c r="W38" i="7"/>
  <c r="BE38" i="7" s="1"/>
  <c r="M65" i="7"/>
  <c r="M69" i="7" s="1"/>
  <c r="U37" i="7"/>
  <c r="W37" i="7" s="1"/>
  <c r="BE37" i="7" s="1"/>
  <c r="N25" i="7"/>
  <c r="N58" i="7" s="1"/>
  <c r="N65" i="7" s="1"/>
  <c r="N68" i="7" s="1"/>
  <c r="T25" i="7"/>
  <c r="T58" i="7" s="1"/>
  <c r="T65" i="7" s="1"/>
  <c r="T68" i="7" s="1"/>
  <c r="S65" i="7"/>
  <c r="S69" i="7" s="1"/>
  <c r="L58" i="7"/>
  <c r="L65" i="7" s="1"/>
  <c r="L68" i="7" s="1"/>
  <c r="O58" i="7"/>
  <c r="K58" i="7"/>
  <c r="K71" i="7" s="1"/>
  <c r="Q58" i="7"/>
  <c r="S71" i="7"/>
  <c r="O67" i="7" l="1"/>
  <c r="BE60" i="7"/>
  <c r="W60" i="7"/>
  <c r="W67" i="7" s="1"/>
  <c r="BE26" i="7"/>
  <c r="O63" i="7"/>
  <c r="O65" i="7" s="1"/>
  <c r="O69" i="7" s="1"/>
  <c r="U58" i="7"/>
  <c r="U71" i="7" s="1"/>
  <c r="V25" i="7"/>
  <c r="BD25" i="7" s="1"/>
  <c r="Q63" i="7"/>
  <c r="Q65" i="7" s="1"/>
  <c r="Q69" i="7" s="1"/>
  <c r="K63" i="7"/>
  <c r="K65" i="7" s="1"/>
  <c r="K69" i="7" s="1"/>
  <c r="U63" i="7"/>
  <c r="Q71" i="7"/>
  <c r="M71" i="7"/>
  <c r="O71" i="7"/>
  <c r="BD54" i="7"/>
  <c r="BE54" i="7"/>
  <c r="BD55" i="7"/>
  <c r="BE55" i="7"/>
  <c r="U65" i="7" l="1"/>
  <c r="U69" i="7" s="1"/>
  <c r="AN20" i="7"/>
  <c r="Z20" i="7"/>
  <c r="H20" i="7"/>
  <c r="BB19" i="7" l="1"/>
  <c r="J14" i="19"/>
  <c r="Y23" i="7" l="1"/>
  <c r="Y29" i="7" s="1"/>
  <c r="E58" i="7"/>
  <c r="J26" i="19"/>
  <c r="J28" i="19" s="1"/>
  <c r="E14" i="19"/>
  <c r="E10" i="19"/>
  <c r="E21" i="19"/>
  <c r="E7" i="19"/>
  <c r="E8" i="19"/>
  <c r="E9" i="19"/>
  <c r="E11" i="19"/>
  <c r="E12" i="19"/>
  <c r="E13" i="19"/>
  <c r="Y27" i="7" l="1"/>
  <c r="Y28" i="7"/>
  <c r="E25" i="19"/>
  <c r="E27" i="19" l="1"/>
  <c r="J30" i="19" s="1"/>
  <c r="J32" i="19" s="1"/>
  <c r="AC67" i="7"/>
  <c r="AA67" i="7"/>
  <c r="BD63" i="7"/>
  <c r="AZ63" i="7"/>
  <c r="AP63" i="7"/>
  <c r="AN63" i="7"/>
  <c r="AL63" i="7"/>
  <c r="AJ63" i="7"/>
  <c r="AJ65" i="7" s="1"/>
  <c r="AH63" i="7"/>
  <c r="AD63" i="7"/>
  <c r="AB63" i="7"/>
  <c r="Z63" i="7"/>
  <c r="V63" i="7"/>
  <c r="H63" i="7"/>
  <c r="F63" i="7"/>
  <c r="X23" i="7" l="1"/>
  <c r="BA60" i="7"/>
  <c r="AQ60" i="7"/>
  <c r="AQ67" i="7" s="1"/>
  <c r="AM60" i="7"/>
  <c r="AM63" i="7" s="1"/>
  <c r="AK60" i="7"/>
  <c r="AK63" i="7" s="1"/>
  <c r="AI63" i="7"/>
  <c r="AE63" i="7"/>
  <c r="AC63" i="7"/>
  <c r="AA63" i="7"/>
  <c r="I63" i="7"/>
  <c r="G67" i="7"/>
  <c r="BH58" i="7"/>
  <c r="BA58" i="7"/>
  <c r="AZ58" i="7"/>
  <c r="AZ65" i="7" s="1"/>
  <c r="AQ58" i="7"/>
  <c r="AP58" i="7"/>
  <c r="AP65" i="7" s="1"/>
  <c r="AO58" i="7"/>
  <c r="AN58" i="7"/>
  <c r="AN65" i="7" s="1"/>
  <c r="AM58" i="7"/>
  <c r="AL58" i="7"/>
  <c r="AL65" i="7" s="1"/>
  <c r="AK58" i="7"/>
  <c r="AK71" i="7" s="1"/>
  <c r="AI58" i="7"/>
  <c r="AH58" i="7"/>
  <c r="AH65" i="7" s="1"/>
  <c r="AD58" i="7"/>
  <c r="I58" i="7"/>
  <c r="H58" i="7"/>
  <c r="H65" i="7" s="1"/>
  <c r="G58" i="7"/>
  <c r="F58" i="7"/>
  <c r="F65" i="7" s="1"/>
  <c r="Y52" i="7"/>
  <c r="Y51" i="7"/>
  <c r="Y50" i="7"/>
  <c r="Y48" i="7"/>
  <c r="Y47" i="7"/>
  <c r="Y42" i="7"/>
  <c r="Y40" i="7"/>
  <c r="X45" i="7" l="1"/>
  <c r="X46" i="7"/>
  <c r="BE58" i="7"/>
  <c r="X29" i="7"/>
  <c r="X33" i="7"/>
  <c r="X37" i="7"/>
  <c r="X41" i="7"/>
  <c r="X47" i="7"/>
  <c r="X51" i="7"/>
  <c r="X28" i="7"/>
  <c r="X32" i="7"/>
  <c r="X36" i="7"/>
  <c r="X40" i="7"/>
  <c r="X44" i="7"/>
  <c r="X50" i="7"/>
  <c r="X27" i="7"/>
  <c r="X31" i="7"/>
  <c r="X35" i="7"/>
  <c r="X39" i="7"/>
  <c r="X43" i="7"/>
  <c r="X49" i="7"/>
  <c r="X53" i="7"/>
  <c r="X26" i="7"/>
  <c r="X30" i="7"/>
  <c r="X34" i="7"/>
  <c r="X38" i="7"/>
  <c r="X42" i="7"/>
  <c r="X48" i="7"/>
  <c r="X52" i="7"/>
  <c r="W63" i="7"/>
  <c r="AI65" i="7"/>
  <c r="AE71" i="7"/>
  <c r="AE65" i="7"/>
  <c r="AD65" i="7" s="1"/>
  <c r="AO63" i="7"/>
  <c r="AO65" i="7" s="1"/>
  <c r="BA67" i="7"/>
  <c r="BA63" i="7"/>
  <c r="BA65" i="7" s="1"/>
  <c r="AK65" i="7"/>
  <c r="AM65" i="7"/>
  <c r="AQ63" i="7"/>
  <c r="AQ65" i="7" s="1"/>
  <c r="BA71" i="7"/>
  <c r="AQ71" i="7" s="1"/>
  <c r="AO71" i="7" s="1"/>
  <c r="AM71" i="7" s="1"/>
  <c r="AI71" i="7"/>
  <c r="G63" i="7"/>
  <c r="G65" i="7" s="1"/>
  <c r="I71" i="7"/>
  <c r="I65" i="7"/>
  <c r="G71" i="7"/>
  <c r="Y39" i="7"/>
  <c r="Y36" i="7" l="1"/>
  <c r="Y32" i="7"/>
  <c r="Y31" i="7"/>
  <c r="Y30" i="7"/>
  <c r="BE63" i="7"/>
  <c r="Y26" i="7"/>
  <c r="Y60" i="7" s="1"/>
  <c r="X60" i="7"/>
  <c r="X63" i="7" s="1"/>
  <c r="Y25" i="7"/>
  <c r="AO21" i="7"/>
  <c r="BE21" i="7" s="1"/>
  <c r="AH20" i="7"/>
  <c r="BD20" i="7" s="1"/>
  <c r="AL19" i="7"/>
  <c r="AJ19" i="7"/>
  <c r="AO67" i="7" l="1"/>
  <c r="AE67" i="7" s="1"/>
  <c r="AR19" i="7"/>
  <c r="AP19" i="7"/>
  <c r="AV19" i="7"/>
  <c r="AT19" i="7" s="1"/>
  <c r="AX19" i="7"/>
  <c r="AZ19" i="7"/>
  <c r="AQ20" i="7"/>
  <c r="BA20" i="7"/>
  <c r="Y67" i="7"/>
  <c r="I67" i="7"/>
  <c r="Y63" i="7"/>
  <c r="X25" i="7" l="1"/>
  <c r="Y38" i="7"/>
  <c r="Y37" i="7"/>
  <c r="W58" i="7"/>
  <c r="Y34" i="7"/>
  <c r="Y35" i="7"/>
  <c r="AA58" i="7"/>
  <c r="AC58" i="7"/>
  <c r="AC65" i="7" l="1"/>
  <c r="AC69" i="7" s="1"/>
  <c r="W65" i="7"/>
  <c r="W69" i="7" s="1"/>
  <c r="Y58" i="7"/>
  <c r="H68" i="7"/>
  <c r="F68" i="7" s="1"/>
  <c r="BE67" i="7" s="1"/>
  <c r="BF75" i="7" l="1"/>
  <c r="BI58" i="7"/>
  <c r="Y65" i="7"/>
  <c r="BE65" i="7"/>
  <c r="BF73" i="7" s="1"/>
  <c r="BE69" i="7" l="1"/>
  <c r="I69" i="7"/>
  <c r="G69" i="7" s="1"/>
  <c r="Y69" i="7"/>
  <c r="AE69" i="7" l="1"/>
  <c r="Z58" i="7" l="1"/>
  <c r="Z65" i="7" s="1"/>
  <c r="Z68" i="7" s="1"/>
  <c r="AZ68" i="7"/>
  <c r="AP68" i="7"/>
  <c r="AN68" i="7"/>
  <c r="AL68" i="7"/>
  <c r="AJ68" i="7"/>
  <c r="AH68" i="7"/>
  <c r="AD68" i="7"/>
  <c r="AB58" i="7"/>
  <c r="AB65" i="7" s="1"/>
  <c r="AB68" i="7" s="1"/>
  <c r="BE75" i="7"/>
  <c r="V58" i="7"/>
  <c r="V65" i="7" s="1"/>
  <c r="V68" i="7" s="1"/>
  <c r="AA65" i="7"/>
  <c r="AA69" i="7" s="1"/>
  <c r="BE76" i="7" l="1"/>
  <c r="BF76" i="7"/>
  <c r="BF74" i="7"/>
  <c r="BE77" i="7"/>
  <c r="W71" i="7"/>
  <c r="X58" i="7"/>
  <c r="AC71" i="7"/>
  <c r="BD58" i="7"/>
  <c r="AA71" i="7"/>
  <c r="BE71" i="7" l="1"/>
  <c r="BG61" i="7"/>
  <c r="BG63" i="7" s="1"/>
  <c r="BD65" i="7"/>
  <c r="BD68" i="7" s="1"/>
  <c r="X65" i="7"/>
  <c r="Y71" i="7"/>
  <c r="BJ58" i="7" l="1"/>
  <c r="X68" i="7"/>
  <c r="BF58" i="7" l="1"/>
  <c r="BK58" i="7"/>
  <c r="BG58" i="7"/>
  <c r="BL5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03007</author>
    <author>Tony Sampson</author>
  </authors>
  <commentList>
    <comment ref="F2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03007:</t>
        </r>
        <r>
          <rPr>
            <sz val="8"/>
            <color indexed="81"/>
            <rFont val="Tahoma"/>
            <family val="2"/>
          </rPr>
          <t xml:space="preserve">
Dale units 3 &amp; 4 were retired at end of April 2016
</t>
        </r>
      </text>
    </comment>
    <comment ref="AD20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Tony Sampson:</t>
        </r>
        <r>
          <rPr>
            <sz val="9"/>
            <color indexed="81"/>
            <rFont val="Tahoma"/>
            <family val="2"/>
          </rPr>
          <t xml:space="preserve">
Includes all Bluegrass OC units 1, 2, and 3 as starting May 1, 2019 OC03 is no longer leased). Lease expired April 30, 2019
</t>
        </r>
      </text>
    </comment>
    <comment ref="AN20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Tony Sampson:</t>
        </r>
        <r>
          <rPr>
            <sz val="9"/>
            <color indexed="81"/>
            <rFont val="Tahoma"/>
            <family val="2"/>
          </rPr>
          <t xml:space="preserve">
Excludes Glasgow Landfill as it is leased</t>
        </r>
      </text>
    </comment>
    <comment ref="AE21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03007:</t>
        </r>
        <r>
          <rPr>
            <sz val="8"/>
            <color indexed="81"/>
            <rFont val="Tahoma"/>
            <family val="2"/>
          </rPr>
          <t xml:space="preserve">
Excludes OC3 generation thru 4/30/19 as it was leased to LG&amp;E.  Includes OC03 generation from 5/1/19  thru 12/31/19</t>
        </r>
      </text>
    </comment>
    <comment ref="AG21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Tony Sampson:</t>
        </r>
        <r>
          <rPr>
            <sz val="9"/>
            <color indexed="81"/>
            <rFont val="Tahoma"/>
            <family val="2"/>
          </rPr>
          <t xml:space="preserve">
Represents net generation for unsubscribed panels</t>
        </r>
      </text>
    </comment>
    <comment ref="W22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Tony Sampson:</t>
        </r>
        <r>
          <rPr>
            <sz val="9"/>
            <color indexed="81"/>
            <rFont val="Tahoma"/>
            <family val="2"/>
          </rPr>
          <t xml:space="preserve">
Equiv Inland mwh from Spurlock Operating Rpt..also ties to Spur Stm tab</t>
        </r>
      </text>
    </comment>
    <comment ref="AE4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Tony Sampson:</t>
        </r>
        <r>
          <rPr>
            <sz val="9"/>
            <color indexed="81"/>
            <rFont val="Tahoma"/>
            <family val="2"/>
          </rPr>
          <t xml:space="preserve">
YTD amort of Reg Asset for Unrecovered Forced outage costs from 2008..acct 547030  JE RC10.  Ended in Jan '14
</t>
        </r>
      </text>
    </comment>
    <comment ref="BI57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Tony Sampson:</t>
        </r>
        <r>
          <rPr>
            <sz val="9"/>
            <color indexed="81"/>
            <rFont val="Tahoma"/>
            <family val="2"/>
          </rPr>
          <t xml:space="preserve">
IP stands for International Paper, previously was known as Inland Steam</t>
        </r>
      </text>
    </comment>
  </commentList>
</comments>
</file>

<file path=xl/sharedStrings.xml><?xml version="1.0" encoding="utf-8"?>
<sst xmlns="http://schemas.openxmlformats.org/spreadsheetml/2006/main" count="249" uniqueCount="171">
  <si>
    <t>Policy 203 states we will assign margins on the basis of patronage.</t>
  </si>
  <si>
    <t>kWh from billing totals by rate class by member</t>
  </si>
  <si>
    <t xml:space="preserve">  Adjust for buy-through</t>
  </si>
  <si>
    <t xml:space="preserve">  Direct assign to special customers</t>
  </si>
  <si>
    <t>Gross Revenue $ from Billing Totals</t>
  </si>
  <si>
    <t xml:space="preserve">  Adjust for buy through</t>
  </si>
  <si>
    <t xml:space="preserve">  Direct Assign to special customers</t>
  </si>
  <si>
    <t xml:space="preserve">  Adj for Gallatin load following</t>
  </si>
  <si>
    <t>Production O&amp;M Costs</t>
  </si>
  <si>
    <t xml:space="preserve">  Adj for variable costs relating to special contracts</t>
  </si>
  <si>
    <t xml:space="preserve">  Add Purchased Power Net of reg asset and TGP reservation</t>
  </si>
  <si>
    <t xml:space="preserve">  Adj for variable costs relating to off-system sales</t>
  </si>
  <si>
    <t xml:space="preserve">  Remainder allocated to each member/rate class by kWh </t>
  </si>
  <si>
    <t>Subtract Production O&amp;M Costs from adjusted gross billing.</t>
  </si>
  <si>
    <t xml:space="preserve">  this will give you each coop/rate class revenue less assigned costs </t>
  </si>
  <si>
    <t>divide each co-op/rate class amount to the total revenue less assigned costs for contribution to gross margin %</t>
  </si>
  <si>
    <t>This % times margins to allocate is the assigned patronage capital.</t>
  </si>
  <si>
    <t xml:space="preserve">NOTE:  The December 31, 2019 GAAP Statements of Revenues, Expenses, and Comprehensive Margin included a manual GAAP-only reclassification of non-service cost components of net periodic postretirement benefit cost from operating </t>
  </si>
  <si>
    <t xml:space="preserve">expenses to Non-operating expenses to comply with ASU 2017-07.  This reclassification occurred at the financial statement grouping level rather than department/operating unit level needed for the allocation.  Approximately $1,019.987.80 of the reclassification </t>
  </si>
  <si>
    <t>was from various Production O&amp;M expense accounts to non-operating expense.  However, given the fact that overall margin to be allocated is the same, regardless of presentation,  and the impact to individual member cooperatives would be immaterial,</t>
  </si>
  <si>
    <t>we have opted to complete the final allocation from system generated reports based upon the RUS System of Accounts rather than manully revising such reports at the operating unit/department level for the GAAP basis reclassification.</t>
  </si>
  <si>
    <t>Steam Plant</t>
  </si>
  <si>
    <t>Sp 1 and 2</t>
  </si>
  <si>
    <t xml:space="preserve">Spurlock </t>
  </si>
  <si>
    <t>Balance</t>
  </si>
  <si>
    <t>No 314,315</t>
  </si>
  <si>
    <t>Energy Calculation - International Paper ("IP") as Percent of Spurlock</t>
  </si>
  <si>
    <t>Account</t>
  </si>
  <si>
    <t>Steam</t>
  </si>
  <si>
    <t>Calc BTU's with MWH reported and Heat Rate</t>
  </si>
  <si>
    <t>Gross Gen MWH Spur 1,2 (incl equiv steam)</t>
  </si>
  <si>
    <t>SP01</t>
  </si>
  <si>
    <t xml:space="preserve">Land &amp; Land Rights </t>
  </si>
  <si>
    <t>SP02/SP22</t>
  </si>
  <si>
    <t>Str &amp; Improv Sp 1</t>
  </si>
  <si>
    <t>SP02</t>
  </si>
  <si>
    <t>Str &amp; Improv Sp 2</t>
  </si>
  <si>
    <t>SP21</t>
  </si>
  <si>
    <t>Str &amp; Improv Scrubber 1</t>
  </si>
  <si>
    <t>Equiv Inland MWH from Dec Op Report</t>
  </si>
  <si>
    <t>SP22</t>
  </si>
  <si>
    <t>Str &amp; Improv Scrubber 2</t>
  </si>
  <si>
    <t>Boiler Plt Eq Sp1</t>
  </si>
  <si>
    <t>Boiler Plt Eq Sp2</t>
  </si>
  <si>
    <t>Boiler Plt Eq Scrubber 1</t>
  </si>
  <si>
    <t/>
  </si>
  <si>
    <t>Boiler Plt Eq Scrubber 2</t>
  </si>
  <si>
    <t>Inland % of Spurlock BTU's</t>
  </si>
  <si>
    <t>Turbogen Sp 1</t>
  </si>
  <si>
    <t>Turbogen Sp 2</t>
  </si>
  <si>
    <t>Access Elec Eq Sp1</t>
  </si>
  <si>
    <t xml:space="preserve">   </t>
  </si>
  <si>
    <t>Access Elec Eq Sp2</t>
  </si>
  <si>
    <t>Demand Calculation - IP as Percent of Spurlock</t>
  </si>
  <si>
    <t>We are contracted to deliver 300,000 pounds of steam</t>
  </si>
  <si>
    <t>Access Elec Eq Scrub 1</t>
  </si>
  <si>
    <t>IP BTU Capacity percent of Total Spurlock BTU Capacity * % of Related Assets</t>
  </si>
  <si>
    <t>The equipment is capable of delivering 400,000 pounds</t>
  </si>
  <si>
    <t>Access Elec Eq Scrub 2</t>
  </si>
  <si>
    <t xml:space="preserve">IP lbs/hr </t>
  </si>
  <si>
    <t>Confirmed with Spencer Berrett at Spurlock</t>
  </si>
  <si>
    <t>Misc Pwr Plt Eq Sp1,2</t>
  </si>
  <si>
    <t>Boiler Name Plate Continuous Ratings from EKPC Schedule revised 12/16/09 (lbs/hr)</t>
  </si>
  <si>
    <t>Spurlock Unit 1</t>
  </si>
  <si>
    <t>Per Spencer Berrett at Spurlock</t>
  </si>
  <si>
    <t>Spurlock Unit 2</t>
  </si>
  <si>
    <t>Total</t>
  </si>
  <si>
    <t>Steam comes only from Units 1 and 2</t>
  </si>
  <si>
    <t>Steam-Related Plant</t>
  </si>
  <si>
    <t>IP % of Capacity</t>
  </si>
  <si>
    <t>Steam Related Plant % of Total Spurlock Steam Plant</t>
  </si>
  <si>
    <t>% Capacity * % Steam Plant</t>
  </si>
  <si>
    <t>What is this recon at the top?</t>
  </si>
  <si>
    <t>This is my split of the Spur Common - by Nameplate generation</t>
  </si>
  <si>
    <t>Gr Valley</t>
  </si>
  <si>
    <t>Laurel</t>
  </si>
  <si>
    <t>Bavarian</t>
  </si>
  <si>
    <t>Hardin</t>
  </si>
  <si>
    <t>Pendleton</t>
  </si>
  <si>
    <t>Mason Co</t>
  </si>
  <si>
    <t>Glasgow</t>
  </si>
  <si>
    <t>Leased, don't include</t>
  </si>
  <si>
    <t>Fixed and Variable O &amp; M 2019</t>
  </si>
  <si>
    <t>Nameplate</t>
  </si>
  <si>
    <t>Generation net (mwh)</t>
  </si>
  <si>
    <t>Net Equiv</t>
  </si>
  <si>
    <t>These $ also in Spur Total</t>
  </si>
  <si>
    <t>Coal</t>
  </si>
  <si>
    <t>Other</t>
  </si>
  <si>
    <t>DALE</t>
  </si>
  <si>
    <t>COOPER</t>
  </si>
  <si>
    <t>SPURLOCK 1 (SP01)</t>
  </si>
  <si>
    <t>SPURLOCK 1 Scrubber (SP21)</t>
  </si>
  <si>
    <t>SPURLOCK 1 Incl Scrubber</t>
  </si>
  <si>
    <t>SPURLOCK 2 (SP02)</t>
  </si>
  <si>
    <t>SPURLOCK 2 Scrubber (SP22)</t>
  </si>
  <si>
    <t>SPURLOCK 2 Incl Scrubber</t>
  </si>
  <si>
    <t>SPURLOCK 1 and 2 incl Scr</t>
  </si>
  <si>
    <t>Gilbert (SP03)</t>
  </si>
  <si>
    <t>Spur 4 (SP04)</t>
  </si>
  <si>
    <t>CT's (SM50-60 &amp; OC00-02)</t>
  </si>
  <si>
    <t>Solar (SF00-01)</t>
  </si>
  <si>
    <t>Total Diesel Gen (DG00-02)</t>
  </si>
  <si>
    <t>DIESEL Cooper</t>
  </si>
  <si>
    <t>DIESEL Cagles</t>
  </si>
  <si>
    <t>LANDFILL Total (LF00-06, 08, 09)</t>
  </si>
  <si>
    <t>LANDFILL Laurel Ridge</t>
  </si>
  <si>
    <t>Landfill Bavarian</t>
  </si>
  <si>
    <t>Landfill Mason Co</t>
  </si>
  <si>
    <t>Landfill Pendleton</t>
  </si>
  <si>
    <t>Landfill Hardin</t>
  </si>
  <si>
    <t>LANDFILL Gr Valley</t>
  </si>
  <si>
    <t>Landfill Glasgow</t>
  </si>
  <si>
    <t>TOTAL</t>
  </si>
  <si>
    <t>Acct</t>
  </si>
  <si>
    <t>Descr</t>
  </si>
  <si>
    <t>Fired</t>
  </si>
  <si>
    <t>Generation</t>
  </si>
  <si>
    <t>Fixed</t>
  </si>
  <si>
    <t>Variable</t>
  </si>
  <si>
    <t>Steam Fix</t>
  </si>
  <si>
    <t>Steam Var</t>
  </si>
  <si>
    <t>Spurlock 1</t>
  </si>
  <si>
    <t>Spurlock 2</t>
  </si>
  <si>
    <t>Oper Supv Engr</t>
  </si>
  <si>
    <t>+</t>
  </si>
  <si>
    <t>Fuel</t>
  </si>
  <si>
    <t>Fuel Reg Asset</t>
  </si>
  <si>
    <t>Fuel - Environmental</t>
  </si>
  <si>
    <t>Fuel Other</t>
  </si>
  <si>
    <t>Steam Exp</t>
  </si>
  <si>
    <t>Electric Exp</t>
  </si>
  <si>
    <t>Misc Steam Exp</t>
  </si>
  <si>
    <t>Allowances</t>
  </si>
  <si>
    <t>Mtce Supv &amp; Engr</t>
  </si>
  <si>
    <t>Mtce Structures</t>
  </si>
  <si>
    <t>Mtce Boiler Plant</t>
  </si>
  <si>
    <t>Mtce Elec Plant</t>
  </si>
  <si>
    <t>Mtce Misc Plant</t>
  </si>
  <si>
    <t>Fuel (Reg Asset)</t>
  </si>
  <si>
    <t>Generation Expenses</t>
  </si>
  <si>
    <t>Misc Other Power Gen</t>
  </si>
  <si>
    <t>Misc Other Power Gen-Env</t>
  </si>
  <si>
    <t>Mtce Gen  Elec Plt</t>
  </si>
  <si>
    <t>Reg Asset Adj</t>
  </si>
  <si>
    <t>Less</t>
  </si>
  <si>
    <t>Plus</t>
  </si>
  <si>
    <t>TGP Fuel (Incl Purch)</t>
  </si>
  <si>
    <t>TGP Var O&amp;M</t>
  </si>
  <si>
    <t>Gallatin LF</t>
  </si>
  <si>
    <t>IP</t>
  </si>
  <si>
    <t>Off Sys Sales</t>
  </si>
  <si>
    <t>Unassigned Purchases</t>
  </si>
  <si>
    <t>Net O&amp;M</t>
  </si>
  <si>
    <t>Total O &amp; M</t>
  </si>
  <si>
    <t>This spreadsheet</t>
  </si>
  <si>
    <t>Trial Balance (Prod Ops Cost Excl Fuel + Fuel Accts + Prod Mntc Costs)</t>
  </si>
  <si>
    <t>Total Fuel</t>
  </si>
  <si>
    <t xml:space="preserve">Reg Asset Adj (Impact of unrecovered forced outage costs incurred in '08) </t>
  </si>
  <si>
    <t>O&amp;M Excl Fuel</t>
  </si>
  <si>
    <t>Reg Asset Adj from above (ended Jan '14)</t>
  </si>
  <si>
    <t>Fuel/MWH</t>
  </si>
  <si>
    <t>Use on TGP Page</t>
  </si>
  <si>
    <t>Fixed/kW</t>
  </si>
  <si>
    <t>Var O&amp;M/MWH</t>
  </si>
  <si>
    <t>Use on Off-System Page &amp; TGP Page</t>
  </si>
  <si>
    <t>Total O&amp;M</t>
  </si>
  <si>
    <t>Total Books</t>
  </si>
  <si>
    <t>mWh Gen.</t>
  </si>
  <si>
    <t>VAR O&amp;M</t>
  </si>
  <si>
    <t>w/o 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</si>
</sst>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"/>
    <numFmt numFmtId="166" formatCode="_(* #,##0.000000_);_(* \(#,##0.000000\);_(* &quot;-&quot;??_);_(@_)"/>
    <numFmt numFmtId="167" formatCode="mm/dd/yy"/>
    <numFmt numFmtId="168" formatCode="0.000%"/>
    <numFmt numFmtId="169" formatCode="0.0000%"/>
  </numFmts>
  <fonts count="24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70C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sz val="10"/>
      <name val="MS Sans Serif"/>
      <family val="2"/>
    </font>
    <font>
      <sz val="10"/>
      <color rgb="FF0033CC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sz val="11"/>
      <color rgb="FF0033CC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61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4" fontId="12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0" fontId="18" fillId="4" borderId="0" applyNumberFormat="0" applyBorder="0" applyAlignment="0" applyProtection="0"/>
    <xf numFmtId="0" fontId="9" fillId="0" borderId="0"/>
    <xf numFmtId="43" fontId="8" fillId="0" borderId="0" applyFont="0" applyFill="0" applyBorder="0" applyAlignment="0" applyProtection="0"/>
    <xf numFmtId="0" fontId="2" fillId="0" borderId="0"/>
  </cellStyleXfs>
  <cellXfs count="25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3" fontId="3" fillId="0" borderId="0" xfId="0" applyNumberFormat="1" applyFont="1"/>
    <xf numFmtId="0" fontId="3" fillId="0" borderId="0" xfId="4" applyFont="1" applyBorder="1"/>
    <xf numFmtId="0" fontId="3" fillId="0" borderId="8" xfId="4" applyFont="1" applyFill="1" applyBorder="1"/>
    <xf numFmtId="0" fontId="11" fillId="0" borderId="0" xfId="4" applyFont="1" applyBorder="1"/>
    <xf numFmtId="0" fontId="11" fillId="0" borderId="1" xfId="4" applyFont="1" applyBorder="1"/>
    <xf numFmtId="168" fontId="3" fillId="0" borderId="9" xfId="7" applyNumberFormat="1" applyFont="1" applyBorder="1"/>
    <xf numFmtId="0" fontId="3" fillId="0" borderId="0" xfId="4" applyFont="1" applyFill="1" applyBorder="1"/>
    <xf numFmtId="164" fontId="3" fillId="0" borderId="0" xfId="5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Fill="1" applyBorder="1"/>
    <xf numFmtId="0" fontId="2" fillId="0" borderId="0" xfId="0" applyFont="1" applyFill="1"/>
    <xf numFmtId="43" fontId="2" fillId="0" borderId="0" xfId="1" applyFont="1" applyFill="1"/>
    <xf numFmtId="43" fontId="2" fillId="0" borderId="0" xfId="0" applyNumberFormat="1" applyFont="1" applyFill="1"/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Fill="1"/>
    <xf numFmtId="43" fontId="2" fillId="0" borderId="0" xfId="1" applyFont="1"/>
    <xf numFmtId="164" fontId="2" fillId="0" borderId="0" xfId="1" applyNumberFormat="1" applyFont="1"/>
    <xf numFmtId="164" fontId="13" fillId="0" borderId="0" xfId="1" applyNumberFormat="1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43" fontId="2" fillId="0" borderId="0" xfId="0" applyNumberFormat="1" applyFont="1"/>
    <xf numFmtId="0" fontId="2" fillId="0" borderId="2" xfId="0" applyFont="1" applyFill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/>
    <xf numFmtId="10" fontId="2" fillId="0" borderId="0" xfId="2" applyNumberFormat="1" applyFont="1"/>
    <xf numFmtId="164" fontId="2" fillId="0" borderId="0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2" xfId="1" applyNumberFormat="1" applyFont="1" applyBorder="1"/>
    <xf numFmtId="164" fontId="2" fillId="0" borderId="13" xfId="1" applyNumberFormat="1" applyFont="1" applyBorder="1"/>
    <xf numFmtId="164" fontId="2" fillId="0" borderId="6" xfId="1" applyNumberFormat="1" applyFont="1" applyFill="1" applyBorder="1"/>
    <xf numFmtId="164" fontId="2" fillId="0" borderId="7" xfId="1" applyNumberFormat="1" applyFont="1" applyFill="1" applyBorder="1"/>
    <xf numFmtId="164" fontId="2" fillId="0" borderId="6" xfId="1" applyNumberFormat="1" applyFont="1" applyBorder="1"/>
    <xf numFmtId="164" fontId="2" fillId="0" borderId="7" xfId="1" applyNumberFormat="1" applyFont="1" applyBorder="1"/>
    <xf numFmtId="164" fontId="2" fillId="2" borderId="0" xfId="1" applyNumberFormat="1" applyFont="1" applyFill="1"/>
    <xf numFmtId="164" fontId="2" fillId="0" borderId="0" xfId="1" applyNumberFormat="1" applyFont="1" applyBorder="1"/>
    <xf numFmtId="164" fontId="2" fillId="2" borderId="0" xfId="1" applyNumberFormat="1" applyFont="1" applyFill="1" applyBorder="1"/>
    <xf numFmtId="164" fontId="2" fillId="0" borderId="1" xfId="1" applyNumberFormat="1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164" fontId="2" fillId="0" borderId="8" xfId="1" applyNumberFormat="1" applyFont="1" applyFill="1" applyBorder="1"/>
    <xf numFmtId="164" fontId="2" fillId="0" borderId="9" xfId="1" applyNumberFormat="1" applyFont="1" applyFill="1" applyBorder="1"/>
    <xf numFmtId="164" fontId="2" fillId="2" borderId="1" xfId="1" applyNumberFormat="1" applyFont="1" applyFill="1" applyBorder="1"/>
    <xf numFmtId="164" fontId="2" fillId="0" borderId="15" xfId="1" applyNumberFormat="1" applyFont="1" applyBorder="1"/>
    <xf numFmtId="164" fontId="2" fillId="0" borderId="12" xfId="1" applyNumberFormat="1" applyFont="1" applyFill="1" applyBorder="1"/>
    <xf numFmtId="164" fontId="2" fillId="0" borderId="13" xfId="1" applyNumberFormat="1" applyFont="1" applyFill="1" applyBorder="1"/>
    <xf numFmtId="43" fontId="2" fillId="0" borderId="0" xfId="0" applyNumberFormat="1" applyFont="1" applyAlignment="1">
      <alignment wrapText="1"/>
    </xf>
    <xf numFmtId="164" fontId="2" fillId="0" borderId="6" xfId="1" applyNumberFormat="1" applyFont="1" applyBorder="1" applyAlignment="1">
      <alignment wrapText="1"/>
    </xf>
    <xf numFmtId="164" fontId="2" fillId="0" borderId="7" xfId="1" applyNumberFormat="1" applyFont="1" applyBorder="1" applyAlignment="1">
      <alignment wrapText="1"/>
    </xf>
    <xf numFmtId="164" fontId="2" fillId="0" borderId="0" xfId="1" applyNumberFormat="1" applyFont="1" applyBorder="1" applyAlignment="1">
      <alignment wrapText="1"/>
    </xf>
    <xf numFmtId="164" fontId="2" fillId="0" borderId="6" xfId="1" applyNumberFormat="1" applyFont="1" applyFill="1" applyBorder="1" applyAlignment="1">
      <alignment wrapText="1"/>
    </xf>
    <xf numFmtId="164" fontId="2" fillId="0" borderId="7" xfId="1" applyNumberFormat="1" applyFont="1" applyFill="1" applyBorder="1" applyAlignment="1">
      <alignment wrapText="1"/>
    </xf>
    <xf numFmtId="164" fontId="2" fillId="2" borderId="0" xfId="1" applyNumberFormat="1" applyFont="1" applyFill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3" fontId="2" fillId="0" borderId="6" xfId="1" applyNumberFormat="1" applyFont="1" applyBorder="1"/>
    <xf numFmtId="164" fontId="2" fillId="0" borderId="5" xfId="1" applyNumberFormat="1" applyFont="1" applyBorder="1"/>
    <xf numFmtId="164" fontId="2" fillId="0" borderId="14" xfId="1" applyNumberFormat="1" applyFont="1" applyBorder="1"/>
    <xf numFmtId="164" fontId="2" fillId="0" borderId="10" xfId="1" applyNumberFormat="1" applyFont="1" applyBorder="1"/>
    <xf numFmtId="164" fontId="2" fillId="2" borderId="10" xfId="1" applyNumberFormat="1" applyFont="1" applyFill="1" applyBorder="1"/>
    <xf numFmtId="164" fontId="2" fillId="0" borderId="16" xfId="1" applyNumberFormat="1" applyFont="1" applyBorder="1"/>
    <xf numFmtId="164" fontId="2" fillId="0" borderId="17" xfId="1" applyNumberFormat="1" applyFont="1" applyBorder="1"/>
    <xf numFmtId="164" fontId="2" fillId="0" borderId="11" xfId="1" applyNumberFormat="1" applyFont="1" applyBorder="1"/>
    <xf numFmtId="164" fontId="2" fillId="2" borderId="11" xfId="1" applyNumberFormat="1" applyFont="1" applyFill="1" applyBorder="1"/>
    <xf numFmtId="43" fontId="2" fillId="0" borderId="6" xfId="1" applyFont="1" applyBorder="1"/>
    <xf numFmtId="43" fontId="2" fillId="0" borderId="7" xfId="1" applyFont="1" applyBorder="1"/>
    <xf numFmtId="43" fontId="2" fillId="0" borderId="0" xfId="1" applyFont="1" applyFill="1" applyBorder="1"/>
    <xf numFmtId="43" fontId="2" fillId="0" borderId="6" xfId="1" applyFont="1" applyFill="1" applyBorder="1"/>
    <xf numFmtId="43" fontId="2" fillId="2" borderId="0" xfId="1" applyFont="1" applyFill="1"/>
    <xf numFmtId="37" fontId="2" fillId="0" borderId="9" xfId="1" applyNumberFormat="1" applyFont="1" applyBorder="1"/>
    <xf numFmtId="37" fontId="2" fillId="0" borderId="1" xfId="1" applyNumberFormat="1" applyFont="1" applyBorder="1"/>
    <xf numFmtId="37" fontId="2" fillId="2" borderId="0" xfId="1" applyNumberFormat="1" applyFont="1" applyFill="1"/>
    <xf numFmtId="164" fontId="13" fillId="0" borderId="0" xfId="1" applyNumberFormat="1" applyFont="1" applyFill="1"/>
    <xf numFmtId="164" fontId="13" fillId="0" borderId="7" xfId="5" applyNumberFormat="1" applyFont="1" applyFill="1" applyBorder="1"/>
    <xf numFmtId="0" fontId="13" fillId="0" borderId="7" xfId="4" applyFont="1" applyFill="1" applyBorder="1"/>
    <xf numFmtId="0" fontId="2" fillId="0" borderId="0" xfId="4" applyFont="1" applyFill="1"/>
    <xf numFmtId="43" fontId="2" fillId="0" borderId="0" xfId="5" applyFont="1" applyFill="1"/>
    <xf numFmtId="0" fontId="2" fillId="0" borderId="0" xfId="4" applyFont="1" applyFill="1" applyBorder="1"/>
    <xf numFmtId="43" fontId="2" fillId="0" borderId="0" xfId="5" applyFont="1" applyFill="1" applyBorder="1"/>
    <xf numFmtId="43" fontId="2" fillId="0" borderId="0" xfId="4" applyNumberFormat="1" applyFont="1" applyFill="1" applyBorder="1"/>
    <xf numFmtId="168" fontId="2" fillId="0" borderId="0" xfId="7" applyNumberFormat="1" applyFont="1" applyFill="1" applyBorder="1"/>
    <xf numFmtId="43" fontId="13" fillId="0" borderId="0" xfId="1" applyFont="1"/>
    <xf numFmtId="164" fontId="13" fillId="0" borderId="0" xfId="0" applyNumberFormat="1" applyFont="1"/>
    <xf numFmtId="43" fontId="2" fillId="0" borderId="0" xfId="1" applyFont="1" applyBorder="1"/>
    <xf numFmtId="0" fontId="2" fillId="0" borderId="18" xfId="0" applyFont="1" applyBorder="1" applyAlignment="1">
      <alignment horizontal="center"/>
    </xf>
    <xf numFmtId="164" fontId="2" fillId="0" borderId="19" xfId="1" applyNumberFormat="1" applyFont="1" applyBorder="1"/>
    <xf numFmtId="164" fontId="2" fillId="0" borderId="19" xfId="1" applyNumberFormat="1" applyFont="1" applyBorder="1" applyAlignment="1">
      <alignment wrapText="1"/>
    </xf>
    <xf numFmtId="164" fontId="2" fillId="0" borderId="2" xfId="1" applyNumberFormat="1" applyFont="1" applyBorder="1"/>
    <xf numFmtId="164" fontId="2" fillId="0" borderId="20" xfId="1" applyNumberFormat="1" applyFont="1" applyBorder="1"/>
    <xf numFmtId="43" fontId="2" fillId="0" borderId="19" xfId="1" applyFont="1" applyBorder="1"/>
    <xf numFmtId="164" fontId="2" fillId="0" borderId="3" xfId="1" applyNumberFormat="1" applyFont="1" applyBorder="1"/>
    <xf numFmtId="164" fontId="2" fillId="0" borderId="21" xfId="1" applyNumberFormat="1" applyFont="1" applyBorder="1"/>
    <xf numFmtId="164" fontId="2" fillId="0" borderId="18" xfId="1" applyNumberFormat="1" applyFont="1" applyBorder="1"/>
    <xf numFmtId="43" fontId="13" fillId="0" borderId="0" xfId="5" applyFont="1" applyFill="1"/>
    <xf numFmtId="0" fontId="2" fillId="0" borderId="0" xfId="4" applyFont="1" applyAlignment="1">
      <alignment horizontal="center"/>
    </xf>
    <xf numFmtId="0" fontId="2" fillId="0" borderId="0" xfId="4" applyFont="1"/>
    <xf numFmtId="43" fontId="13" fillId="0" borderId="0" xfId="4" applyNumberFormat="1" applyFont="1" applyFill="1"/>
    <xf numFmtId="0" fontId="13" fillId="0" borderId="0" xfId="0" applyFont="1" applyFill="1"/>
    <xf numFmtId="0" fontId="13" fillId="0" borderId="0" xfId="4" applyFont="1" applyFill="1"/>
    <xf numFmtId="164" fontId="2" fillId="0" borderId="1" xfId="1" applyNumberFormat="1" applyFont="1" applyFill="1" applyBorder="1"/>
    <xf numFmtId="0" fontId="16" fillId="0" borderId="0" xfId="0" applyFont="1"/>
    <xf numFmtId="164" fontId="2" fillId="0" borderId="22" xfId="1" applyNumberFormat="1" applyFont="1" applyBorder="1"/>
    <xf numFmtId="164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164" fontId="2" fillId="0" borderId="10" xfId="1" applyNumberFormat="1" applyFont="1" applyFill="1" applyBorder="1"/>
    <xf numFmtId="164" fontId="2" fillId="0" borderId="11" xfId="1" applyNumberFormat="1" applyFont="1" applyFill="1" applyBorder="1"/>
    <xf numFmtId="37" fontId="2" fillId="0" borderId="8" xfId="1" applyNumberFormat="1" applyFont="1" applyFill="1" applyBorder="1"/>
    <xf numFmtId="37" fontId="2" fillId="0" borderId="1" xfId="1" applyNumberFormat="1" applyFont="1" applyFill="1" applyBorder="1"/>
    <xf numFmtId="0" fontId="2" fillId="0" borderId="6" xfId="4" applyFont="1" applyFill="1" applyBorder="1"/>
    <xf numFmtId="0" fontId="2" fillId="0" borderId="12" xfId="4" applyFont="1" applyBorder="1"/>
    <xf numFmtId="0" fontId="2" fillId="0" borderId="12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2" xfId="0" applyFont="1" applyFill="1" applyBorder="1"/>
    <xf numFmtId="164" fontId="2" fillId="0" borderId="0" xfId="1" applyNumberFormat="1" applyFont="1" applyFill="1" applyBorder="1"/>
    <xf numFmtId="164" fontId="2" fillId="5" borderId="0" xfId="1" applyNumberFormat="1" applyFont="1" applyFill="1"/>
    <xf numFmtId="0" fontId="2" fillId="5" borderId="1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64" fontId="2" fillId="5" borderId="1" xfId="1" applyNumberFormat="1" applyFont="1" applyFill="1" applyBorder="1"/>
    <xf numFmtId="164" fontId="2" fillId="5" borderId="12" xfId="1" applyNumberFormat="1" applyFont="1" applyFill="1" applyBorder="1"/>
    <xf numFmtId="164" fontId="2" fillId="5" borderId="13" xfId="1" applyNumberFormat="1" applyFont="1" applyFill="1" applyBorder="1"/>
    <xf numFmtId="164" fontId="2" fillId="5" borderId="6" xfId="1" applyNumberFormat="1" applyFont="1" applyFill="1" applyBorder="1" applyAlignment="1">
      <alignment wrapText="1"/>
    </xf>
    <xf numFmtId="164" fontId="2" fillId="5" borderId="7" xfId="1" applyNumberFormat="1" applyFont="1" applyFill="1" applyBorder="1" applyAlignment="1">
      <alignment wrapText="1"/>
    </xf>
    <xf numFmtId="164" fontId="2" fillId="5" borderId="6" xfId="1" applyNumberFormat="1" applyFont="1" applyFill="1" applyBorder="1"/>
    <xf numFmtId="164" fontId="2" fillId="5" borderId="7" xfId="1" applyNumberFormat="1" applyFont="1" applyFill="1" applyBorder="1"/>
    <xf numFmtId="164" fontId="2" fillId="5" borderId="5" xfId="1" applyNumberFormat="1" applyFont="1" applyFill="1" applyBorder="1"/>
    <xf numFmtId="164" fontId="2" fillId="5" borderId="14" xfId="1" applyNumberFormat="1" applyFont="1" applyFill="1" applyBorder="1"/>
    <xf numFmtId="164" fontId="2" fillId="5" borderId="16" xfId="1" applyNumberFormat="1" applyFont="1" applyFill="1" applyBorder="1"/>
    <xf numFmtId="164" fontId="2" fillId="5" borderId="17" xfId="1" applyNumberFormat="1" applyFont="1" applyFill="1" applyBorder="1"/>
    <xf numFmtId="43" fontId="2" fillId="5" borderId="6" xfId="1" applyFont="1" applyFill="1" applyBorder="1"/>
    <xf numFmtId="43" fontId="2" fillId="5" borderId="7" xfId="1" applyFont="1" applyFill="1" applyBorder="1"/>
    <xf numFmtId="37" fontId="2" fillId="5" borderId="8" xfId="1" applyNumberFormat="1" applyFont="1" applyFill="1" applyBorder="1"/>
    <xf numFmtId="37" fontId="2" fillId="5" borderId="9" xfId="1" applyNumberFormat="1" applyFont="1" applyFill="1" applyBorder="1"/>
    <xf numFmtId="164" fontId="10" fillId="0" borderId="6" xfId="1" applyNumberFormat="1" applyFont="1" applyBorder="1"/>
    <xf numFmtId="164" fontId="10" fillId="0" borderId="7" xfId="1" applyNumberFormat="1" applyFont="1" applyBorder="1"/>
    <xf numFmtId="164" fontId="10" fillId="0" borderId="0" xfId="1" applyNumberFormat="1" applyFont="1"/>
    <xf numFmtId="164" fontId="10" fillId="2" borderId="0" xfId="1" applyNumberFormat="1" applyFont="1" applyFill="1"/>
    <xf numFmtId="166" fontId="2" fillId="5" borderId="5" xfId="1" applyNumberFormat="1" applyFont="1" applyFill="1" applyBorder="1"/>
    <xf numFmtId="166" fontId="2" fillId="5" borderId="14" xfId="1" applyNumberFormat="1" applyFont="1" applyFill="1" applyBorder="1"/>
    <xf numFmtId="164" fontId="20" fillId="0" borderId="0" xfId="18" applyNumberFormat="1" applyFont="1" applyFill="1"/>
    <xf numFmtId="164" fontId="13" fillId="3" borderId="7" xfId="1" applyNumberFormat="1" applyFont="1" applyFill="1" applyBorder="1"/>
    <xf numFmtId="43" fontId="2" fillId="0" borderId="0" xfId="4" applyNumberFormat="1" applyFont="1" applyFill="1"/>
    <xf numFmtId="169" fontId="3" fillId="0" borderId="9" xfId="7" applyNumberFormat="1" applyFont="1" applyFill="1" applyBorder="1"/>
    <xf numFmtId="0" fontId="2" fillId="0" borderId="0" xfId="4" quotePrefix="1" applyFont="1" applyAlignment="1">
      <alignment horizontal="center"/>
    </xf>
    <xf numFmtId="0" fontId="1" fillId="0" borderId="0" xfId="3" applyFill="1"/>
    <xf numFmtId="0" fontId="0" fillId="0" borderId="0" xfId="0" applyFill="1"/>
    <xf numFmtId="43" fontId="13" fillId="0" borderId="0" xfId="1" applyFont="1" applyFill="1"/>
    <xf numFmtId="164" fontId="2" fillId="0" borderId="11" xfId="0" applyNumberFormat="1" applyFont="1" applyBorder="1"/>
    <xf numFmtId="0" fontId="3" fillId="0" borderId="2" xfId="4" applyFont="1" applyFill="1" applyBorder="1" applyAlignment="1">
      <alignment horizontal="center"/>
    </xf>
    <xf numFmtId="43" fontId="3" fillId="0" borderId="2" xfId="5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10" fontId="18" fillId="0" borderId="7" xfId="18" applyNumberFormat="1" applyFill="1" applyBorder="1"/>
    <xf numFmtId="167" fontId="3" fillId="0" borderId="2" xfId="5" applyNumberFormat="1" applyFont="1" applyFill="1" applyBorder="1" applyAlignment="1">
      <alignment horizontal="center"/>
    </xf>
    <xf numFmtId="0" fontId="3" fillId="0" borderId="0" xfId="4" applyFont="1" applyAlignment="1">
      <alignment horizontal="center"/>
    </xf>
    <xf numFmtId="164" fontId="2" fillId="0" borderId="0" xfId="1" applyNumberFormat="1" applyFont="1" applyFill="1"/>
    <xf numFmtId="44" fontId="2" fillId="0" borderId="0" xfId="5" applyNumberFormat="1" applyFont="1" applyFill="1" applyBorder="1"/>
    <xf numFmtId="0" fontId="3" fillId="0" borderId="1" xfId="4" applyFont="1" applyBorder="1" applyAlignment="1">
      <alignment horizontal="center"/>
    </xf>
    <xf numFmtId="10" fontId="20" fillId="0" borderId="0" xfId="18" applyNumberFormat="1" applyFont="1" applyFill="1"/>
    <xf numFmtId="164" fontId="3" fillId="0" borderId="0" xfId="1" applyNumberFormat="1" applyFont="1" applyFill="1"/>
    <xf numFmtId="3" fontId="3" fillId="0" borderId="0" xfId="1" applyNumberFormat="1" applyFont="1" applyFill="1"/>
    <xf numFmtId="165" fontId="3" fillId="0" borderId="0" xfId="1" applyNumberFormat="1" applyFont="1" applyFill="1"/>
    <xf numFmtId="164" fontId="2" fillId="0" borderId="4" xfId="0" applyNumberFormat="1" applyFont="1" applyBorder="1"/>
    <xf numFmtId="164" fontId="2" fillId="3" borderId="0" xfId="1" applyNumberFormat="1" applyFont="1" applyFill="1"/>
    <xf numFmtId="164" fontId="2" fillId="3" borderId="7" xfId="1" applyNumberFormat="1" applyFont="1" applyFill="1" applyBorder="1"/>
    <xf numFmtId="164" fontId="2" fillId="3" borderId="0" xfId="1" applyNumberFormat="1" applyFont="1" applyFill="1" applyBorder="1"/>
    <xf numFmtId="164" fontId="19" fillId="0" borderId="0" xfId="18" applyNumberFormat="1" applyFont="1" applyFill="1"/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horizontal="centerContinuous"/>
    </xf>
    <xf numFmtId="43" fontId="2" fillId="0" borderId="7" xfId="1" applyFont="1" applyFill="1" applyBorder="1"/>
    <xf numFmtId="164" fontId="2" fillId="0" borderId="14" xfId="1" applyNumberFormat="1" applyFont="1" applyFill="1" applyBorder="1"/>
    <xf numFmtId="164" fontId="2" fillId="0" borderId="17" xfId="1" applyNumberFormat="1" applyFont="1" applyFill="1" applyBorder="1"/>
    <xf numFmtId="0" fontId="2" fillId="0" borderId="6" xfId="4" applyFont="1" applyBorder="1"/>
    <xf numFmtId="164" fontId="13" fillId="0" borderId="0" xfId="18" applyNumberFormat="1" applyFont="1" applyFill="1" applyBorder="1"/>
    <xf numFmtId="164" fontId="2" fillId="0" borderId="0" xfId="18" applyNumberFormat="1" applyFont="1" applyFill="1"/>
    <xf numFmtId="164" fontId="13" fillId="0" borderId="12" xfId="18" applyNumberFormat="1" applyFont="1" applyFill="1" applyBorder="1"/>
    <xf numFmtId="164" fontId="23" fillId="0" borderId="7" xfId="18" applyNumberFormat="1" applyFont="1" applyFill="1" applyBorder="1"/>
    <xf numFmtId="164" fontId="23" fillId="0" borderId="0" xfId="18" applyNumberFormat="1" applyFont="1" applyFill="1"/>
    <xf numFmtId="164" fontId="23" fillId="0" borderId="0" xfId="18" applyNumberFormat="1" applyFont="1" applyFill="1" applyBorder="1"/>
    <xf numFmtId="164" fontId="13" fillId="0" borderId="7" xfId="18" applyNumberFormat="1" applyFont="1" applyFill="1" applyBorder="1"/>
    <xf numFmtId="164" fontId="23" fillId="0" borderId="6" xfId="18" applyNumberFormat="1" applyFont="1" applyFill="1" applyBorder="1"/>
    <xf numFmtId="164" fontId="13" fillId="0" borderId="6" xfId="18" applyNumberFormat="1" applyFont="1" applyFill="1" applyBorder="1"/>
    <xf numFmtId="164" fontId="13" fillId="0" borderId="0" xfId="18" applyNumberFormat="1" applyFont="1" applyFill="1"/>
    <xf numFmtId="164" fontId="13" fillId="0" borderId="13" xfId="18" applyNumberFormat="1" applyFont="1" applyFill="1" applyBorder="1"/>
    <xf numFmtId="164" fontId="13" fillId="0" borderId="13" xfId="1" applyNumberFormat="1" applyFont="1" applyFill="1" applyBorder="1"/>
    <xf numFmtId="43" fontId="13" fillId="0" borderId="0" xfId="18" applyNumberFormat="1" applyFont="1" applyFill="1"/>
    <xf numFmtId="43" fontId="13" fillId="0" borderId="0" xfId="18" applyNumberFormat="1" applyFont="1" applyFill="1" applyBorder="1"/>
    <xf numFmtId="164" fontId="13" fillId="0" borderId="15" xfId="18" applyNumberFormat="1" applyFont="1" applyFill="1" applyBorder="1"/>
    <xf numFmtId="164" fontId="7" fillId="0" borderId="0" xfId="1" applyNumberFormat="1" applyFont="1" applyFill="1"/>
    <xf numFmtId="164" fontId="13" fillId="0" borderId="6" xfId="1" applyNumberFormat="1" applyFont="1" applyFill="1" applyBorder="1"/>
    <xf numFmtId="164" fontId="13" fillId="0" borderId="1" xfId="18" applyNumberFormat="1" applyFont="1" applyFill="1" applyBorder="1"/>
    <xf numFmtId="0" fontId="17" fillId="0" borderId="0" xfId="0" applyFont="1"/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0" xfId="4" applyFont="1" applyBorder="1"/>
    <xf numFmtId="164" fontId="2" fillId="0" borderId="15" xfId="5" applyNumberFormat="1" applyFont="1" applyFill="1" applyBorder="1"/>
    <xf numFmtId="0" fontId="2" fillId="0" borderId="15" xfId="4" applyFont="1" applyFill="1" applyBorder="1"/>
    <xf numFmtId="164" fontId="2" fillId="0" borderId="0" xfId="5" applyNumberFormat="1" applyFont="1" applyFill="1" applyBorder="1"/>
    <xf numFmtId="164" fontId="2" fillId="0" borderId="7" xfId="5" applyNumberFormat="1" applyFont="1" applyFill="1" applyBorder="1"/>
    <xf numFmtId="0" fontId="2" fillId="0" borderId="6" xfId="4" quotePrefix="1" applyFont="1" applyBorder="1"/>
    <xf numFmtId="0" fontId="2" fillId="0" borderId="7" xfId="4" applyFont="1" applyFill="1" applyBorder="1"/>
    <xf numFmtId="0" fontId="2" fillId="0" borderId="1" xfId="4" applyFont="1" applyFill="1" applyBorder="1"/>
    <xf numFmtId="0" fontId="2" fillId="0" borderId="15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0" xfId="4" applyFont="1" applyFill="1" applyAlignment="1">
      <alignment horizontal="center"/>
    </xf>
    <xf numFmtId="0" fontId="2" fillId="0" borderId="1" xfId="0" applyFont="1" applyBorder="1"/>
    <xf numFmtId="0" fontId="2" fillId="0" borderId="9" xfId="0" applyFont="1" applyBorder="1"/>
    <xf numFmtId="164" fontId="2" fillId="0" borderId="7" xfId="4" applyNumberFormat="1" applyFont="1" applyFill="1" applyBorder="1"/>
    <xf numFmtId="168" fontId="2" fillId="0" borderId="7" xfId="7" applyNumberFormat="1" applyFont="1" applyFill="1" applyBorder="1"/>
    <xf numFmtId="0" fontId="2" fillId="0" borderId="7" xfId="4" applyFont="1" applyBorder="1"/>
    <xf numFmtId="0" fontId="2" fillId="0" borderId="8" xfId="4" applyFont="1" applyBorder="1"/>
    <xf numFmtId="0" fontId="2" fillId="0" borderId="1" xfId="4" applyFont="1" applyBorder="1"/>
    <xf numFmtId="164" fontId="2" fillId="0" borderId="0" xfId="5" applyNumberFormat="1" applyFont="1" applyBorder="1"/>
    <xf numFmtId="43" fontId="2" fillId="0" borderId="0" xfId="5" applyFont="1" applyBorder="1"/>
    <xf numFmtId="0" fontId="2" fillId="3" borderId="1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64" fontId="2" fillId="3" borderId="12" xfId="1" applyNumberFormat="1" applyFont="1" applyFill="1" applyBorder="1"/>
    <xf numFmtId="164" fontId="2" fillId="3" borderId="13" xfId="1" applyNumberFormat="1" applyFont="1" applyFill="1" applyBorder="1"/>
    <xf numFmtId="164" fontId="2" fillId="3" borderId="6" xfId="1" applyNumberFormat="1" applyFont="1" applyFill="1" applyBorder="1"/>
    <xf numFmtId="164" fontId="2" fillId="3" borderId="8" xfId="1" applyNumberFormat="1" applyFont="1" applyFill="1" applyBorder="1"/>
    <xf numFmtId="164" fontId="2" fillId="3" borderId="9" xfId="1" applyNumberFormat="1" applyFont="1" applyFill="1" applyBorder="1"/>
    <xf numFmtId="164" fontId="2" fillId="3" borderId="0" xfId="1" applyNumberFormat="1" applyFont="1" applyFill="1" applyBorder="1" applyAlignment="1">
      <alignment wrapText="1"/>
    </xf>
    <xf numFmtId="164" fontId="2" fillId="3" borderId="1" xfId="1" applyNumberFormat="1" applyFont="1" applyFill="1" applyBorder="1"/>
    <xf numFmtId="164" fontId="2" fillId="3" borderId="10" xfId="1" applyNumberFormat="1" applyFont="1" applyFill="1" applyBorder="1"/>
    <xf numFmtId="164" fontId="2" fillId="3" borderId="14" xfId="1" applyNumberFormat="1" applyFont="1" applyFill="1" applyBorder="1"/>
    <xf numFmtId="164" fontId="2" fillId="3" borderId="11" xfId="1" applyNumberFormat="1" applyFont="1" applyFill="1" applyBorder="1"/>
    <xf numFmtId="164" fontId="2" fillId="3" borderId="17" xfId="1" applyNumberFormat="1" applyFont="1" applyFill="1" applyBorder="1"/>
    <xf numFmtId="43" fontId="2" fillId="3" borderId="0" xfId="1" applyFont="1" applyFill="1" applyBorder="1"/>
    <xf numFmtId="43" fontId="2" fillId="3" borderId="7" xfId="1" applyFont="1" applyFill="1" applyBorder="1"/>
    <xf numFmtId="37" fontId="2" fillId="3" borderId="1" xfId="1" applyNumberFormat="1" applyFont="1" applyFill="1" applyBorder="1"/>
    <xf numFmtId="37" fontId="2" fillId="3" borderId="9" xfId="1" applyNumberFormat="1" applyFont="1" applyFill="1" applyBorder="1"/>
    <xf numFmtId="164" fontId="2" fillId="3" borderId="15" xfId="1" applyNumberFormat="1" applyFont="1" applyFill="1" applyBorder="1"/>
    <xf numFmtId="164" fontId="2" fillId="3" borderId="6" xfId="1" applyNumberFormat="1" applyFont="1" applyFill="1" applyBorder="1" applyAlignment="1">
      <alignment wrapText="1"/>
    </xf>
    <xf numFmtId="164" fontId="2" fillId="3" borderId="7" xfId="1" applyNumberFormat="1" applyFont="1" applyFill="1" applyBorder="1" applyAlignment="1">
      <alignment wrapText="1"/>
    </xf>
    <xf numFmtId="0" fontId="3" fillId="0" borderId="5" xfId="4" applyFont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14" xfId="4" applyFont="1" applyBorder="1" applyAlignment="1">
      <alignment horizontal="center"/>
    </xf>
    <xf numFmtId="0" fontId="3" fillId="0" borderId="12" xfId="4" applyFont="1" applyBorder="1" applyAlignment="1">
      <alignment horizontal="center"/>
    </xf>
    <xf numFmtId="0" fontId="3" fillId="0" borderId="15" xfId="4" applyFont="1" applyBorder="1" applyAlignment="1">
      <alignment horizontal="center"/>
    </xf>
    <xf numFmtId="0" fontId="3" fillId="0" borderId="13" xfId="4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</cellXfs>
  <cellStyles count="22">
    <cellStyle name="Comma" xfId="1" builtinId="3"/>
    <cellStyle name="Comma 2" xfId="5" xr:uid="{00000000-0005-0000-0000-000001000000}"/>
    <cellStyle name="Comma 2 2" xfId="13" xr:uid="{00000000-0005-0000-0000-000002000000}"/>
    <cellStyle name="Comma 3" xfId="11" xr:uid="{00000000-0005-0000-0000-000003000000}"/>
    <cellStyle name="Comma 4" xfId="17" xr:uid="{00000000-0005-0000-0000-000004000000}"/>
    <cellStyle name="Comma 4 2" xfId="20" xr:uid="{00000000-0005-0000-0000-000005000000}"/>
    <cellStyle name="Currency 2" xfId="6" xr:uid="{00000000-0005-0000-0000-000006000000}"/>
    <cellStyle name="Currency 2 2" xfId="14" xr:uid="{00000000-0005-0000-0000-000007000000}"/>
    <cellStyle name="Good" xfId="18" builtinId="26"/>
    <cellStyle name="Normal" xfId="0" builtinId="0"/>
    <cellStyle name="Normal 11" xfId="21" xr:uid="{00000000-0005-0000-0000-00000A000000}"/>
    <cellStyle name="Normal 2" xfId="3" xr:uid="{00000000-0005-0000-0000-00000B000000}"/>
    <cellStyle name="Normal 3" xfId="4" xr:uid="{00000000-0005-0000-0000-00000C000000}"/>
    <cellStyle name="Normal 3 2" xfId="12" xr:uid="{00000000-0005-0000-0000-00000D000000}"/>
    <cellStyle name="Normal 4" xfId="10" xr:uid="{00000000-0005-0000-0000-00000E000000}"/>
    <cellStyle name="Normal 5" xfId="16" xr:uid="{00000000-0005-0000-0000-00000F000000}"/>
    <cellStyle name="Normal 5 2" xfId="19" xr:uid="{00000000-0005-0000-0000-000010000000}"/>
    <cellStyle name="Percent" xfId="2" builtinId="5"/>
    <cellStyle name="Percent 2" xfId="7" xr:uid="{00000000-0005-0000-0000-000012000000}"/>
    <cellStyle name="Percent 2 2" xfId="15" xr:uid="{00000000-0005-0000-0000-000013000000}"/>
    <cellStyle name="PSChar" xfId="8" xr:uid="{00000000-0005-0000-0000-000014000000}"/>
    <cellStyle name="PSDec" xfId="9" xr:uid="{00000000-0005-0000-0000-000015000000}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34</xdr:col>
      <xdr:colOff>819150</xdr:colOff>
      <xdr:row>39</xdr:row>
      <xdr:rowOff>47625</xdr:rowOff>
    </xdr:from>
    <xdr:to>
      <xdr:col>40</xdr:col>
      <xdr:colOff>361950</xdr:colOff>
      <xdr:row>43</xdr:row>
      <xdr:rowOff>114300</xdr:rowOff>
    </xdr:to>
    <xdr:sp macro="" textlink="">
      <xdr:nvSpPr>
        <xdr:cNvPr id="7170" name="Text Box 2" hidden="1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28384500" y="4962525"/>
          <a:ext cx="1495425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400050</xdr:colOff>
      <xdr:row>2</xdr:row>
      <xdr:rowOff>66675</xdr:rowOff>
    </xdr:from>
    <xdr:to>
      <xdr:col>13</xdr:col>
      <xdr:colOff>495300</xdr:colOff>
      <xdr:row>6</xdr:row>
      <xdr:rowOff>123825</xdr:rowOff>
    </xdr:to>
    <xdr:sp macro="" textlink="">
      <xdr:nvSpPr>
        <xdr:cNvPr id="7171" name="Text Box 3" hidden="1">
          <a:extLst>
            <a:ext uri="{FF2B5EF4-FFF2-40B4-BE49-F238E27FC236}">
              <a16:creationId xmlns:a16="http://schemas.microsoft.com/office/drawing/2014/main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8429625" y="390525"/>
          <a:ext cx="189547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400050</xdr:colOff>
      <xdr:row>3</xdr:row>
      <xdr:rowOff>66675</xdr:rowOff>
    </xdr:from>
    <xdr:to>
      <xdr:col>10</xdr:col>
      <xdr:colOff>790575</xdr:colOff>
      <xdr:row>7</xdr:row>
      <xdr:rowOff>123825</xdr:rowOff>
    </xdr:to>
    <xdr:sp macro="" textlink="">
      <xdr:nvSpPr>
        <xdr:cNvPr id="7174" name="Text Box 6" hidden="1">
          <a:extLst>
            <a:ext uri="{FF2B5EF4-FFF2-40B4-BE49-F238E27FC236}">
              <a16:creationId xmlns:a16="http://schemas.microsoft.com/office/drawing/2014/main" id="{00000000-0008-0000-0100-0000061C0000}"/>
            </a:ext>
          </a:extLst>
        </xdr:cNvPr>
        <xdr:cNvSpPr txBox="1">
          <a:spLocks noChangeArrowheads="1"/>
        </xdr:cNvSpPr>
      </xdr:nvSpPr>
      <xdr:spPr bwMode="auto">
        <a:xfrm>
          <a:off x="6562725" y="552450"/>
          <a:ext cx="132397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400050</xdr:colOff>
      <xdr:row>19</xdr:row>
      <xdr:rowOff>66675</xdr:rowOff>
    </xdr:from>
    <xdr:to>
      <xdr:col>10</xdr:col>
      <xdr:colOff>790575</xdr:colOff>
      <xdr:row>23</xdr:row>
      <xdr:rowOff>38100</xdr:rowOff>
    </xdr:to>
    <xdr:sp macro="" textlink="">
      <xdr:nvSpPr>
        <xdr:cNvPr id="7175" name="Text Box 7" hidden="1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 txBox="1">
          <a:spLocks noChangeArrowheads="1"/>
        </xdr:cNvSpPr>
      </xdr:nvSpPr>
      <xdr:spPr bwMode="auto">
        <a:xfrm>
          <a:off x="6562725" y="1847850"/>
          <a:ext cx="1323975" cy="6762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34"/>
  <sheetViews>
    <sheetView zoomScaleNormal="100" workbookViewId="0">
      <selection activeCell="A30" sqref="A30"/>
    </sheetView>
  </sheetViews>
  <sheetFormatPr defaultRowHeight="13.2" x14ac:dyDescent="0.25"/>
  <sheetData>
    <row r="3" spans="1:12" ht="13.8" x14ac:dyDescent="0.25">
      <c r="A3" s="149" t="s">
        <v>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13.8" x14ac:dyDescent="0.25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ht="13.8" x14ac:dyDescent="0.25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ht="13.8" x14ac:dyDescent="0.2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x14ac:dyDescent="0.2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2" ht="13.8" x14ac:dyDescent="0.25">
      <c r="A8" s="149" t="s">
        <v>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2" ht="13.8" x14ac:dyDescent="0.25">
      <c r="A9" s="149" t="s">
        <v>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1:12" s="17" customFormat="1" ht="13.8" x14ac:dyDescent="0.25">
      <c r="A10" s="149" t="s">
        <v>3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</row>
    <row r="11" spans="1:12" x14ac:dyDescent="0.25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spans="1:12" ht="13.8" x14ac:dyDescent="0.25">
      <c r="A12" s="149" t="s">
        <v>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</row>
    <row r="13" spans="1:12" ht="13.8" x14ac:dyDescent="0.25">
      <c r="A13" s="149" t="s">
        <v>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2" ht="13.8" x14ac:dyDescent="0.25">
      <c r="A14" s="149" t="s">
        <v>6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s="17" customFormat="1" ht="13.8" x14ac:dyDescent="0.25">
      <c r="A15" s="149" t="s">
        <v>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</row>
    <row r="16" spans="1:12" s="17" customFormat="1" x14ac:dyDescent="0.2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</row>
    <row r="17" spans="1:12" ht="13.8" x14ac:dyDescent="0.25">
      <c r="A17" s="149" t="s">
        <v>8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1:12" ht="13.8" x14ac:dyDescent="0.25">
      <c r="A18" s="149" t="s">
        <v>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</row>
    <row r="19" spans="1:12" s="17" customFormat="1" ht="13.8" x14ac:dyDescent="0.25">
      <c r="A19" s="149" t="s">
        <v>10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</row>
    <row r="20" spans="1:12" s="17" customFormat="1" ht="13.8" x14ac:dyDescent="0.25">
      <c r="A20" s="149" t="s">
        <v>11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</row>
    <row r="21" spans="1:12" ht="13.8" x14ac:dyDescent="0.25">
      <c r="A21" s="149" t="s">
        <v>12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</row>
    <row r="22" spans="1:12" x14ac:dyDescent="0.2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</row>
    <row r="23" spans="1:12" ht="13.8" x14ac:dyDescent="0.25">
      <c r="A23" s="149" t="s">
        <v>13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</row>
    <row r="24" spans="1:12" ht="13.8" x14ac:dyDescent="0.25">
      <c r="A24" s="149" t="s">
        <v>14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</row>
    <row r="25" spans="1:12" x14ac:dyDescent="0.2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1:12" ht="13.8" x14ac:dyDescent="0.25">
      <c r="A26" s="149" t="s">
        <v>15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</row>
    <row r="27" spans="1:12" x14ac:dyDescent="0.25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</row>
    <row r="28" spans="1:12" ht="13.8" x14ac:dyDescent="0.25">
      <c r="A28" s="149" t="s">
        <v>16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</row>
    <row r="30" spans="1:12" x14ac:dyDescent="0.25">
      <c r="A30" s="196" t="s">
        <v>17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x14ac:dyDescent="0.25">
      <c r="A31" s="196" t="s">
        <v>18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x14ac:dyDescent="0.25">
      <c r="A32" s="196" t="s">
        <v>19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" x14ac:dyDescent="0.25">
      <c r="A33" s="196" t="s">
        <v>20</v>
      </c>
    </row>
    <row r="34" spans="1:1" x14ac:dyDescent="0.25">
      <c r="A34" s="17"/>
    </row>
  </sheetData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3"/>
  <sheetViews>
    <sheetView tabSelected="1" zoomScaleNormal="100" workbookViewId="0">
      <selection activeCell="C35" sqref="C35"/>
    </sheetView>
  </sheetViews>
  <sheetFormatPr defaultColWidth="9.109375" defaultRowHeight="13.2" x14ac:dyDescent="0.25"/>
  <cols>
    <col min="1" max="1" width="11.109375" style="3" customWidth="1"/>
    <col min="2" max="2" width="10.6640625" style="3" bestFit="1" customWidth="1"/>
    <col min="3" max="3" width="28.6640625" style="3" customWidth="1"/>
    <col min="4" max="4" width="17.6640625" style="14" bestFit="1" customWidth="1"/>
    <col min="5" max="5" width="17.44140625" style="14" bestFit="1" customWidth="1"/>
    <col min="6" max="6" width="9.109375" style="3"/>
    <col min="7" max="7" width="18" style="3" customWidth="1"/>
    <col min="8" max="8" width="19.88671875" style="3" customWidth="1"/>
    <col min="9" max="9" width="17.33203125" style="3" customWidth="1"/>
    <col min="10" max="10" width="20.44140625" style="3" customWidth="1"/>
    <col min="11" max="14" width="9.109375" style="3"/>
    <col min="15" max="15" width="18.44140625" style="3" customWidth="1"/>
    <col min="16" max="16384" width="9.109375" style="3"/>
  </cols>
  <sheetData>
    <row r="1" spans="1:10" x14ac:dyDescent="0.25">
      <c r="A1" s="158" t="s">
        <v>21</v>
      </c>
      <c r="B1" s="99"/>
      <c r="C1" s="100"/>
      <c r="D1" s="155" t="s">
        <v>22</v>
      </c>
      <c r="E1" s="80"/>
      <c r="F1" s="100"/>
      <c r="G1" s="201"/>
      <c r="H1" s="82"/>
      <c r="I1" s="82"/>
      <c r="J1" s="82"/>
    </row>
    <row r="2" spans="1:10" x14ac:dyDescent="0.25">
      <c r="A2" s="158" t="s">
        <v>23</v>
      </c>
      <c r="B2" s="99"/>
      <c r="C2" s="100"/>
      <c r="D2" s="154" t="s">
        <v>24</v>
      </c>
      <c r="E2" s="153" t="s">
        <v>25</v>
      </c>
      <c r="F2" s="100"/>
      <c r="G2" s="5" t="s">
        <v>26</v>
      </c>
      <c r="H2" s="82"/>
      <c r="I2" s="82"/>
      <c r="J2" s="82"/>
    </row>
    <row r="3" spans="1:10" x14ac:dyDescent="0.25">
      <c r="A3" s="161" t="s">
        <v>27</v>
      </c>
      <c r="B3" s="99"/>
      <c r="C3" s="100"/>
      <c r="D3" s="157">
        <v>43830</v>
      </c>
      <c r="E3" s="153" t="s">
        <v>28</v>
      </c>
      <c r="F3" s="100"/>
      <c r="G3" s="242" t="s">
        <v>29</v>
      </c>
      <c r="H3" s="243"/>
      <c r="I3" s="243"/>
      <c r="J3" s="244"/>
    </row>
    <row r="4" spans="1:10" x14ac:dyDescent="0.25">
      <c r="A4" s="99"/>
      <c r="B4" s="99"/>
      <c r="C4" s="100"/>
      <c r="D4" s="81"/>
      <c r="E4" s="101"/>
      <c r="F4" s="100"/>
      <c r="G4" s="114" t="s">
        <v>30</v>
      </c>
      <c r="H4" s="202"/>
      <c r="I4" s="203"/>
      <c r="J4" s="188">
        <f>1408256+2452694</f>
        <v>3860950</v>
      </c>
    </row>
    <row r="5" spans="1:10" x14ac:dyDescent="0.25">
      <c r="A5" s="99">
        <v>310000</v>
      </c>
      <c r="B5" s="99" t="s">
        <v>31</v>
      </c>
      <c r="C5" s="100" t="s">
        <v>32</v>
      </c>
      <c r="D5" s="190">
        <v>4169492.32</v>
      </c>
      <c r="E5" s="146">
        <f t="shared" ref="E5:E7" si="0">D5</f>
        <v>4169492.32</v>
      </c>
      <c r="F5" s="100"/>
      <c r="G5" s="177"/>
      <c r="H5" s="204"/>
      <c r="I5" s="82"/>
      <c r="J5" s="78"/>
    </row>
    <row r="6" spans="1:10" x14ac:dyDescent="0.25">
      <c r="A6" s="99">
        <v>310000</v>
      </c>
      <c r="B6" s="148" t="s">
        <v>33</v>
      </c>
      <c r="C6" s="100" t="s">
        <v>32</v>
      </c>
      <c r="D6" s="190">
        <f>4545750.72+9208176.15</f>
        <v>13753926.870000001</v>
      </c>
      <c r="E6" s="146">
        <f t="shared" si="0"/>
        <v>13753926.870000001</v>
      </c>
      <c r="F6" s="100"/>
      <c r="G6" s="177"/>
      <c r="H6" s="204"/>
      <c r="I6" s="82"/>
      <c r="J6" s="78"/>
    </row>
    <row r="7" spans="1:10" x14ac:dyDescent="0.25">
      <c r="A7" s="99">
        <v>311000</v>
      </c>
      <c r="B7" s="99" t="s">
        <v>31</v>
      </c>
      <c r="C7" s="100" t="s">
        <v>34</v>
      </c>
      <c r="D7" s="190">
        <v>32886963.309999999</v>
      </c>
      <c r="E7" s="146">
        <f t="shared" si="0"/>
        <v>32886963.309999999</v>
      </c>
      <c r="F7" s="100"/>
      <c r="G7" s="113"/>
      <c r="H7" s="204"/>
      <c r="I7" s="82"/>
      <c r="J7" s="78"/>
    </row>
    <row r="8" spans="1:10" x14ac:dyDescent="0.25">
      <c r="A8" s="99">
        <v>311000</v>
      </c>
      <c r="B8" s="99" t="s">
        <v>35</v>
      </c>
      <c r="C8" s="100" t="s">
        <v>36</v>
      </c>
      <c r="D8" s="190">
        <v>43233778.130000003</v>
      </c>
      <c r="E8" s="146">
        <f t="shared" ref="E8:E14" si="1">D8</f>
        <v>43233778.130000003</v>
      </c>
      <c r="F8" s="100"/>
      <c r="G8" s="177"/>
      <c r="H8" s="82"/>
      <c r="I8" s="82"/>
      <c r="J8" s="79"/>
    </row>
    <row r="9" spans="1:10" x14ac:dyDescent="0.25">
      <c r="A9" s="99">
        <v>311000</v>
      </c>
      <c r="B9" s="99" t="s">
        <v>37</v>
      </c>
      <c r="C9" s="100" t="s">
        <v>38</v>
      </c>
      <c r="D9" s="190">
        <v>25289573.359999999</v>
      </c>
      <c r="E9" s="146">
        <f t="shared" si="1"/>
        <v>25289573.359999999</v>
      </c>
      <c r="F9" s="100"/>
      <c r="G9" s="113" t="s">
        <v>39</v>
      </c>
      <c r="H9" s="82"/>
      <c r="I9" s="82"/>
      <c r="J9" s="184">
        <f>65338.788+150221.513</f>
        <v>215560.30100000001</v>
      </c>
    </row>
    <row r="10" spans="1:10" x14ac:dyDescent="0.25">
      <c r="A10" s="99">
        <v>311000</v>
      </c>
      <c r="B10" s="99" t="s">
        <v>40</v>
      </c>
      <c r="C10" s="100" t="s">
        <v>41</v>
      </c>
      <c r="D10" s="190">
        <v>22341947.210000001</v>
      </c>
      <c r="E10" s="146">
        <f t="shared" si="1"/>
        <v>22341947.210000001</v>
      </c>
      <c r="F10" s="100"/>
      <c r="G10" s="113"/>
      <c r="H10" s="82"/>
      <c r="I10" s="82"/>
      <c r="J10" s="205"/>
    </row>
    <row r="11" spans="1:10" x14ac:dyDescent="0.25">
      <c r="A11" s="99">
        <v>312000</v>
      </c>
      <c r="B11" s="99" t="s">
        <v>31</v>
      </c>
      <c r="C11" s="100" t="s">
        <v>42</v>
      </c>
      <c r="D11" s="190">
        <v>222634838.52000001</v>
      </c>
      <c r="E11" s="146">
        <f t="shared" si="1"/>
        <v>222634838.52000001</v>
      </c>
      <c r="F11" s="100"/>
      <c r="G11" s="113"/>
      <c r="H11" s="82"/>
      <c r="I11" s="82"/>
      <c r="J11" s="205"/>
    </row>
    <row r="12" spans="1:10" x14ac:dyDescent="0.25">
      <c r="A12" s="99">
        <v>312000</v>
      </c>
      <c r="B12" s="99" t="s">
        <v>35</v>
      </c>
      <c r="C12" s="100" t="s">
        <v>43</v>
      </c>
      <c r="D12" s="190">
        <v>277569573.08999997</v>
      </c>
      <c r="E12" s="146">
        <f t="shared" si="1"/>
        <v>277569573.08999997</v>
      </c>
      <c r="F12" s="100"/>
      <c r="G12" s="113"/>
      <c r="H12" s="83"/>
      <c r="I12" s="82"/>
      <c r="J12" s="205"/>
    </row>
    <row r="13" spans="1:10" x14ac:dyDescent="0.25">
      <c r="A13" s="99">
        <v>312000</v>
      </c>
      <c r="B13" s="99" t="s">
        <v>37</v>
      </c>
      <c r="C13" s="100" t="s">
        <v>44</v>
      </c>
      <c r="D13" s="190">
        <v>102930250.29000001</v>
      </c>
      <c r="E13" s="146">
        <f t="shared" si="1"/>
        <v>102930250.29000001</v>
      </c>
      <c r="F13" s="100"/>
      <c r="G13" s="206" t="s">
        <v>45</v>
      </c>
      <c r="H13" s="204"/>
      <c r="I13" s="82"/>
      <c r="J13" s="207"/>
    </row>
    <row r="14" spans="1:10" x14ac:dyDescent="0.25">
      <c r="A14" s="99">
        <v>312000</v>
      </c>
      <c r="B14" s="99" t="s">
        <v>40</v>
      </c>
      <c r="C14" s="100" t="s">
        <v>46</v>
      </c>
      <c r="D14" s="190">
        <v>157598866.33000001</v>
      </c>
      <c r="E14" s="146">
        <f t="shared" si="1"/>
        <v>157598866.33000001</v>
      </c>
      <c r="F14" s="100"/>
      <c r="G14" s="6" t="s">
        <v>47</v>
      </c>
      <c r="H14" s="208"/>
      <c r="I14" s="208"/>
      <c r="J14" s="147">
        <f>J9/J4</f>
        <v>5.5830896800010361E-2</v>
      </c>
    </row>
    <row r="15" spans="1:10" x14ac:dyDescent="0.25">
      <c r="A15" s="99">
        <v>314000</v>
      </c>
      <c r="B15" s="99" t="s">
        <v>31</v>
      </c>
      <c r="C15" s="100" t="s">
        <v>48</v>
      </c>
      <c r="D15" s="190">
        <v>39052369.18</v>
      </c>
      <c r="E15" s="146"/>
      <c r="F15" s="100"/>
      <c r="G15" s="5"/>
      <c r="H15" s="82"/>
      <c r="I15" s="82"/>
      <c r="J15" s="82"/>
    </row>
    <row r="16" spans="1:10" x14ac:dyDescent="0.25">
      <c r="A16" s="99">
        <v>314000</v>
      </c>
      <c r="B16" s="99" t="s">
        <v>35</v>
      </c>
      <c r="C16" s="100" t="s">
        <v>49</v>
      </c>
      <c r="D16" s="190">
        <v>60060118.57</v>
      </c>
      <c r="E16" s="146"/>
      <c r="F16" s="100"/>
      <c r="G16" s="5"/>
      <c r="H16" s="82"/>
      <c r="I16" s="82"/>
      <c r="J16" s="82"/>
    </row>
    <row r="17" spans="1:15" x14ac:dyDescent="0.25">
      <c r="A17" s="99">
        <v>315000</v>
      </c>
      <c r="B17" s="99" t="s">
        <v>31</v>
      </c>
      <c r="C17" s="100" t="s">
        <v>50</v>
      </c>
      <c r="D17" s="190">
        <v>10670855.65</v>
      </c>
      <c r="F17" s="100"/>
      <c r="G17" s="201" t="s">
        <v>51</v>
      </c>
      <c r="H17" s="82"/>
      <c r="I17" s="82"/>
      <c r="J17" s="82"/>
      <c r="K17" s="2"/>
      <c r="L17" s="2"/>
      <c r="M17" s="2"/>
      <c r="N17" s="2"/>
      <c r="O17" s="2"/>
    </row>
    <row r="18" spans="1:15" x14ac:dyDescent="0.25">
      <c r="A18" s="99">
        <v>315000</v>
      </c>
      <c r="B18" s="99" t="s">
        <v>35</v>
      </c>
      <c r="C18" s="100" t="s">
        <v>52</v>
      </c>
      <c r="D18" s="190">
        <v>21208896.399999999</v>
      </c>
      <c r="F18" s="100"/>
      <c r="G18" s="5" t="s">
        <v>53</v>
      </c>
      <c r="H18" s="82"/>
      <c r="I18" s="82"/>
      <c r="J18" s="82"/>
      <c r="K18" s="2"/>
      <c r="L18" s="115" t="s">
        <v>54</v>
      </c>
      <c r="M18" s="209"/>
      <c r="N18" s="209"/>
      <c r="O18" s="210"/>
    </row>
    <row r="19" spans="1:15" x14ac:dyDescent="0.25">
      <c r="A19" s="99">
        <v>315000</v>
      </c>
      <c r="B19" s="99" t="s">
        <v>37</v>
      </c>
      <c r="C19" s="100" t="s">
        <v>55</v>
      </c>
      <c r="D19" s="190">
        <v>12520715.15</v>
      </c>
      <c r="E19" s="146">
        <f>D19</f>
        <v>12520715.15</v>
      </c>
      <c r="F19" s="100"/>
      <c r="G19" s="245" t="s">
        <v>56</v>
      </c>
      <c r="H19" s="246"/>
      <c r="I19" s="246"/>
      <c r="J19" s="247"/>
      <c r="K19" s="2"/>
      <c r="L19" s="116" t="s">
        <v>57</v>
      </c>
      <c r="M19" s="27"/>
      <c r="N19" s="27"/>
      <c r="O19" s="211"/>
    </row>
    <row r="20" spans="1:15" x14ac:dyDescent="0.25">
      <c r="A20" s="212">
        <v>315000</v>
      </c>
      <c r="B20" s="99" t="s">
        <v>40</v>
      </c>
      <c r="C20" s="100" t="s">
        <v>58</v>
      </c>
      <c r="D20" s="190">
        <v>17731988.489999998</v>
      </c>
      <c r="E20" s="146">
        <f>D20</f>
        <v>17731988.489999998</v>
      </c>
      <c r="F20" s="100"/>
      <c r="G20" s="114" t="s">
        <v>59</v>
      </c>
      <c r="H20" s="203"/>
      <c r="I20" s="203"/>
      <c r="J20" s="189">
        <v>300000</v>
      </c>
      <c r="K20" s="2"/>
      <c r="L20" s="117" t="s">
        <v>60</v>
      </c>
      <c r="M20" s="213"/>
      <c r="N20" s="213"/>
      <c r="O20" s="214"/>
    </row>
    <row r="21" spans="1:15" x14ac:dyDescent="0.25">
      <c r="A21" s="99">
        <v>316000</v>
      </c>
      <c r="B21" s="99" t="s">
        <v>31</v>
      </c>
      <c r="C21" s="100" t="s">
        <v>61</v>
      </c>
      <c r="D21" s="190">
        <v>1243378.47</v>
      </c>
      <c r="E21" s="146">
        <f>D21</f>
        <v>1243378.47</v>
      </c>
      <c r="F21" s="100"/>
      <c r="G21" s="177"/>
      <c r="H21" s="82"/>
      <c r="I21" s="82"/>
      <c r="J21" s="79"/>
      <c r="K21" s="2"/>
      <c r="L21" s="2"/>
      <c r="M21" s="2"/>
      <c r="N21" s="2"/>
      <c r="O21" s="2"/>
    </row>
    <row r="22" spans="1:15" x14ac:dyDescent="0.25">
      <c r="A22" s="99">
        <v>316000</v>
      </c>
      <c r="B22" s="99" t="s">
        <v>35</v>
      </c>
      <c r="C22" s="100" t="s">
        <v>61</v>
      </c>
      <c r="D22" s="191">
        <v>1803386.81</v>
      </c>
      <c r="E22" s="84">
        <f>D22</f>
        <v>1803386.81</v>
      </c>
      <c r="F22" s="100"/>
      <c r="G22" s="177" t="s">
        <v>62</v>
      </c>
      <c r="H22" s="82"/>
      <c r="I22" s="82"/>
      <c r="J22" s="79"/>
      <c r="K22" s="2"/>
      <c r="L22" s="2"/>
      <c r="M22" s="2"/>
      <c r="N22" s="2"/>
      <c r="O22" s="2"/>
    </row>
    <row r="23" spans="1:15" x14ac:dyDescent="0.25">
      <c r="A23" s="99"/>
      <c r="B23" s="99"/>
      <c r="C23" s="100"/>
      <c r="D23" s="98"/>
      <c r="E23" s="101"/>
      <c r="F23" s="100"/>
      <c r="G23" s="113" t="s">
        <v>63</v>
      </c>
      <c r="H23" s="82"/>
      <c r="I23" s="82"/>
      <c r="J23" s="78">
        <v>2300000</v>
      </c>
      <c r="K23" s="2"/>
      <c r="L23" s="118" t="s">
        <v>64</v>
      </c>
      <c r="M23" s="209"/>
      <c r="N23" s="209"/>
      <c r="O23" s="210"/>
    </row>
    <row r="24" spans="1:15" x14ac:dyDescent="0.25">
      <c r="A24" s="99"/>
      <c r="B24" s="99"/>
      <c r="C24" s="100"/>
      <c r="D24" s="81"/>
      <c r="E24" s="103"/>
      <c r="F24" s="100"/>
      <c r="G24" s="113" t="s">
        <v>65</v>
      </c>
      <c r="H24" s="82"/>
      <c r="I24" s="82"/>
      <c r="J24" s="78">
        <v>4000000</v>
      </c>
      <c r="K24" s="2"/>
      <c r="L24" s="117"/>
      <c r="M24" s="213"/>
      <c r="N24" s="213"/>
      <c r="O24" s="214"/>
    </row>
    <row r="25" spans="1:15" x14ac:dyDescent="0.25">
      <c r="A25" s="99" t="s">
        <v>66</v>
      </c>
      <c r="B25" s="99"/>
      <c r="C25" s="100"/>
      <c r="D25" s="160">
        <f>SUM(D5:D24)</f>
        <v>1066700918.1499999</v>
      </c>
      <c r="E25" s="160">
        <f>SUM(E4:E24)</f>
        <v>935708678.3499999</v>
      </c>
      <c r="F25" s="100"/>
      <c r="G25" s="113" t="s">
        <v>67</v>
      </c>
      <c r="H25" s="82"/>
      <c r="I25" s="82"/>
      <c r="J25" s="205"/>
      <c r="K25" s="2"/>
      <c r="L25" s="2"/>
      <c r="M25" s="2"/>
      <c r="N25" s="2"/>
      <c r="O25" s="2"/>
    </row>
    <row r="26" spans="1:15" x14ac:dyDescent="0.25">
      <c r="A26" s="100"/>
      <c r="B26" s="100"/>
      <c r="C26" s="100"/>
      <c r="D26" s="80"/>
      <c r="E26" s="80"/>
      <c r="F26" s="100"/>
      <c r="G26" s="177"/>
      <c r="H26" s="82"/>
      <c r="I26" s="82"/>
      <c r="J26" s="215">
        <f>J23+J24</f>
        <v>6300000</v>
      </c>
      <c r="K26" s="2"/>
      <c r="L26" s="2"/>
      <c r="M26" s="2"/>
      <c r="N26" s="2"/>
      <c r="O26" s="2"/>
    </row>
    <row r="27" spans="1:15" ht="14.4" x14ac:dyDescent="0.3">
      <c r="A27" s="100" t="s">
        <v>68</v>
      </c>
      <c r="B27" s="100"/>
      <c r="C27" s="100"/>
      <c r="D27" s="80"/>
      <c r="E27" s="162">
        <f>E25/D25</f>
        <v>0.87719871843067099</v>
      </c>
      <c r="F27" s="100"/>
      <c r="G27" s="177"/>
      <c r="H27" s="82"/>
      <c r="I27" s="82"/>
      <c r="J27" s="207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F28" s="100"/>
      <c r="G28" s="113" t="s">
        <v>69</v>
      </c>
      <c r="H28" s="82"/>
      <c r="I28" s="82"/>
      <c r="J28" s="216">
        <f>J20/J26</f>
        <v>4.7619047619047616E-2</v>
      </c>
      <c r="K28" s="2"/>
      <c r="L28" s="2"/>
      <c r="M28" s="2"/>
      <c r="N28" s="2"/>
      <c r="O28" s="2"/>
    </row>
    <row r="29" spans="1:15" x14ac:dyDescent="0.25">
      <c r="A29" s="2"/>
      <c r="B29" s="2"/>
      <c r="C29" s="2"/>
      <c r="F29" s="100"/>
      <c r="G29" s="177"/>
      <c r="H29" s="82"/>
      <c r="I29" s="82"/>
      <c r="J29" s="207"/>
      <c r="K29" s="2"/>
      <c r="L29" s="2"/>
      <c r="M29" s="2"/>
      <c r="N29" s="2"/>
      <c r="O29" s="2"/>
    </row>
    <row r="30" spans="1:15" ht="14.4" x14ac:dyDescent="0.3">
      <c r="A30" s="100"/>
      <c r="B30" s="100"/>
      <c r="C30" s="100"/>
      <c r="D30" s="80"/>
      <c r="E30" s="80"/>
      <c r="F30" s="100"/>
      <c r="G30" s="177" t="s">
        <v>70</v>
      </c>
      <c r="H30" s="82"/>
      <c r="I30" s="82"/>
      <c r="J30" s="156">
        <f>E27</f>
        <v>0.87719871843067099</v>
      </c>
      <c r="K30" s="2"/>
      <c r="L30" s="2"/>
      <c r="M30" s="2"/>
      <c r="N30" s="2"/>
      <c r="O30" s="2"/>
    </row>
    <row r="31" spans="1:15" x14ac:dyDescent="0.25">
      <c r="A31" s="201"/>
      <c r="B31" s="201"/>
      <c r="C31" s="201"/>
      <c r="D31" s="82"/>
      <c r="E31" s="82"/>
      <c r="F31" s="100"/>
      <c r="G31" s="177"/>
      <c r="H31" s="7"/>
      <c r="I31" s="201"/>
      <c r="J31" s="217"/>
      <c r="K31" s="2"/>
      <c r="L31" s="2"/>
      <c r="M31" s="2"/>
      <c r="N31" s="2"/>
      <c r="O31" s="2"/>
    </row>
    <row r="32" spans="1:15" x14ac:dyDescent="0.25">
      <c r="A32" s="201"/>
      <c r="B32" s="201"/>
      <c r="C32" s="201"/>
      <c r="D32" s="82"/>
      <c r="E32" s="82"/>
      <c r="F32" s="100"/>
      <c r="G32" s="218" t="s">
        <v>71</v>
      </c>
      <c r="H32" s="8"/>
      <c r="I32" s="219"/>
      <c r="J32" s="9">
        <f>J28*J30</f>
        <v>4.1771367544317664E-2</v>
      </c>
      <c r="K32" s="2"/>
      <c r="L32" s="2"/>
      <c r="M32" s="2"/>
      <c r="N32" s="2"/>
      <c r="O32" s="2"/>
    </row>
    <row r="33" spans="1:17" x14ac:dyDescent="0.25">
      <c r="A33" s="201"/>
      <c r="B33" s="201"/>
      <c r="C33" s="201"/>
      <c r="D33" s="83"/>
      <c r="E33" s="84"/>
      <c r="F33" s="100"/>
      <c r="G33" s="201"/>
      <c r="H33" s="7"/>
      <c r="I33" s="201"/>
      <c r="J33" s="201"/>
      <c r="K33" s="2"/>
      <c r="L33" s="2"/>
      <c r="M33" s="2"/>
      <c r="N33" s="2"/>
      <c r="O33" s="2"/>
      <c r="P33" s="2"/>
      <c r="Q33" s="2"/>
    </row>
    <row r="34" spans="1:17" x14ac:dyDescent="0.25">
      <c r="A34" s="201"/>
      <c r="B34" s="201"/>
      <c r="C34" s="201"/>
      <c r="D34" s="82"/>
      <c r="E34" s="82"/>
      <c r="F34" s="100"/>
      <c r="G34" s="10"/>
      <c r="H34" s="82"/>
      <c r="I34" s="82"/>
      <c r="J34" s="82"/>
      <c r="K34" s="27"/>
      <c r="L34" s="27"/>
      <c r="M34" s="27"/>
      <c r="N34" s="27"/>
      <c r="O34" s="27"/>
      <c r="P34" s="27"/>
      <c r="Q34" s="27"/>
    </row>
    <row r="35" spans="1:17" x14ac:dyDescent="0.25">
      <c r="A35" s="201"/>
      <c r="B35" s="201"/>
      <c r="C35" s="201"/>
      <c r="D35" s="82"/>
      <c r="E35" s="85"/>
      <c r="F35" s="100"/>
      <c r="G35" s="201"/>
      <c r="H35" s="220"/>
      <c r="I35" s="221"/>
      <c r="J35" s="82"/>
      <c r="K35" s="27"/>
      <c r="L35" s="27"/>
      <c r="M35" s="27"/>
      <c r="N35" s="27"/>
      <c r="O35" s="27"/>
      <c r="P35" s="27"/>
      <c r="Q35" s="27"/>
    </row>
    <row r="36" spans="1:17" x14ac:dyDescent="0.25">
      <c r="A36" s="100"/>
      <c r="B36" s="100"/>
      <c r="C36" s="100"/>
      <c r="D36" s="80"/>
      <c r="E36" s="80"/>
      <c r="F36" s="100"/>
      <c r="G36" s="201"/>
      <c r="H36" s="201"/>
      <c r="I36" s="201"/>
      <c r="J36" s="82"/>
      <c r="K36" s="27"/>
      <c r="L36" s="27"/>
      <c r="M36" s="27"/>
      <c r="N36" s="27"/>
      <c r="O36" s="27"/>
      <c r="P36" s="27"/>
      <c r="Q36" s="27"/>
    </row>
    <row r="37" spans="1:17" x14ac:dyDescent="0.25">
      <c r="A37" s="100"/>
      <c r="B37" s="100"/>
      <c r="C37" s="100"/>
      <c r="D37" s="80"/>
      <c r="E37" s="80"/>
      <c r="F37" s="100"/>
      <c r="G37" s="201"/>
      <c r="H37" s="201"/>
      <c r="I37" s="221"/>
      <c r="J37" s="82"/>
      <c r="K37" s="27"/>
      <c r="L37" s="27"/>
      <c r="M37" s="27"/>
      <c r="N37" s="27"/>
      <c r="O37" s="27"/>
      <c r="P37" s="27"/>
      <c r="Q37" s="27"/>
    </row>
    <row r="38" spans="1:17" x14ac:dyDescent="0.25">
      <c r="A38" s="100"/>
      <c r="B38" s="100"/>
      <c r="C38" s="100"/>
      <c r="D38" s="80"/>
      <c r="E38" s="80"/>
      <c r="F38" s="100"/>
      <c r="G38" s="201"/>
      <c r="H38" s="220"/>
      <c r="I38" s="221"/>
      <c r="J38" s="82"/>
      <c r="K38" s="27"/>
      <c r="L38" s="27"/>
      <c r="M38" s="27"/>
      <c r="N38" s="27"/>
      <c r="O38" s="27"/>
      <c r="P38" s="27"/>
      <c r="Q38" s="27"/>
    </row>
    <row r="39" spans="1:17" x14ac:dyDescent="0.25">
      <c r="A39" s="2"/>
      <c r="B39" s="2"/>
      <c r="C39" s="2"/>
      <c r="F39" s="100"/>
      <c r="G39" s="201"/>
      <c r="H39" s="220"/>
      <c r="I39" s="221"/>
      <c r="J39" s="82"/>
      <c r="K39" s="27"/>
      <c r="L39" s="27"/>
      <c r="M39" s="27"/>
      <c r="N39" s="27"/>
      <c r="O39" s="27"/>
      <c r="P39" s="27"/>
      <c r="Q39" s="27"/>
    </row>
    <row r="40" spans="1:17" x14ac:dyDescent="0.25">
      <c r="A40" s="2"/>
      <c r="B40" s="2"/>
      <c r="C40" s="2"/>
      <c r="F40" s="100"/>
      <c r="G40" s="201"/>
      <c r="H40" s="220"/>
      <c r="I40" s="221"/>
      <c r="J40" s="82"/>
      <c r="K40" s="27"/>
      <c r="L40" s="27"/>
      <c r="M40" s="27"/>
      <c r="N40" s="27"/>
      <c r="O40" s="27"/>
      <c r="P40" s="27"/>
      <c r="Q40" s="27"/>
    </row>
    <row r="41" spans="1:17" x14ac:dyDescent="0.25">
      <c r="A41" s="2"/>
      <c r="B41" s="2"/>
      <c r="C41" s="2"/>
      <c r="F41" s="100"/>
      <c r="G41" s="201"/>
      <c r="H41" s="201"/>
      <c r="I41" s="201"/>
      <c r="J41" s="201"/>
      <c r="K41" s="27"/>
      <c r="L41" s="27"/>
      <c r="M41" s="27"/>
      <c r="N41" s="27"/>
      <c r="O41" s="27"/>
      <c r="P41" s="27"/>
      <c r="Q41" s="27"/>
    </row>
    <row r="42" spans="1:17" x14ac:dyDescent="0.25">
      <c r="A42" s="2"/>
      <c r="B42" s="2"/>
      <c r="C42" s="2"/>
      <c r="F42" s="100"/>
      <c r="G42" s="201"/>
      <c r="H42" s="11"/>
      <c r="I42" s="221"/>
      <c r="J42" s="201"/>
      <c r="K42" s="27"/>
      <c r="L42" s="27"/>
      <c r="M42" s="27"/>
      <c r="N42" s="27"/>
      <c r="O42" s="27"/>
      <c r="P42" s="27"/>
      <c r="Q42" s="27"/>
    </row>
    <row r="43" spans="1:17" x14ac:dyDescent="0.25">
      <c r="A43" s="2"/>
      <c r="B43" s="2"/>
      <c r="C43" s="2"/>
      <c r="F43" s="2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</sheetData>
  <mergeCells count="2">
    <mergeCell ref="G3:J3"/>
    <mergeCell ref="G19:J19"/>
  </mergeCells>
  <pageMargins left="0.4" right="0.22" top="1.47" bottom="0.75" header="0.3" footer="0.3"/>
  <pageSetup scale="75" orientation="landscape" r:id="rId1"/>
  <headerFooter>
    <oddFooter>&amp;L&amp;Z&amp;F&amp;R&amp;D &amp;T
T.Sampson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87"/>
  <sheetViews>
    <sheetView topLeftCell="A2" zoomScale="70" zoomScaleNormal="70" workbookViewId="0">
      <pane xSplit="5" ySplit="23" topLeftCell="F25" activePane="bottomRight" state="frozen"/>
      <selection pane="topRight" activeCell="F2" sqref="F2"/>
      <selection pane="bottomLeft" activeCell="A25" sqref="A25"/>
      <selection pane="bottomRight" activeCell="O26" sqref="O26"/>
    </sheetView>
  </sheetViews>
  <sheetFormatPr defaultColWidth="9.109375" defaultRowHeight="13.2" x14ac:dyDescent="0.25"/>
  <cols>
    <col min="1" max="1" width="18.44140625" style="2" customWidth="1"/>
    <col min="2" max="2" width="23" style="2" customWidth="1"/>
    <col min="3" max="3" width="11.6640625" style="2" hidden="1" customWidth="1"/>
    <col min="4" max="4" width="18" style="2" hidden="1" customWidth="1"/>
    <col min="5" max="5" width="3.33203125" style="2" hidden="1" customWidth="1"/>
    <col min="6" max="6" width="12" style="2" bestFit="1" customWidth="1"/>
    <col min="7" max="7" width="12.33203125" style="2" bestFit="1" customWidth="1"/>
    <col min="8" max="8" width="13.33203125" style="2" customWidth="1"/>
    <col min="9" max="9" width="13.44140625" style="2" bestFit="1" customWidth="1"/>
    <col min="10" max="11" width="14" style="2" customWidth="1"/>
    <col min="12" max="12" width="13" style="2" customWidth="1"/>
    <col min="13" max="13" width="14" style="2" customWidth="1"/>
    <col min="14" max="14" width="11.5546875" style="2" customWidth="1"/>
    <col min="15" max="15" width="13.109375" style="2" customWidth="1"/>
    <col min="16" max="16" width="12.5546875" style="2" customWidth="1"/>
    <col min="17" max="17" width="13.6640625" style="2" bestFit="1" customWidth="1"/>
    <col min="18" max="19" width="14" style="2" customWidth="1"/>
    <col min="20" max="20" width="12" style="2" bestFit="1" customWidth="1"/>
    <col min="21" max="21" width="13" style="2" bestFit="1" customWidth="1"/>
    <col min="22" max="22" width="12.6640625" style="2" bestFit="1" customWidth="1"/>
    <col min="23" max="23" width="13.88671875" style="2" customWidth="1"/>
    <col min="24" max="24" width="12.6640625" style="2" customWidth="1"/>
    <col min="25" max="25" width="12.44140625" style="2" customWidth="1"/>
    <col min="26" max="26" width="11.88671875" style="14" bestFit="1" customWidth="1"/>
    <col min="27" max="27" width="12.6640625" style="14" bestFit="1" customWidth="1"/>
    <col min="28" max="28" width="11.88671875" style="14" bestFit="1" customWidth="1"/>
    <col min="29" max="29" width="13" style="14" bestFit="1" customWidth="1"/>
    <col min="30" max="30" width="11.88671875" style="2" bestFit="1" customWidth="1"/>
    <col min="31" max="31" width="13" style="2" bestFit="1" customWidth="1"/>
    <col min="32" max="33" width="13" style="2" customWidth="1"/>
    <col min="34" max="34" width="10" style="2" customWidth="1"/>
    <col min="35" max="35" width="14.109375" style="2" customWidth="1"/>
    <col min="36" max="36" width="6.5546875" style="2" hidden="1" customWidth="1"/>
    <col min="37" max="37" width="7.44140625" style="2" hidden="1" customWidth="1"/>
    <col min="38" max="38" width="6.5546875" style="2" hidden="1" customWidth="1"/>
    <col min="39" max="39" width="7.44140625" style="2" hidden="1" customWidth="1"/>
    <col min="40" max="40" width="15.109375" style="2" customWidth="1"/>
    <col min="41" max="41" width="14.109375" style="2" customWidth="1"/>
    <col min="42" max="43" width="9.109375" style="2" hidden="1" customWidth="1"/>
    <col min="44" max="44" width="9.33203125" style="2" hidden="1" customWidth="1"/>
    <col min="45" max="45" width="9.109375" style="2" hidden="1" customWidth="1"/>
    <col min="46" max="46" width="9.33203125" style="2" hidden="1" customWidth="1"/>
    <col min="47" max="47" width="9.109375" style="2" hidden="1" customWidth="1"/>
    <col min="48" max="48" width="9.33203125" style="2" hidden="1" customWidth="1"/>
    <col min="49" max="49" width="9.109375" style="2" hidden="1" customWidth="1"/>
    <col min="50" max="50" width="10.33203125" style="2" hidden="1" customWidth="1"/>
    <col min="51" max="55" width="9.109375" style="2" hidden="1" customWidth="1"/>
    <col min="56" max="56" width="12.109375" style="2" bestFit="1" customWidth="1"/>
    <col min="57" max="57" width="14.6640625" style="2" bestFit="1" customWidth="1"/>
    <col min="58" max="58" width="18.6640625" style="2" customWidth="1"/>
    <col min="59" max="59" width="14.88671875" style="2" bestFit="1" customWidth="1"/>
    <col min="60" max="60" width="10" style="2" customWidth="1"/>
    <col min="61" max="61" width="10.5546875" style="2" customWidth="1"/>
    <col min="62" max="62" width="13" style="2" bestFit="1" customWidth="1"/>
    <col min="63" max="63" width="14" style="2" bestFit="1" customWidth="1"/>
    <col min="64" max="64" width="18.44140625" style="2" customWidth="1"/>
    <col min="65" max="65" width="12.6640625" style="2" customWidth="1"/>
    <col min="66" max="16384" width="9.109375" style="2"/>
  </cols>
  <sheetData>
    <row r="1" spans="3:66" x14ac:dyDescent="0.25">
      <c r="C1" s="2" t="s">
        <v>72</v>
      </c>
    </row>
    <row r="2" spans="3:66" x14ac:dyDescent="0.25">
      <c r="C2" s="2" t="s">
        <v>73</v>
      </c>
    </row>
    <row r="3" spans="3:66" x14ac:dyDescent="0.25"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20"/>
      <c r="Z3" s="15"/>
      <c r="AB3" s="15"/>
    </row>
    <row r="4" spans="3:66" x14ac:dyDescent="0.25"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20"/>
      <c r="Z4" s="15"/>
      <c r="AB4" s="15"/>
    </row>
    <row r="5" spans="3:66" x14ac:dyDescent="0.25"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20"/>
      <c r="Z5" s="15"/>
      <c r="AB5" s="15"/>
      <c r="AC5" s="16"/>
      <c r="AD5" s="14"/>
      <c r="AE5" s="14"/>
      <c r="AF5" s="14"/>
      <c r="AG5" s="14"/>
    </row>
    <row r="6" spans="3:66" x14ac:dyDescent="0.25"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20"/>
      <c r="Z6" s="15"/>
      <c r="AB6" s="15"/>
      <c r="AC6" s="16"/>
      <c r="AD6" s="14"/>
      <c r="AE6" s="14"/>
      <c r="AF6" s="14"/>
      <c r="AG6" s="14"/>
    </row>
    <row r="7" spans="3:66" x14ac:dyDescent="0.25"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0"/>
      <c r="Z7" s="15"/>
      <c r="AB7" s="15"/>
      <c r="AC7" s="16"/>
      <c r="AD7" s="14"/>
      <c r="AE7" s="14"/>
      <c r="AF7" s="14"/>
      <c r="AG7" s="14"/>
    </row>
    <row r="8" spans="3:66" x14ac:dyDescent="0.2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20"/>
      <c r="Z8" s="15"/>
      <c r="AB8" s="15"/>
      <c r="AC8" s="16"/>
      <c r="AD8" s="14"/>
      <c r="AE8" s="14"/>
      <c r="AF8" s="14"/>
      <c r="AG8" s="14"/>
    </row>
    <row r="9" spans="3:66" hidden="1" x14ac:dyDescent="0.25"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20"/>
      <c r="Z9" s="15"/>
      <c r="AB9" s="15"/>
      <c r="AC9" s="16"/>
      <c r="AD9" s="14"/>
      <c r="AE9" s="14"/>
      <c r="AF9" s="14"/>
      <c r="AG9" s="14"/>
      <c r="AO9" s="2">
        <v>2018</v>
      </c>
      <c r="AP9" s="2">
        <v>2018</v>
      </c>
      <c r="BF9" s="27"/>
      <c r="BG9" s="27"/>
      <c r="BH9" s="27"/>
      <c r="BI9" s="27"/>
      <c r="BJ9" s="27"/>
      <c r="BK9" s="27"/>
      <c r="BL9" s="27"/>
      <c r="BM9" s="27"/>
      <c r="BN9" s="27"/>
    </row>
    <row r="10" spans="3:66" hidden="1" x14ac:dyDescent="0.25"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20"/>
      <c r="Z10" s="15"/>
      <c r="AB10" s="15"/>
      <c r="AC10" s="16"/>
      <c r="AD10" s="14"/>
      <c r="AE10" s="14"/>
      <c r="AF10" s="14"/>
      <c r="AG10" s="14"/>
      <c r="AN10" s="2" t="s">
        <v>74</v>
      </c>
      <c r="AO10" s="102">
        <v>14892.913</v>
      </c>
      <c r="AP10" s="102">
        <v>13373.675999999999</v>
      </c>
      <c r="BF10" s="27"/>
      <c r="BG10" s="27"/>
      <c r="BH10" s="27"/>
      <c r="BI10" s="27"/>
      <c r="BJ10" s="27"/>
      <c r="BK10" s="27"/>
      <c r="BL10" s="27"/>
      <c r="BM10" s="27"/>
      <c r="BN10" s="27"/>
    </row>
    <row r="11" spans="3:66" hidden="1" x14ac:dyDescent="0.25"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20"/>
      <c r="Z11" s="15"/>
      <c r="AB11" s="15"/>
      <c r="AC11" s="16"/>
      <c r="AD11" s="14"/>
      <c r="AE11" s="14"/>
      <c r="AF11" s="14"/>
      <c r="AG11" s="14"/>
      <c r="AN11" s="2" t="s">
        <v>75</v>
      </c>
      <c r="AO11" s="102">
        <v>18669.404999999999</v>
      </c>
      <c r="AP11" s="102">
        <v>23000.971000000001</v>
      </c>
      <c r="BF11" s="27"/>
      <c r="BG11" s="27"/>
      <c r="BH11" s="27"/>
      <c r="BI11" s="27"/>
      <c r="BJ11" s="27"/>
      <c r="BK11" s="27"/>
      <c r="BL11" s="27"/>
      <c r="BM11" s="27"/>
      <c r="BN11" s="27"/>
    </row>
    <row r="12" spans="3:66" hidden="1" x14ac:dyDescent="0.25"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0"/>
      <c r="Z12" s="15"/>
      <c r="AB12" s="15"/>
      <c r="AC12" s="16"/>
      <c r="AD12" s="14"/>
      <c r="AE12" s="14"/>
      <c r="AF12" s="14"/>
      <c r="AG12" s="14"/>
      <c r="AN12" s="2" t="s">
        <v>76</v>
      </c>
      <c r="AO12" s="102">
        <v>29622.147000000001</v>
      </c>
      <c r="AP12" s="102">
        <v>33081.169000000002</v>
      </c>
      <c r="BF12" s="27"/>
      <c r="BG12" s="27"/>
      <c r="BH12" s="27"/>
      <c r="BI12" s="27"/>
      <c r="BJ12" s="27"/>
      <c r="BK12" s="27"/>
      <c r="BL12" s="27"/>
      <c r="BM12" s="27"/>
      <c r="BN12" s="27"/>
    </row>
    <row r="13" spans="3:66" hidden="1" x14ac:dyDescent="0.25"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0"/>
      <c r="Z13" s="15"/>
      <c r="AB13" s="15"/>
      <c r="AC13" s="16"/>
      <c r="AD13" s="14"/>
      <c r="AE13" s="14"/>
      <c r="AF13" s="14"/>
      <c r="AG13" s="14"/>
      <c r="AN13" s="2" t="s">
        <v>77</v>
      </c>
      <c r="AO13" s="102">
        <v>393.09500000000003</v>
      </c>
      <c r="AP13" s="102">
        <v>4732.2879999999996</v>
      </c>
      <c r="BF13" s="27"/>
      <c r="BG13" s="27"/>
      <c r="BH13" s="27"/>
      <c r="BI13" s="27"/>
      <c r="BJ13" s="27"/>
      <c r="BK13" s="27"/>
      <c r="BL13" s="27"/>
      <c r="BM13" s="27"/>
      <c r="BN13" s="27"/>
    </row>
    <row r="14" spans="3:66" hidden="1" x14ac:dyDescent="0.25"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0"/>
      <c r="Z14" s="15"/>
      <c r="AB14" s="15"/>
      <c r="AC14" s="16"/>
      <c r="AD14" s="14"/>
      <c r="AE14" s="14"/>
      <c r="AF14" s="14"/>
      <c r="AG14" s="14"/>
      <c r="AN14" s="2" t="s">
        <v>78</v>
      </c>
      <c r="AO14" s="102">
        <v>19127.958999999999</v>
      </c>
      <c r="AP14" s="102">
        <v>13506.786</v>
      </c>
      <c r="BF14" s="27"/>
      <c r="BG14" s="27"/>
      <c r="BH14" s="27"/>
      <c r="BI14" s="27"/>
      <c r="BJ14" s="27"/>
      <c r="BK14" s="27"/>
      <c r="BL14" s="27"/>
      <c r="BM14" s="27"/>
      <c r="BN14" s="27"/>
    </row>
    <row r="15" spans="3:66" hidden="1" x14ac:dyDescent="0.25"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5"/>
      <c r="W15" s="15"/>
      <c r="X15" s="15"/>
      <c r="Y15" s="15"/>
      <c r="Z15" s="15"/>
      <c r="AA15" s="15"/>
      <c r="AB15" s="15"/>
      <c r="AC15" s="16"/>
      <c r="AD15" s="14"/>
      <c r="AE15" s="14"/>
      <c r="AF15" s="14"/>
      <c r="AG15" s="14"/>
      <c r="AN15" s="2" t="s">
        <v>79</v>
      </c>
      <c r="AO15" s="102">
        <v>0</v>
      </c>
      <c r="AP15" s="102">
        <v>0</v>
      </c>
      <c r="BF15" s="27"/>
      <c r="BG15" s="27"/>
      <c r="BH15" s="27"/>
      <c r="BI15" s="27"/>
      <c r="BJ15" s="27"/>
      <c r="BK15" s="27"/>
      <c r="BL15" s="27"/>
      <c r="BM15" s="27"/>
      <c r="BN15" s="27"/>
    </row>
    <row r="16" spans="3:66" hidden="1" x14ac:dyDescent="0.25"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5"/>
      <c r="W16" s="15"/>
      <c r="X16" s="15"/>
      <c r="Y16" s="15"/>
      <c r="Z16" s="15"/>
      <c r="AA16" s="15"/>
      <c r="AB16" s="15"/>
      <c r="AN16" s="2" t="s">
        <v>80</v>
      </c>
      <c r="AO16" s="102">
        <v>0</v>
      </c>
      <c r="AP16" s="102">
        <v>0</v>
      </c>
      <c r="BD16" s="2" t="s">
        <v>81</v>
      </c>
      <c r="BF16" s="27"/>
      <c r="BG16" s="27"/>
      <c r="BH16" s="27"/>
      <c r="BI16" s="27"/>
      <c r="BJ16" s="27"/>
      <c r="BK16" s="27"/>
      <c r="BL16" s="27"/>
      <c r="BM16" s="27"/>
      <c r="BN16" s="27"/>
    </row>
    <row r="17" spans="1:66" x14ac:dyDescent="0.25"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87"/>
      <c r="BF17" s="27"/>
      <c r="BG17" s="27"/>
      <c r="BH17" s="27"/>
      <c r="BI17" s="27"/>
      <c r="BJ17" s="27"/>
      <c r="BK17" s="27"/>
      <c r="BL17" s="27"/>
      <c r="BM17" s="27"/>
      <c r="BN17" s="27"/>
    </row>
    <row r="18" spans="1:66" x14ac:dyDescent="0.25">
      <c r="A18" s="1" t="s">
        <v>82</v>
      </c>
      <c r="BD18" s="28"/>
      <c r="BF18" s="27"/>
      <c r="BG18" s="27"/>
      <c r="BH18" s="27"/>
      <c r="BI18" s="27"/>
      <c r="BJ18" s="27"/>
      <c r="BK18" s="27"/>
      <c r="BL18" s="27"/>
      <c r="BM18" s="27"/>
      <c r="BN18" s="27"/>
    </row>
    <row r="19" spans="1:66" x14ac:dyDescent="0.25">
      <c r="AJ19" s="25">
        <f>AJ20/(AJ20+AL20)</f>
        <v>0.31372549019607843</v>
      </c>
      <c r="AL19" s="25">
        <f>AL20/(AL20+AJ20)</f>
        <v>0.68627450980392157</v>
      </c>
      <c r="AN19" s="25"/>
      <c r="AP19" s="29">
        <f>AP20/$AN$20</f>
        <v>0.2</v>
      </c>
      <c r="AR19" s="29">
        <f>AR20/$AN$20</f>
        <v>0.3</v>
      </c>
      <c r="AT19" s="29">
        <f>AT20/$AN$20</f>
        <v>0</v>
      </c>
      <c r="AV19" s="29">
        <f>AV20/$AN$20</f>
        <v>0.2</v>
      </c>
      <c r="AX19" s="29">
        <f>AX20/$AN$20</f>
        <v>0.15</v>
      </c>
      <c r="AZ19" s="29">
        <f>AZ20/$AN$20</f>
        <v>0.15</v>
      </c>
      <c r="BB19" s="29">
        <f>BB20/$AN$20</f>
        <v>0</v>
      </c>
      <c r="BF19" s="27"/>
      <c r="BG19" s="27"/>
      <c r="BH19" s="27"/>
      <c r="BI19" s="27"/>
      <c r="BJ19" s="27"/>
      <c r="BK19" s="27"/>
      <c r="BL19" s="27"/>
      <c r="BM19" s="27"/>
      <c r="BN19" s="27"/>
    </row>
    <row r="20" spans="1:66" x14ac:dyDescent="0.25">
      <c r="A20" s="14"/>
      <c r="B20" s="2" t="s">
        <v>83</v>
      </c>
      <c r="F20" s="77">
        <v>0</v>
      </c>
      <c r="G20" s="22"/>
      <c r="H20" s="77">
        <f>116000+225000</f>
        <v>341000</v>
      </c>
      <c r="I20" s="22"/>
      <c r="J20" s="77">
        <v>300000</v>
      </c>
      <c r="K20" s="22"/>
      <c r="L20" s="159">
        <f>+J20</f>
        <v>300000</v>
      </c>
      <c r="M20" s="22"/>
      <c r="N20" s="159">
        <f>+J20</f>
        <v>300000</v>
      </c>
      <c r="O20" s="22"/>
      <c r="P20" s="77">
        <v>510000</v>
      </c>
      <c r="Q20" s="22"/>
      <c r="R20" s="159">
        <f>+P20</f>
        <v>510000</v>
      </c>
      <c r="S20" s="22"/>
      <c r="T20" s="159">
        <f>+P20</f>
        <v>510000</v>
      </c>
      <c r="U20" s="22"/>
      <c r="V20" s="159">
        <f>+N20+R20</f>
        <v>810000</v>
      </c>
      <c r="W20" s="77"/>
      <c r="X20" s="77"/>
      <c r="Y20" s="77"/>
      <c r="Z20" s="77">
        <f>268000</f>
        <v>268000</v>
      </c>
      <c r="AA20" s="77"/>
      <c r="AB20" s="77">
        <v>268000</v>
      </c>
      <c r="AC20" s="159"/>
      <c r="AD20" s="77">
        <f>142000+142000+142000+93000+88000+88000+88000+103000+103000+189000+189000+189000</f>
        <v>1556000</v>
      </c>
      <c r="AE20" s="21"/>
      <c r="AF20" s="77">
        <v>8500</v>
      </c>
      <c r="AG20" s="21"/>
      <c r="AH20" s="21">
        <f>AJ20+AL20</f>
        <v>5100</v>
      </c>
      <c r="AI20" s="21"/>
      <c r="AJ20" s="159">
        <v>1600</v>
      </c>
      <c r="AK20" s="21"/>
      <c r="AL20" s="159">
        <v>3500</v>
      </c>
      <c r="AM20" s="21"/>
      <c r="AN20" s="21">
        <f>AP20+AR20+AT20+AV20+AX20+AZ20+BB20</f>
        <v>15200</v>
      </c>
      <c r="AO20" s="20"/>
      <c r="AP20" s="77">
        <f>3040</f>
        <v>3040</v>
      </c>
      <c r="AQ20" s="86">
        <f>AQ21/(AO21+AQ21+BA21)</f>
        <v>0</v>
      </c>
      <c r="AR20" s="77">
        <v>4560</v>
      </c>
      <c r="AS20" s="151"/>
      <c r="AT20" s="77">
        <v>0</v>
      </c>
      <c r="AU20" s="151"/>
      <c r="AV20" s="77">
        <v>3040</v>
      </c>
      <c r="AW20" s="151"/>
      <c r="AX20" s="77">
        <v>2280</v>
      </c>
      <c r="AY20" s="151"/>
      <c r="AZ20" s="77">
        <v>2280</v>
      </c>
      <c r="BA20" s="20">
        <f>BA21/(AO21+AQ21+BA21)</f>
        <v>0</v>
      </c>
      <c r="BB20" s="77">
        <v>0</v>
      </c>
      <c r="BC20" s="20"/>
      <c r="BD20" s="21">
        <f>AN20+AH20+AF20+AD20+AB20+Z20+V20+H20+F20</f>
        <v>3271800</v>
      </c>
      <c r="BE20" s="21"/>
      <c r="BF20" s="27"/>
      <c r="BG20" s="27"/>
      <c r="BH20" s="27"/>
      <c r="BI20" s="27"/>
      <c r="BJ20" s="27"/>
      <c r="BK20" s="27"/>
      <c r="BL20" s="27"/>
      <c r="BM20" s="27"/>
      <c r="BN20" s="27"/>
    </row>
    <row r="21" spans="1:66" ht="14.4" x14ac:dyDescent="0.3">
      <c r="A21" s="14"/>
      <c r="B21" s="2" t="s">
        <v>84</v>
      </c>
      <c r="F21" s="21"/>
      <c r="G21" s="170">
        <v>0</v>
      </c>
      <c r="H21" s="21"/>
      <c r="I21" s="187">
        <v>168610</v>
      </c>
      <c r="J21" s="22"/>
      <c r="K21" s="77">
        <v>1320568.7879999999</v>
      </c>
      <c r="L21" s="22"/>
      <c r="M21" s="159">
        <f>+K21</f>
        <v>1320568.7879999999</v>
      </c>
      <c r="N21" s="22"/>
      <c r="O21" s="159">
        <f>+K21</f>
        <v>1320568.7879999999</v>
      </c>
      <c r="P21" s="22"/>
      <c r="Q21" s="77">
        <v>2370719.5129999998</v>
      </c>
      <c r="R21" s="77"/>
      <c r="S21" s="159">
        <f>+Q21</f>
        <v>2370719.5129999998</v>
      </c>
      <c r="T21" s="77"/>
      <c r="U21" s="159">
        <f>+Q21</f>
        <v>2370719.5129999998</v>
      </c>
      <c r="V21" s="159"/>
      <c r="W21" s="144">
        <f>U21+O21</f>
        <v>3691288.301</v>
      </c>
      <c r="X21" s="19"/>
      <c r="Y21" s="19"/>
      <c r="Z21" s="19"/>
      <c r="AA21" s="187">
        <v>1161395</v>
      </c>
      <c r="AB21" s="19"/>
      <c r="AC21" s="170">
        <v>1252473</v>
      </c>
      <c r="AD21" s="21"/>
      <c r="AE21" s="77">
        <f>355650+57130+26119+29119-18140</f>
        <v>449878</v>
      </c>
      <c r="AF21" s="77"/>
      <c r="AG21" s="77">
        <v>14108.468999999999</v>
      </c>
      <c r="AH21" s="21"/>
      <c r="AI21" s="159">
        <v>0</v>
      </c>
      <c r="AJ21" s="21"/>
      <c r="AK21" s="21">
        <v>0</v>
      </c>
      <c r="AL21" s="21"/>
      <c r="AM21" s="21">
        <v>0</v>
      </c>
      <c r="AN21" s="21"/>
      <c r="AO21" s="159">
        <f>SUM(AO10:AO20)</f>
        <v>82705.519</v>
      </c>
      <c r="AP21" s="21"/>
      <c r="AQ21" s="21">
        <v>0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0</v>
      </c>
      <c r="BB21" s="21"/>
      <c r="BC21" s="21"/>
      <c r="BD21" s="21"/>
      <c r="BE21" s="21">
        <f>AO21+AG21+AE21+AC21+AA21+W21+I21+G21</f>
        <v>6820458.2889999999</v>
      </c>
      <c r="BF21" s="27"/>
      <c r="BG21" s="30"/>
      <c r="BH21" s="27"/>
      <c r="BI21" s="27"/>
      <c r="BJ21" s="27"/>
      <c r="BK21" s="27"/>
      <c r="BL21" s="27"/>
      <c r="BM21" s="27"/>
      <c r="BN21" s="27"/>
    </row>
    <row r="22" spans="1:66" ht="14.4" x14ac:dyDescent="0.3">
      <c r="B22" s="2" t="s">
        <v>85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59"/>
      <c r="W22" s="144">
        <f>'Spur Stm'!J9</f>
        <v>215560.30100000001</v>
      </c>
      <c r="X22" s="120" t="s">
        <v>86</v>
      </c>
      <c r="Y22" s="120"/>
      <c r="Z22" s="159"/>
      <c r="AA22" s="159"/>
      <c r="AB22" s="159"/>
      <c r="AC22" s="159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7"/>
      <c r="BG22" s="27"/>
      <c r="BH22" s="27"/>
      <c r="BI22" s="27"/>
      <c r="BJ22" s="27"/>
      <c r="BK22" s="27"/>
      <c r="BL22" s="27"/>
      <c r="BM22" s="27"/>
      <c r="BN22" s="27"/>
    </row>
    <row r="23" spans="1:66" x14ac:dyDescent="0.25">
      <c r="D23" s="18" t="s">
        <v>87</v>
      </c>
      <c r="E23" s="18" t="s">
        <v>88</v>
      </c>
      <c r="F23" s="250" t="s">
        <v>89</v>
      </c>
      <c r="G23" s="251"/>
      <c r="H23" s="250" t="s">
        <v>90</v>
      </c>
      <c r="I23" s="255"/>
      <c r="J23" s="250" t="s">
        <v>91</v>
      </c>
      <c r="K23" s="251"/>
      <c r="L23" s="250" t="s">
        <v>92</v>
      </c>
      <c r="M23" s="251"/>
      <c r="N23" s="257" t="s">
        <v>93</v>
      </c>
      <c r="O23" s="258"/>
      <c r="P23" s="250" t="s">
        <v>94</v>
      </c>
      <c r="Q23" s="251"/>
      <c r="R23" s="250" t="s">
        <v>95</v>
      </c>
      <c r="S23" s="251"/>
      <c r="T23" s="257" t="s">
        <v>96</v>
      </c>
      <c r="U23" s="258"/>
      <c r="V23" s="250" t="s">
        <v>97</v>
      </c>
      <c r="W23" s="251"/>
      <c r="X23" s="142">
        <f>'Spur Stm'!J32</f>
        <v>4.1771367544317664E-2</v>
      </c>
      <c r="Y23" s="143">
        <f>'Spur Stm'!J14</f>
        <v>5.5830896800010361E-2</v>
      </c>
      <c r="Z23" s="253" t="s">
        <v>98</v>
      </c>
      <c r="AA23" s="254"/>
      <c r="AB23" s="253" t="s">
        <v>99</v>
      </c>
      <c r="AC23" s="254"/>
      <c r="AD23" s="256" t="s">
        <v>100</v>
      </c>
      <c r="AE23" s="256"/>
      <c r="AF23" s="253" t="s">
        <v>101</v>
      </c>
      <c r="AG23" s="254"/>
      <c r="AH23" s="250" t="s">
        <v>102</v>
      </c>
      <c r="AI23" s="251"/>
      <c r="AJ23" s="252" t="s">
        <v>103</v>
      </c>
      <c r="AK23" s="249"/>
      <c r="AL23" s="248" t="s">
        <v>104</v>
      </c>
      <c r="AM23" s="252"/>
      <c r="AN23" s="253" t="s">
        <v>105</v>
      </c>
      <c r="AO23" s="254"/>
      <c r="AP23" s="252" t="s">
        <v>106</v>
      </c>
      <c r="AQ23" s="249"/>
      <c r="AR23" s="248" t="s">
        <v>107</v>
      </c>
      <c r="AS23" s="249"/>
      <c r="AT23" s="248" t="s">
        <v>108</v>
      </c>
      <c r="AU23" s="249"/>
      <c r="AV23" s="248" t="s">
        <v>109</v>
      </c>
      <c r="AW23" s="249"/>
      <c r="AX23" s="248" t="s">
        <v>110</v>
      </c>
      <c r="AY23" s="249"/>
      <c r="AZ23" s="248" t="s">
        <v>111</v>
      </c>
      <c r="BA23" s="249"/>
      <c r="BB23" s="172" t="s">
        <v>112</v>
      </c>
      <c r="BC23" s="173"/>
      <c r="BD23" s="250" t="s">
        <v>113</v>
      </c>
      <c r="BE23" s="251"/>
      <c r="BF23" s="27"/>
      <c r="BG23" s="27"/>
      <c r="BH23" s="27"/>
      <c r="BI23" s="27"/>
      <c r="BJ23" s="27"/>
      <c r="BK23" s="27"/>
      <c r="BL23" s="27"/>
      <c r="BM23" s="27"/>
      <c r="BN23" s="27"/>
    </row>
    <row r="24" spans="1:66" x14ac:dyDescent="0.25">
      <c r="A24" s="18" t="s">
        <v>114</v>
      </c>
      <c r="B24" s="18" t="s">
        <v>115</v>
      </c>
      <c r="C24" s="18"/>
      <c r="D24" s="18" t="s">
        <v>116</v>
      </c>
      <c r="E24" s="18" t="s">
        <v>117</v>
      </c>
      <c r="F24" s="24" t="s">
        <v>118</v>
      </c>
      <c r="G24" s="24" t="s">
        <v>119</v>
      </c>
      <c r="H24" s="24" t="s">
        <v>118</v>
      </c>
      <c r="I24" s="197" t="s">
        <v>119</v>
      </c>
      <c r="J24" s="24" t="s">
        <v>118</v>
      </c>
      <c r="K24" s="24" t="s">
        <v>119</v>
      </c>
      <c r="L24" s="24" t="s">
        <v>118</v>
      </c>
      <c r="M24" s="24" t="s">
        <v>119</v>
      </c>
      <c r="N24" s="222" t="s">
        <v>118</v>
      </c>
      <c r="O24" s="223" t="s">
        <v>119</v>
      </c>
      <c r="P24" s="24" t="s">
        <v>118</v>
      </c>
      <c r="Q24" s="24" t="s">
        <v>119</v>
      </c>
      <c r="R24" s="24" t="s">
        <v>118</v>
      </c>
      <c r="S24" s="24" t="s">
        <v>119</v>
      </c>
      <c r="T24" s="223" t="s">
        <v>118</v>
      </c>
      <c r="U24" s="223" t="s">
        <v>119</v>
      </c>
      <c r="V24" s="89" t="s">
        <v>118</v>
      </c>
      <c r="W24" s="89" t="s">
        <v>119</v>
      </c>
      <c r="X24" s="121" t="s">
        <v>120</v>
      </c>
      <c r="Y24" s="122" t="s">
        <v>121</v>
      </c>
      <c r="Z24" s="26" t="s">
        <v>118</v>
      </c>
      <c r="AA24" s="26" t="s">
        <v>119</v>
      </c>
      <c r="AB24" s="26" t="s">
        <v>118</v>
      </c>
      <c r="AC24" s="26" t="s">
        <v>119</v>
      </c>
      <c r="AD24" s="198" t="s">
        <v>118</v>
      </c>
      <c r="AE24" s="197" t="s">
        <v>119</v>
      </c>
      <c r="AF24" s="24" t="s">
        <v>118</v>
      </c>
      <c r="AG24" s="24" t="s">
        <v>119</v>
      </c>
      <c r="AH24" s="24" t="s">
        <v>118</v>
      </c>
      <c r="AI24" s="24" t="s">
        <v>119</v>
      </c>
      <c r="AJ24" s="200" t="s">
        <v>118</v>
      </c>
      <c r="AK24" s="31" t="s">
        <v>119</v>
      </c>
      <c r="AL24" s="31" t="s">
        <v>118</v>
      </c>
      <c r="AM24" s="199" t="s">
        <v>119</v>
      </c>
      <c r="AN24" s="24" t="s">
        <v>118</v>
      </c>
      <c r="AO24" s="24" t="s">
        <v>119</v>
      </c>
      <c r="AP24" s="200" t="s">
        <v>118</v>
      </c>
      <c r="AQ24" s="31" t="s">
        <v>119</v>
      </c>
      <c r="AR24" s="31" t="s">
        <v>118</v>
      </c>
      <c r="AS24" s="31" t="s">
        <v>119</v>
      </c>
      <c r="AT24" s="31" t="s">
        <v>118</v>
      </c>
      <c r="AU24" s="31" t="s">
        <v>119</v>
      </c>
      <c r="AV24" s="31" t="s">
        <v>118</v>
      </c>
      <c r="AW24" s="31" t="s">
        <v>119</v>
      </c>
      <c r="AX24" s="31" t="s">
        <v>118</v>
      </c>
      <c r="AY24" s="31" t="s">
        <v>119</v>
      </c>
      <c r="AZ24" s="31" t="s">
        <v>118</v>
      </c>
      <c r="BA24" s="199" t="s">
        <v>119</v>
      </c>
      <c r="BB24" s="171" t="s">
        <v>118</v>
      </c>
      <c r="BC24" s="171" t="s">
        <v>119</v>
      </c>
      <c r="BD24" s="89" t="s">
        <v>118</v>
      </c>
      <c r="BE24" s="89" t="s">
        <v>119</v>
      </c>
      <c r="BF24" s="32" t="s">
        <v>122</v>
      </c>
      <c r="BG24" s="32" t="s">
        <v>123</v>
      </c>
      <c r="BH24" s="27"/>
      <c r="BI24" s="27"/>
      <c r="BJ24" s="27"/>
      <c r="BK24" s="27"/>
      <c r="BL24" s="27"/>
      <c r="BM24" s="27"/>
      <c r="BN24" s="27"/>
    </row>
    <row r="25" spans="1:66" x14ac:dyDescent="0.25">
      <c r="A25" s="18">
        <v>500</v>
      </c>
      <c r="B25" s="2" t="s">
        <v>124</v>
      </c>
      <c r="E25" s="25"/>
      <c r="F25" s="180"/>
      <c r="G25" s="50"/>
      <c r="H25" s="187">
        <f>4173189.2+18588.97+19012.98</f>
        <v>4210791.1500000004</v>
      </c>
      <c r="I25" s="21"/>
      <c r="J25" s="180"/>
      <c r="K25" s="34"/>
      <c r="L25" s="180">
        <v>0</v>
      </c>
      <c r="M25" s="48"/>
      <c r="N25" s="224">
        <f>J25+L25</f>
        <v>0</v>
      </c>
      <c r="O25" s="225">
        <f>K25+M25</f>
        <v>0</v>
      </c>
      <c r="P25" s="192">
        <f>1640326.78+252.67</f>
        <v>1640579.45</v>
      </c>
      <c r="Q25" s="48"/>
      <c r="R25" s="49">
        <v>0</v>
      </c>
      <c r="S25" s="48"/>
      <c r="T25" s="224">
        <f>P25+R25</f>
        <v>1640579.45</v>
      </c>
      <c r="U25" s="239">
        <f>Q25+S25</f>
        <v>0</v>
      </c>
      <c r="V25" s="33">
        <f>T25+N25</f>
        <v>1640579.45</v>
      </c>
      <c r="W25" s="34">
        <f>U25+O25</f>
        <v>0</v>
      </c>
      <c r="X25" s="120">
        <f>V25*$X$23</f>
        <v>68529.247191604518</v>
      </c>
      <c r="Y25" s="120">
        <f>W25*$Y$23</f>
        <v>0</v>
      </c>
      <c r="Z25" s="186">
        <v>861975.64</v>
      </c>
      <c r="AA25" s="36"/>
      <c r="AB25" s="186">
        <f>861975.64+6123.43</f>
        <v>868099.07000000007</v>
      </c>
      <c r="AC25" s="36"/>
      <c r="AD25" s="21"/>
      <c r="AE25" s="21"/>
      <c r="AF25" s="37"/>
      <c r="AG25" s="38"/>
      <c r="AH25" s="37"/>
      <c r="AI25" s="38"/>
      <c r="AJ25" s="39"/>
      <c r="AK25" s="39"/>
      <c r="AL25" s="39"/>
      <c r="AM25" s="39"/>
      <c r="AN25" s="37"/>
      <c r="AO25" s="38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90">
        <f>AN25+AH25+AF25+AD25+V25+H25+F25+Z25+AB25</f>
        <v>7581445.3100000005</v>
      </c>
      <c r="BE25" s="90">
        <f>AO25+AI25+AG25+AE25+W25+I25+G25+AA25+AC25</f>
        <v>0</v>
      </c>
      <c r="BF25" s="27" t="s">
        <v>125</v>
      </c>
      <c r="BG25" s="27"/>
      <c r="BH25" s="27"/>
      <c r="BI25" s="27"/>
      <c r="BJ25" s="27"/>
      <c r="BK25" s="27"/>
      <c r="BL25" s="27"/>
      <c r="BM25" s="30"/>
      <c r="BN25" s="27"/>
    </row>
    <row r="26" spans="1:66" x14ac:dyDescent="0.25">
      <c r="A26" s="18">
        <v>501010</v>
      </c>
      <c r="B26" s="2" t="s">
        <v>126</v>
      </c>
      <c r="E26" s="25"/>
      <c r="F26" s="35"/>
      <c r="G26" s="184"/>
      <c r="H26" s="21"/>
      <c r="I26" s="187">
        <f>108822.73+1787573.04+5485754.26</f>
        <v>7382150.0299999993</v>
      </c>
      <c r="J26" s="37"/>
      <c r="K26" s="184">
        <v>30845488.899999999</v>
      </c>
      <c r="L26" s="37"/>
      <c r="M26" s="40"/>
      <c r="N26" s="226">
        <f t="shared" ref="N26:N55" si="0">J26+L26</f>
        <v>0</v>
      </c>
      <c r="O26" s="168">
        <f t="shared" ref="O26:O55" si="1">K26+M26</f>
        <v>30845488.899999999</v>
      </c>
      <c r="P26" s="40"/>
      <c r="Q26" s="178">
        <v>51556601.460000001</v>
      </c>
      <c r="R26" s="37"/>
      <c r="S26" s="40"/>
      <c r="T26" s="226">
        <f t="shared" ref="T26:T55" si="2">P26+R26</f>
        <v>0</v>
      </c>
      <c r="U26" s="169">
        <f t="shared" ref="U26:U55" si="3">Q26+S26</f>
        <v>51556601.460000001</v>
      </c>
      <c r="V26" s="37">
        <f t="shared" ref="V26:V55" si="4">T26+N26</f>
        <v>0</v>
      </c>
      <c r="W26" s="38">
        <f t="shared" ref="W26:W55" si="5">U26+O26</f>
        <v>82402090.359999999</v>
      </c>
      <c r="X26" s="120">
        <f t="shared" ref="X26:X53" si="6">V26*$X$23</f>
        <v>0</v>
      </c>
      <c r="Y26" s="120">
        <f t="shared" ref="Y26:Y52" si="7">W26*$Y$23</f>
        <v>4600582.6029942883</v>
      </c>
      <c r="Z26" s="35"/>
      <c r="AA26" s="184">
        <v>24564422.870000001</v>
      </c>
      <c r="AB26" s="35"/>
      <c r="AC26" s="184">
        <v>27320521.120000001</v>
      </c>
      <c r="AD26" s="21"/>
      <c r="AE26" s="21"/>
      <c r="AF26" s="37"/>
      <c r="AG26" s="38"/>
      <c r="AH26" s="37"/>
      <c r="AI26" s="38"/>
      <c r="AJ26" s="39"/>
      <c r="AK26" s="39"/>
      <c r="AL26" s="39"/>
      <c r="AM26" s="39"/>
      <c r="AN26" s="37"/>
      <c r="AO26" s="38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90">
        <f t="shared" ref="BD26:BD52" si="8">AN26+AH26+AF26+AD26+V26+H26+F26+Z26+AB26</f>
        <v>0</v>
      </c>
      <c r="BE26" s="90">
        <f t="shared" ref="BE26:BE53" si="9">AO26+AI26+AG26+AE26+W26+I26+G26+AA26+AC26</f>
        <v>141669184.38</v>
      </c>
      <c r="BF26" s="27"/>
      <c r="BG26" s="27"/>
      <c r="BH26" s="27"/>
      <c r="BI26" s="27"/>
      <c r="BJ26" s="27"/>
      <c r="BK26" s="27"/>
      <c r="BL26" s="27"/>
      <c r="BM26" s="30"/>
      <c r="BN26" s="27"/>
    </row>
    <row r="27" spans="1:66" x14ac:dyDescent="0.25">
      <c r="A27" s="18">
        <v>501</v>
      </c>
      <c r="B27" s="2" t="s">
        <v>127</v>
      </c>
      <c r="E27" s="25"/>
      <c r="F27" s="35"/>
      <c r="G27" s="184"/>
      <c r="H27" s="159"/>
      <c r="I27" s="187">
        <v>0</v>
      </c>
      <c r="J27" s="35"/>
      <c r="K27" s="184">
        <v>0</v>
      </c>
      <c r="L27" s="35"/>
      <c r="M27" s="119"/>
      <c r="N27" s="226">
        <f t="shared" si="0"/>
        <v>0</v>
      </c>
      <c r="O27" s="168">
        <f t="shared" si="1"/>
        <v>0</v>
      </c>
      <c r="P27" s="119"/>
      <c r="Q27" s="178">
        <v>0</v>
      </c>
      <c r="R27" s="37"/>
      <c r="S27" s="40"/>
      <c r="T27" s="226"/>
      <c r="U27" s="169">
        <f t="shared" si="3"/>
        <v>0</v>
      </c>
      <c r="V27" s="37"/>
      <c r="W27" s="38">
        <f t="shared" si="5"/>
        <v>0</v>
      </c>
      <c r="X27" s="120">
        <f t="shared" si="6"/>
        <v>0</v>
      </c>
      <c r="Y27" s="120">
        <f t="shared" si="7"/>
        <v>0</v>
      </c>
      <c r="Z27" s="35"/>
      <c r="AA27" s="36"/>
      <c r="AB27" s="35"/>
      <c r="AC27" s="36"/>
      <c r="AD27" s="21"/>
      <c r="AE27" s="21"/>
      <c r="AF27" s="37"/>
      <c r="AG27" s="38"/>
      <c r="AH27" s="37"/>
      <c r="AI27" s="38"/>
      <c r="AJ27" s="39"/>
      <c r="AK27" s="39"/>
      <c r="AL27" s="39"/>
      <c r="AM27" s="39"/>
      <c r="AN27" s="37"/>
      <c r="AO27" s="38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90">
        <f t="shared" si="8"/>
        <v>0</v>
      </c>
      <c r="BE27" s="90">
        <f t="shared" si="9"/>
        <v>0</v>
      </c>
      <c r="BF27" s="30">
        <f>BE27</f>
        <v>0</v>
      </c>
      <c r="BG27" s="27"/>
      <c r="BH27" s="27"/>
      <c r="BI27" s="27"/>
      <c r="BJ27" s="27"/>
      <c r="BK27" s="27"/>
      <c r="BL27" s="27"/>
      <c r="BM27" s="30"/>
      <c r="BN27" s="27"/>
    </row>
    <row r="28" spans="1:66" x14ac:dyDescent="0.25">
      <c r="A28" s="18">
        <v>501020</v>
      </c>
      <c r="B28" s="2" t="s">
        <v>128</v>
      </c>
      <c r="E28" s="25"/>
      <c r="F28" s="35"/>
      <c r="G28" s="184"/>
      <c r="H28" s="21"/>
      <c r="I28" s="187">
        <f>90193.56+173599.52</f>
        <v>263793.07999999996</v>
      </c>
      <c r="J28" s="37"/>
      <c r="K28" s="184">
        <v>559946.23999999999</v>
      </c>
      <c r="L28" s="37"/>
      <c r="M28" s="40"/>
      <c r="N28" s="226">
        <f t="shared" si="0"/>
        <v>0</v>
      </c>
      <c r="O28" s="168">
        <f t="shared" si="1"/>
        <v>559946.23999999999</v>
      </c>
      <c r="P28" s="40"/>
      <c r="Q28" s="178">
        <v>797628.86</v>
      </c>
      <c r="R28" s="37"/>
      <c r="S28" s="40"/>
      <c r="T28" s="226"/>
      <c r="U28" s="169">
        <f t="shared" si="3"/>
        <v>797628.86</v>
      </c>
      <c r="V28" s="37"/>
      <c r="W28" s="38">
        <f t="shared" si="5"/>
        <v>1357575.1</v>
      </c>
      <c r="X28" s="120">
        <f t="shared" si="6"/>
        <v>0</v>
      </c>
      <c r="Y28" s="120">
        <f t="shared" si="7"/>
        <v>75794.635306363751</v>
      </c>
      <c r="Z28" s="35"/>
      <c r="AA28" s="184">
        <v>845933</v>
      </c>
      <c r="AB28" s="35"/>
      <c r="AC28" s="184">
        <v>779708.69</v>
      </c>
      <c r="AD28" s="21"/>
      <c r="AE28" s="21"/>
      <c r="AF28" s="37"/>
      <c r="AG28" s="38"/>
      <c r="AH28" s="37"/>
      <c r="AI28" s="38"/>
      <c r="AJ28" s="39"/>
      <c r="AK28" s="39"/>
      <c r="AL28" s="39"/>
      <c r="AM28" s="39"/>
      <c r="AN28" s="37"/>
      <c r="AO28" s="38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90">
        <f t="shared" si="8"/>
        <v>0</v>
      </c>
      <c r="BE28" s="90">
        <f t="shared" si="9"/>
        <v>3247009.87</v>
      </c>
      <c r="BF28" s="27"/>
      <c r="BG28" s="27"/>
      <c r="BH28" s="27"/>
      <c r="BI28" s="27"/>
      <c r="BJ28" s="27"/>
      <c r="BK28" s="27"/>
      <c r="BL28" s="27"/>
      <c r="BM28" s="30"/>
      <c r="BN28" s="27"/>
    </row>
    <row r="29" spans="1:66" x14ac:dyDescent="0.25">
      <c r="A29" s="18">
        <v>501060</v>
      </c>
      <c r="B29" s="2" t="s">
        <v>129</v>
      </c>
      <c r="E29" s="25"/>
      <c r="F29" s="35"/>
      <c r="G29" s="181"/>
      <c r="H29" s="21"/>
      <c r="I29" s="182"/>
      <c r="J29" s="37"/>
      <c r="K29" s="181"/>
      <c r="L29" s="37"/>
      <c r="M29" s="40"/>
      <c r="N29" s="226">
        <f t="shared" si="0"/>
        <v>0</v>
      </c>
      <c r="O29" s="168">
        <f t="shared" si="1"/>
        <v>0</v>
      </c>
      <c r="P29" s="40"/>
      <c r="Q29" s="183"/>
      <c r="R29" s="37"/>
      <c r="S29" s="40"/>
      <c r="T29" s="226"/>
      <c r="U29" s="169">
        <f t="shared" si="3"/>
        <v>0</v>
      </c>
      <c r="V29" s="37"/>
      <c r="W29" s="38">
        <f t="shared" si="5"/>
        <v>0</v>
      </c>
      <c r="X29" s="120">
        <f t="shared" si="6"/>
        <v>0</v>
      </c>
      <c r="Y29" s="120">
        <f t="shared" si="7"/>
        <v>0</v>
      </c>
      <c r="Z29" s="35"/>
      <c r="AA29" s="184">
        <v>595356.65</v>
      </c>
      <c r="AB29" s="35"/>
      <c r="AC29" s="181"/>
      <c r="AD29" s="21"/>
      <c r="AE29" s="21"/>
      <c r="AF29" s="37"/>
      <c r="AG29" s="38"/>
      <c r="AH29" s="37"/>
      <c r="AI29" s="38"/>
      <c r="AJ29" s="39"/>
      <c r="AK29" s="39"/>
      <c r="AL29" s="39"/>
      <c r="AM29" s="39"/>
      <c r="AN29" s="37"/>
      <c r="AO29" s="38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90">
        <f t="shared" si="8"/>
        <v>0</v>
      </c>
      <c r="BE29" s="90">
        <f t="shared" si="9"/>
        <v>595356.65</v>
      </c>
      <c r="BF29" s="27"/>
      <c r="BG29" s="27"/>
      <c r="BH29" s="27"/>
      <c r="BI29" s="27"/>
      <c r="BJ29" s="27"/>
      <c r="BK29" s="27"/>
      <c r="BL29" s="27"/>
      <c r="BM29" s="30"/>
      <c r="BN29" s="27"/>
    </row>
    <row r="30" spans="1:66" x14ac:dyDescent="0.25">
      <c r="A30" s="18">
        <v>502</v>
      </c>
      <c r="B30" s="2" t="s">
        <v>130</v>
      </c>
      <c r="E30" s="25"/>
      <c r="F30" s="186"/>
      <c r="G30" s="36"/>
      <c r="H30" s="187">
        <f>1762414.23+34256.47+212456.47</f>
        <v>2009127.17</v>
      </c>
      <c r="I30" s="21"/>
      <c r="J30" s="186">
        <f>440294.81+1570784.69</f>
        <v>2011079.5</v>
      </c>
      <c r="K30" s="38"/>
      <c r="L30" s="186">
        <v>1185420</v>
      </c>
      <c r="M30" s="40"/>
      <c r="N30" s="226">
        <f t="shared" si="0"/>
        <v>3196499.5</v>
      </c>
      <c r="O30" s="168">
        <f t="shared" si="1"/>
        <v>0</v>
      </c>
      <c r="P30" s="178">
        <f>748501.17+1393102.31</f>
        <v>2141603.48</v>
      </c>
      <c r="Q30" s="40"/>
      <c r="R30" s="186">
        <v>882889.68</v>
      </c>
      <c r="S30" s="40"/>
      <c r="T30" s="226">
        <f t="shared" si="2"/>
        <v>3024493.16</v>
      </c>
      <c r="U30" s="169">
        <f t="shared" si="3"/>
        <v>0</v>
      </c>
      <c r="V30" s="37">
        <f t="shared" si="4"/>
        <v>6220992.6600000001</v>
      </c>
      <c r="W30" s="38">
        <f t="shared" si="5"/>
        <v>0</v>
      </c>
      <c r="X30" s="120">
        <f t="shared" si="6"/>
        <v>259859.37089136243</v>
      </c>
      <c r="Y30" s="120">
        <f t="shared" si="7"/>
        <v>0</v>
      </c>
      <c r="Z30" s="186">
        <f>393330.03+1367117.59</f>
        <v>1760447.62</v>
      </c>
      <c r="AA30" s="36"/>
      <c r="AB30" s="186">
        <f>393330.03+1508378.47</f>
        <v>1901708.5</v>
      </c>
      <c r="AC30" s="36"/>
      <c r="AD30" s="21"/>
      <c r="AE30" s="21"/>
      <c r="AF30" s="37"/>
      <c r="AG30" s="38"/>
      <c r="AH30" s="37"/>
      <c r="AI30" s="38"/>
      <c r="AJ30" s="39"/>
      <c r="AK30" s="39"/>
      <c r="AL30" s="39"/>
      <c r="AM30" s="39"/>
      <c r="AN30" s="37"/>
      <c r="AO30" s="38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90">
        <f t="shared" si="8"/>
        <v>11892275.949999999</v>
      </c>
      <c r="BE30" s="90">
        <f t="shared" si="9"/>
        <v>0</v>
      </c>
      <c r="BF30" s="27"/>
      <c r="BG30" s="27"/>
      <c r="BH30" s="27"/>
      <c r="BI30" s="27"/>
      <c r="BJ30" s="27"/>
      <c r="BK30" s="27"/>
      <c r="BL30" s="27"/>
      <c r="BM30" s="30"/>
      <c r="BN30" s="27"/>
    </row>
    <row r="31" spans="1:66" x14ac:dyDescent="0.25">
      <c r="A31" s="18">
        <v>505</v>
      </c>
      <c r="B31" s="2" t="s">
        <v>131</v>
      </c>
      <c r="E31" s="25"/>
      <c r="F31" s="186"/>
      <c r="G31" s="36"/>
      <c r="H31" s="187">
        <f>1266665.72+27956.47</f>
        <v>1294622.19</v>
      </c>
      <c r="I31" s="21"/>
      <c r="J31" s="186">
        <f>27026.45+765305.21</f>
        <v>792331.65999999992</v>
      </c>
      <c r="K31" s="38"/>
      <c r="L31" s="186">
        <v>38693.75</v>
      </c>
      <c r="M31" s="40"/>
      <c r="N31" s="226">
        <f t="shared" si="0"/>
        <v>831025.40999999992</v>
      </c>
      <c r="O31" s="168">
        <f t="shared" si="1"/>
        <v>0</v>
      </c>
      <c r="P31" s="178">
        <f>45944.97+1060479.35</f>
        <v>1106424.3200000001</v>
      </c>
      <c r="Q31" s="40"/>
      <c r="R31" s="186">
        <v>449618.59</v>
      </c>
      <c r="S31" s="40"/>
      <c r="T31" s="226">
        <f t="shared" si="2"/>
        <v>1556042.9100000001</v>
      </c>
      <c r="U31" s="169">
        <f t="shared" si="3"/>
        <v>0</v>
      </c>
      <c r="V31" s="37">
        <f t="shared" si="4"/>
        <v>2387068.3200000003</v>
      </c>
      <c r="W31" s="38">
        <f t="shared" si="5"/>
        <v>0</v>
      </c>
      <c r="X31" s="120">
        <f t="shared" si="6"/>
        <v>99711.108148116909</v>
      </c>
      <c r="Y31" s="120">
        <f t="shared" si="7"/>
        <v>0</v>
      </c>
      <c r="Z31" s="186">
        <f>24143.63+1055241.45</f>
        <v>1079385.0799999998</v>
      </c>
      <c r="AA31" s="36"/>
      <c r="AB31" s="186">
        <f>24143.63+1130936.04</f>
        <v>1155079.67</v>
      </c>
      <c r="AC31" s="36"/>
      <c r="AD31" s="21"/>
      <c r="AE31" s="21"/>
      <c r="AF31" s="37"/>
      <c r="AG31" s="38"/>
      <c r="AH31" s="37"/>
      <c r="AI31" s="38"/>
      <c r="AJ31" s="39"/>
      <c r="AK31" s="39"/>
      <c r="AL31" s="39"/>
      <c r="AM31" s="39"/>
      <c r="AN31" s="37"/>
      <c r="AO31" s="38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90">
        <f t="shared" si="8"/>
        <v>5916155.2599999998</v>
      </c>
      <c r="BE31" s="90">
        <f t="shared" si="9"/>
        <v>0</v>
      </c>
      <c r="BF31" s="27"/>
      <c r="BG31" s="27"/>
      <c r="BH31" s="27"/>
      <c r="BI31" s="27"/>
      <c r="BJ31" s="27"/>
      <c r="BK31" s="27"/>
      <c r="BL31" s="27"/>
      <c r="BM31" s="30"/>
      <c r="BN31" s="27"/>
    </row>
    <row r="32" spans="1:66" x14ac:dyDescent="0.25">
      <c r="A32" s="18">
        <v>506</v>
      </c>
      <c r="B32" s="2" t="s">
        <v>132</v>
      </c>
      <c r="D32" s="21"/>
      <c r="E32" s="25"/>
      <c r="F32" s="186"/>
      <c r="G32" s="184"/>
      <c r="H32" s="187">
        <v>2316673</v>
      </c>
      <c r="I32" s="187">
        <v>871170.04</v>
      </c>
      <c r="J32" s="186">
        <v>3385568.47</v>
      </c>
      <c r="K32" s="184">
        <v>255413</v>
      </c>
      <c r="L32" s="186">
        <v>219017.81</v>
      </c>
      <c r="M32" s="178">
        <v>852962.25</v>
      </c>
      <c r="N32" s="226">
        <f>L32+J32</f>
        <v>3604586.2800000003</v>
      </c>
      <c r="O32" s="168">
        <f>M32+K32</f>
        <v>1108375.25</v>
      </c>
      <c r="P32" s="178">
        <v>5112935.13</v>
      </c>
      <c r="Q32" s="178">
        <v>446284.77</v>
      </c>
      <c r="R32" s="186">
        <v>196565.73</v>
      </c>
      <c r="S32" s="178">
        <v>1879205.42</v>
      </c>
      <c r="T32" s="226">
        <f>R32+P32</f>
        <v>5309500.8600000003</v>
      </c>
      <c r="U32" s="169">
        <f>Q32+S32</f>
        <v>2325490.19</v>
      </c>
      <c r="V32" s="37">
        <f t="shared" si="4"/>
        <v>8914087.1400000006</v>
      </c>
      <c r="W32" s="38">
        <f t="shared" si="5"/>
        <v>3433865.44</v>
      </c>
      <c r="X32" s="120">
        <f t="shared" si="6"/>
        <v>372353.61024701549</v>
      </c>
      <c r="Y32" s="120">
        <f t="shared" si="7"/>
        <v>191715.78700576216</v>
      </c>
      <c r="Z32" s="186">
        <v>3671449.75</v>
      </c>
      <c r="AA32" s="184">
        <v>2504044.77</v>
      </c>
      <c r="AB32" s="186">
        <v>3524398.39</v>
      </c>
      <c r="AC32" s="184">
        <v>3015081.72</v>
      </c>
      <c r="AD32" s="140"/>
      <c r="AE32" s="140"/>
      <c r="AF32" s="138"/>
      <c r="AG32" s="139"/>
      <c r="AH32" s="138"/>
      <c r="AI32" s="139"/>
      <c r="AJ32" s="141"/>
      <c r="AK32" s="141"/>
      <c r="AL32" s="141"/>
      <c r="AM32" s="141"/>
      <c r="AN32" s="138"/>
      <c r="AO32" s="139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90">
        <f t="shared" si="8"/>
        <v>18426608.280000001</v>
      </c>
      <c r="BE32" s="90">
        <f t="shared" si="9"/>
        <v>9824161.9700000007</v>
      </c>
      <c r="BF32" s="30"/>
      <c r="BG32" s="27"/>
      <c r="BH32" s="27"/>
      <c r="BI32" s="27"/>
      <c r="BJ32" s="27"/>
      <c r="BK32" s="27"/>
      <c r="BL32" s="27"/>
      <c r="BM32" s="30"/>
      <c r="BN32" s="27"/>
    </row>
    <row r="33" spans="1:66" ht="12.75" hidden="1" customHeight="1" x14ac:dyDescent="0.25">
      <c r="A33" s="18">
        <v>50602</v>
      </c>
      <c r="B33" s="2" t="str">
        <f>B32</f>
        <v>Misc Steam Exp</v>
      </c>
      <c r="D33" s="21"/>
      <c r="E33" s="25"/>
      <c r="F33" s="35"/>
      <c r="G33" s="36"/>
      <c r="H33" s="21"/>
      <c r="I33" s="167"/>
      <c r="J33" s="37"/>
      <c r="K33" s="145"/>
      <c r="L33" s="37"/>
      <c r="M33" s="169"/>
      <c r="N33" s="226"/>
      <c r="O33" s="168"/>
      <c r="P33" s="40"/>
      <c r="Q33" s="169"/>
      <c r="R33" s="37"/>
      <c r="S33" s="169"/>
      <c r="T33" s="226"/>
      <c r="U33" s="169"/>
      <c r="V33" s="37"/>
      <c r="W33" s="38"/>
      <c r="X33" s="120">
        <f t="shared" si="6"/>
        <v>0</v>
      </c>
      <c r="Y33" s="120"/>
      <c r="Z33" s="35"/>
      <c r="AA33" s="168"/>
      <c r="AB33" s="35"/>
      <c r="AC33" s="168"/>
      <c r="AD33" s="21"/>
      <c r="AE33" s="21"/>
      <c r="AF33" s="37"/>
      <c r="AG33" s="38"/>
      <c r="AH33" s="37"/>
      <c r="AI33" s="38"/>
      <c r="AJ33" s="39"/>
      <c r="AK33" s="39"/>
      <c r="AL33" s="39"/>
      <c r="AM33" s="39"/>
      <c r="AN33" s="37"/>
      <c r="AO33" s="38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90">
        <f t="shared" si="8"/>
        <v>0</v>
      </c>
      <c r="BE33" s="90">
        <f t="shared" si="9"/>
        <v>0</v>
      </c>
      <c r="BF33" s="27"/>
      <c r="BG33" s="27"/>
      <c r="BH33" s="27"/>
      <c r="BI33" s="27"/>
      <c r="BJ33" s="27"/>
      <c r="BK33" s="27"/>
      <c r="BL33" s="27"/>
      <c r="BM33" s="30"/>
      <c r="BN33" s="27"/>
    </row>
    <row r="34" spans="1:66" x14ac:dyDescent="0.25">
      <c r="A34" s="18">
        <v>509</v>
      </c>
      <c r="B34" s="2" t="s">
        <v>133</v>
      </c>
      <c r="D34" s="21"/>
      <c r="E34" s="25"/>
      <c r="F34" s="35"/>
      <c r="G34" s="184"/>
      <c r="H34" s="21"/>
      <c r="I34" s="187">
        <v>791.75</v>
      </c>
      <c r="J34" s="37"/>
      <c r="K34" s="184">
        <v>5904.12</v>
      </c>
      <c r="L34" s="37"/>
      <c r="M34" s="119">
        <v>0</v>
      </c>
      <c r="N34" s="226">
        <f t="shared" si="0"/>
        <v>0</v>
      </c>
      <c r="O34" s="168">
        <f t="shared" si="1"/>
        <v>5904.12</v>
      </c>
      <c r="P34" s="40"/>
      <c r="Q34" s="178">
        <v>10599.22</v>
      </c>
      <c r="R34" s="37"/>
      <c r="S34" s="119">
        <v>0</v>
      </c>
      <c r="T34" s="226">
        <f t="shared" si="2"/>
        <v>0</v>
      </c>
      <c r="U34" s="169">
        <f t="shared" si="3"/>
        <v>10599.22</v>
      </c>
      <c r="V34" s="37">
        <f t="shared" si="4"/>
        <v>0</v>
      </c>
      <c r="W34" s="38">
        <f t="shared" si="5"/>
        <v>16503.34</v>
      </c>
      <c r="X34" s="120">
        <f t="shared" si="6"/>
        <v>0</v>
      </c>
      <c r="Y34" s="120">
        <f t="shared" si="7"/>
        <v>921.39627239548304</v>
      </c>
      <c r="Z34" s="35"/>
      <c r="AA34" s="184">
        <v>5192.47</v>
      </c>
      <c r="AB34" s="35"/>
      <c r="AC34" s="184">
        <v>5599.67</v>
      </c>
      <c r="AD34" s="21"/>
      <c r="AE34" s="187">
        <v>0.23</v>
      </c>
      <c r="AF34" s="37"/>
      <c r="AG34" s="184"/>
      <c r="AH34" s="37"/>
      <c r="AI34" s="38"/>
      <c r="AJ34" s="39"/>
      <c r="AK34" s="39"/>
      <c r="AL34" s="39"/>
      <c r="AM34" s="39"/>
      <c r="AN34" s="37"/>
      <c r="AO34" s="38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90">
        <f t="shared" si="8"/>
        <v>0</v>
      </c>
      <c r="BE34" s="90">
        <f t="shared" si="9"/>
        <v>28087.46</v>
      </c>
      <c r="BF34" s="27"/>
      <c r="BG34" s="27"/>
      <c r="BH34" s="27"/>
      <c r="BI34" s="27"/>
      <c r="BJ34" s="27"/>
      <c r="BK34" s="27"/>
      <c r="BL34" s="27"/>
      <c r="BM34" s="30"/>
      <c r="BN34" s="27"/>
    </row>
    <row r="35" spans="1:66" x14ac:dyDescent="0.25">
      <c r="A35" s="18">
        <v>510</v>
      </c>
      <c r="B35" s="2" t="s">
        <v>134</v>
      </c>
      <c r="D35" s="21"/>
      <c r="E35" s="25"/>
      <c r="F35" s="35"/>
      <c r="G35" s="184"/>
      <c r="H35" s="21"/>
      <c r="I35" s="187">
        <v>28211.13</v>
      </c>
      <c r="J35" s="37"/>
      <c r="K35" s="184">
        <v>731637.55</v>
      </c>
      <c r="L35" s="37"/>
      <c r="M35" s="119">
        <v>0</v>
      </c>
      <c r="N35" s="226">
        <f t="shared" si="0"/>
        <v>0</v>
      </c>
      <c r="O35" s="168">
        <f t="shared" si="1"/>
        <v>731637.55</v>
      </c>
      <c r="P35" s="40"/>
      <c r="Q35" s="178">
        <v>1243783.8400000001</v>
      </c>
      <c r="R35" s="37"/>
      <c r="S35" s="119">
        <v>0</v>
      </c>
      <c r="T35" s="226">
        <f t="shared" si="2"/>
        <v>0</v>
      </c>
      <c r="U35" s="169">
        <f t="shared" si="3"/>
        <v>1243783.8400000001</v>
      </c>
      <c r="V35" s="37">
        <f t="shared" si="4"/>
        <v>0</v>
      </c>
      <c r="W35" s="38">
        <f t="shared" si="5"/>
        <v>1975421.3900000001</v>
      </c>
      <c r="X35" s="120">
        <f t="shared" si="6"/>
        <v>0</v>
      </c>
      <c r="Y35" s="120">
        <f t="shared" si="7"/>
        <v>110289.54776162303</v>
      </c>
      <c r="Z35" s="35"/>
      <c r="AA35" s="184">
        <v>653596.21</v>
      </c>
      <c r="AB35" s="35"/>
      <c r="AC35" s="184">
        <v>653596.21</v>
      </c>
      <c r="AD35" s="21"/>
      <c r="AE35" s="21"/>
      <c r="AF35" s="37"/>
      <c r="AG35" s="38"/>
      <c r="AH35" s="37"/>
      <c r="AI35" s="38"/>
      <c r="AJ35" s="39"/>
      <c r="AK35" s="39"/>
      <c r="AL35" s="39"/>
      <c r="AM35" s="39"/>
      <c r="AN35" s="37"/>
      <c r="AO35" s="38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90">
        <f t="shared" si="8"/>
        <v>0</v>
      </c>
      <c r="BE35" s="90">
        <f t="shared" si="9"/>
        <v>3310824.94</v>
      </c>
      <c r="BF35" s="27"/>
      <c r="BG35" s="27"/>
      <c r="BH35" s="27"/>
      <c r="BI35" s="27"/>
      <c r="BJ35" s="27"/>
      <c r="BK35" s="27"/>
      <c r="BL35" s="27"/>
      <c r="BM35" s="30"/>
      <c r="BN35" s="27"/>
    </row>
    <row r="36" spans="1:66" x14ac:dyDescent="0.25">
      <c r="A36" s="18">
        <v>511</v>
      </c>
      <c r="B36" s="2" t="s">
        <v>135</v>
      </c>
      <c r="D36" s="21"/>
      <c r="E36" s="25"/>
      <c r="F36" s="186"/>
      <c r="G36" s="36"/>
      <c r="H36" s="187">
        <f>811860.55+2775.99+87910.31</f>
        <v>902546.85000000009</v>
      </c>
      <c r="I36" s="21"/>
      <c r="J36" s="186">
        <f>1117406.01+328840.23</f>
        <v>1446246.24</v>
      </c>
      <c r="K36" s="38"/>
      <c r="L36" s="186">
        <v>0</v>
      </c>
      <c r="M36" s="40"/>
      <c r="N36" s="226">
        <f t="shared" si="0"/>
        <v>1446246.24</v>
      </c>
      <c r="O36" s="168">
        <f t="shared" si="1"/>
        <v>0</v>
      </c>
      <c r="P36" s="178">
        <v>1899590.22</v>
      </c>
      <c r="Q36" s="40"/>
      <c r="R36" s="186">
        <v>0</v>
      </c>
      <c r="S36" s="119"/>
      <c r="T36" s="226">
        <f t="shared" si="2"/>
        <v>1899590.22</v>
      </c>
      <c r="U36" s="169">
        <f t="shared" si="3"/>
        <v>0</v>
      </c>
      <c r="V36" s="37">
        <f t="shared" si="4"/>
        <v>3345836.46</v>
      </c>
      <c r="W36" s="38">
        <f t="shared" si="5"/>
        <v>0</v>
      </c>
      <c r="X36" s="120">
        <f t="shared" si="6"/>
        <v>139760.16451383871</v>
      </c>
      <c r="Y36" s="120">
        <f t="shared" si="7"/>
        <v>0</v>
      </c>
      <c r="Z36" s="186">
        <f>998216.04+24573.33</f>
        <v>1022789.37</v>
      </c>
      <c r="AA36" s="36"/>
      <c r="AB36" s="186">
        <f>998216.04+17299.29</f>
        <v>1015515.3300000001</v>
      </c>
      <c r="AC36" s="36"/>
      <c r="AD36" s="21"/>
      <c r="AE36" s="21"/>
      <c r="AF36" s="37"/>
      <c r="AG36" s="38"/>
      <c r="AH36" s="37"/>
      <c r="AI36" s="38"/>
      <c r="AJ36" s="39"/>
      <c r="AK36" s="39"/>
      <c r="AL36" s="39"/>
      <c r="AM36" s="39"/>
      <c r="AN36" s="37"/>
      <c r="AO36" s="38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90">
        <f t="shared" si="8"/>
        <v>6286688.0100000007</v>
      </c>
      <c r="BE36" s="90">
        <f t="shared" si="9"/>
        <v>0</v>
      </c>
      <c r="BF36" s="27"/>
      <c r="BG36" s="27"/>
      <c r="BH36" s="27"/>
      <c r="BI36" s="27"/>
      <c r="BJ36" s="27"/>
      <c r="BK36" s="27"/>
      <c r="BL36" s="27"/>
      <c r="BM36" s="30"/>
      <c r="BN36" s="27"/>
    </row>
    <row r="37" spans="1:66" x14ac:dyDescent="0.25">
      <c r="A37" s="18">
        <v>512</v>
      </c>
      <c r="B37" s="2" t="s">
        <v>136</v>
      </c>
      <c r="D37" s="21"/>
      <c r="E37" s="25"/>
      <c r="F37" s="35"/>
      <c r="G37" s="184"/>
      <c r="H37" s="21"/>
      <c r="I37" s="187">
        <f>2234539.89+1106371.48+799992.83+679988.13</f>
        <v>4820892.33</v>
      </c>
      <c r="J37" s="37"/>
      <c r="K37" s="184">
        <f>1359576.61+7396304.65</f>
        <v>8755881.2599999998</v>
      </c>
      <c r="L37" s="37"/>
      <c r="M37" s="178">
        <f>634313.23+1816661.08</f>
        <v>2450974.31</v>
      </c>
      <c r="N37" s="226">
        <f t="shared" si="0"/>
        <v>0</v>
      </c>
      <c r="O37" s="168">
        <f t="shared" si="1"/>
        <v>11206855.57</v>
      </c>
      <c r="P37" s="40"/>
      <c r="Q37" s="178">
        <f>2440747.37+12773635.83</f>
        <v>15214383.199999999</v>
      </c>
      <c r="R37" s="37"/>
      <c r="S37" s="178">
        <f>1138735.65+2601264.51</f>
        <v>3740000.1599999997</v>
      </c>
      <c r="T37" s="226">
        <f t="shared" si="2"/>
        <v>0</v>
      </c>
      <c r="U37" s="169">
        <f t="shared" si="3"/>
        <v>18954383.359999999</v>
      </c>
      <c r="V37" s="37">
        <f t="shared" si="4"/>
        <v>0</v>
      </c>
      <c r="W37" s="38">
        <f t="shared" si="5"/>
        <v>30161238.93</v>
      </c>
      <c r="X37" s="120">
        <f t="shared" si="6"/>
        <v>0</v>
      </c>
      <c r="Y37" s="120">
        <f t="shared" si="7"/>
        <v>1683929.0180612849</v>
      </c>
      <c r="Z37" s="35"/>
      <c r="AA37" s="184">
        <f>1195701.04+9792131.57</f>
        <v>10987832.609999999</v>
      </c>
      <c r="AB37" s="35"/>
      <c r="AC37" s="184">
        <f>1289469.36+9384211.29</f>
        <v>10673680.649999999</v>
      </c>
      <c r="AD37" s="21"/>
      <c r="AE37" s="193">
        <v>254883.13</v>
      </c>
      <c r="AF37" s="37"/>
      <c r="AG37" s="38"/>
      <c r="AH37" s="37"/>
      <c r="AI37" s="38"/>
      <c r="AJ37" s="39"/>
      <c r="AK37" s="39"/>
      <c r="AL37" s="39"/>
      <c r="AM37" s="39"/>
      <c r="AN37" s="37"/>
      <c r="AO37" s="38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90">
        <f t="shared" si="8"/>
        <v>0</v>
      </c>
      <c r="BE37" s="90">
        <f t="shared" si="9"/>
        <v>56898527.649999999</v>
      </c>
      <c r="BF37" s="27"/>
      <c r="BG37" s="27"/>
      <c r="BH37" s="27"/>
      <c r="BI37" s="27"/>
      <c r="BJ37" s="27"/>
      <c r="BK37" s="27"/>
      <c r="BL37" s="27"/>
      <c r="BM37" s="30"/>
      <c r="BN37" s="27"/>
    </row>
    <row r="38" spans="1:66" x14ac:dyDescent="0.25">
      <c r="A38" s="18">
        <v>513</v>
      </c>
      <c r="B38" s="2" t="s">
        <v>137</v>
      </c>
      <c r="D38" s="21"/>
      <c r="E38" s="25"/>
      <c r="F38" s="35"/>
      <c r="G38" s="184"/>
      <c r="H38" s="21"/>
      <c r="I38" s="187">
        <f>990961.29+994994.96+365663.87</f>
        <v>2351620.12</v>
      </c>
      <c r="J38" s="37"/>
      <c r="K38" s="184">
        <f>107029.18+2076204.65</f>
        <v>2183233.83</v>
      </c>
      <c r="L38" s="37"/>
      <c r="M38" s="184">
        <v>0</v>
      </c>
      <c r="N38" s="226">
        <f t="shared" si="0"/>
        <v>0</v>
      </c>
      <c r="O38" s="168">
        <f t="shared" si="1"/>
        <v>2183233.83</v>
      </c>
      <c r="P38" s="40"/>
      <c r="Q38" s="178">
        <f>192141.57+3081445.77</f>
        <v>3273587.34</v>
      </c>
      <c r="R38" s="37"/>
      <c r="S38" s="119">
        <v>0</v>
      </c>
      <c r="T38" s="226">
        <f t="shared" si="2"/>
        <v>0</v>
      </c>
      <c r="U38" s="169">
        <f t="shared" si="3"/>
        <v>3273587.34</v>
      </c>
      <c r="V38" s="37">
        <f t="shared" si="4"/>
        <v>0</v>
      </c>
      <c r="W38" s="38">
        <f t="shared" si="5"/>
        <v>5456821.1699999999</v>
      </c>
      <c r="X38" s="120">
        <f t="shared" si="6"/>
        <v>0</v>
      </c>
      <c r="Y38" s="120">
        <f t="shared" si="7"/>
        <v>304659.21959838178</v>
      </c>
      <c r="Z38" s="35"/>
      <c r="AA38" s="184">
        <f>94128.5+770954.86</f>
        <v>865083.36</v>
      </c>
      <c r="AB38" s="35"/>
      <c r="AC38" s="184">
        <f>101510.17+2134925.67</f>
        <v>2236435.84</v>
      </c>
      <c r="AD38" s="21"/>
      <c r="AE38" s="21"/>
      <c r="AF38" s="37"/>
      <c r="AG38" s="38"/>
      <c r="AH38" s="37"/>
      <c r="AI38" s="38"/>
      <c r="AJ38" s="39"/>
      <c r="AK38" s="39"/>
      <c r="AL38" s="39"/>
      <c r="AM38" s="39"/>
      <c r="AN38" s="37"/>
      <c r="AO38" s="38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90">
        <f t="shared" si="8"/>
        <v>0</v>
      </c>
      <c r="BE38" s="90">
        <f t="shared" si="9"/>
        <v>10909960.49</v>
      </c>
      <c r="BF38" s="27"/>
      <c r="BG38" s="27"/>
      <c r="BH38" s="27"/>
      <c r="BI38" s="27"/>
      <c r="BJ38" s="27"/>
      <c r="BK38" s="27"/>
      <c r="BL38" s="27"/>
      <c r="BM38" s="30"/>
      <c r="BN38" s="27"/>
    </row>
    <row r="39" spans="1:66" x14ac:dyDescent="0.25">
      <c r="A39" s="18">
        <v>514</v>
      </c>
      <c r="B39" s="2" t="s">
        <v>138</v>
      </c>
      <c r="D39" s="21"/>
      <c r="E39" s="25"/>
      <c r="F39" s="186"/>
      <c r="G39" s="36"/>
      <c r="H39" s="187">
        <v>0</v>
      </c>
      <c r="I39" s="159"/>
      <c r="J39" s="186">
        <v>0</v>
      </c>
      <c r="K39" s="36"/>
      <c r="L39" s="35">
        <v>0</v>
      </c>
      <c r="M39" s="119"/>
      <c r="N39" s="226">
        <f t="shared" si="0"/>
        <v>0</v>
      </c>
      <c r="O39" s="168">
        <f t="shared" si="1"/>
        <v>0</v>
      </c>
      <c r="P39" s="178">
        <v>0</v>
      </c>
      <c r="Q39" s="119"/>
      <c r="R39" s="35">
        <v>0</v>
      </c>
      <c r="S39" s="40"/>
      <c r="T39" s="226">
        <f t="shared" si="2"/>
        <v>0</v>
      </c>
      <c r="U39" s="169">
        <f t="shared" si="3"/>
        <v>0</v>
      </c>
      <c r="V39" s="37">
        <f t="shared" si="4"/>
        <v>0</v>
      </c>
      <c r="W39" s="38">
        <f t="shared" si="5"/>
        <v>0</v>
      </c>
      <c r="X39" s="120">
        <f t="shared" si="6"/>
        <v>0</v>
      </c>
      <c r="Y39" s="120">
        <f t="shared" si="7"/>
        <v>0</v>
      </c>
      <c r="Z39" s="186">
        <v>0</v>
      </c>
      <c r="AA39" s="36"/>
      <c r="AB39" s="186">
        <v>0</v>
      </c>
      <c r="AC39" s="36"/>
      <c r="AD39" s="21"/>
      <c r="AE39" s="21"/>
      <c r="AF39" s="37"/>
      <c r="AG39" s="38"/>
      <c r="AH39" s="37"/>
      <c r="AI39" s="38"/>
      <c r="AJ39" s="39"/>
      <c r="AK39" s="39"/>
      <c r="AL39" s="39"/>
      <c r="AM39" s="39"/>
      <c r="AN39" s="37"/>
      <c r="AO39" s="38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90">
        <f t="shared" si="8"/>
        <v>0</v>
      </c>
      <c r="BE39" s="90">
        <f t="shared" si="9"/>
        <v>0</v>
      </c>
      <c r="BF39" s="27"/>
      <c r="BG39" s="27"/>
      <c r="BH39" s="27"/>
      <c r="BI39" s="27"/>
      <c r="BJ39" s="27"/>
      <c r="BK39" s="27"/>
      <c r="BL39" s="27"/>
      <c r="BM39" s="30"/>
      <c r="BN39" s="27"/>
    </row>
    <row r="40" spans="1:66" x14ac:dyDescent="0.25">
      <c r="A40" s="18">
        <v>546</v>
      </c>
      <c r="B40" s="2" t="s">
        <v>124</v>
      </c>
      <c r="D40" s="21"/>
      <c r="E40" s="25"/>
      <c r="F40" s="37"/>
      <c r="G40" s="38"/>
      <c r="H40" s="21"/>
      <c r="I40" s="21"/>
      <c r="J40" s="37"/>
      <c r="K40" s="38"/>
      <c r="L40" s="37"/>
      <c r="M40" s="40"/>
      <c r="N40" s="226">
        <f t="shared" si="0"/>
        <v>0</v>
      </c>
      <c r="O40" s="168">
        <f t="shared" si="1"/>
        <v>0</v>
      </c>
      <c r="P40" s="40"/>
      <c r="Q40" s="40"/>
      <c r="R40" s="37"/>
      <c r="S40" s="40"/>
      <c r="T40" s="226">
        <f t="shared" si="2"/>
        <v>0</v>
      </c>
      <c r="U40" s="169">
        <f t="shared" si="3"/>
        <v>0</v>
      </c>
      <c r="V40" s="37">
        <f t="shared" si="4"/>
        <v>0</v>
      </c>
      <c r="W40" s="38">
        <f t="shared" si="5"/>
        <v>0</v>
      </c>
      <c r="X40" s="120">
        <f t="shared" si="6"/>
        <v>0</v>
      </c>
      <c r="Y40" s="120">
        <f t="shared" si="7"/>
        <v>0</v>
      </c>
      <c r="Z40" s="35"/>
      <c r="AA40" s="36"/>
      <c r="AB40" s="35"/>
      <c r="AC40" s="36"/>
      <c r="AD40" s="187">
        <f>927662.44+1860103.89</f>
        <v>2787766.33</v>
      </c>
      <c r="AE40" s="21"/>
      <c r="AF40" s="186">
        <v>5918.11</v>
      </c>
      <c r="AG40" s="36"/>
      <c r="AH40" s="37"/>
      <c r="AI40" s="38"/>
      <c r="AJ40" s="39"/>
      <c r="AK40" s="39"/>
      <c r="AL40" s="39"/>
      <c r="AM40" s="39"/>
      <c r="AN40" s="186">
        <f>76381.65+99602.11+141807.16+76273.37+99644.17</f>
        <v>493708.46</v>
      </c>
      <c r="AO40" s="38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90">
        <f t="shared" si="8"/>
        <v>3287392.9</v>
      </c>
      <c r="BE40" s="90">
        <f t="shared" si="9"/>
        <v>0</v>
      </c>
      <c r="BF40" s="27"/>
      <c r="BG40" s="27"/>
      <c r="BH40" s="27"/>
      <c r="BI40" s="27"/>
      <c r="BJ40" s="27"/>
      <c r="BK40" s="27"/>
      <c r="BL40" s="27"/>
      <c r="BM40" s="30"/>
      <c r="BN40" s="27"/>
    </row>
    <row r="41" spans="1:66" x14ac:dyDescent="0.25">
      <c r="A41" s="18">
        <v>547020</v>
      </c>
      <c r="B41" s="2" t="s">
        <v>126</v>
      </c>
      <c r="D41" s="21"/>
      <c r="E41" s="25"/>
      <c r="F41" s="37"/>
      <c r="G41" s="38"/>
      <c r="H41" s="21"/>
      <c r="I41" s="21"/>
      <c r="J41" s="37"/>
      <c r="K41" s="38"/>
      <c r="L41" s="37"/>
      <c r="M41" s="40"/>
      <c r="N41" s="226"/>
      <c r="O41" s="168"/>
      <c r="P41" s="40"/>
      <c r="Q41" s="40"/>
      <c r="R41" s="37"/>
      <c r="S41" s="40"/>
      <c r="T41" s="226"/>
      <c r="U41" s="169"/>
      <c r="V41" s="37"/>
      <c r="W41" s="38"/>
      <c r="X41" s="120">
        <f t="shared" si="6"/>
        <v>0</v>
      </c>
      <c r="Y41" s="120"/>
      <c r="Z41" s="35"/>
      <c r="AA41" s="36"/>
      <c r="AB41" s="35"/>
      <c r="AC41" s="36"/>
      <c r="AD41" s="182"/>
      <c r="AE41" s="187">
        <v>15174.84</v>
      </c>
      <c r="AF41" s="185"/>
      <c r="AG41" s="184"/>
      <c r="AH41" s="35"/>
      <c r="AI41" s="36"/>
      <c r="AJ41" s="159"/>
      <c r="AK41" s="159"/>
      <c r="AL41" s="159"/>
      <c r="AM41" s="159"/>
      <c r="AN41" s="185"/>
      <c r="AO41" s="38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90">
        <f t="shared" si="8"/>
        <v>0</v>
      </c>
      <c r="BE41" s="90">
        <f t="shared" si="9"/>
        <v>15174.84</v>
      </c>
      <c r="BF41" s="27"/>
      <c r="BG41" s="27"/>
      <c r="BH41" s="27"/>
      <c r="BI41" s="27"/>
      <c r="BJ41" s="27"/>
      <c r="BK41" s="27"/>
      <c r="BL41" s="27"/>
      <c r="BM41" s="30"/>
      <c r="BN41" s="27"/>
    </row>
    <row r="42" spans="1:66" x14ac:dyDescent="0.25">
      <c r="A42" s="18">
        <v>547030</v>
      </c>
      <c r="B42" s="2" t="s">
        <v>126</v>
      </c>
      <c r="D42" s="25"/>
      <c r="E42" s="25"/>
      <c r="F42" s="37"/>
      <c r="G42" s="38"/>
      <c r="H42" s="21"/>
      <c r="I42" s="21"/>
      <c r="J42" s="37"/>
      <c r="K42" s="38"/>
      <c r="L42" s="37"/>
      <c r="M42" s="40"/>
      <c r="N42" s="226">
        <f t="shared" si="0"/>
        <v>0</v>
      </c>
      <c r="O42" s="168">
        <f t="shared" si="1"/>
        <v>0</v>
      </c>
      <c r="P42" s="40"/>
      <c r="Q42" s="40"/>
      <c r="R42" s="37"/>
      <c r="S42" s="40"/>
      <c r="T42" s="226">
        <f t="shared" si="2"/>
        <v>0</v>
      </c>
      <c r="U42" s="169">
        <f t="shared" si="3"/>
        <v>0</v>
      </c>
      <c r="V42" s="37">
        <f t="shared" si="4"/>
        <v>0</v>
      </c>
      <c r="W42" s="38">
        <f t="shared" si="5"/>
        <v>0</v>
      </c>
      <c r="X42" s="120">
        <f t="shared" si="6"/>
        <v>0</v>
      </c>
      <c r="Y42" s="120">
        <f t="shared" si="7"/>
        <v>0</v>
      </c>
      <c r="Z42" s="35"/>
      <c r="AA42" s="36"/>
      <c r="AB42" s="35"/>
      <c r="AC42" s="36"/>
      <c r="AD42" s="21"/>
      <c r="AE42" s="187">
        <f>4424025.35+12007520.22</f>
        <v>16431545.57</v>
      </c>
      <c r="AF42" s="35"/>
      <c r="AG42" s="184"/>
      <c r="AH42" s="37"/>
      <c r="AI42" s="38"/>
      <c r="AJ42" s="39"/>
      <c r="AK42" s="39"/>
      <c r="AL42" s="39"/>
      <c r="AM42" s="39"/>
      <c r="AN42" s="37"/>
      <c r="AO42" s="38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90">
        <f t="shared" si="8"/>
        <v>0</v>
      </c>
      <c r="BE42" s="90">
        <f t="shared" si="9"/>
        <v>16431545.57</v>
      </c>
      <c r="BF42" s="27"/>
      <c r="BG42" s="27"/>
      <c r="BH42" s="27"/>
      <c r="BI42" s="27"/>
      <c r="BJ42" s="27"/>
      <c r="BK42" s="27"/>
      <c r="BL42" s="27"/>
      <c r="BM42" s="30"/>
      <c r="BN42" s="27"/>
    </row>
    <row r="43" spans="1:66" x14ac:dyDescent="0.25">
      <c r="A43" s="18">
        <v>547030</v>
      </c>
      <c r="B43" s="2" t="s">
        <v>139</v>
      </c>
      <c r="D43" s="25"/>
      <c r="E43" s="25"/>
      <c r="F43" s="37"/>
      <c r="G43" s="38"/>
      <c r="H43" s="21"/>
      <c r="I43" s="21"/>
      <c r="J43" s="37"/>
      <c r="K43" s="38"/>
      <c r="L43" s="37"/>
      <c r="M43" s="40"/>
      <c r="N43" s="226"/>
      <c r="O43" s="168"/>
      <c r="P43" s="40"/>
      <c r="Q43" s="40"/>
      <c r="R43" s="37"/>
      <c r="S43" s="40"/>
      <c r="T43" s="226"/>
      <c r="U43" s="169"/>
      <c r="V43" s="37"/>
      <c r="W43" s="38"/>
      <c r="X43" s="120">
        <f t="shared" si="6"/>
        <v>0</v>
      </c>
      <c r="Y43" s="120"/>
      <c r="Z43" s="35"/>
      <c r="AA43" s="36"/>
      <c r="AB43" s="35"/>
      <c r="AC43" s="36"/>
      <c r="AD43" s="21"/>
      <c r="AE43" s="187">
        <v>0</v>
      </c>
      <c r="AF43" s="35"/>
      <c r="AG43" s="184"/>
      <c r="AH43" s="37"/>
      <c r="AI43" s="38"/>
      <c r="AJ43" s="39"/>
      <c r="AK43" s="39"/>
      <c r="AL43" s="39"/>
      <c r="AM43" s="39"/>
      <c r="AN43" s="37"/>
      <c r="AO43" s="38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90">
        <f t="shared" si="8"/>
        <v>0</v>
      </c>
      <c r="BE43" s="90">
        <f t="shared" si="9"/>
        <v>0</v>
      </c>
      <c r="BF43" s="30">
        <f>BE43</f>
        <v>0</v>
      </c>
      <c r="BG43" s="27"/>
      <c r="BH43" s="27"/>
      <c r="BI43" s="27"/>
      <c r="BJ43" s="27"/>
      <c r="BK43" s="27"/>
      <c r="BL43" s="27"/>
      <c r="BM43" s="30"/>
      <c r="BN43" s="27"/>
    </row>
    <row r="44" spans="1:66" x14ac:dyDescent="0.25">
      <c r="A44" s="18">
        <v>547040</v>
      </c>
      <c r="B44" s="2" t="s">
        <v>126</v>
      </c>
      <c r="D44" s="25"/>
      <c r="E44" s="25"/>
      <c r="F44" s="37"/>
      <c r="G44" s="38"/>
      <c r="H44" s="21"/>
      <c r="I44" s="21"/>
      <c r="J44" s="37"/>
      <c r="K44" s="38"/>
      <c r="L44" s="37"/>
      <c r="M44" s="40"/>
      <c r="N44" s="226"/>
      <c r="O44" s="168"/>
      <c r="P44" s="40"/>
      <c r="Q44" s="40"/>
      <c r="R44" s="37"/>
      <c r="S44" s="40"/>
      <c r="T44" s="226"/>
      <c r="U44" s="169"/>
      <c r="V44" s="37"/>
      <c r="W44" s="38"/>
      <c r="X44" s="120">
        <f t="shared" si="6"/>
        <v>0</v>
      </c>
      <c r="Y44" s="120"/>
      <c r="Z44" s="35"/>
      <c r="AA44" s="36"/>
      <c r="AB44" s="35"/>
      <c r="AC44" s="36"/>
      <c r="AD44" s="21"/>
      <c r="AE44" s="21"/>
      <c r="AF44" s="35"/>
      <c r="AG44" s="36"/>
      <c r="AH44" s="37"/>
      <c r="AI44" s="38"/>
      <c r="AJ44" s="39"/>
      <c r="AK44" s="39"/>
      <c r="AL44" s="39"/>
      <c r="AM44" s="39"/>
      <c r="AN44" s="37"/>
      <c r="AO44" s="184">
        <f>62897.64+104476.93+308256.52+1683.05+168049.25</f>
        <v>645363.39</v>
      </c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90">
        <f t="shared" si="8"/>
        <v>0</v>
      </c>
      <c r="BE44" s="90">
        <f t="shared" si="9"/>
        <v>645363.39</v>
      </c>
      <c r="BF44" s="27"/>
      <c r="BG44" s="27"/>
      <c r="BH44" s="27"/>
      <c r="BI44" s="27"/>
      <c r="BJ44" s="27"/>
      <c r="BK44" s="27"/>
      <c r="BL44" s="27"/>
      <c r="BM44" s="30"/>
      <c r="BN44" s="27"/>
    </row>
    <row r="45" spans="1:66" x14ac:dyDescent="0.25">
      <c r="A45" s="18">
        <v>547041</v>
      </c>
      <c r="B45" s="2" t="s">
        <v>126</v>
      </c>
      <c r="D45" s="25"/>
      <c r="E45" s="25"/>
      <c r="F45" s="37"/>
      <c r="G45" s="38"/>
      <c r="H45" s="21"/>
      <c r="I45" s="21"/>
      <c r="J45" s="37"/>
      <c r="K45" s="38"/>
      <c r="L45" s="37"/>
      <c r="M45" s="40"/>
      <c r="N45" s="226"/>
      <c r="O45" s="168"/>
      <c r="P45" s="40"/>
      <c r="Q45" s="40"/>
      <c r="R45" s="37"/>
      <c r="S45" s="40"/>
      <c r="T45" s="226"/>
      <c r="U45" s="169"/>
      <c r="V45" s="37"/>
      <c r="W45" s="38"/>
      <c r="X45" s="120">
        <f t="shared" ref="X45" si="10">V45*$X$23</f>
        <v>0</v>
      </c>
      <c r="Y45" s="120"/>
      <c r="Z45" s="35"/>
      <c r="AA45" s="36"/>
      <c r="AB45" s="35"/>
      <c r="AC45" s="36"/>
      <c r="AD45" s="21"/>
      <c r="AE45" s="21"/>
      <c r="AF45" s="35"/>
      <c r="AG45" s="36"/>
      <c r="AH45" s="37"/>
      <c r="AI45" s="38"/>
      <c r="AJ45" s="39"/>
      <c r="AK45" s="39"/>
      <c r="AL45" s="39"/>
      <c r="AM45" s="39"/>
      <c r="AN45" s="37"/>
      <c r="AO45" s="184">
        <v>0</v>
      </c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90">
        <f t="shared" si="8"/>
        <v>0</v>
      </c>
      <c r="BE45" s="90">
        <f t="shared" si="9"/>
        <v>0</v>
      </c>
      <c r="BF45" s="27"/>
      <c r="BG45" s="27"/>
      <c r="BH45" s="27"/>
      <c r="BI45" s="27"/>
      <c r="BJ45" s="27"/>
      <c r="BK45" s="27"/>
      <c r="BL45" s="27"/>
      <c r="BM45" s="30"/>
      <c r="BN45" s="27"/>
    </row>
    <row r="46" spans="1:66" x14ac:dyDescent="0.25">
      <c r="A46" s="18">
        <v>547050</v>
      </c>
      <c r="B46" s="2" t="s">
        <v>126</v>
      </c>
      <c r="D46" s="25"/>
      <c r="E46" s="25"/>
      <c r="F46" s="37"/>
      <c r="G46" s="38"/>
      <c r="H46" s="21"/>
      <c r="I46" s="21"/>
      <c r="J46" s="37"/>
      <c r="K46" s="38"/>
      <c r="L46" s="37"/>
      <c r="M46" s="40"/>
      <c r="N46" s="226"/>
      <c r="O46" s="168"/>
      <c r="P46" s="40"/>
      <c r="Q46" s="40"/>
      <c r="R46" s="37"/>
      <c r="S46" s="40"/>
      <c r="T46" s="226"/>
      <c r="U46" s="169"/>
      <c r="V46" s="37"/>
      <c r="W46" s="38"/>
      <c r="X46" s="120">
        <f t="shared" ref="X46" si="11">V46*$X$23</f>
        <v>0</v>
      </c>
      <c r="Y46" s="120"/>
      <c r="Z46" s="35"/>
      <c r="AA46" s="36"/>
      <c r="AB46" s="35"/>
      <c r="AC46" s="36"/>
      <c r="AD46" s="21"/>
      <c r="AE46" s="21"/>
      <c r="AF46" s="35"/>
      <c r="AG46" s="36"/>
      <c r="AH46" s="37"/>
      <c r="AI46" s="184">
        <v>3238.36</v>
      </c>
      <c r="AJ46" s="39"/>
      <c r="AK46" s="39"/>
      <c r="AL46" s="39"/>
      <c r="AM46" s="39"/>
      <c r="AN46" s="37"/>
      <c r="AO46" s="184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90">
        <f t="shared" si="8"/>
        <v>0</v>
      </c>
      <c r="BE46" s="90">
        <f t="shared" si="9"/>
        <v>3238.36</v>
      </c>
      <c r="BF46" s="27"/>
      <c r="BG46" s="27"/>
      <c r="BH46" s="27"/>
      <c r="BI46" s="27"/>
      <c r="BJ46" s="27"/>
      <c r="BK46" s="27"/>
      <c r="BL46" s="27"/>
      <c r="BM46" s="30"/>
      <c r="BN46" s="27"/>
    </row>
    <row r="47" spans="1:66" x14ac:dyDescent="0.25">
      <c r="A47" s="18">
        <v>548</v>
      </c>
      <c r="B47" s="2" t="s">
        <v>140</v>
      </c>
      <c r="D47" s="25"/>
      <c r="E47" s="25"/>
      <c r="F47" s="37"/>
      <c r="G47" s="38"/>
      <c r="H47" s="21"/>
      <c r="I47" s="21"/>
      <c r="J47" s="37"/>
      <c r="K47" s="38"/>
      <c r="L47" s="37"/>
      <c r="M47" s="40"/>
      <c r="N47" s="226">
        <f t="shared" si="0"/>
        <v>0</v>
      </c>
      <c r="O47" s="168">
        <f t="shared" si="1"/>
        <v>0</v>
      </c>
      <c r="P47" s="40"/>
      <c r="Q47" s="40"/>
      <c r="R47" s="37"/>
      <c r="S47" s="40"/>
      <c r="T47" s="226">
        <f t="shared" si="2"/>
        <v>0</v>
      </c>
      <c r="U47" s="169">
        <f t="shared" si="3"/>
        <v>0</v>
      </c>
      <c r="V47" s="37">
        <f t="shared" si="4"/>
        <v>0</v>
      </c>
      <c r="W47" s="38">
        <f t="shared" si="5"/>
        <v>0</v>
      </c>
      <c r="X47" s="120">
        <f t="shared" si="6"/>
        <v>0</v>
      </c>
      <c r="Y47" s="120">
        <f t="shared" si="7"/>
        <v>0</v>
      </c>
      <c r="Z47" s="35"/>
      <c r="AA47" s="36"/>
      <c r="AB47" s="35"/>
      <c r="AC47" s="36"/>
      <c r="AD47" s="187">
        <f>1166782.49+135521.31+135497.31+39468.9+3484166.51+29240.51+29240.51+29312.51+28496.51+25652.51+20036.51+18596.52+68089.12+24699.23</f>
        <v>5234800.4499999983</v>
      </c>
      <c r="AE47" s="21"/>
      <c r="AF47" s="186">
        <v>56062.25</v>
      </c>
      <c r="AG47" s="36"/>
      <c r="AH47" s="37"/>
      <c r="AI47" s="38"/>
      <c r="AJ47" s="39"/>
      <c r="AK47" s="39"/>
      <c r="AL47" s="39"/>
      <c r="AM47" s="39"/>
      <c r="AN47" s="186">
        <f>92234.68+122688.25+111076.75+66185.17+100290.09</f>
        <v>492474.93999999994</v>
      </c>
      <c r="AO47" s="38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90">
        <f t="shared" si="8"/>
        <v>5783337.6399999987</v>
      </c>
      <c r="BE47" s="90">
        <f t="shared" si="9"/>
        <v>0</v>
      </c>
      <c r="BF47" s="27"/>
      <c r="BG47" s="27"/>
      <c r="BH47" s="27"/>
      <c r="BI47" s="27"/>
      <c r="BJ47" s="27"/>
      <c r="BK47" s="27"/>
      <c r="BL47" s="27"/>
      <c r="BM47" s="30"/>
      <c r="BN47" s="27"/>
    </row>
    <row r="48" spans="1:66" x14ac:dyDescent="0.25">
      <c r="A48" s="18">
        <v>549001</v>
      </c>
      <c r="B48" s="2" t="s">
        <v>141</v>
      </c>
      <c r="D48" s="25"/>
      <c r="E48" s="25"/>
      <c r="F48" s="37"/>
      <c r="G48" s="38"/>
      <c r="H48" s="21"/>
      <c r="I48" s="21"/>
      <c r="J48" s="37"/>
      <c r="K48" s="38"/>
      <c r="L48" s="37"/>
      <c r="M48" s="40"/>
      <c r="N48" s="226">
        <f t="shared" si="0"/>
        <v>0</v>
      </c>
      <c r="O48" s="168">
        <f t="shared" si="1"/>
        <v>0</v>
      </c>
      <c r="P48" s="40"/>
      <c r="Q48" s="40"/>
      <c r="R48" s="37"/>
      <c r="S48" s="40"/>
      <c r="T48" s="226">
        <f t="shared" si="2"/>
        <v>0</v>
      </c>
      <c r="U48" s="169">
        <f t="shared" si="3"/>
        <v>0</v>
      </c>
      <c r="V48" s="37">
        <f t="shared" si="4"/>
        <v>0</v>
      </c>
      <c r="W48" s="38">
        <f t="shared" si="5"/>
        <v>0</v>
      </c>
      <c r="X48" s="120">
        <f t="shared" si="6"/>
        <v>0</v>
      </c>
      <c r="Y48" s="120">
        <f t="shared" si="7"/>
        <v>0</v>
      </c>
      <c r="Z48" s="35"/>
      <c r="AA48" s="36"/>
      <c r="AB48" s="35"/>
      <c r="AC48" s="36"/>
      <c r="AD48" s="187">
        <f>1110884.71+939956.75</f>
        <v>2050841.46</v>
      </c>
      <c r="AE48" s="21"/>
      <c r="AF48" s="186">
        <v>30164.5</v>
      </c>
      <c r="AG48" s="36"/>
      <c r="AH48" s="37"/>
      <c r="AI48" s="38"/>
      <c r="AJ48" s="39"/>
      <c r="AK48" s="39"/>
      <c r="AL48" s="39"/>
      <c r="AM48" s="39"/>
      <c r="AN48" s="187">
        <f>26234.46+30396.15+41677.84+30520.95+47348.46</f>
        <v>176177.86</v>
      </c>
      <c r="AO48" s="38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90">
        <f t="shared" si="8"/>
        <v>2257183.8199999998</v>
      </c>
      <c r="BE48" s="90">
        <f t="shared" si="9"/>
        <v>0</v>
      </c>
      <c r="BF48" s="27"/>
      <c r="BG48" s="27"/>
      <c r="BH48" s="27"/>
      <c r="BI48" s="27"/>
      <c r="BJ48" s="27"/>
      <c r="BK48" s="27"/>
      <c r="BL48" s="27"/>
      <c r="BM48" s="30"/>
      <c r="BN48" s="27"/>
    </row>
    <row r="49" spans="1:66" x14ac:dyDescent="0.25">
      <c r="A49" s="18">
        <v>549002</v>
      </c>
      <c r="B49" s="2" t="s">
        <v>142</v>
      </c>
      <c r="D49" s="25"/>
      <c r="E49" s="25"/>
      <c r="F49" s="37"/>
      <c r="G49" s="38"/>
      <c r="H49" s="21"/>
      <c r="I49" s="21"/>
      <c r="J49" s="37"/>
      <c r="K49" s="38"/>
      <c r="L49" s="37"/>
      <c r="M49" s="40"/>
      <c r="N49" s="226"/>
      <c r="O49" s="168"/>
      <c r="P49" s="40"/>
      <c r="Q49" s="40"/>
      <c r="R49" s="37"/>
      <c r="S49" s="40"/>
      <c r="T49" s="226"/>
      <c r="U49" s="169"/>
      <c r="V49" s="37"/>
      <c r="W49" s="38"/>
      <c r="X49" s="120">
        <f t="shared" si="6"/>
        <v>0</v>
      </c>
      <c r="Y49" s="120"/>
      <c r="Z49" s="35"/>
      <c r="AA49" s="36"/>
      <c r="AB49" s="35"/>
      <c r="AC49" s="36"/>
      <c r="AD49" s="187">
        <f>271445.34+1140307.26+2640+2640+2640+2640+2640+2640+2640+6620+9070</f>
        <v>1445922.6</v>
      </c>
      <c r="AE49" s="21"/>
      <c r="AF49" s="186"/>
      <c r="AG49" s="36"/>
      <c r="AH49" s="194">
        <v>10722.05</v>
      </c>
      <c r="AI49" s="38"/>
      <c r="AJ49" s="39"/>
      <c r="AK49" s="39"/>
      <c r="AL49" s="39"/>
      <c r="AM49" s="39"/>
      <c r="AN49" s="187">
        <f>28974.96+38416.74+57607.29+23968.54+33783.6</f>
        <v>182751.13</v>
      </c>
      <c r="AO49" s="38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90">
        <f t="shared" si="8"/>
        <v>1639395.78</v>
      </c>
      <c r="BE49" s="90">
        <f t="shared" si="9"/>
        <v>0</v>
      </c>
      <c r="BF49" s="27"/>
      <c r="BG49" s="27"/>
      <c r="BH49" s="27"/>
      <c r="BI49" s="27"/>
      <c r="BJ49" s="27"/>
      <c r="BK49" s="27"/>
      <c r="BL49" s="27"/>
      <c r="BM49" s="30"/>
      <c r="BN49" s="27"/>
    </row>
    <row r="50" spans="1:66" x14ac:dyDescent="0.25">
      <c r="A50" s="18">
        <v>551</v>
      </c>
      <c r="B50" s="2" t="s">
        <v>134</v>
      </c>
      <c r="D50" s="25"/>
      <c r="E50" s="25"/>
      <c r="F50" s="37"/>
      <c r="G50" s="38"/>
      <c r="H50" s="21"/>
      <c r="I50" s="21"/>
      <c r="J50" s="37"/>
      <c r="K50" s="38"/>
      <c r="L50" s="37"/>
      <c r="M50" s="40"/>
      <c r="N50" s="226">
        <f t="shared" si="0"/>
        <v>0</v>
      </c>
      <c r="O50" s="168">
        <f t="shared" si="1"/>
        <v>0</v>
      </c>
      <c r="P50" s="40"/>
      <c r="Q50" s="40"/>
      <c r="R50" s="37"/>
      <c r="S50" s="40"/>
      <c r="T50" s="226">
        <f t="shared" si="2"/>
        <v>0</v>
      </c>
      <c r="U50" s="169">
        <f t="shared" si="3"/>
        <v>0</v>
      </c>
      <c r="V50" s="37">
        <f t="shared" si="4"/>
        <v>0</v>
      </c>
      <c r="W50" s="38">
        <f t="shared" si="5"/>
        <v>0</v>
      </c>
      <c r="X50" s="120">
        <f t="shared" si="6"/>
        <v>0</v>
      </c>
      <c r="Y50" s="120">
        <f t="shared" si="7"/>
        <v>0</v>
      </c>
      <c r="Z50" s="35"/>
      <c r="AA50" s="36"/>
      <c r="AB50" s="35"/>
      <c r="AC50" s="36"/>
      <c r="AD50" s="187">
        <f>158507.12+258097.04</f>
        <v>416604.16000000003</v>
      </c>
      <c r="AE50" s="21"/>
      <c r="AF50" s="186"/>
      <c r="AG50" s="36"/>
      <c r="AH50" s="37"/>
      <c r="AI50" s="38"/>
      <c r="AJ50" s="39"/>
      <c r="AK50" s="39"/>
      <c r="AL50" s="39"/>
      <c r="AM50" s="39"/>
      <c r="AN50" s="194">
        <v>0</v>
      </c>
      <c r="AO50" s="38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90">
        <f t="shared" si="8"/>
        <v>416604.16000000003</v>
      </c>
      <c r="BE50" s="90">
        <f t="shared" si="9"/>
        <v>0</v>
      </c>
      <c r="BF50" s="27"/>
      <c r="BG50" s="27"/>
      <c r="BH50" s="27"/>
      <c r="BI50" s="27"/>
      <c r="BJ50" s="27"/>
      <c r="BK50" s="27"/>
      <c r="BL50" s="27"/>
      <c r="BM50" s="30"/>
      <c r="BN50" s="27"/>
    </row>
    <row r="51" spans="1:66" x14ac:dyDescent="0.25">
      <c r="A51" s="18">
        <v>552</v>
      </c>
      <c r="B51" s="2" t="s">
        <v>135</v>
      </c>
      <c r="D51" s="25"/>
      <c r="E51" s="25"/>
      <c r="F51" s="37"/>
      <c r="G51" s="38"/>
      <c r="H51" s="21"/>
      <c r="I51" s="21"/>
      <c r="J51" s="37"/>
      <c r="K51" s="38"/>
      <c r="L51" s="37"/>
      <c r="M51" s="40"/>
      <c r="N51" s="226">
        <f t="shared" si="0"/>
        <v>0</v>
      </c>
      <c r="O51" s="168">
        <f t="shared" si="1"/>
        <v>0</v>
      </c>
      <c r="P51" s="40"/>
      <c r="Q51" s="40"/>
      <c r="R51" s="37"/>
      <c r="S51" s="40"/>
      <c r="T51" s="226">
        <f t="shared" si="2"/>
        <v>0</v>
      </c>
      <c r="U51" s="169">
        <f t="shared" si="3"/>
        <v>0</v>
      </c>
      <c r="V51" s="37">
        <f t="shared" si="4"/>
        <v>0</v>
      </c>
      <c r="W51" s="38">
        <f t="shared" si="5"/>
        <v>0</v>
      </c>
      <c r="X51" s="120">
        <f t="shared" si="6"/>
        <v>0</v>
      </c>
      <c r="Y51" s="120">
        <f t="shared" si="7"/>
        <v>0</v>
      </c>
      <c r="Z51" s="35"/>
      <c r="AA51" s="36"/>
      <c r="AB51" s="35"/>
      <c r="AC51" s="36"/>
      <c r="AD51" s="187">
        <f>250757.81+461289.11</f>
        <v>712046.91999999993</v>
      </c>
      <c r="AE51" s="21"/>
      <c r="AF51" s="186"/>
      <c r="AG51" s="36"/>
      <c r="AH51" s="37"/>
      <c r="AI51" s="38"/>
      <c r="AJ51" s="39"/>
      <c r="AK51" s="39"/>
      <c r="AL51" s="39"/>
      <c r="AM51" s="39"/>
      <c r="AN51" s="186">
        <f>3546.51+96000+16724.65</f>
        <v>116271.16</v>
      </c>
      <c r="AO51" s="38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90">
        <f t="shared" si="8"/>
        <v>828318.08</v>
      </c>
      <c r="BE51" s="90">
        <f t="shared" si="9"/>
        <v>0</v>
      </c>
      <c r="BF51" s="27"/>
      <c r="BG51" s="27"/>
      <c r="BH51" s="27"/>
      <c r="BI51" s="27"/>
      <c r="BJ51" s="27"/>
      <c r="BK51" s="27"/>
      <c r="BL51" s="27"/>
      <c r="BM51" s="30"/>
      <c r="BN51" s="27"/>
    </row>
    <row r="52" spans="1:66" x14ac:dyDescent="0.25">
      <c r="A52" s="18">
        <v>553</v>
      </c>
      <c r="B52" s="2" t="s">
        <v>143</v>
      </c>
      <c r="D52" s="25"/>
      <c r="E52" s="25"/>
      <c r="F52" s="37"/>
      <c r="G52" s="38"/>
      <c r="H52" s="21"/>
      <c r="I52" s="21"/>
      <c r="J52" s="37"/>
      <c r="K52" s="38"/>
      <c r="L52" s="37"/>
      <c r="M52" s="40"/>
      <c r="N52" s="226">
        <f t="shared" si="0"/>
        <v>0</v>
      </c>
      <c r="O52" s="168">
        <f t="shared" si="1"/>
        <v>0</v>
      </c>
      <c r="P52" s="40"/>
      <c r="Q52" s="40"/>
      <c r="R52" s="37"/>
      <c r="S52" s="40"/>
      <c r="T52" s="226">
        <f t="shared" si="2"/>
        <v>0</v>
      </c>
      <c r="U52" s="169">
        <f t="shared" si="3"/>
        <v>0</v>
      </c>
      <c r="V52" s="37">
        <f t="shared" si="4"/>
        <v>0</v>
      </c>
      <c r="W52" s="38">
        <f t="shared" si="5"/>
        <v>0</v>
      </c>
      <c r="X52" s="120">
        <f t="shared" si="6"/>
        <v>0</v>
      </c>
      <c r="Y52" s="120">
        <f t="shared" si="7"/>
        <v>0</v>
      </c>
      <c r="Z52" s="35"/>
      <c r="AA52" s="36"/>
      <c r="AB52" s="35"/>
      <c r="AC52" s="36"/>
      <c r="AD52" s="21"/>
      <c r="AE52" s="187">
        <f>430497.09+202496.27+365360.36+737510.35+701187.73+120790.61+737068.12+490756.97+179356.6+514052.36+191928.7+499976.55+416349.13+718551.56</f>
        <v>6305882.4000000004</v>
      </c>
      <c r="AF52" s="35"/>
      <c r="AG52" s="184">
        <v>38725.32</v>
      </c>
      <c r="AH52" s="37"/>
      <c r="AI52" s="184">
        <f>76555.06+98104.36</f>
        <v>174659.41999999998</v>
      </c>
      <c r="AJ52" s="39"/>
      <c r="AK52" s="39"/>
      <c r="AL52" s="39"/>
      <c r="AM52" s="39"/>
      <c r="AN52" s="37"/>
      <c r="AO52" s="184">
        <f>283825.35+731626.71+827482.73+44298.79+359287.69</f>
        <v>2246521.27</v>
      </c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90">
        <f t="shared" si="8"/>
        <v>0</v>
      </c>
      <c r="BE52" s="90">
        <f t="shared" si="9"/>
        <v>8765788.4100000001</v>
      </c>
      <c r="BF52" s="27"/>
      <c r="BG52" s="27"/>
      <c r="BH52" s="27"/>
      <c r="BI52" s="27"/>
      <c r="BJ52" s="27"/>
      <c r="BK52" s="27"/>
      <c r="BL52" s="27"/>
      <c r="BM52" s="30"/>
      <c r="BN52" s="27"/>
    </row>
    <row r="53" spans="1:66" x14ac:dyDescent="0.25">
      <c r="A53" s="32">
        <v>554</v>
      </c>
      <c r="B53" s="27" t="s">
        <v>138</v>
      </c>
      <c r="C53" s="27"/>
      <c r="D53" s="25"/>
      <c r="E53" s="25"/>
      <c r="F53" s="37"/>
      <c r="G53" s="38"/>
      <c r="H53" s="40"/>
      <c r="I53" s="40"/>
      <c r="J53" s="37"/>
      <c r="K53" s="38"/>
      <c r="L53" s="37"/>
      <c r="M53" s="40"/>
      <c r="N53" s="227">
        <f t="shared" si="0"/>
        <v>0</v>
      </c>
      <c r="O53" s="228">
        <f t="shared" si="1"/>
        <v>0</v>
      </c>
      <c r="P53" s="42"/>
      <c r="Q53" s="42"/>
      <c r="R53" s="43"/>
      <c r="S53" s="42"/>
      <c r="T53" s="227">
        <f t="shared" si="2"/>
        <v>0</v>
      </c>
      <c r="U53" s="230">
        <f t="shared" si="3"/>
        <v>0</v>
      </c>
      <c r="V53" s="43">
        <f t="shared" si="4"/>
        <v>0</v>
      </c>
      <c r="W53" s="44">
        <f t="shared" si="5"/>
        <v>0</v>
      </c>
      <c r="X53" s="120">
        <f t="shared" si="6"/>
        <v>0</v>
      </c>
      <c r="Y53" s="120"/>
      <c r="Z53" s="35"/>
      <c r="AA53" s="36"/>
      <c r="AB53" s="35"/>
      <c r="AC53" s="36"/>
      <c r="AD53" s="40"/>
      <c r="AE53" s="187">
        <v>0</v>
      </c>
      <c r="AF53" s="35"/>
      <c r="AG53" s="184"/>
      <c r="AH53" s="37"/>
      <c r="AI53" s="38"/>
      <c r="AJ53" s="41"/>
      <c r="AK53" s="41"/>
      <c r="AL53" s="41"/>
      <c r="AM53" s="41"/>
      <c r="AN53" s="37"/>
      <c r="AO53" s="38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90">
        <f>AN53+AH53+AF53+AD53+V53+H53+F53+Z53+AB53</f>
        <v>0</v>
      </c>
      <c r="BE53" s="90">
        <f t="shared" si="9"/>
        <v>0</v>
      </c>
      <c r="BF53" s="27"/>
      <c r="BG53" s="27"/>
      <c r="BH53" s="27"/>
      <c r="BI53" s="27"/>
      <c r="BJ53" s="27"/>
      <c r="BK53" s="27"/>
      <c r="BL53" s="27"/>
      <c r="BM53" s="30"/>
      <c r="BN53" s="27"/>
    </row>
    <row r="54" spans="1:66" ht="12.75" hidden="1" customHeight="1" x14ac:dyDescent="0.25">
      <c r="A54" s="18">
        <v>547</v>
      </c>
      <c r="B54" s="2" t="s">
        <v>144</v>
      </c>
      <c r="D54" s="25"/>
      <c r="E54" s="25"/>
      <c r="F54" s="37"/>
      <c r="G54" s="38"/>
      <c r="H54" s="40"/>
      <c r="I54" s="40"/>
      <c r="J54" s="37"/>
      <c r="K54" s="38"/>
      <c r="L54" s="37"/>
      <c r="M54" s="40"/>
      <c r="N54" s="226">
        <f t="shared" si="0"/>
        <v>0</v>
      </c>
      <c r="O54" s="168">
        <f t="shared" si="1"/>
        <v>0</v>
      </c>
      <c r="P54" s="40"/>
      <c r="Q54" s="40"/>
      <c r="R54" s="37"/>
      <c r="S54" s="40"/>
      <c r="T54" s="226">
        <f t="shared" si="2"/>
        <v>0</v>
      </c>
      <c r="U54" s="169">
        <f t="shared" si="3"/>
        <v>0</v>
      </c>
      <c r="V54" s="37">
        <f t="shared" si="4"/>
        <v>0</v>
      </c>
      <c r="W54" s="38">
        <f t="shared" si="5"/>
        <v>0</v>
      </c>
      <c r="X54" s="120"/>
      <c r="Y54" s="120"/>
      <c r="Z54" s="35"/>
      <c r="AA54" s="36"/>
      <c r="AB54" s="35"/>
      <c r="AC54" s="36"/>
      <c r="AD54" s="40"/>
      <c r="AE54" s="40"/>
      <c r="AF54" s="37"/>
      <c r="AG54" s="38"/>
      <c r="AH54" s="37"/>
      <c r="AI54" s="38"/>
      <c r="AJ54" s="41"/>
      <c r="AK54" s="41"/>
      <c r="AL54" s="41"/>
      <c r="AM54" s="41"/>
      <c r="AN54" s="37"/>
      <c r="AO54" s="38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90">
        <f t="shared" ref="BD54:BD55" si="12">AN54+AH54+AD54+V54+H54+F54+Z54+AB54</f>
        <v>0</v>
      </c>
      <c r="BE54" s="90">
        <f t="shared" ref="BE54:BE55" si="13">AO54+AI54+AE54+W54+I54+G54+AA54+AC54</f>
        <v>0</v>
      </c>
      <c r="BF54" s="27"/>
      <c r="BG54" s="27"/>
      <c r="BH54" s="27"/>
      <c r="BI54" s="27"/>
      <c r="BJ54" s="27"/>
      <c r="BK54" s="27"/>
      <c r="BL54" s="27"/>
      <c r="BM54" s="30"/>
      <c r="BN54" s="27"/>
    </row>
    <row r="55" spans="1:66" ht="12.75" hidden="1" customHeight="1" x14ac:dyDescent="0.25">
      <c r="A55" s="18">
        <v>501</v>
      </c>
      <c r="B55" s="2" t="s">
        <v>144</v>
      </c>
      <c r="D55" s="25"/>
      <c r="E55" s="25"/>
      <c r="F55" s="43"/>
      <c r="G55" s="44"/>
      <c r="H55" s="42"/>
      <c r="I55" s="42"/>
      <c r="J55" s="43"/>
      <c r="K55" s="44"/>
      <c r="L55" s="43"/>
      <c r="M55" s="42"/>
      <c r="N55" s="227">
        <f t="shared" si="0"/>
        <v>0</v>
      </c>
      <c r="O55" s="228">
        <f t="shared" si="1"/>
        <v>0</v>
      </c>
      <c r="P55" s="42"/>
      <c r="Q55" s="42"/>
      <c r="R55" s="43"/>
      <c r="S55" s="42"/>
      <c r="T55" s="227">
        <f t="shared" si="2"/>
        <v>0</v>
      </c>
      <c r="U55" s="230">
        <f t="shared" si="3"/>
        <v>0</v>
      </c>
      <c r="V55" s="43">
        <f t="shared" si="4"/>
        <v>0</v>
      </c>
      <c r="W55" s="44">
        <f t="shared" si="5"/>
        <v>0</v>
      </c>
      <c r="X55" s="123"/>
      <c r="Y55" s="123"/>
      <c r="Z55" s="45"/>
      <c r="AA55" s="46"/>
      <c r="AB55" s="45"/>
      <c r="AC55" s="46"/>
      <c r="AD55" s="42"/>
      <c r="AE55" s="42"/>
      <c r="AF55" s="43"/>
      <c r="AG55" s="44"/>
      <c r="AH55" s="43"/>
      <c r="AI55" s="44"/>
      <c r="AJ55" s="47"/>
      <c r="AK55" s="47"/>
      <c r="AL55" s="47"/>
      <c r="AM55" s="47"/>
      <c r="AN55" s="43"/>
      <c r="AO55" s="44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1"/>
      <c r="BC55" s="41"/>
      <c r="BD55" s="90">
        <f t="shared" si="12"/>
        <v>0</v>
      </c>
      <c r="BE55" s="90">
        <f t="shared" si="13"/>
        <v>0</v>
      </c>
      <c r="BF55" s="27"/>
      <c r="BG55" s="27"/>
      <c r="BH55" s="27"/>
      <c r="BI55" s="27"/>
      <c r="BJ55" s="27"/>
      <c r="BK55" s="27"/>
      <c r="BL55" s="27"/>
      <c r="BM55" s="30"/>
      <c r="BN55" s="27"/>
    </row>
    <row r="56" spans="1:66" x14ac:dyDescent="0.25">
      <c r="D56" s="25"/>
      <c r="E56" s="25"/>
      <c r="F56" s="33"/>
      <c r="G56" s="34"/>
      <c r="H56" s="48"/>
      <c r="I56" s="48"/>
      <c r="J56" s="33"/>
      <c r="K56" s="34"/>
      <c r="L56" s="33"/>
      <c r="M56" s="34"/>
      <c r="N56" s="169"/>
      <c r="O56" s="169"/>
      <c r="P56" s="33"/>
      <c r="Q56" s="48"/>
      <c r="R56" s="37"/>
      <c r="S56" s="38"/>
      <c r="T56" s="226"/>
      <c r="U56" s="168"/>
      <c r="V56" s="40"/>
      <c r="W56" s="40"/>
      <c r="X56" s="124"/>
      <c r="Y56" s="125"/>
      <c r="Z56" s="49"/>
      <c r="AA56" s="50"/>
      <c r="AB56" s="49"/>
      <c r="AC56" s="50"/>
      <c r="AD56" s="33"/>
      <c r="AE56" s="48"/>
      <c r="AF56" s="33"/>
      <c r="AG56" s="34"/>
      <c r="AH56" s="33"/>
      <c r="AI56" s="34"/>
      <c r="AJ56" s="41"/>
      <c r="AK56" s="41"/>
      <c r="AL56" s="41"/>
      <c r="AM56" s="41"/>
      <c r="AN56" s="33"/>
      <c r="AO56" s="34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97"/>
      <c r="BE56" s="97"/>
      <c r="BF56" s="27" t="s">
        <v>145</v>
      </c>
      <c r="BG56" s="27" t="s">
        <v>145</v>
      </c>
      <c r="BH56" s="27" t="s">
        <v>145</v>
      </c>
      <c r="BI56" s="27" t="s">
        <v>145</v>
      </c>
      <c r="BJ56" s="13" t="s">
        <v>145</v>
      </c>
      <c r="BK56" s="13" t="s">
        <v>146</v>
      </c>
      <c r="BL56" s="27"/>
      <c r="BM56" s="30"/>
      <c r="BN56" s="27"/>
    </row>
    <row r="57" spans="1:66" s="23" customFormat="1" ht="27" thickBot="1" x14ac:dyDescent="0.3">
      <c r="D57" s="51"/>
      <c r="E57" s="51"/>
      <c r="F57" s="52"/>
      <c r="G57" s="53"/>
      <c r="H57" s="54"/>
      <c r="I57" s="54"/>
      <c r="J57" s="52"/>
      <c r="K57" s="53"/>
      <c r="L57" s="52"/>
      <c r="M57" s="53"/>
      <c r="N57" s="229"/>
      <c r="O57" s="229"/>
      <c r="P57" s="52"/>
      <c r="Q57" s="54"/>
      <c r="R57" s="52"/>
      <c r="S57" s="53"/>
      <c r="T57" s="240"/>
      <c r="U57" s="241"/>
      <c r="V57" s="54"/>
      <c r="W57" s="54"/>
      <c r="X57" s="126"/>
      <c r="Y57" s="127"/>
      <c r="Z57" s="55"/>
      <c r="AA57" s="56"/>
      <c r="AB57" s="55"/>
      <c r="AC57" s="56"/>
      <c r="AD57" s="52"/>
      <c r="AE57" s="54"/>
      <c r="AF57" s="52"/>
      <c r="AG57" s="53"/>
      <c r="AH57" s="52"/>
      <c r="AI57" s="53"/>
      <c r="AJ57" s="57"/>
      <c r="AK57" s="57"/>
      <c r="AL57" s="57"/>
      <c r="AM57" s="57"/>
      <c r="AN57" s="52"/>
      <c r="AO57" s="53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91"/>
      <c r="BE57" s="91"/>
      <c r="BF57" s="107" t="s">
        <v>147</v>
      </c>
      <c r="BG57" s="107" t="s">
        <v>148</v>
      </c>
      <c r="BH57" s="107" t="s">
        <v>149</v>
      </c>
      <c r="BI57" s="107" t="s">
        <v>150</v>
      </c>
      <c r="BJ57" s="107" t="s">
        <v>151</v>
      </c>
      <c r="BK57" s="107" t="s">
        <v>152</v>
      </c>
      <c r="BL57" s="108" t="s">
        <v>153</v>
      </c>
      <c r="BM57" s="58"/>
      <c r="BN57" s="59"/>
    </row>
    <row r="58" spans="1:66" ht="13.8" thickBot="1" x14ac:dyDescent="0.3">
      <c r="B58" s="2" t="s">
        <v>154</v>
      </c>
      <c r="D58" s="60"/>
      <c r="E58" s="60">
        <f t="shared" ref="E58:BD58" si="14">SUM(E25:E57)</f>
        <v>0</v>
      </c>
      <c r="F58" s="37">
        <f t="shared" si="14"/>
        <v>0</v>
      </c>
      <c r="G58" s="38">
        <f t="shared" si="14"/>
        <v>0</v>
      </c>
      <c r="H58" s="40">
        <f>SUM(H25:H57)</f>
        <v>10733760.359999999</v>
      </c>
      <c r="I58" s="38">
        <f t="shared" si="14"/>
        <v>15718628.48</v>
      </c>
      <c r="J58" s="40">
        <f t="shared" ref="J58:K58" si="15">SUM(J25:J57)</f>
        <v>7635225.870000001</v>
      </c>
      <c r="K58" s="38">
        <f t="shared" si="15"/>
        <v>43337504.899999999</v>
      </c>
      <c r="L58" s="40">
        <f t="shared" ref="L58:M58" si="16">SUM(L25:L57)</f>
        <v>1443131.56</v>
      </c>
      <c r="M58" s="38">
        <f t="shared" si="16"/>
        <v>3303936.56</v>
      </c>
      <c r="N58" s="169">
        <f t="shared" ref="N58:O58" si="17">SUM(N25:N57)</f>
        <v>9078357.4299999997</v>
      </c>
      <c r="O58" s="168">
        <f t="shared" si="17"/>
        <v>46641441.459999993</v>
      </c>
      <c r="P58" s="40">
        <f t="shared" ref="P58:Q58" si="18">SUM(P25:P57)</f>
        <v>11901132.6</v>
      </c>
      <c r="Q58" s="38">
        <f t="shared" si="18"/>
        <v>72542868.690000013</v>
      </c>
      <c r="R58" s="40">
        <f t="shared" ref="R58:S58" si="19">SUM(R25:R57)</f>
        <v>1529074</v>
      </c>
      <c r="S58" s="38">
        <f t="shared" si="19"/>
        <v>5619205.5800000001</v>
      </c>
      <c r="T58" s="169">
        <f t="shared" ref="T58:U58" si="20">SUM(T25:T57)</f>
        <v>13430206.600000001</v>
      </c>
      <c r="U58" s="168">
        <f t="shared" si="20"/>
        <v>78162074.270000011</v>
      </c>
      <c r="V58" s="40">
        <f t="shared" si="14"/>
        <v>22508564.030000001</v>
      </c>
      <c r="W58" s="40">
        <f t="shared" si="14"/>
        <v>124803515.73</v>
      </c>
      <c r="X58" s="128">
        <f t="shared" si="14"/>
        <v>940213.50099193805</v>
      </c>
      <c r="Y58" s="129">
        <f t="shared" si="14"/>
        <v>6967892.2070001001</v>
      </c>
      <c r="Z58" s="35">
        <f>SUM(Z25:Z57)</f>
        <v>8396047.459999999</v>
      </c>
      <c r="AA58" s="119">
        <f>SUM(AA25:AA57)</f>
        <v>41021461.939999998</v>
      </c>
      <c r="AB58" s="35">
        <f>SUM(AB25:AB57)</f>
        <v>8464800.9600000009</v>
      </c>
      <c r="AC58" s="119">
        <f>SUM(AC25:AC57)</f>
        <v>44684623.900000006</v>
      </c>
      <c r="AD58" s="37">
        <f t="shared" si="14"/>
        <v>12647981.919999998</v>
      </c>
      <c r="AE58" s="40">
        <f>SUM(AE25:AE57)</f>
        <v>23007486.170000002</v>
      </c>
      <c r="AF58" s="37">
        <f t="shared" ref="AF58:AG58" si="21">SUM(AF25:AF57)</f>
        <v>92144.86</v>
      </c>
      <c r="AG58" s="38">
        <f t="shared" si="21"/>
        <v>38725.32</v>
      </c>
      <c r="AH58" s="37">
        <f>SUM(AH25:AH57)</f>
        <v>10722.05</v>
      </c>
      <c r="AI58" s="38">
        <f>SUM(AI25:AI57)</f>
        <v>177897.77999999997</v>
      </c>
      <c r="AJ58" s="39"/>
      <c r="AK58" s="39">
        <f t="shared" si="14"/>
        <v>0</v>
      </c>
      <c r="AL58" s="39">
        <f t="shared" si="14"/>
        <v>0</v>
      </c>
      <c r="AM58" s="39">
        <f t="shared" si="14"/>
        <v>0</v>
      </c>
      <c r="AN58" s="37">
        <f t="shared" si="14"/>
        <v>1461383.5499999996</v>
      </c>
      <c r="AO58" s="38">
        <f t="shared" si="14"/>
        <v>2891884.66</v>
      </c>
      <c r="AP58" s="39">
        <f t="shared" si="14"/>
        <v>0</v>
      </c>
      <c r="AQ58" s="39">
        <f t="shared" si="14"/>
        <v>0</v>
      </c>
      <c r="AR58" s="39"/>
      <c r="AS58" s="39"/>
      <c r="AT58" s="39"/>
      <c r="AU58" s="39"/>
      <c r="AV58" s="39"/>
      <c r="AW58" s="39"/>
      <c r="AX58" s="39"/>
      <c r="AY58" s="39"/>
      <c r="AZ58" s="39">
        <f t="shared" si="14"/>
        <v>0</v>
      </c>
      <c r="BA58" s="39">
        <f t="shared" si="14"/>
        <v>0</v>
      </c>
      <c r="BB58" s="39"/>
      <c r="BC58" s="39"/>
      <c r="BD58" s="90">
        <f t="shared" si="14"/>
        <v>64315405.18999999</v>
      </c>
      <c r="BE58" s="96">
        <f>SUM(BE25:BE57)</f>
        <v>252344223.98000002</v>
      </c>
      <c r="BF58" s="179" t="e">
        <f>#REF!</f>
        <v>#REF!</v>
      </c>
      <c r="BG58" s="179" t="e">
        <f>#REF!</f>
        <v>#REF!</v>
      </c>
      <c r="BH58" s="179" t="e">
        <f>#REF!</f>
        <v>#REF!</v>
      </c>
      <c r="BI58" s="179">
        <f>Y58</f>
        <v>6967892.2070001001</v>
      </c>
      <c r="BJ58" s="179" t="e">
        <f>#REF!</f>
        <v>#REF!</v>
      </c>
      <c r="BK58" s="179" t="e">
        <f>#REF!</f>
        <v>#REF!</v>
      </c>
      <c r="BL58" s="106" t="e">
        <f>BE58-BF58-BH58-BI58-BJ58+BK58-BG58</f>
        <v>#REF!</v>
      </c>
    </row>
    <row r="59" spans="1:66" x14ac:dyDescent="0.25">
      <c r="F59" s="37"/>
      <c r="G59" s="38"/>
      <c r="H59" s="40"/>
      <c r="I59" s="38"/>
      <c r="J59" s="40"/>
      <c r="K59" s="38"/>
      <c r="L59" s="40"/>
      <c r="M59" s="38"/>
      <c r="N59" s="169"/>
      <c r="O59" s="168"/>
      <c r="P59" s="40"/>
      <c r="Q59" s="38"/>
      <c r="R59" s="40"/>
      <c r="S59" s="38"/>
      <c r="T59" s="169"/>
      <c r="U59" s="168"/>
      <c r="V59" s="40"/>
      <c r="W59" s="40"/>
      <c r="X59" s="128"/>
      <c r="Y59" s="129"/>
      <c r="Z59" s="35"/>
      <c r="AA59" s="119"/>
      <c r="AB59" s="35"/>
      <c r="AC59" s="119"/>
      <c r="AD59" s="37"/>
      <c r="AE59" s="40"/>
      <c r="AF59" s="37"/>
      <c r="AG59" s="38"/>
      <c r="AH59" s="37"/>
      <c r="AI59" s="38"/>
      <c r="AJ59" s="39"/>
      <c r="AK59" s="39"/>
      <c r="AL59" s="39"/>
      <c r="AM59" s="39"/>
      <c r="AN59" s="37"/>
      <c r="AO59" s="38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90"/>
      <c r="BE59" s="90"/>
    </row>
    <row r="60" spans="1:66" x14ac:dyDescent="0.25">
      <c r="B60" s="2" t="s">
        <v>126</v>
      </c>
      <c r="F60" s="37"/>
      <c r="G60" s="36">
        <f>G26+G27+G28+G29</f>
        <v>0</v>
      </c>
      <c r="H60" s="119"/>
      <c r="I60" s="36">
        <f>I26+I27+I28+I29</f>
        <v>7645943.1099999994</v>
      </c>
      <c r="J60" s="119"/>
      <c r="K60" s="36">
        <f>K26+K27+K28+K29</f>
        <v>31405435.139999997</v>
      </c>
      <c r="L60" s="119"/>
      <c r="M60" s="36">
        <f>M26+M27</f>
        <v>0</v>
      </c>
      <c r="N60" s="169"/>
      <c r="O60" s="168">
        <f>O26+O27+O28+O29</f>
        <v>31405435.139999997</v>
      </c>
      <c r="P60" s="119"/>
      <c r="Q60" s="36">
        <f>Q26+Q27+Q28+Q29</f>
        <v>52354230.32</v>
      </c>
      <c r="R60" s="119"/>
      <c r="S60" s="36">
        <f>S26+S27</f>
        <v>0</v>
      </c>
      <c r="T60" s="169"/>
      <c r="U60" s="168">
        <f>U26+U27+U28+U29</f>
        <v>52354230.32</v>
      </c>
      <c r="V60" s="119"/>
      <c r="W60" s="36">
        <f>W26+W27+W28+W29</f>
        <v>83759665.459999993</v>
      </c>
      <c r="X60" s="128">
        <f>X26</f>
        <v>0</v>
      </c>
      <c r="Y60" s="129">
        <f>Y26+Y27+Y28+Y29</f>
        <v>4676377.2383006522</v>
      </c>
      <c r="Z60" s="35"/>
      <c r="AA60" s="36">
        <f>AA26+AA27+AA28+AA29</f>
        <v>26005712.52</v>
      </c>
      <c r="AB60" s="35"/>
      <c r="AC60" s="36">
        <f>AC26+AC27+AC28+AC29</f>
        <v>28100229.810000002</v>
      </c>
      <c r="AD60" s="37"/>
      <c r="AE60" s="40">
        <f>AE41+AE42+AE43+AE44</f>
        <v>16446720.41</v>
      </c>
      <c r="AF60" s="37"/>
      <c r="AG60" s="38">
        <f>AG41+AG42+AG43+AG44</f>
        <v>0</v>
      </c>
      <c r="AH60" s="37"/>
      <c r="AI60" s="38">
        <f>+AI45+AI46</f>
        <v>3238.36</v>
      </c>
      <c r="AJ60" s="41"/>
      <c r="AK60" s="41">
        <f>AK42</f>
        <v>0</v>
      </c>
      <c r="AL60" s="41"/>
      <c r="AM60" s="41">
        <f>AM42</f>
        <v>0</v>
      </c>
      <c r="AN60" s="37"/>
      <c r="AO60" s="38">
        <f>AO41+AO42+AO43+AO44+AO45</f>
        <v>645363.39</v>
      </c>
      <c r="AP60" s="41"/>
      <c r="AQ60" s="41">
        <f>AQ42</f>
        <v>0</v>
      </c>
      <c r="AR60" s="41"/>
      <c r="AS60" s="41"/>
      <c r="AT60" s="41"/>
      <c r="AU60" s="41"/>
      <c r="AV60" s="41"/>
      <c r="AW60" s="41"/>
      <c r="AX60" s="41"/>
      <c r="AY60" s="41"/>
      <c r="AZ60" s="41"/>
      <c r="BA60" s="41">
        <f>BA42</f>
        <v>0</v>
      </c>
      <c r="BB60" s="41"/>
      <c r="BC60" s="41"/>
      <c r="BD60" s="90"/>
      <c r="BE60" s="90">
        <f>SUM(AO60+AI60+AG60+AE60+AC60+AA60+U60+O60+I60+G60)</f>
        <v>162606873.06</v>
      </c>
      <c r="BK60" s="28"/>
    </row>
    <row r="61" spans="1:66" x14ac:dyDescent="0.25">
      <c r="F61" s="37"/>
      <c r="G61" s="38"/>
      <c r="H61" s="40"/>
      <c r="I61" s="38"/>
      <c r="J61" s="40"/>
      <c r="K61" s="38"/>
      <c r="L61" s="40"/>
      <c r="M61" s="38"/>
      <c r="N61" s="169"/>
      <c r="O61" s="168"/>
      <c r="P61" s="40"/>
      <c r="Q61" s="38"/>
      <c r="R61" s="40"/>
      <c r="S61" s="38"/>
      <c r="T61" s="169"/>
      <c r="U61" s="168"/>
      <c r="V61" s="40"/>
      <c r="W61" s="40"/>
      <c r="X61" s="128"/>
      <c r="Y61" s="129"/>
      <c r="Z61" s="35"/>
      <c r="AA61" s="119"/>
      <c r="AB61" s="35"/>
      <c r="AC61" s="119"/>
      <c r="AD61" s="37"/>
      <c r="AE61" s="40"/>
      <c r="AF61" s="37"/>
      <c r="AG61" s="38"/>
      <c r="AH61" s="37"/>
      <c r="AI61" s="38"/>
      <c r="AJ61" s="41"/>
      <c r="AK61" s="41"/>
      <c r="AL61" s="41"/>
      <c r="AM61" s="41"/>
      <c r="AN61" s="37"/>
      <c r="AO61" s="38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90"/>
      <c r="BE61" s="90"/>
      <c r="BG61" s="28">
        <f>BE58+BD58</f>
        <v>316659629.17000002</v>
      </c>
      <c r="BH61" s="2" t="s">
        <v>155</v>
      </c>
    </row>
    <row r="62" spans="1:66" x14ac:dyDescent="0.25">
      <c r="F62" s="37"/>
      <c r="G62" s="38"/>
      <c r="H62" s="40"/>
      <c r="I62" s="38"/>
      <c r="J62" s="42"/>
      <c r="K62" s="44"/>
      <c r="L62" s="42"/>
      <c r="M62" s="44"/>
      <c r="N62" s="230"/>
      <c r="O62" s="228"/>
      <c r="P62" s="42"/>
      <c r="Q62" s="44"/>
      <c r="R62" s="42"/>
      <c r="S62" s="44"/>
      <c r="T62" s="230"/>
      <c r="U62" s="228"/>
      <c r="V62" s="42"/>
      <c r="W62" s="42"/>
      <c r="X62" s="128"/>
      <c r="Y62" s="129"/>
      <c r="Z62" s="45"/>
      <c r="AA62" s="104"/>
      <c r="AB62" s="45"/>
      <c r="AC62" s="104"/>
      <c r="AD62" s="37"/>
      <c r="AE62" s="40"/>
      <c r="AF62" s="37"/>
      <c r="AG62" s="38"/>
      <c r="AH62" s="37"/>
      <c r="AI62" s="38"/>
      <c r="AJ62" s="41"/>
      <c r="AK62" s="41"/>
      <c r="AL62" s="41"/>
      <c r="AM62" s="41"/>
      <c r="AN62" s="37"/>
      <c r="AO62" s="38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95"/>
      <c r="BE62" s="95"/>
      <c r="BG62" s="195">
        <f>67600942.47+162606873.06+87416711.74</f>
        <v>317624527.26999998</v>
      </c>
      <c r="BH62" s="2" t="s">
        <v>156</v>
      </c>
    </row>
    <row r="63" spans="1:66" ht="13.8" thickBot="1" x14ac:dyDescent="0.3">
      <c r="B63" s="2" t="s">
        <v>157</v>
      </c>
      <c r="F63" s="61">
        <f>SUM(F60:F62)</f>
        <v>0</v>
      </c>
      <c r="G63" s="62">
        <f t="shared" ref="G63:BE63" si="22">SUM(G60:G62)</f>
        <v>0</v>
      </c>
      <c r="H63" s="63">
        <f t="shared" si="22"/>
        <v>0</v>
      </c>
      <c r="I63" s="62">
        <f t="shared" si="22"/>
        <v>7645943.1099999994</v>
      </c>
      <c r="J63" s="63">
        <f t="shared" ref="J63:K63" si="23">SUM(J60:J62)</f>
        <v>0</v>
      </c>
      <c r="K63" s="62">
        <f t="shared" si="23"/>
        <v>31405435.139999997</v>
      </c>
      <c r="L63" s="63">
        <f t="shared" ref="L63:M63" si="24">SUM(L60:L62)</f>
        <v>0</v>
      </c>
      <c r="M63" s="62">
        <f t="shared" si="24"/>
        <v>0</v>
      </c>
      <c r="N63" s="231">
        <f t="shared" ref="N63:O63" si="25">SUM(N60:N62)</f>
        <v>0</v>
      </c>
      <c r="O63" s="232">
        <f t="shared" si="25"/>
        <v>31405435.139999997</v>
      </c>
      <c r="P63" s="63">
        <f t="shared" ref="P63:Q63" si="26">SUM(P60:P62)</f>
        <v>0</v>
      </c>
      <c r="Q63" s="62">
        <f t="shared" si="26"/>
        <v>52354230.32</v>
      </c>
      <c r="R63" s="63">
        <f t="shared" ref="R63:S63" si="27">SUM(R60:R62)</f>
        <v>0</v>
      </c>
      <c r="S63" s="62">
        <f t="shared" si="27"/>
        <v>0</v>
      </c>
      <c r="T63" s="231">
        <f t="shared" ref="T63:U63" si="28">SUM(T60:T62)</f>
        <v>0</v>
      </c>
      <c r="U63" s="232">
        <f t="shared" si="28"/>
        <v>52354230.32</v>
      </c>
      <c r="V63" s="63">
        <f t="shared" si="22"/>
        <v>0</v>
      </c>
      <c r="W63" s="63">
        <f t="shared" si="22"/>
        <v>83759665.459999993</v>
      </c>
      <c r="X63" s="130">
        <f t="shared" si="22"/>
        <v>0</v>
      </c>
      <c r="Y63" s="131">
        <f t="shared" si="22"/>
        <v>4676377.2383006522</v>
      </c>
      <c r="Z63" s="109">
        <f>SUM(Z60:Z62)</f>
        <v>0</v>
      </c>
      <c r="AA63" s="175">
        <f>SUM(AA60:AA62)</f>
        <v>26005712.52</v>
      </c>
      <c r="AB63" s="109">
        <f>SUM(AB60:AB62)</f>
        <v>0</v>
      </c>
      <c r="AC63" s="109">
        <f>SUM(AC60:AC62)</f>
        <v>28100229.810000002</v>
      </c>
      <c r="AD63" s="61">
        <f t="shared" si="22"/>
        <v>0</v>
      </c>
      <c r="AE63" s="63">
        <f t="shared" si="22"/>
        <v>16446720.41</v>
      </c>
      <c r="AF63" s="61">
        <f t="shared" ref="AF63:AG63" si="29">SUM(AF60:AF62)</f>
        <v>0</v>
      </c>
      <c r="AG63" s="62">
        <f t="shared" si="29"/>
        <v>0</v>
      </c>
      <c r="AH63" s="61">
        <f>SUM(AH60:AH62)</f>
        <v>0</v>
      </c>
      <c r="AI63" s="62">
        <f>SUM(AI60:AI62)</f>
        <v>3238.36</v>
      </c>
      <c r="AJ63" s="64">
        <f t="shared" si="22"/>
        <v>0</v>
      </c>
      <c r="AK63" s="64">
        <f t="shared" si="22"/>
        <v>0</v>
      </c>
      <c r="AL63" s="64">
        <f t="shared" si="22"/>
        <v>0</v>
      </c>
      <c r="AM63" s="64">
        <f t="shared" si="22"/>
        <v>0</v>
      </c>
      <c r="AN63" s="61">
        <f t="shared" si="22"/>
        <v>0</v>
      </c>
      <c r="AO63" s="62">
        <f t="shared" si="22"/>
        <v>645363.39</v>
      </c>
      <c r="AP63" s="63">
        <f t="shared" si="22"/>
        <v>0</v>
      </c>
      <c r="AQ63" s="63">
        <f t="shared" si="22"/>
        <v>0</v>
      </c>
      <c r="AR63" s="63"/>
      <c r="AS63" s="63"/>
      <c r="AT63" s="63"/>
      <c r="AU63" s="63"/>
      <c r="AV63" s="63"/>
      <c r="AW63" s="63"/>
      <c r="AX63" s="63"/>
      <c r="AY63" s="63"/>
      <c r="AZ63" s="63">
        <f t="shared" si="22"/>
        <v>0</v>
      </c>
      <c r="BA63" s="63">
        <f t="shared" si="22"/>
        <v>0</v>
      </c>
      <c r="BB63" s="63"/>
      <c r="BC63" s="63"/>
      <c r="BD63" s="92">
        <f t="shared" si="22"/>
        <v>0</v>
      </c>
      <c r="BE63" s="62">
        <f t="shared" si="22"/>
        <v>162606873.06</v>
      </c>
      <c r="BG63" s="152">
        <f>BG61-BG62</f>
        <v>-964898.09999996424</v>
      </c>
      <c r="BH63" s="2" t="s">
        <v>158</v>
      </c>
    </row>
    <row r="64" spans="1:66" ht="13.8" thickTop="1" x14ac:dyDescent="0.25">
      <c r="F64" s="37"/>
      <c r="G64" s="38"/>
      <c r="H64" s="40"/>
      <c r="I64" s="38"/>
      <c r="J64" s="40"/>
      <c r="K64" s="38"/>
      <c r="L64" s="40"/>
      <c r="M64" s="38"/>
      <c r="N64" s="169"/>
      <c r="O64" s="168"/>
      <c r="P64" s="40"/>
      <c r="Q64" s="38"/>
      <c r="R64" s="40"/>
      <c r="S64" s="38"/>
      <c r="T64" s="169"/>
      <c r="U64" s="168"/>
      <c r="V64" s="40"/>
      <c r="W64" s="40"/>
      <c r="X64" s="128"/>
      <c r="Y64" s="129"/>
      <c r="Z64" s="35"/>
      <c r="AA64" s="36"/>
      <c r="AB64" s="119"/>
      <c r="AC64" s="119"/>
      <c r="AD64" s="37"/>
      <c r="AE64" s="40"/>
      <c r="AF64" s="37"/>
      <c r="AG64" s="38"/>
      <c r="AH64" s="37"/>
      <c r="AI64" s="38"/>
      <c r="AJ64" s="41"/>
      <c r="AK64" s="41"/>
      <c r="AL64" s="41"/>
      <c r="AM64" s="41"/>
      <c r="AN64" s="37"/>
      <c r="AO64" s="38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90"/>
      <c r="BE64" s="38"/>
    </row>
    <row r="65" spans="2:60" ht="13.8" thickBot="1" x14ac:dyDescent="0.3">
      <c r="B65" s="2" t="s">
        <v>159</v>
      </c>
      <c r="F65" s="65">
        <f t="shared" ref="F65:BD65" si="30">F58-F63</f>
        <v>0</v>
      </c>
      <c r="G65" s="66">
        <f t="shared" si="30"/>
        <v>0</v>
      </c>
      <c r="H65" s="67">
        <f t="shared" si="30"/>
        <v>10733760.359999999</v>
      </c>
      <c r="I65" s="66">
        <f t="shared" si="30"/>
        <v>8072685.370000001</v>
      </c>
      <c r="J65" s="67">
        <f t="shared" ref="J65:K65" si="31">J58-J63</f>
        <v>7635225.870000001</v>
      </c>
      <c r="K65" s="66">
        <f t="shared" si="31"/>
        <v>11932069.760000002</v>
      </c>
      <c r="L65" s="67">
        <f t="shared" ref="L65:M65" si="32">L58-L63</f>
        <v>1443131.56</v>
      </c>
      <c r="M65" s="66">
        <f t="shared" si="32"/>
        <v>3303936.56</v>
      </c>
      <c r="N65" s="233">
        <f t="shared" ref="N65:O65" si="33">N58-N63</f>
        <v>9078357.4299999997</v>
      </c>
      <c r="O65" s="234">
        <f t="shared" si="33"/>
        <v>15236006.319999997</v>
      </c>
      <c r="P65" s="67">
        <f t="shared" ref="P65:Q65" si="34">P58-P63</f>
        <v>11901132.6</v>
      </c>
      <c r="Q65" s="66">
        <f t="shared" si="34"/>
        <v>20188638.370000012</v>
      </c>
      <c r="R65" s="67">
        <f t="shared" ref="R65:S65" si="35">R58-R63</f>
        <v>1529074</v>
      </c>
      <c r="S65" s="66">
        <f t="shared" si="35"/>
        <v>5619205.5800000001</v>
      </c>
      <c r="T65" s="233">
        <f t="shared" ref="T65:U65" si="36">T58-T63</f>
        <v>13430206.600000001</v>
      </c>
      <c r="U65" s="234">
        <f t="shared" si="36"/>
        <v>25807843.95000001</v>
      </c>
      <c r="V65" s="67">
        <f t="shared" si="30"/>
        <v>22508564.030000001</v>
      </c>
      <c r="W65" s="67">
        <f t="shared" si="30"/>
        <v>41043850.270000011</v>
      </c>
      <c r="X65" s="132">
        <f t="shared" si="30"/>
        <v>940213.50099193805</v>
      </c>
      <c r="Y65" s="133">
        <f t="shared" si="30"/>
        <v>2291514.9686994478</v>
      </c>
      <c r="Z65" s="110">
        <f>Z58-Z63</f>
        <v>8396047.459999999</v>
      </c>
      <c r="AA65" s="176">
        <f>AA58-AA63</f>
        <v>15015749.419999998</v>
      </c>
      <c r="AB65" s="110">
        <f>AB58-AB63</f>
        <v>8464800.9600000009</v>
      </c>
      <c r="AC65" s="110">
        <f>AC58-AC63</f>
        <v>16584394.090000004</v>
      </c>
      <c r="AD65" s="65">
        <f t="shared" si="30"/>
        <v>12647981.919999998</v>
      </c>
      <c r="AE65" s="67">
        <f t="shared" si="30"/>
        <v>6560765.7600000016</v>
      </c>
      <c r="AF65" s="65">
        <f t="shared" ref="AF65:AG65" si="37">AF58-AF63</f>
        <v>92144.86</v>
      </c>
      <c r="AG65" s="66">
        <f t="shared" si="37"/>
        <v>38725.32</v>
      </c>
      <c r="AH65" s="65">
        <f>AH58-AH63</f>
        <v>10722.05</v>
      </c>
      <c r="AI65" s="66">
        <f>AI58-AI63</f>
        <v>174659.41999999998</v>
      </c>
      <c r="AJ65" s="68">
        <f t="shared" si="30"/>
        <v>0</v>
      </c>
      <c r="AK65" s="68">
        <f t="shared" si="30"/>
        <v>0</v>
      </c>
      <c r="AL65" s="68">
        <f t="shared" si="30"/>
        <v>0</v>
      </c>
      <c r="AM65" s="68">
        <f t="shared" si="30"/>
        <v>0</v>
      </c>
      <c r="AN65" s="65">
        <f t="shared" si="30"/>
        <v>1461383.5499999996</v>
      </c>
      <c r="AO65" s="66">
        <f t="shared" si="30"/>
        <v>2246521.27</v>
      </c>
      <c r="AP65" s="67">
        <f t="shared" si="30"/>
        <v>0</v>
      </c>
      <c r="AQ65" s="67">
        <f t="shared" si="30"/>
        <v>0</v>
      </c>
      <c r="AR65" s="67"/>
      <c r="AS65" s="67"/>
      <c r="AT65" s="67"/>
      <c r="AU65" s="67"/>
      <c r="AV65" s="67"/>
      <c r="AW65" s="67"/>
      <c r="AX65" s="67"/>
      <c r="AY65" s="67"/>
      <c r="AZ65" s="67">
        <f t="shared" si="30"/>
        <v>0</v>
      </c>
      <c r="BA65" s="67">
        <f t="shared" si="30"/>
        <v>0</v>
      </c>
      <c r="BB65" s="67"/>
      <c r="BC65" s="67"/>
      <c r="BD65" s="93">
        <f t="shared" si="30"/>
        <v>64315405.18999999</v>
      </c>
      <c r="BE65" s="66">
        <f>BE58-BE63</f>
        <v>89737350.920000017</v>
      </c>
      <c r="BF65" s="28"/>
      <c r="BG65" s="166">
        <f>+BF27+BF43</f>
        <v>0</v>
      </c>
      <c r="BH65" s="2" t="s">
        <v>160</v>
      </c>
    </row>
    <row r="66" spans="2:60" ht="13.8" thickTop="1" x14ac:dyDescent="0.25">
      <c r="F66" s="37"/>
      <c r="G66" s="38"/>
      <c r="H66" s="40"/>
      <c r="I66" s="38"/>
      <c r="J66" s="40"/>
      <c r="K66" s="38"/>
      <c r="L66" s="40"/>
      <c r="M66" s="38"/>
      <c r="N66" s="169"/>
      <c r="O66" s="168"/>
      <c r="P66" s="40"/>
      <c r="Q66" s="38"/>
      <c r="R66" s="40"/>
      <c r="S66" s="38"/>
      <c r="T66" s="169"/>
      <c r="U66" s="168"/>
      <c r="V66" s="40"/>
      <c r="W66" s="40"/>
      <c r="X66" s="128"/>
      <c r="Y66" s="129"/>
      <c r="Z66" s="35"/>
      <c r="AA66" s="36"/>
      <c r="AB66" s="119"/>
      <c r="AC66" s="119"/>
      <c r="AD66" s="37"/>
      <c r="AE66" s="40"/>
      <c r="AF66" s="37"/>
      <c r="AG66" s="38"/>
      <c r="AH66" s="37"/>
      <c r="AI66" s="38"/>
      <c r="AJ66" s="39"/>
      <c r="AK66" s="39"/>
      <c r="AL66" s="39"/>
      <c r="AM66" s="39"/>
      <c r="AN66" s="37"/>
      <c r="AO66" s="38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90"/>
      <c r="BE66" s="38"/>
    </row>
    <row r="67" spans="2:60" x14ac:dyDescent="0.25">
      <c r="B67" s="2" t="s">
        <v>161</v>
      </c>
      <c r="F67" s="69"/>
      <c r="G67" s="70" t="e">
        <f>(G60/G21)</f>
        <v>#DIV/0!</v>
      </c>
      <c r="H67" s="88"/>
      <c r="I67" s="70">
        <f>I60/I21</f>
        <v>45.346913646877404</v>
      </c>
      <c r="J67" s="88"/>
      <c r="K67" s="70">
        <f>K60/K21</f>
        <v>23.781748762639996</v>
      </c>
      <c r="L67" s="71"/>
      <c r="M67" s="174">
        <f>(M60)/(M22+M21)</f>
        <v>0</v>
      </c>
      <c r="N67" s="235"/>
      <c r="O67" s="236">
        <f>(O60)/(O22+O21)</f>
        <v>23.781748762639996</v>
      </c>
      <c r="P67" s="71"/>
      <c r="Q67" s="174">
        <f>(Q60)/(Q22+Q21)</f>
        <v>22.083688109416595</v>
      </c>
      <c r="R67" s="71"/>
      <c r="S67" s="174">
        <f>(S60)/(S22+S21)</f>
        <v>0</v>
      </c>
      <c r="T67" s="235"/>
      <c r="U67" s="236">
        <f>(U60)/(U22+U21)</f>
        <v>22.083688109416595</v>
      </c>
      <c r="V67" s="71"/>
      <c r="W67" s="71">
        <f>(W60)/(W22+W21)</f>
        <v>21.439188971162491</v>
      </c>
      <c r="X67" s="134"/>
      <c r="Y67" s="135">
        <f>Y60/W22</f>
        <v>21.694055986221006</v>
      </c>
      <c r="Z67" s="72"/>
      <c r="AA67" s="174">
        <f>AA26/AA21</f>
        <v>21.150790962592399</v>
      </c>
      <c r="AB67" s="71"/>
      <c r="AC67" s="71">
        <f>AC26/AC21</f>
        <v>21.813261539370512</v>
      </c>
      <c r="AD67" s="69"/>
      <c r="AE67" s="88">
        <f>AE60/AE21</f>
        <v>36.558178906281256</v>
      </c>
      <c r="AF67" s="69"/>
      <c r="AG67" s="70">
        <f>AG60/AG21</f>
        <v>0</v>
      </c>
      <c r="AH67" s="69"/>
      <c r="AI67" s="70" t="e">
        <f>AI60/AI21</f>
        <v>#DIV/0!</v>
      </c>
      <c r="AJ67" s="73"/>
      <c r="AK67" s="73">
        <v>0</v>
      </c>
      <c r="AL67" s="73"/>
      <c r="AM67" s="73">
        <v>0</v>
      </c>
      <c r="AN67" s="69"/>
      <c r="AO67" s="70">
        <f>AO60/AO21</f>
        <v>7.80314781653205</v>
      </c>
      <c r="AP67" s="73"/>
      <c r="AQ67" s="73" t="e">
        <f>AQ60/AQ21</f>
        <v>#DIV/0!</v>
      </c>
      <c r="AR67" s="73"/>
      <c r="AS67" s="73"/>
      <c r="AT67" s="73"/>
      <c r="AU67" s="73"/>
      <c r="AV67" s="73"/>
      <c r="AW67" s="73"/>
      <c r="AX67" s="73"/>
      <c r="AY67" s="73"/>
      <c r="AZ67" s="73"/>
      <c r="BA67" s="73" t="e">
        <f>BA60/BA21</f>
        <v>#DIV/0!</v>
      </c>
      <c r="BB67" s="73"/>
      <c r="BC67" s="73"/>
      <c r="BD67" s="94"/>
      <c r="BE67" s="70">
        <f>BE60/BE21</f>
        <v>23.841047942812221</v>
      </c>
      <c r="BF67" s="1" t="s">
        <v>162</v>
      </c>
      <c r="BG67" s="105"/>
    </row>
    <row r="68" spans="2:60" x14ac:dyDescent="0.25">
      <c r="B68" s="2" t="s">
        <v>163</v>
      </c>
      <c r="F68" s="69" t="e">
        <f>F65/F20</f>
        <v>#DIV/0!</v>
      </c>
      <c r="G68" s="70"/>
      <c r="H68" s="88">
        <f>H65/H20</f>
        <v>31.477303108504397</v>
      </c>
      <c r="I68" s="70"/>
      <c r="J68" s="88">
        <f>J65/J20</f>
        <v>25.450752900000005</v>
      </c>
      <c r="K68" s="70"/>
      <c r="L68" s="71">
        <f>(L65)/L20</f>
        <v>4.8104385333333335</v>
      </c>
      <c r="M68" s="174"/>
      <c r="N68" s="235">
        <f>(N65)/N20</f>
        <v>30.261191433333334</v>
      </c>
      <c r="O68" s="236"/>
      <c r="P68" s="71">
        <f>(P65)/P20</f>
        <v>23.335554117647057</v>
      </c>
      <c r="Q68" s="174"/>
      <c r="R68" s="71">
        <f>(R65)/R20</f>
        <v>2.9981843137254902</v>
      </c>
      <c r="S68" s="174"/>
      <c r="T68" s="235">
        <f>(T65)/T20</f>
        <v>26.333738431372552</v>
      </c>
      <c r="U68" s="236"/>
      <c r="V68" s="71">
        <f>(V65)/V20</f>
        <v>27.78835065432099</v>
      </c>
      <c r="W68" s="71"/>
      <c r="X68" s="134">
        <f>V68</f>
        <v>27.78835065432099</v>
      </c>
      <c r="Y68" s="135"/>
      <c r="Z68" s="72">
        <f>(Z65)/Z20</f>
        <v>31.328535298507457</v>
      </c>
      <c r="AA68" s="71"/>
      <c r="AB68" s="72">
        <f>(AB65)/AB20</f>
        <v>31.585078208955228</v>
      </c>
      <c r="AC68" s="71"/>
      <c r="AD68" s="69">
        <f>AD65/AD20</f>
        <v>8.1285230848329029</v>
      </c>
      <c r="AE68" s="88"/>
      <c r="AF68" s="69">
        <f>AF65/AF20</f>
        <v>10.840571764705883</v>
      </c>
      <c r="AG68" s="70"/>
      <c r="AH68" s="69">
        <f>AH65/AH20</f>
        <v>2.1023627450980391</v>
      </c>
      <c r="AI68" s="70"/>
      <c r="AJ68" s="73">
        <f>AJ65/AJ20</f>
        <v>0</v>
      </c>
      <c r="AK68" s="73"/>
      <c r="AL68" s="73">
        <f>AL65/AL20</f>
        <v>0</v>
      </c>
      <c r="AM68" s="73"/>
      <c r="AN68" s="69">
        <f>AN65/AN20</f>
        <v>96.143654605263137</v>
      </c>
      <c r="AO68" s="70"/>
      <c r="AP68" s="73">
        <f>AP65/AP20</f>
        <v>0</v>
      </c>
      <c r="AQ68" s="73"/>
      <c r="AR68" s="73"/>
      <c r="AS68" s="73"/>
      <c r="AT68" s="73"/>
      <c r="AU68" s="73"/>
      <c r="AV68" s="73"/>
      <c r="AW68" s="73"/>
      <c r="AX68" s="73"/>
      <c r="AY68" s="73"/>
      <c r="AZ68" s="73">
        <f>AZ65/AZ20</f>
        <v>0</v>
      </c>
      <c r="BA68" s="73"/>
      <c r="BB68" s="73"/>
      <c r="BC68" s="73"/>
      <c r="BD68" s="94">
        <f>BD65/BD20</f>
        <v>19.657498988324466</v>
      </c>
      <c r="BE68" s="70"/>
    </row>
    <row r="69" spans="2:60" x14ac:dyDescent="0.25">
      <c r="B69" s="2" t="s">
        <v>164</v>
      </c>
      <c r="F69" s="69"/>
      <c r="G69" s="70" t="e">
        <f>G65/G21</f>
        <v>#DIV/0!</v>
      </c>
      <c r="H69" s="88"/>
      <c r="I69" s="70">
        <f>I65/I21</f>
        <v>47.877856414210314</v>
      </c>
      <c r="J69" s="88"/>
      <c r="K69" s="70">
        <f>K65/K21</f>
        <v>9.0355533679325468</v>
      </c>
      <c r="L69" s="71"/>
      <c r="M69" s="174">
        <f>(M65)/(M22+M21)</f>
        <v>2.5019041719165638</v>
      </c>
      <c r="N69" s="235"/>
      <c r="O69" s="236">
        <f>(O65)/(O22+O21)</f>
        <v>11.537457539849107</v>
      </c>
      <c r="P69" s="71"/>
      <c r="Q69" s="174">
        <f>(Q65)/(Q22+Q21)</f>
        <v>8.5158274773942075</v>
      </c>
      <c r="R69" s="71"/>
      <c r="S69" s="174">
        <f>(S65)/(S22+S21)</f>
        <v>2.3702532286872016</v>
      </c>
      <c r="T69" s="235"/>
      <c r="U69" s="236">
        <f>(U65)/(U22+U21)</f>
        <v>10.886080706081408</v>
      </c>
      <c r="V69" s="71"/>
      <c r="W69" s="71">
        <f>(W65)/(W22+W21)</f>
        <v>10.505615766372104</v>
      </c>
      <c r="X69" s="134"/>
      <c r="Y69" s="135">
        <f>Y65/W22</f>
        <v>10.630505515481943</v>
      </c>
      <c r="Z69" s="72"/>
      <c r="AA69" s="71">
        <f>(AA65)/(AA22+AA21)</f>
        <v>12.929063255825966</v>
      </c>
      <c r="AB69" s="72"/>
      <c r="AC69" s="71">
        <f>(AC65)/(AC22+AC21)</f>
        <v>13.241318647188406</v>
      </c>
      <c r="AD69" s="69"/>
      <c r="AE69" s="88">
        <f>AE65/AE21</f>
        <v>14.583433197444645</v>
      </c>
      <c r="AF69" s="69"/>
      <c r="AG69" s="70">
        <f>AG65/AG21</f>
        <v>2.7448279469586674</v>
      </c>
      <c r="AH69" s="69"/>
      <c r="AI69" s="70">
        <v>0</v>
      </c>
      <c r="AJ69" s="73"/>
      <c r="AK69" s="73">
        <v>0</v>
      </c>
      <c r="AL69" s="73"/>
      <c r="AM69" s="73">
        <v>0</v>
      </c>
      <c r="AN69" s="69"/>
      <c r="AO69" s="70">
        <v>0</v>
      </c>
      <c r="AP69" s="73"/>
      <c r="AQ69" s="73">
        <v>0</v>
      </c>
      <c r="AR69" s="73"/>
      <c r="AS69" s="73"/>
      <c r="AT69" s="73"/>
      <c r="AU69" s="73"/>
      <c r="AV69" s="73"/>
      <c r="AW69" s="73"/>
      <c r="AX69" s="73"/>
      <c r="AY69" s="73"/>
      <c r="AZ69" s="73"/>
      <c r="BA69" s="73">
        <v>0</v>
      </c>
      <c r="BB69" s="73"/>
      <c r="BC69" s="73"/>
      <c r="BD69" s="94"/>
      <c r="BE69" s="70">
        <f>BE65/BE21</f>
        <v>13.157085215919867</v>
      </c>
      <c r="BF69" s="1" t="s">
        <v>165</v>
      </c>
    </row>
    <row r="70" spans="2:60" x14ac:dyDescent="0.25">
      <c r="F70" s="37"/>
      <c r="G70" s="38"/>
      <c r="H70" s="40"/>
      <c r="I70" s="38"/>
      <c r="J70" s="119"/>
      <c r="K70" s="36"/>
      <c r="L70" s="119"/>
      <c r="M70" s="36"/>
      <c r="N70" s="169"/>
      <c r="O70" s="168"/>
      <c r="P70" s="119"/>
      <c r="Q70" s="36"/>
      <c r="R70" s="119"/>
      <c r="S70" s="36"/>
      <c r="T70" s="169"/>
      <c r="U70" s="168"/>
      <c r="V70" s="119"/>
      <c r="W70" s="119"/>
      <c r="X70" s="128"/>
      <c r="Y70" s="129"/>
      <c r="Z70" s="35"/>
      <c r="AA70" s="119"/>
      <c r="AB70" s="35"/>
      <c r="AC70" s="119"/>
      <c r="AD70" s="37"/>
      <c r="AE70" s="40"/>
      <c r="AF70" s="37"/>
      <c r="AG70" s="38"/>
      <c r="AH70" s="37"/>
      <c r="AI70" s="38"/>
      <c r="AJ70" s="39"/>
      <c r="AK70" s="39"/>
      <c r="AL70" s="39"/>
      <c r="AM70" s="39"/>
      <c r="AN70" s="37"/>
      <c r="AO70" s="38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90"/>
      <c r="BE70" s="38"/>
    </row>
    <row r="71" spans="2:60" x14ac:dyDescent="0.25">
      <c r="B71" s="2" t="s">
        <v>166</v>
      </c>
      <c r="F71" s="43"/>
      <c r="G71" s="74">
        <f>+G58+F58</f>
        <v>0</v>
      </c>
      <c r="H71" s="42"/>
      <c r="I71" s="74">
        <f>+I58+H58</f>
        <v>26452388.84</v>
      </c>
      <c r="J71" s="75"/>
      <c r="K71" s="74">
        <f>+K58+J58</f>
        <v>50972730.769999996</v>
      </c>
      <c r="L71" s="75"/>
      <c r="M71" s="74">
        <f>+M58+L58</f>
        <v>4747068.12</v>
      </c>
      <c r="N71" s="237"/>
      <c r="O71" s="238">
        <f>+O58+N58</f>
        <v>55719798.889999993</v>
      </c>
      <c r="P71" s="75"/>
      <c r="Q71" s="74">
        <f>+Q58+P58</f>
        <v>84444001.290000007</v>
      </c>
      <c r="R71" s="75"/>
      <c r="S71" s="74">
        <f>+S58+R58</f>
        <v>7148279.5800000001</v>
      </c>
      <c r="T71" s="237"/>
      <c r="U71" s="238">
        <f>+U58+T58</f>
        <v>91592280.870000005</v>
      </c>
      <c r="V71" s="75"/>
      <c r="W71" s="75">
        <f>+W58+V58</f>
        <v>147312079.75999999</v>
      </c>
      <c r="X71" s="136"/>
      <c r="Y71" s="137">
        <f>+Y58+X58</f>
        <v>7908105.7079920378</v>
      </c>
      <c r="Z71" s="111"/>
      <c r="AA71" s="112">
        <f>+AA58+Z58</f>
        <v>49417509.399999999</v>
      </c>
      <c r="AB71" s="111"/>
      <c r="AC71" s="112">
        <f>+AC58+AB58</f>
        <v>53149424.860000007</v>
      </c>
      <c r="AD71" s="43"/>
      <c r="AE71" s="75">
        <f>+AE58+AD58</f>
        <v>35655468.090000004</v>
      </c>
      <c r="AF71" s="43"/>
      <c r="AG71" s="74">
        <f>+AG58+AF58</f>
        <v>130870.18</v>
      </c>
      <c r="AH71" s="43"/>
      <c r="AI71" s="74">
        <f>+AI58+AH58</f>
        <v>188619.82999999996</v>
      </c>
      <c r="AJ71" s="39"/>
      <c r="AK71" s="76">
        <f>+AK58+AJ58</f>
        <v>0</v>
      </c>
      <c r="AL71" s="39"/>
      <c r="AM71" s="76">
        <f>+AM58+AL58</f>
        <v>0</v>
      </c>
      <c r="AN71" s="43"/>
      <c r="AO71" s="74">
        <f>+AO58+AN58</f>
        <v>4353268.21</v>
      </c>
      <c r="AP71" s="39"/>
      <c r="AQ71" s="76">
        <f>+AQ58+AP58</f>
        <v>0</v>
      </c>
      <c r="AR71" s="76"/>
      <c r="AS71" s="76"/>
      <c r="AT71" s="76"/>
      <c r="AU71" s="76"/>
      <c r="AV71" s="76"/>
      <c r="AW71" s="76"/>
      <c r="AX71" s="76"/>
      <c r="AY71" s="76"/>
      <c r="AZ71" s="39"/>
      <c r="BA71" s="76">
        <f>+BA58+AZ58</f>
        <v>0</v>
      </c>
      <c r="BB71" s="76"/>
      <c r="BC71" s="76"/>
      <c r="BD71" s="95"/>
      <c r="BE71" s="44">
        <f>BE58+BD58</f>
        <v>316659629.17000002</v>
      </c>
    </row>
    <row r="72" spans="2:60" x14ac:dyDescent="0.25">
      <c r="F72" s="21"/>
      <c r="G72" s="21"/>
      <c r="H72" s="21"/>
      <c r="I72" s="21"/>
      <c r="J72" s="21"/>
      <c r="K72" s="21"/>
      <c r="L72" s="21"/>
      <c r="M72" s="21"/>
      <c r="N72" s="21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D72" s="21"/>
      <c r="BE72" s="21"/>
    </row>
    <row r="73" spans="2:60" x14ac:dyDescent="0.25">
      <c r="F73" s="21"/>
      <c r="G73" s="21"/>
      <c r="H73" s="21"/>
      <c r="I73" s="21"/>
      <c r="J73" s="21"/>
      <c r="K73" s="21"/>
      <c r="L73" s="21"/>
      <c r="M73" s="21"/>
      <c r="N73" s="21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 t="s">
        <v>167</v>
      </c>
      <c r="BE73" s="21"/>
      <c r="BF73" s="28">
        <f>BE65+AN52+AD52</f>
        <v>89737350.920000017</v>
      </c>
    </row>
    <row r="74" spans="2:60" x14ac:dyDescent="0.25"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159"/>
      <c r="AA74" s="159"/>
      <c r="AB74" s="159"/>
      <c r="AC74" s="159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5">
        <f>BF73/BE75</f>
        <v>13.157085215919867</v>
      </c>
    </row>
    <row r="75" spans="2:60" x14ac:dyDescent="0.25"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159"/>
      <c r="AA75" s="159"/>
      <c r="AB75" s="159"/>
      <c r="AC75" s="159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163" t="s">
        <v>168</v>
      </c>
      <c r="BE75" s="164">
        <f>BE21</f>
        <v>6820458.2889999999</v>
      </c>
      <c r="BF75" s="28">
        <f>BE58+AD52+AN52</f>
        <v>252344223.98000002</v>
      </c>
    </row>
    <row r="76" spans="2:60" x14ac:dyDescent="0.25"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159"/>
      <c r="AA76" s="159"/>
      <c r="AB76" s="159"/>
      <c r="AC76" s="159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163" t="s">
        <v>169</v>
      </c>
      <c r="BE76" s="165">
        <f>BE58/BE75</f>
        <v>36.998133158732088</v>
      </c>
      <c r="BF76" s="25">
        <f>BF75/BE75</f>
        <v>36.998133158732088</v>
      </c>
    </row>
    <row r="77" spans="2:60" x14ac:dyDescent="0.25"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159"/>
      <c r="AA77" s="159"/>
      <c r="AB77" s="159"/>
      <c r="AC77" s="159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163" t="s">
        <v>170</v>
      </c>
      <c r="BE77" s="165">
        <f>BE65/BE75</f>
        <v>13.157085215919867</v>
      </c>
    </row>
    <row r="78" spans="2:60" x14ac:dyDescent="0.25"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159"/>
      <c r="AA78" s="159"/>
      <c r="AB78" s="159"/>
      <c r="AC78" s="159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2:60" x14ac:dyDescent="0.25"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159"/>
      <c r="AA79" s="159"/>
      <c r="AB79" s="159"/>
      <c r="AC79" s="159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2:60" x14ac:dyDescent="0.25"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159"/>
      <c r="AA80" s="159"/>
      <c r="AB80" s="159"/>
      <c r="AC80" s="159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6:57" x14ac:dyDescent="0.25"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159"/>
      <c r="AA81" s="159"/>
      <c r="AB81" s="159"/>
      <c r="AC81" s="159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6" spans="6:57" x14ac:dyDescent="0.25">
      <c r="V86" s="1"/>
      <c r="W86" s="4"/>
    </row>
    <row r="87" spans="6:57" x14ac:dyDescent="0.25">
      <c r="V87" s="1"/>
      <c r="W87" s="1"/>
    </row>
  </sheetData>
  <mergeCells count="24">
    <mergeCell ref="AH23:AI23"/>
    <mergeCell ref="Z23:AA23"/>
    <mergeCell ref="AB23:AC23"/>
    <mergeCell ref="F23:G23"/>
    <mergeCell ref="H23:I23"/>
    <mergeCell ref="V23:W23"/>
    <mergeCell ref="AD23:AE23"/>
    <mergeCell ref="J23:K23"/>
    <mergeCell ref="P23:Q23"/>
    <mergeCell ref="L23:M23"/>
    <mergeCell ref="N23:O23"/>
    <mergeCell ref="R23:S23"/>
    <mergeCell ref="T23:U23"/>
    <mergeCell ref="AF23:AG23"/>
    <mergeCell ref="AZ23:BA23"/>
    <mergeCell ref="BD23:BE23"/>
    <mergeCell ref="AJ23:AK23"/>
    <mergeCell ref="AL23:AM23"/>
    <mergeCell ref="AN23:AO23"/>
    <mergeCell ref="AP23:AQ23"/>
    <mergeCell ref="AR23:AS23"/>
    <mergeCell ref="AX23:AY23"/>
    <mergeCell ref="AV23:AW23"/>
    <mergeCell ref="AT23:AU23"/>
  </mergeCells>
  <phoneticPr fontId="0" type="noConversion"/>
  <pageMargins left="0.2" right="0.16" top="1" bottom="1" header="0.5" footer="0.5"/>
  <pageSetup paperSize="5" scale="30" orientation="landscape" r:id="rId1"/>
  <headerFooter alignWithMargins="0">
    <oddFooter>&amp;L&amp;Z&amp;F&amp;R&amp;D &amp;T
T.Sampson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C6AA741667FF4A82780CF66C124CB2" ma:contentTypeVersion="" ma:contentTypeDescription="Create a new document." ma:contentTypeScope="" ma:versionID="15af1813f0a0126e1485f6d1811e0812">
  <xsd:schema xmlns:xsd="http://www.w3.org/2001/XMLSchema" xmlns:xs="http://www.w3.org/2001/XMLSchema" xmlns:p="http://schemas.microsoft.com/office/2006/metadata/properties" xmlns:ns2="8acc394e-5e36-476d-9223-cd9cbcf7a3fc" targetNamespace="http://schemas.microsoft.com/office/2006/metadata/properties" ma:root="true" ma:fieldsID="a19c7d1e08dba74e98a446c02524280c" ns2:_="">
    <xsd:import namespace="8acc394e-5e36-476d-9223-cd9cbcf7a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c394e-5e36-476d-9223-cd9cbcf7a3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6EDF1A-8880-47C2-BD2B-6C388A9070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c394e-5e36-476d-9223-cd9cbcf7a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11C234-06E0-4C21-B314-EDD53CE733C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8acc394e-5e36-476d-9223-cd9cbcf7a3f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2BA70B-8DA1-4B57-9095-F4CD7E45D1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Task</vt:lpstr>
      <vt:lpstr>Spur Stm</vt:lpstr>
      <vt:lpstr>Fixed Var O&amp;M</vt:lpstr>
      <vt:lpstr>'Fixed Var O&amp;M'!Print_Area</vt:lpstr>
      <vt:lpstr>'Spur Stm'!Print_Area</vt:lpstr>
    </vt:vector>
  </TitlesOfParts>
  <Manager/>
  <Company>East Kentucky Power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annf</dc:creator>
  <cp:keywords/>
  <dc:description/>
  <cp:lastModifiedBy>Laslie, Jeffrey</cp:lastModifiedBy>
  <cp:revision/>
  <dcterms:created xsi:type="dcterms:W3CDTF">2007-12-20T20:00:46Z</dcterms:created>
  <dcterms:modified xsi:type="dcterms:W3CDTF">2021-05-26T16:45:46Z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0x0101006AC6AA741667FF4A82780CF66C124CB2</vt:lpwstr>
  </property>
</Properties>
</file>