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ing\Share\000 - PSC Cases\PSC Case 2021-00103 - Rate Case\DR2 - PSC dated 05-12-2021\"/>
    </mc:Choice>
  </mc:AlternateContent>
  <bookViews>
    <workbookView xWindow="0" yWindow="0" windowWidth="14400" windowHeight="11895"/>
  </bookViews>
  <sheets>
    <sheet name="Analysis" sheetId="9" r:id="rId1"/>
    <sheet name="2014" sheetId="1" r:id="rId2"/>
    <sheet name="2015" sheetId="2" r:id="rId3"/>
    <sheet name="2016" sheetId="3" r:id="rId4"/>
    <sheet name="2017" sheetId="4" r:id="rId5"/>
    <sheet name="2018" sheetId="5" r:id="rId6"/>
    <sheet name="2019" sheetId="6" r:id="rId7"/>
    <sheet name="Recap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8" l="1"/>
  <c r="B1" i="6"/>
  <c r="B1" i="5"/>
  <c r="B1" i="4"/>
  <c r="B1" i="3"/>
  <c r="B1" i="2"/>
  <c r="B1" i="1"/>
  <c r="I37" i="9" l="1"/>
  <c r="I36" i="9"/>
  <c r="I35" i="9"/>
  <c r="I34" i="9"/>
  <c r="I33" i="9"/>
  <c r="I32" i="9"/>
  <c r="I31" i="9"/>
  <c r="I30" i="9"/>
  <c r="I29" i="9"/>
  <c r="I27" i="9"/>
  <c r="I26" i="9"/>
  <c r="I25" i="9"/>
  <c r="I24" i="9"/>
  <c r="I23" i="9"/>
  <c r="C137" i="9" l="1"/>
  <c r="H117" i="9"/>
  <c r="G117" i="9"/>
  <c r="F117" i="9"/>
  <c r="E117" i="9"/>
  <c r="D117" i="9"/>
  <c r="C117" i="9"/>
  <c r="O94" i="9"/>
  <c r="N94" i="9"/>
  <c r="M94" i="9"/>
  <c r="L94" i="9"/>
  <c r="K94" i="9"/>
  <c r="J94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H114" i="9"/>
  <c r="O107" i="9" s="1"/>
  <c r="G114" i="9"/>
  <c r="N111" i="9" s="1"/>
  <c r="F114" i="9"/>
  <c r="E114" i="9"/>
  <c r="D114" i="9"/>
  <c r="C114" i="9"/>
  <c r="W48" i="8"/>
  <c r="W47" i="8"/>
  <c r="W46" i="8"/>
  <c r="W45" i="8"/>
  <c r="W44" i="8"/>
  <c r="W43" i="8"/>
  <c r="W42" i="8"/>
  <c r="W41" i="8"/>
  <c r="W40" i="8"/>
  <c r="W39" i="8"/>
  <c r="W38" i="8"/>
  <c r="W37" i="8"/>
  <c r="W36" i="8"/>
  <c r="W35" i="8"/>
  <c r="W34" i="8"/>
  <c r="W33" i="8"/>
  <c r="W32" i="8"/>
  <c r="W50" i="8" s="1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50" i="8" s="1"/>
  <c r="I50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W25" i="8"/>
  <c r="W24" i="8"/>
  <c r="W23" i="8"/>
  <c r="W22" i="8"/>
  <c r="W21" i="8"/>
  <c r="W20" i="8"/>
  <c r="W19" i="8"/>
  <c r="W18" i="8"/>
  <c r="W17" i="8"/>
  <c r="W16" i="8"/>
  <c r="W15" i="8"/>
  <c r="W14" i="8"/>
  <c r="W13" i="8"/>
  <c r="W12" i="8"/>
  <c r="W11" i="8"/>
  <c r="W10" i="8"/>
  <c r="W9" i="8"/>
  <c r="W27" i="8" s="1"/>
  <c r="P27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I27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C65" i="9"/>
  <c r="D65" i="9" s="1"/>
  <c r="E65" i="9" s="1"/>
  <c r="F65" i="9" s="1"/>
  <c r="G65" i="9" s="1"/>
  <c r="H65" i="9" s="1"/>
  <c r="I65" i="9" s="1"/>
  <c r="M103" i="9" l="1"/>
  <c r="N103" i="9"/>
  <c r="M107" i="9"/>
  <c r="N99" i="9"/>
  <c r="M111" i="9"/>
  <c r="L111" i="9"/>
  <c r="K105" i="9"/>
  <c r="N107" i="9"/>
  <c r="K106" i="9"/>
  <c r="J105" i="9"/>
  <c r="M101" i="9"/>
  <c r="N105" i="9"/>
  <c r="K107" i="9"/>
  <c r="O110" i="9"/>
  <c r="J106" i="9"/>
  <c r="M99" i="9"/>
  <c r="K108" i="9"/>
  <c r="L112" i="9"/>
  <c r="J108" i="9"/>
  <c r="L104" i="9"/>
  <c r="L108" i="9"/>
  <c r="J107" i="9"/>
  <c r="L100" i="9"/>
  <c r="J112" i="9"/>
  <c r="O104" i="9"/>
  <c r="L105" i="9"/>
  <c r="M105" i="9"/>
  <c r="N97" i="9"/>
  <c r="K100" i="9"/>
  <c r="L98" i="9"/>
  <c r="O111" i="9"/>
  <c r="J109" i="9"/>
  <c r="M100" i="9"/>
  <c r="M108" i="9"/>
  <c r="K111" i="9"/>
  <c r="N108" i="9"/>
  <c r="O112" i="9"/>
  <c r="K97" i="9"/>
  <c r="M109" i="9"/>
  <c r="K101" i="9"/>
  <c r="J102" i="9"/>
  <c r="K102" i="9"/>
  <c r="M98" i="9"/>
  <c r="M102" i="9"/>
  <c r="M106" i="9"/>
  <c r="M110" i="9"/>
  <c r="O99" i="9"/>
  <c r="O103" i="9"/>
  <c r="K109" i="9"/>
  <c r="J110" i="9"/>
  <c r="K110" i="9"/>
  <c r="M104" i="9"/>
  <c r="M112" i="9"/>
  <c r="J111" i="9"/>
  <c r="N104" i="9"/>
  <c r="O100" i="9"/>
  <c r="L97" i="9"/>
  <c r="K98" i="9"/>
  <c r="K99" i="9"/>
  <c r="N109" i="9"/>
  <c r="O101" i="9"/>
  <c r="L106" i="9"/>
  <c r="J103" i="9"/>
  <c r="K103" i="9"/>
  <c r="N98" i="9"/>
  <c r="N102" i="9"/>
  <c r="N106" i="9"/>
  <c r="N110" i="9"/>
  <c r="O108" i="9"/>
  <c r="J97" i="9"/>
  <c r="L109" i="9"/>
  <c r="O97" i="9"/>
  <c r="O109" i="9"/>
  <c r="L102" i="9"/>
  <c r="I114" i="9"/>
  <c r="N100" i="9"/>
  <c r="N112" i="9"/>
  <c r="K112" i="9"/>
  <c r="L101" i="9"/>
  <c r="J98" i="9"/>
  <c r="M97" i="9"/>
  <c r="J99" i="9"/>
  <c r="N101" i="9"/>
  <c r="J100" i="9"/>
  <c r="O105" i="9"/>
  <c r="J101" i="9"/>
  <c r="L110" i="9"/>
  <c r="J104" i="9"/>
  <c r="K104" i="9"/>
  <c r="O98" i="9"/>
  <c r="O102" i="9"/>
  <c r="O106" i="9"/>
  <c r="L99" i="9"/>
  <c r="L103" i="9"/>
  <c r="L107" i="9"/>
  <c r="H38" i="9"/>
  <c r="O38" i="9" s="1"/>
  <c r="H28" i="9"/>
  <c r="G38" i="9"/>
  <c r="G28" i="9"/>
  <c r="F38" i="9"/>
  <c r="F28" i="9"/>
  <c r="E38" i="9"/>
  <c r="E28" i="9"/>
  <c r="E40" i="9" s="1"/>
  <c r="D38" i="9"/>
  <c r="D28" i="9"/>
  <c r="C38" i="9"/>
  <c r="C40" i="9" s="1"/>
  <c r="C28" i="9"/>
  <c r="D13" i="9"/>
  <c r="E17" i="9" s="1"/>
  <c r="O28" i="9" l="1"/>
  <c r="H51" i="9" s="1"/>
  <c r="G40" i="9"/>
  <c r="I38" i="9"/>
  <c r="M38" i="9"/>
  <c r="F61" i="9" s="1"/>
  <c r="I28" i="9"/>
  <c r="N38" i="9"/>
  <c r="G61" i="9" s="1"/>
  <c r="P106" i="9"/>
  <c r="H61" i="9"/>
  <c r="L38" i="9"/>
  <c r="K114" i="9"/>
  <c r="P107" i="9"/>
  <c r="P112" i="9"/>
  <c r="F40" i="9"/>
  <c r="P105" i="9"/>
  <c r="P103" i="9"/>
  <c r="P104" i="9"/>
  <c r="O114" i="9"/>
  <c r="P101" i="9"/>
  <c r="L114" i="9"/>
  <c r="P97" i="9"/>
  <c r="M114" i="9"/>
  <c r="P108" i="9"/>
  <c r="P100" i="9"/>
  <c r="N114" i="9"/>
  <c r="P109" i="9"/>
  <c r="P99" i="9"/>
  <c r="P111" i="9"/>
  <c r="J114" i="9"/>
  <c r="P98" i="9"/>
  <c r="P102" i="9"/>
  <c r="K28" i="9"/>
  <c r="K38" i="9"/>
  <c r="P110" i="9"/>
  <c r="K37" i="9"/>
  <c r="M34" i="9"/>
  <c r="O31" i="9"/>
  <c r="K29" i="9"/>
  <c r="M26" i="9"/>
  <c r="O23" i="9"/>
  <c r="K34" i="9"/>
  <c r="K26" i="9"/>
  <c r="L31" i="9"/>
  <c r="M36" i="9"/>
  <c r="O33" i="9"/>
  <c r="O25" i="9"/>
  <c r="N25" i="9"/>
  <c r="N35" i="9"/>
  <c r="M27" i="9"/>
  <c r="L32" i="9"/>
  <c r="O26" i="9"/>
  <c r="J24" i="9"/>
  <c r="J37" i="9"/>
  <c r="L34" i="9"/>
  <c r="N31" i="9"/>
  <c r="J29" i="9"/>
  <c r="L26" i="9"/>
  <c r="N23" i="9"/>
  <c r="M31" i="9"/>
  <c r="M23" i="9"/>
  <c r="J34" i="9"/>
  <c r="J26" i="9"/>
  <c r="K31" i="9"/>
  <c r="L36" i="9"/>
  <c r="K36" i="9"/>
  <c r="L33" i="9"/>
  <c r="L25" i="9"/>
  <c r="M30" i="9"/>
  <c r="M35" i="9"/>
  <c r="O32" i="9"/>
  <c r="O29" i="9"/>
  <c r="L24" i="9"/>
  <c r="K32" i="9"/>
  <c r="K24" i="9"/>
  <c r="O36" i="9"/>
  <c r="N36" i="9"/>
  <c r="L23" i="9"/>
  <c r="N33" i="9"/>
  <c r="M33" i="9"/>
  <c r="M25" i="9"/>
  <c r="O35" i="9"/>
  <c r="O27" i="9"/>
  <c r="K25" i="9"/>
  <c r="J33" i="9"/>
  <c r="O24" i="9"/>
  <c r="M32" i="9"/>
  <c r="K27" i="9"/>
  <c r="M24" i="9"/>
  <c r="J32" i="9"/>
  <c r="J31" i="9"/>
  <c r="J36" i="9"/>
  <c r="K33" i="9"/>
  <c r="N27" i="9"/>
  <c r="K30" i="9"/>
  <c r="K35" i="9"/>
  <c r="J35" i="9"/>
  <c r="L29" i="9"/>
  <c r="K23" i="9"/>
  <c r="J23" i="9"/>
  <c r="J28" i="9"/>
  <c r="L30" i="9"/>
  <c r="N32" i="9"/>
  <c r="L27" i="9"/>
  <c r="O37" i="9"/>
  <c r="N37" i="9"/>
  <c r="O30" i="9"/>
  <c r="N30" i="9"/>
  <c r="J25" i="9"/>
  <c r="L35" i="9"/>
  <c r="J30" i="9"/>
  <c r="N24" i="9"/>
  <c r="N29" i="9"/>
  <c r="J27" i="9"/>
  <c r="O34" i="9"/>
  <c r="J38" i="9"/>
  <c r="N26" i="9"/>
  <c r="M37" i="9"/>
  <c r="N34" i="9"/>
  <c r="M29" i="9"/>
  <c r="L37" i="9"/>
  <c r="L28" i="9"/>
  <c r="D40" i="9"/>
  <c r="N28" i="9"/>
  <c r="M28" i="9"/>
  <c r="H40" i="9"/>
  <c r="A2" i="9"/>
  <c r="A3" i="9" s="1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I40" i="9" l="1"/>
  <c r="C49" i="9"/>
  <c r="C58" i="9"/>
  <c r="F56" i="9"/>
  <c r="H53" i="9"/>
  <c r="D51" i="9"/>
  <c r="E58" i="9"/>
  <c r="E59" i="9"/>
  <c r="F55" i="9"/>
  <c r="H54" i="9"/>
  <c r="G48" i="9"/>
  <c r="G53" i="9"/>
  <c r="E57" i="9"/>
  <c r="F53" i="9"/>
  <c r="D47" i="9"/>
  <c r="F47" i="9"/>
  <c r="E50" i="9"/>
  <c r="D50" i="9"/>
  <c r="G54" i="9"/>
  <c r="G55" i="9"/>
  <c r="E53" i="9"/>
  <c r="C60" i="9"/>
  <c r="G49" i="9"/>
  <c r="F57" i="9"/>
  <c r="E48" i="9"/>
  <c r="D60" i="9"/>
  <c r="C48" i="9"/>
  <c r="G51" i="9"/>
  <c r="C59" i="9"/>
  <c r="C54" i="9"/>
  <c r="E60" i="9"/>
  <c r="H55" i="9"/>
  <c r="D52" i="9"/>
  <c r="F60" i="9"/>
  <c r="F58" i="9"/>
  <c r="C56" i="9"/>
  <c r="C46" i="9"/>
  <c r="E55" i="9"/>
  <c r="G56" i="9"/>
  <c r="E51" i="9"/>
  <c r="D55" i="9"/>
  <c r="E47" i="9"/>
  <c r="E61" i="9"/>
  <c r="F52" i="9"/>
  <c r="H52" i="9"/>
  <c r="G57" i="9"/>
  <c r="H47" i="9"/>
  <c r="C51" i="9"/>
  <c r="C47" i="9"/>
  <c r="D48" i="9"/>
  <c r="H49" i="9"/>
  <c r="C50" i="9"/>
  <c r="D61" i="9"/>
  <c r="P114" i="9"/>
  <c r="H46" i="9"/>
  <c r="P37" i="9"/>
  <c r="I60" i="9" s="1"/>
  <c r="G46" i="9"/>
  <c r="D46" i="9"/>
  <c r="E46" i="9"/>
  <c r="F46" i="9"/>
  <c r="E52" i="9"/>
  <c r="H58" i="9"/>
  <c r="D59" i="9"/>
  <c r="M40" i="9"/>
  <c r="F50" i="9"/>
  <c r="P32" i="9"/>
  <c r="I55" i="9" s="1"/>
  <c r="G58" i="9"/>
  <c r="P34" i="9"/>
  <c r="I57" i="9" s="1"/>
  <c r="H57" i="9"/>
  <c r="D54" i="9"/>
  <c r="F48" i="9"/>
  <c r="H48" i="9"/>
  <c r="P29" i="9"/>
  <c r="I52" i="9" s="1"/>
  <c r="E56" i="9"/>
  <c r="F59" i="9"/>
  <c r="D53" i="9"/>
  <c r="G59" i="9"/>
  <c r="E54" i="9"/>
  <c r="C55" i="9"/>
  <c r="F49" i="9"/>
  <c r="N40" i="9"/>
  <c r="G52" i="9"/>
  <c r="P30" i="9"/>
  <c r="I53" i="9" s="1"/>
  <c r="C53" i="9"/>
  <c r="H56" i="9"/>
  <c r="F51" i="9"/>
  <c r="D57" i="9"/>
  <c r="C52" i="9"/>
  <c r="O40" i="9"/>
  <c r="H50" i="9"/>
  <c r="C57" i="9"/>
  <c r="F54" i="9"/>
  <c r="G47" i="9"/>
  <c r="D58" i="9"/>
  <c r="G50" i="9"/>
  <c r="D56" i="9"/>
  <c r="H59" i="9"/>
  <c r="J40" i="9"/>
  <c r="D49" i="9"/>
  <c r="G60" i="9"/>
  <c r="E49" i="9"/>
  <c r="H60" i="9"/>
  <c r="P26" i="9"/>
  <c r="I49" i="9" s="1"/>
  <c r="P38" i="9"/>
  <c r="I61" i="9" s="1"/>
  <c r="C61" i="9"/>
  <c r="A42" i="9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P35" i="9"/>
  <c r="I58" i="9" s="1"/>
  <c r="P25" i="9"/>
  <c r="I48" i="9" s="1"/>
  <c r="P31" i="9"/>
  <c r="I54" i="9" s="1"/>
  <c r="P27" i="9"/>
  <c r="I50" i="9" s="1"/>
  <c r="K40" i="9"/>
  <c r="P36" i="9"/>
  <c r="I59" i="9" s="1"/>
  <c r="L40" i="9"/>
  <c r="P28" i="9"/>
  <c r="I51" i="9" s="1"/>
  <c r="P33" i="9"/>
  <c r="I56" i="9" s="1"/>
  <c r="P24" i="9"/>
  <c r="I47" i="9" s="1"/>
  <c r="P23" i="9"/>
  <c r="I46" i="9" s="1"/>
  <c r="U50" i="6"/>
  <c r="H50" i="6"/>
  <c r="U27" i="6"/>
  <c r="H27" i="6"/>
  <c r="U49" i="6"/>
  <c r="T49" i="6"/>
  <c r="N49" i="6"/>
  <c r="H49" i="6"/>
  <c r="D49" i="6"/>
  <c r="U26" i="6"/>
  <c r="T26" i="6"/>
  <c r="N26" i="6"/>
  <c r="H26" i="6"/>
  <c r="D26" i="6"/>
  <c r="U48" i="6"/>
  <c r="T48" i="6"/>
  <c r="H48" i="6"/>
  <c r="U25" i="6"/>
  <c r="T25" i="6"/>
  <c r="H25" i="6"/>
  <c r="U47" i="6"/>
  <c r="T47" i="6"/>
  <c r="H47" i="6"/>
  <c r="U24" i="6"/>
  <c r="T24" i="6"/>
  <c r="H24" i="6"/>
  <c r="U46" i="6"/>
  <c r="T46" i="6"/>
  <c r="N46" i="6"/>
  <c r="E46" i="6"/>
  <c r="U23" i="6"/>
  <c r="T23" i="6"/>
  <c r="N23" i="6"/>
  <c r="E23" i="6"/>
  <c r="U45" i="6"/>
  <c r="T45" i="6"/>
  <c r="H45" i="6"/>
  <c r="D45" i="6"/>
  <c r="U22" i="6"/>
  <c r="T22" i="6"/>
  <c r="H22" i="6"/>
  <c r="D22" i="6"/>
  <c r="U44" i="6"/>
  <c r="U21" i="6"/>
  <c r="U43" i="6"/>
  <c r="N43" i="6"/>
  <c r="U20" i="6"/>
  <c r="N20" i="6"/>
  <c r="U42" i="6"/>
  <c r="T42" i="6"/>
  <c r="N42" i="6"/>
  <c r="H42" i="6"/>
  <c r="U19" i="6"/>
  <c r="T19" i="6"/>
  <c r="N19" i="6"/>
  <c r="H19" i="6"/>
  <c r="U41" i="6"/>
  <c r="U18" i="6"/>
  <c r="U40" i="6"/>
  <c r="T40" i="6"/>
  <c r="N40" i="6"/>
  <c r="H40" i="6"/>
  <c r="U17" i="6"/>
  <c r="T17" i="6"/>
  <c r="N17" i="6"/>
  <c r="H17" i="6"/>
  <c r="U39" i="6"/>
  <c r="T39" i="6"/>
  <c r="U16" i="6"/>
  <c r="T16" i="6"/>
  <c r="U38" i="6"/>
  <c r="N38" i="6"/>
  <c r="E38" i="6"/>
  <c r="U15" i="6"/>
  <c r="N15" i="6"/>
  <c r="E15" i="6"/>
  <c r="U37" i="6"/>
  <c r="N37" i="6"/>
  <c r="U14" i="6"/>
  <c r="N14" i="6"/>
  <c r="U36" i="6"/>
  <c r="T36" i="6"/>
  <c r="M36" i="6"/>
  <c r="H36" i="6"/>
  <c r="U13" i="6"/>
  <c r="T13" i="6"/>
  <c r="M13" i="6"/>
  <c r="H13" i="6"/>
  <c r="U35" i="6"/>
  <c r="N35" i="6"/>
  <c r="U12" i="6"/>
  <c r="N12" i="6"/>
  <c r="D63" i="9" l="1"/>
  <c r="K56" i="9" s="1"/>
  <c r="E200" i="9" s="1"/>
  <c r="H63" i="9"/>
  <c r="O59" i="9" s="1"/>
  <c r="M203" i="9" s="1"/>
  <c r="O60" i="9"/>
  <c r="M204" i="9" s="1"/>
  <c r="E63" i="9"/>
  <c r="L56" i="9" s="1"/>
  <c r="G200" i="9" s="1"/>
  <c r="F63" i="9"/>
  <c r="C63" i="9"/>
  <c r="J53" i="9" s="1"/>
  <c r="C197" i="9" s="1"/>
  <c r="A71" i="9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I63" i="9"/>
  <c r="I67" i="9" s="1"/>
  <c r="I68" i="9" s="1"/>
  <c r="P40" i="9"/>
  <c r="G63" i="9"/>
  <c r="N58" i="9" s="1"/>
  <c r="K202" i="9" s="1"/>
  <c r="U48" i="8"/>
  <c r="T48" i="8"/>
  <c r="S48" i="8"/>
  <c r="R48" i="8"/>
  <c r="Q48" i="8"/>
  <c r="N48" i="8"/>
  <c r="M48" i="8"/>
  <c r="L48" i="8"/>
  <c r="K48" i="8"/>
  <c r="J48" i="8"/>
  <c r="G48" i="8"/>
  <c r="F48" i="8"/>
  <c r="E48" i="8"/>
  <c r="D48" i="8"/>
  <c r="U47" i="8"/>
  <c r="T47" i="8"/>
  <c r="S47" i="8"/>
  <c r="R47" i="8"/>
  <c r="Q47" i="8"/>
  <c r="N47" i="8"/>
  <c r="M47" i="8"/>
  <c r="L47" i="8"/>
  <c r="K47" i="8"/>
  <c r="J47" i="8"/>
  <c r="G47" i="8"/>
  <c r="F47" i="8"/>
  <c r="E47" i="8"/>
  <c r="D47" i="8"/>
  <c r="U46" i="8"/>
  <c r="T46" i="8"/>
  <c r="S46" i="8"/>
  <c r="R46" i="8"/>
  <c r="Q46" i="8"/>
  <c r="N46" i="8"/>
  <c r="M46" i="8"/>
  <c r="L46" i="8"/>
  <c r="K46" i="8"/>
  <c r="J46" i="8"/>
  <c r="G46" i="8"/>
  <c r="F46" i="8"/>
  <c r="E46" i="8"/>
  <c r="D46" i="8"/>
  <c r="U45" i="8"/>
  <c r="T45" i="8"/>
  <c r="S45" i="8"/>
  <c r="R45" i="8"/>
  <c r="Q45" i="8"/>
  <c r="N45" i="8"/>
  <c r="M45" i="8"/>
  <c r="L45" i="8"/>
  <c r="K45" i="8"/>
  <c r="J45" i="8"/>
  <c r="G45" i="8"/>
  <c r="F45" i="8"/>
  <c r="E45" i="8"/>
  <c r="D45" i="8"/>
  <c r="U44" i="8"/>
  <c r="T44" i="8"/>
  <c r="S44" i="8"/>
  <c r="R44" i="8"/>
  <c r="Q44" i="8"/>
  <c r="N44" i="8"/>
  <c r="M44" i="8"/>
  <c r="L44" i="8"/>
  <c r="K44" i="8"/>
  <c r="J44" i="8"/>
  <c r="G44" i="8"/>
  <c r="F44" i="8"/>
  <c r="E44" i="8"/>
  <c r="D44" i="8"/>
  <c r="U43" i="8"/>
  <c r="T43" i="8"/>
  <c r="S43" i="8"/>
  <c r="R43" i="8"/>
  <c r="Q43" i="8"/>
  <c r="N43" i="8"/>
  <c r="M43" i="8"/>
  <c r="L43" i="8"/>
  <c r="K43" i="8"/>
  <c r="J43" i="8"/>
  <c r="G43" i="8"/>
  <c r="F43" i="8"/>
  <c r="E43" i="8"/>
  <c r="D43" i="8"/>
  <c r="U42" i="8"/>
  <c r="T42" i="8"/>
  <c r="S42" i="8"/>
  <c r="R42" i="8"/>
  <c r="Q42" i="8"/>
  <c r="N42" i="8"/>
  <c r="M42" i="8"/>
  <c r="L42" i="8"/>
  <c r="K42" i="8"/>
  <c r="J42" i="8"/>
  <c r="G42" i="8"/>
  <c r="F42" i="8"/>
  <c r="E42" i="8"/>
  <c r="D42" i="8"/>
  <c r="U41" i="8"/>
  <c r="T41" i="8"/>
  <c r="S41" i="8"/>
  <c r="R41" i="8"/>
  <c r="Q41" i="8"/>
  <c r="N41" i="8"/>
  <c r="M41" i="8"/>
  <c r="L41" i="8"/>
  <c r="K41" i="8"/>
  <c r="J41" i="8"/>
  <c r="G41" i="8"/>
  <c r="F41" i="8"/>
  <c r="E41" i="8"/>
  <c r="D41" i="8"/>
  <c r="U40" i="8"/>
  <c r="T40" i="8"/>
  <c r="S40" i="8"/>
  <c r="R40" i="8"/>
  <c r="Q40" i="8"/>
  <c r="N40" i="8"/>
  <c r="M40" i="8"/>
  <c r="L40" i="8"/>
  <c r="K40" i="8"/>
  <c r="J40" i="8"/>
  <c r="G40" i="8"/>
  <c r="F40" i="8"/>
  <c r="E40" i="8"/>
  <c r="D40" i="8"/>
  <c r="U39" i="8"/>
  <c r="T39" i="8"/>
  <c r="S39" i="8"/>
  <c r="R39" i="8"/>
  <c r="Q39" i="8"/>
  <c r="N39" i="8"/>
  <c r="M39" i="8"/>
  <c r="L39" i="8"/>
  <c r="K39" i="8"/>
  <c r="J39" i="8"/>
  <c r="G39" i="8"/>
  <c r="F39" i="8"/>
  <c r="E39" i="8"/>
  <c r="D39" i="8"/>
  <c r="U38" i="8"/>
  <c r="T38" i="8"/>
  <c r="S38" i="8"/>
  <c r="R38" i="8"/>
  <c r="Q38" i="8"/>
  <c r="N38" i="8"/>
  <c r="M38" i="8"/>
  <c r="L38" i="8"/>
  <c r="K38" i="8"/>
  <c r="J38" i="8"/>
  <c r="G38" i="8"/>
  <c r="F38" i="8"/>
  <c r="E38" i="8"/>
  <c r="D38" i="8"/>
  <c r="U37" i="8"/>
  <c r="T37" i="8"/>
  <c r="S37" i="8"/>
  <c r="R37" i="8"/>
  <c r="Q37" i="8"/>
  <c r="N37" i="8"/>
  <c r="M37" i="8"/>
  <c r="L37" i="8"/>
  <c r="K37" i="8"/>
  <c r="J37" i="8"/>
  <c r="G37" i="8"/>
  <c r="F37" i="8"/>
  <c r="E37" i="8"/>
  <c r="D37" i="8"/>
  <c r="U36" i="8"/>
  <c r="T36" i="8"/>
  <c r="S36" i="8"/>
  <c r="R36" i="8"/>
  <c r="Q36" i="8"/>
  <c r="N36" i="8"/>
  <c r="M36" i="8"/>
  <c r="L36" i="8"/>
  <c r="K36" i="8"/>
  <c r="J36" i="8"/>
  <c r="G36" i="8"/>
  <c r="F36" i="8"/>
  <c r="E36" i="8"/>
  <c r="D36" i="8"/>
  <c r="U35" i="8"/>
  <c r="T35" i="8"/>
  <c r="S35" i="8"/>
  <c r="R35" i="8"/>
  <c r="Q35" i="8"/>
  <c r="N35" i="8"/>
  <c r="M35" i="8"/>
  <c r="L35" i="8"/>
  <c r="K35" i="8"/>
  <c r="J35" i="8"/>
  <c r="G35" i="8"/>
  <c r="F35" i="8"/>
  <c r="E35" i="8"/>
  <c r="D35" i="8"/>
  <c r="U34" i="8"/>
  <c r="T34" i="8"/>
  <c r="S34" i="8"/>
  <c r="R34" i="8"/>
  <c r="Q34" i="8"/>
  <c r="N34" i="8"/>
  <c r="M34" i="8"/>
  <c r="L34" i="8"/>
  <c r="K34" i="8"/>
  <c r="J34" i="8"/>
  <c r="G34" i="8"/>
  <c r="F34" i="8"/>
  <c r="E34" i="8"/>
  <c r="D34" i="8"/>
  <c r="U33" i="8"/>
  <c r="T33" i="8"/>
  <c r="S33" i="8"/>
  <c r="R33" i="8"/>
  <c r="Q33" i="8"/>
  <c r="N33" i="8"/>
  <c r="M33" i="8"/>
  <c r="L33" i="8"/>
  <c r="K33" i="8"/>
  <c r="J33" i="8"/>
  <c r="G33" i="8"/>
  <c r="F33" i="8"/>
  <c r="E33" i="8"/>
  <c r="D33" i="8"/>
  <c r="U25" i="8"/>
  <c r="T25" i="8"/>
  <c r="S25" i="8"/>
  <c r="R25" i="8"/>
  <c r="Q25" i="8"/>
  <c r="N25" i="8"/>
  <c r="M25" i="8"/>
  <c r="L25" i="8"/>
  <c r="K25" i="8"/>
  <c r="J25" i="8"/>
  <c r="G25" i="8"/>
  <c r="G89" i="9" s="1"/>
  <c r="F25" i="8"/>
  <c r="F89" i="9" s="1"/>
  <c r="E25" i="8"/>
  <c r="E89" i="9" s="1"/>
  <c r="D25" i="8"/>
  <c r="D89" i="9" s="1"/>
  <c r="U24" i="8"/>
  <c r="T24" i="8"/>
  <c r="S24" i="8"/>
  <c r="R24" i="8"/>
  <c r="Q24" i="8"/>
  <c r="N24" i="8"/>
  <c r="M24" i="8"/>
  <c r="L24" i="8"/>
  <c r="K24" i="8"/>
  <c r="J24" i="8"/>
  <c r="G24" i="8"/>
  <c r="G88" i="9" s="1"/>
  <c r="F24" i="8"/>
  <c r="F88" i="9" s="1"/>
  <c r="E24" i="8"/>
  <c r="E88" i="9" s="1"/>
  <c r="D24" i="8"/>
  <c r="D88" i="9" s="1"/>
  <c r="U23" i="8"/>
  <c r="T23" i="8"/>
  <c r="S23" i="8"/>
  <c r="R23" i="8"/>
  <c r="Q23" i="8"/>
  <c r="N23" i="8"/>
  <c r="M23" i="8"/>
  <c r="L23" i="8"/>
  <c r="K23" i="8"/>
  <c r="J23" i="8"/>
  <c r="G23" i="8"/>
  <c r="G87" i="9" s="1"/>
  <c r="F23" i="8"/>
  <c r="F87" i="9" s="1"/>
  <c r="E23" i="8"/>
  <c r="E87" i="9" s="1"/>
  <c r="D23" i="8"/>
  <c r="D87" i="9" s="1"/>
  <c r="U22" i="8"/>
  <c r="T22" i="8"/>
  <c r="S22" i="8"/>
  <c r="R22" i="8"/>
  <c r="Q22" i="8"/>
  <c r="N22" i="8"/>
  <c r="M22" i="8"/>
  <c r="L22" i="8"/>
  <c r="K22" i="8"/>
  <c r="J22" i="8"/>
  <c r="G22" i="8"/>
  <c r="G86" i="9" s="1"/>
  <c r="F22" i="8"/>
  <c r="F86" i="9" s="1"/>
  <c r="E22" i="8"/>
  <c r="E86" i="9" s="1"/>
  <c r="D22" i="8"/>
  <c r="D86" i="9" s="1"/>
  <c r="U21" i="8"/>
  <c r="T21" i="8"/>
  <c r="S21" i="8"/>
  <c r="R21" i="8"/>
  <c r="Q21" i="8"/>
  <c r="N21" i="8"/>
  <c r="M21" i="8"/>
  <c r="L21" i="8"/>
  <c r="K21" i="8"/>
  <c r="J21" i="8"/>
  <c r="G21" i="8"/>
  <c r="G85" i="9" s="1"/>
  <c r="F21" i="8"/>
  <c r="F85" i="9" s="1"/>
  <c r="E21" i="8"/>
  <c r="E85" i="9" s="1"/>
  <c r="D21" i="8"/>
  <c r="D85" i="9" s="1"/>
  <c r="U20" i="8"/>
  <c r="T20" i="8"/>
  <c r="S20" i="8"/>
  <c r="R20" i="8"/>
  <c r="Q20" i="8"/>
  <c r="N20" i="8"/>
  <c r="M20" i="8"/>
  <c r="L20" i="8"/>
  <c r="K20" i="8"/>
  <c r="J20" i="8"/>
  <c r="G20" i="8"/>
  <c r="G84" i="9" s="1"/>
  <c r="F20" i="8"/>
  <c r="F84" i="9" s="1"/>
  <c r="E20" i="8"/>
  <c r="E84" i="9" s="1"/>
  <c r="D20" i="8"/>
  <c r="D84" i="9" s="1"/>
  <c r="U19" i="8"/>
  <c r="T19" i="8"/>
  <c r="S19" i="8"/>
  <c r="R19" i="8"/>
  <c r="Q19" i="8"/>
  <c r="N19" i="8"/>
  <c r="M19" i="8"/>
  <c r="L19" i="8"/>
  <c r="K19" i="8"/>
  <c r="J19" i="8"/>
  <c r="G19" i="8"/>
  <c r="G83" i="9" s="1"/>
  <c r="F19" i="8"/>
  <c r="F83" i="9" s="1"/>
  <c r="E19" i="8"/>
  <c r="E83" i="9" s="1"/>
  <c r="D19" i="8"/>
  <c r="D83" i="9" s="1"/>
  <c r="U18" i="8"/>
  <c r="T18" i="8"/>
  <c r="S18" i="8"/>
  <c r="R18" i="8"/>
  <c r="Q18" i="8"/>
  <c r="N18" i="8"/>
  <c r="M18" i="8"/>
  <c r="L18" i="8"/>
  <c r="K18" i="8"/>
  <c r="J18" i="8"/>
  <c r="G18" i="8"/>
  <c r="G82" i="9" s="1"/>
  <c r="F18" i="8"/>
  <c r="F82" i="9" s="1"/>
  <c r="E18" i="8"/>
  <c r="E82" i="9" s="1"/>
  <c r="D18" i="8"/>
  <c r="D82" i="9" s="1"/>
  <c r="U17" i="8"/>
  <c r="T17" i="8"/>
  <c r="S17" i="8"/>
  <c r="R17" i="8"/>
  <c r="Q17" i="8"/>
  <c r="N17" i="8"/>
  <c r="M17" i="8"/>
  <c r="L17" i="8"/>
  <c r="K17" i="8"/>
  <c r="J17" i="8"/>
  <c r="G17" i="8"/>
  <c r="G81" i="9" s="1"/>
  <c r="F17" i="8"/>
  <c r="F81" i="9" s="1"/>
  <c r="E17" i="8"/>
  <c r="E81" i="9" s="1"/>
  <c r="D17" i="8"/>
  <c r="D81" i="9" s="1"/>
  <c r="U16" i="8"/>
  <c r="T16" i="8"/>
  <c r="S16" i="8"/>
  <c r="R16" i="8"/>
  <c r="Q16" i="8"/>
  <c r="N16" i="8"/>
  <c r="M16" i="8"/>
  <c r="L16" i="8"/>
  <c r="K16" i="8"/>
  <c r="J16" i="8"/>
  <c r="G16" i="8"/>
  <c r="G80" i="9" s="1"/>
  <c r="F16" i="8"/>
  <c r="F80" i="9" s="1"/>
  <c r="E16" i="8"/>
  <c r="E80" i="9" s="1"/>
  <c r="D16" i="8"/>
  <c r="D80" i="9" s="1"/>
  <c r="U15" i="8"/>
  <c r="T15" i="8"/>
  <c r="S15" i="8"/>
  <c r="R15" i="8"/>
  <c r="Q15" i="8"/>
  <c r="N15" i="8"/>
  <c r="M15" i="8"/>
  <c r="L15" i="8"/>
  <c r="K15" i="8"/>
  <c r="J15" i="8"/>
  <c r="G15" i="8"/>
  <c r="G79" i="9" s="1"/>
  <c r="F15" i="8"/>
  <c r="F79" i="9" s="1"/>
  <c r="E15" i="8"/>
  <c r="E79" i="9" s="1"/>
  <c r="D15" i="8"/>
  <c r="D79" i="9" s="1"/>
  <c r="U14" i="8"/>
  <c r="T14" i="8"/>
  <c r="S14" i="8"/>
  <c r="R14" i="8"/>
  <c r="Q14" i="8"/>
  <c r="N14" i="8"/>
  <c r="M14" i="8"/>
  <c r="L14" i="8"/>
  <c r="K14" i="8"/>
  <c r="J14" i="8"/>
  <c r="G14" i="8"/>
  <c r="G78" i="9" s="1"/>
  <c r="F14" i="8"/>
  <c r="F78" i="9" s="1"/>
  <c r="E14" i="8"/>
  <c r="E78" i="9" s="1"/>
  <c r="D14" i="8"/>
  <c r="D78" i="9" s="1"/>
  <c r="U13" i="8"/>
  <c r="T13" i="8"/>
  <c r="S13" i="8"/>
  <c r="R13" i="8"/>
  <c r="Q13" i="8"/>
  <c r="N13" i="8"/>
  <c r="M13" i="8"/>
  <c r="L13" i="8"/>
  <c r="K13" i="8"/>
  <c r="J13" i="8"/>
  <c r="G13" i="8"/>
  <c r="G77" i="9" s="1"/>
  <c r="F13" i="8"/>
  <c r="F77" i="9" s="1"/>
  <c r="E13" i="8"/>
  <c r="E77" i="9" s="1"/>
  <c r="D13" i="8"/>
  <c r="D77" i="9" s="1"/>
  <c r="U12" i="8"/>
  <c r="T12" i="8"/>
  <c r="S12" i="8"/>
  <c r="R12" i="8"/>
  <c r="Q12" i="8"/>
  <c r="N12" i="8"/>
  <c r="M12" i="8"/>
  <c r="L12" i="8"/>
  <c r="K12" i="8"/>
  <c r="J12" i="8"/>
  <c r="G12" i="8"/>
  <c r="G76" i="9" s="1"/>
  <c r="F12" i="8"/>
  <c r="F76" i="9" s="1"/>
  <c r="E12" i="8"/>
  <c r="E76" i="9" s="1"/>
  <c r="D12" i="8"/>
  <c r="D76" i="9" s="1"/>
  <c r="U11" i="8"/>
  <c r="T11" i="8"/>
  <c r="S11" i="8"/>
  <c r="R11" i="8"/>
  <c r="Q11" i="8"/>
  <c r="N11" i="8"/>
  <c r="M11" i="8"/>
  <c r="L11" i="8"/>
  <c r="K11" i="8"/>
  <c r="J11" i="8"/>
  <c r="G11" i="8"/>
  <c r="G75" i="9" s="1"/>
  <c r="F11" i="8"/>
  <c r="F75" i="9" s="1"/>
  <c r="E11" i="8"/>
  <c r="E75" i="9" s="1"/>
  <c r="D11" i="8"/>
  <c r="D75" i="9" s="1"/>
  <c r="U10" i="8"/>
  <c r="T10" i="8"/>
  <c r="S10" i="8"/>
  <c r="R10" i="8"/>
  <c r="Q10" i="8"/>
  <c r="N10" i="8"/>
  <c r="M10" i="8"/>
  <c r="L10" i="8"/>
  <c r="K10" i="8"/>
  <c r="J10" i="8"/>
  <c r="G10" i="8"/>
  <c r="G74" i="9" s="1"/>
  <c r="F10" i="8"/>
  <c r="F74" i="9" s="1"/>
  <c r="E10" i="8"/>
  <c r="E74" i="9" s="1"/>
  <c r="D10" i="8"/>
  <c r="D74" i="9" s="1"/>
  <c r="U32" i="8"/>
  <c r="N32" i="8"/>
  <c r="G32" i="8"/>
  <c r="U9" i="8"/>
  <c r="N9" i="8"/>
  <c r="G9" i="8"/>
  <c r="T32" i="8"/>
  <c r="M32" i="8"/>
  <c r="F32" i="8"/>
  <c r="T9" i="8"/>
  <c r="M9" i="8"/>
  <c r="F9" i="8"/>
  <c r="S32" i="8"/>
  <c r="L32" i="8"/>
  <c r="E32" i="8"/>
  <c r="S9" i="8"/>
  <c r="K9" i="8"/>
  <c r="J9" i="8"/>
  <c r="L9" i="8"/>
  <c r="E9" i="8"/>
  <c r="R32" i="8"/>
  <c r="K32" i="8"/>
  <c r="D32" i="8"/>
  <c r="R9" i="8"/>
  <c r="D9" i="8"/>
  <c r="Q32" i="8"/>
  <c r="J32" i="8"/>
  <c r="Q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25" i="8"/>
  <c r="C89" i="9" s="1"/>
  <c r="C158" i="9" s="1"/>
  <c r="C24" i="8"/>
  <c r="C88" i="9" s="1"/>
  <c r="C157" i="9" s="1"/>
  <c r="C23" i="8"/>
  <c r="C87" i="9" s="1"/>
  <c r="C156" i="9" s="1"/>
  <c r="C22" i="8"/>
  <c r="C86" i="9" s="1"/>
  <c r="C155" i="9" s="1"/>
  <c r="C21" i="8"/>
  <c r="C85" i="9" s="1"/>
  <c r="C154" i="9" s="1"/>
  <c r="C20" i="8"/>
  <c r="C84" i="9" s="1"/>
  <c r="C153" i="9" s="1"/>
  <c r="C19" i="8"/>
  <c r="C83" i="9" s="1"/>
  <c r="C152" i="9" s="1"/>
  <c r="C18" i="8"/>
  <c r="C82" i="9" s="1"/>
  <c r="C151" i="9" s="1"/>
  <c r="C17" i="8"/>
  <c r="C81" i="9" s="1"/>
  <c r="C150" i="9" s="1"/>
  <c r="C16" i="8"/>
  <c r="C80" i="9" s="1"/>
  <c r="C149" i="9" s="1"/>
  <c r="C15" i="8"/>
  <c r="C79" i="9" s="1"/>
  <c r="C148" i="9" s="1"/>
  <c r="C14" i="8"/>
  <c r="C78" i="9" s="1"/>
  <c r="C147" i="9" s="1"/>
  <c r="C13" i="8"/>
  <c r="C77" i="9" s="1"/>
  <c r="C146" i="9" s="1"/>
  <c r="C12" i="8"/>
  <c r="C76" i="9" s="1"/>
  <c r="C145" i="9" s="1"/>
  <c r="C11" i="8"/>
  <c r="C75" i="9" s="1"/>
  <c r="C144" i="9" s="1"/>
  <c r="C10" i="8"/>
  <c r="C74" i="9" s="1"/>
  <c r="C143" i="9" s="1"/>
  <c r="C9" i="8"/>
  <c r="A2" i="8"/>
  <c r="A3" i="8" s="1"/>
  <c r="A4" i="8" s="1"/>
  <c r="A5" i="8" s="1"/>
  <c r="A6" i="8" s="1"/>
  <c r="A7" i="8" s="1"/>
  <c r="A8" i="8" s="1"/>
  <c r="A9" i="8" s="1"/>
  <c r="AB50" i="5"/>
  <c r="AA50" i="5"/>
  <c r="Z50" i="5"/>
  <c r="AB49" i="5"/>
  <c r="AA49" i="5"/>
  <c r="Z49" i="5"/>
  <c r="AB48" i="5"/>
  <c r="AA48" i="5"/>
  <c r="Z48" i="5"/>
  <c r="AB47" i="5"/>
  <c r="AA47" i="5"/>
  <c r="Z47" i="5"/>
  <c r="AB46" i="5"/>
  <c r="AA46" i="5"/>
  <c r="Z46" i="5"/>
  <c r="AB45" i="5"/>
  <c r="AA45" i="5"/>
  <c r="Z45" i="5"/>
  <c r="AB44" i="5"/>
  <c r="AA44" i="5"/>
  <c r="Z44" i="5"/>
  <c r="AB43" i="5"/>
  <c r="AA43" i="5"/>
  <c r="Z43" i="5"/>
  <c r="AB42" i="5"/>
  <c r="AA42" i="5"/>
  <c r="Z42" i="5"/>
  <c r="AB41" i="5"/>
  <c r="AA41" i="5"/>
  <c r="Z41" i="5"/>
  <c r="AB40" i="5"/>
  <c r="AA40" i="5"/>
  <c r="Z40" i="5"/>
  <c r="AB39" i="5"/>
  <c r="AA39" i="5"/>
  <c r="Z39" i="5"/>
  <c r="AB38" i="5"/>
  <c r="AA38" i="5"/>
  <c r="Z38" i="5"/>
  <c r="AB37" i="5"/>
  <c r="AA37" i="5"/>
  <c r="Z37" i="5"/>
  <c r="AB36" i="5"/>
  <c r="AA36" i="5"/>
  <c r="Z36" i="5"/>
  <c r="AB35" i="5"/>
  <c r="AA35" i="5"/>
  <c r="Z35" i="5"/>
  <c r="AB34" i="5"/>
  <c r="AB52" i="5" s="1"/>
  <c r="AA34" i="5"/>
  <c r="AA52" i="5" s="1"/>
  <c r="Z34" i="5"/>
  <c r="Z52" i="5" s="1"/>
  <c r="AB50" i="4"/>
  <c r="AA50" i="4"/>
  <c r="Z50" i="4"/>
  <c r="AB49" i="4"/>
  <c r="AA49" i="4"/>
  <c r="Z49" i="4"/>
  <c r="AB48" i="4"/>
  <c r="AA48" i="4"/>
  <c r="Z48" i="4"/>
  <c r="AB47" i="4"/>
  <c r="AA47" i="4"/>
  <c r="Z47" i="4"/>
  <c r="AB46" i="4"/>
  <c r="AA46" i="4"/>
  <c r="Z46" i="4"/>
  <c r="AB45" i="4"/>
  <c r="AA45" i="4"/>
  <c r="Z45" i="4"/>
  <c r="AB44" i="4"/>
  <c r="AA44" i="4"/>
  <c r="Z44" i="4"/>
  <c r="AB43" i="4"/>
  <c r="AA43" i="4"/>
  <c r="Z43" i="4"/>
  <c r="AB42" i="4"/>
  <c r="AA42" i="4"/>
  <c r="Z42" i="4"/>
  <c r="AB41" i="4"/>
  <c r="AA41" i="4"/>
  <c r="Z41" i="4"/>
  <c r="AB40" i="4"/>
  <c r="AA40" i="4"/>
  <c r="Z40" i="4"/>
  <c r="AB39" i="4"/>
  <c r="AA39" i="4"/>
  <c r="Z39" i="4"/>
  <c r="AB38" i="4"/>
  <c r="AA38" i="4"/>
  <c r="Z38" i="4"/>
  <c r="AB37" i="4"/>
  <c r="AA37" i="4"/>
  <c r="Z37" i="4"/>
  <c r="AB36" i="4"/>
  <c r="AA36" i="4"/>
  <c r="Z36" i="4"/>
  <c r="AB35" i="4"/>
  <c r="AB52" i="4" s="1"/>
  <c r="AA35" i="4"/>
  <c r="Z35" i="4"/>
  <c r="AB34" i="4"/>
  <c r="AA34" i="4"/>
  <c r="AA52" i="4" s="1"/>
  <c r="Z34" i="4"/>
  <c r="Z52" i="4" s="1"/>
  <c r="AB50" i="3"/>
  <c r="AA50" i="3"/>
  <c r="Z50" i="3"/>
  <c r="AB49" i="3"/>
  <c r="AA49" i="3"/>
  <c r="Z49" i="3"/>
  <c r="AB48" i="3"/>
  <c r="AA48" i="3"/>
  <c r="Z48" i="3"/>
  <c r="AB47" i="3"/>
  <c r="AA47" i="3"/>
  <c r="Z47" i="3"/>
  <c r="AB46" i="3"/>
  <c r="AA46" i="3"/>
  <c r="Z46" i="3"/>
  <c r="AB45" i="3"/>
  <c r="AA45" i="3"/>
  <c r="Z45" i="3"/>
  <c r="AB44" i="3"/>
  <c r="AA44" i="3"/>
  <c r="Z44" i="3"/>
  <c r="AB43" i="3"/>
  <c r="AA43" i="3"/>
  <c r="Z43" i="3"/>
  <c r="AB42" i="3"/>
  <c r="AA42" i="3"/>
  <c r="Z42" i="3"/>
  <c r="AB41" i="3"/>
  <c r="AA41" i="3"/>
  <c r="Z41" i="3"/>
  <c r="AB40" i="3"/>
  <c r="AA40" i="3"/>
  <c r="Z40" i="3"/>
  <c r="AB39" i="3"/>
  <c r="AA39" i="3"/>
  <c r="Z39" i="3"/>
  <c r="AB38" i="3"/>
  <c r="AA38" i="3"/>
  <c r="Z38" i="3"/>
  <c r="AB37" i="3"/>
  <c r="AA37" i="3"/>
  <c r="Z37" i="3"/>
  <c r="AB36" i="3"/>
  <c r="AA36" i="3"/>
  <c r="Z36" i="3"/>
  <c r="AB35" i="3"/>
  <c r="AA35" i="3"/>
  <c r="Z35" i="3"/>
  <c r="AB34" i="3"/>
  <c r="AB52" i="3" s="1"/>
  <c r="AA34" i="3"/>
  <c r="AA52" i="3" s="1"/>
  <c r="Z34" i="3"/>
  <c r="Z52" i="3" s="1"/>
  <c r="AB50" i="2"/>
  <c r="AA50" i="2"/>
  <c r="Z50" i="2"/>
  <c r="AB49" i="2"/>
  <c r="AA49" i="2"/>
  <c r="Z49" i="2"/>
  <c r="AB48" i="2"/>
  <c r="AA48" i="2"/>
  <c r="Z48" i="2"/>
  <c r="AB47" i="2"/>
  <c r="AA47" i="2"/>
  <c r="Z47" i="2"/>
  <c r="AB46" i="2"/>
  <c r="AA46" i="2"/>
  <c r="Z46" i="2"/>
  <c r="AB45" i="2"/>
  <c r="AA45" i="2"/>
  <c r="Z45" i="2"/>
  <c r="AB44" i="2"/>
  <c r="AA44" i="2"/>
  <c r="Z44" i="2"/>
  <c r="AB43" i="2"/>
  <c r="AA43" i="2"/>
  <c r="Z43" i="2"/>
  <c r="AB42" i="2"/>
  <c r="AA42" i="2"/>
  <c r="Z42" i="2"/>
  <c r="AB41" i="2"/>
  <c r="AA41" i="2"/>
  <c r="Z41" i="2"/>
  <c r="AB40" i="2"/>
  <c r="AA40" i="2"/>
  <c r="Z40" i="2"/>
  <c r="AB39" i="2"/>
  <c r="AA39" i="2"/>
  <c r="Z39" i="2"/>
  <c r="AB38" i="2"/>
  <c r="AA38" i="2"/>
  <c r="Z38" i="2"/>
  <c r="AB37" i="2"/>
  <c r="AA37" i="2"/>
  <c r="Z37" i="2"/>
  <c r="AB36" i="2"/>
  <c r="AA36" i="2"/>
  <c r="Z36" i="2"/>
  <c r="AB35" i="2"/>
  <c r="AA35" i="2"/>
  <c r="Z35" i="2"/>
  <c r="AB34" i="2"/>
  <c r="AB52" i="2" s="1"/>
  <c r="AA34" i="2"/>
  <c r="AA52" i="2" s="1"/>
  <c r="Z34" i="2"/>
  <c r="Z52" i="2" s="1"/>
  <c r="AB52" i="1"/>
  <c r="AA52" i="1"/>
  <c r="Z52" i="1"/>
  <c r="AB50" i="1"/>
  <c r="AA50" i="1"/>
  <c r="Z50" i="1"/>
  <c r="AB49" i="1"/>
  <c r="AA49" i="1"/>
  <c r="Z49" i="1"/>
  <c r="AB48" i="1"/>
  <c r="AA48" i="1"/>
  <c r="Z48" i="1"/>
  <c r="AB47" i="1"/>
  <c r="AA47" i="1"/>
  <c r="Z47" i="1"/>
  <c r="AB46" i="1"/>
  <c r="AA46" i="1"/>
  <c r="Z46" i="1"/>
  <c r="AB45" i="1"/>
  <c r="AA45" i="1"/>
  <c r="Z45" i="1"/>
  <c r="AB44" i="1"/>
  <c r="AA44" i="1"/>
  <c r="Z44" i="1"/>
  <c r="AB43" i="1"/>
  <c r="AA43" i="1"/>
  <c r="Z43" i="1"/>
  <c r="AB42" i="1"/>
  <c r="AA42" i="1"/>
  <c r="Z42" i="1"/>
  <c r="AB41" i="1"/>
  <c r="AA41" i="1"/>
  <c r="Z41" i="1"/>
  <c r="AB40" i="1"/>
  <c r="AA40" i="1"/>
  <c r="Z40" i="1"/>
  <c r="AB39" i="1"/>
  <c r="AA39" i="1"/>
  <c r="Z39" i="1"/>
  <c r="AB38" i="1"/>
  <c r="AA38" i="1"/>
  <c r="Z38" i="1"/>
  <c r="AB37" i="1"/>
  <c r="AA37" i="1"/>
  <c r="Z37" i="1"/>
  <c r="AB36" i="1"/>
  <c r="AA36" i="1"/>
  <c r="Z36" i="1"/>
  <c r="AB35" i="1"/>
  <c r="AA35" i="1"/>
  <c r="Z35" i="1"/>
  <c r="AB34" i="1"/>
  <c r="AA34" i="1"/>
  <c r="Z34" i="1"/>
  <c r="U50" i="5"/>
  <c r="T50" i="5"/>
  <c r="U27" i="5"/>
  <c r="T27" i="5"/>
  <c r="U49" i="5"/>
  <c r="T49" i="5"/>
  <c r="H49" i="5"/>
  <c r="D49" i="5"/>
  <c r="U26" i="5"/>
  <c r="T26" i="5"/>
  <c r="N26" i="5"/>
  <c r="H26" i="5"/>
  <c r="D26" i="5"/>
  <c r="U48" i="5"/>
  <c r="T48" i="5"/>
  <c r="H48" i="5"/>
  <c r="U25" i="5"/>
  <c r="T25" i="5"/>
  <c r="M25" i="5"/>
  <c r="H25" i="5"/>
  <c r="U47" i="5"/>
  <c r="T47" i="5"/>
  <c r="U24" i="5"/>
  <c r="T24" i="5"/>
  <c r="N24" i="5"/>
  <c r="U46" i="5"/>
  <c r="T46" i="5"/>
  <c r="H46" i="5"/>
  <c r="E46" i="5"/>
  <c r="U23" i="5"/>
  <c r="T23" i="5"/>
  <c r="N23" i="5"/>
  <c r="H23" i="5"/>
  <c r="E23" i="5"/>
  <c r="U45" i="5"/>
  <c r="T45" i="5"/>
  <c r="H45" i="5"/>
  <c r="U22" i="5"/>
  <c r="T22" i="5"/>
  <c r="N22" i="5"/>
  <c r="H22" i="5"/>
  <c r="U44" i="5"/>
  <c r="T44" i="5"/>
  <c r="U21" i="5"/>
  <c r="T21" i="5"/>
  <c r="N21" i="5"/>
  <c r="U43" i="5"/>
  <c r="T43" i="5"/>
  <c r="H43" i="5"/>
  <c r="U20" i="5"/>
  <c r="T20" i="5"/>
  <c r="N20" i="5"/>
  <c r="H20" i="5"/>
  <c r="U42" i="5"/>
  <c r="T42" i="5"/>
  <c r="H42" i="5"/>
  <c r="U19" i="5"/>
  <c r="T19" i="5"/>
  <c r="N19" i="5"/>
  <c r="H19" i="5"/>
  <c r="U41" i="5"/>
  <c r="T41" i="5"/>
  <c r="U18" i="5"/>
  <c r="T18" i="5"/>
  <c r="N18" i="5"/>
  <c r="U40" i="5"/>
  <c r="T40" i="5"/>
  <c r="H40" i="5"/>
  <c r="U17" i="5"/>
  <c r="T17" i="5"/>
  <c r="N17" i="5"/>
  <c r="H17" i="5"/>
  <c r="U39" i="5"/>
  <c r="T39" i="5"/>
  <c r="U16" i="5"/>
  <c r="T16" i="5"/>
  <c r="N16" i="5"/>
  <c r="U38" i="5"/>
  <c r="T38" i="5"/>
  <c r="E38" i="5"/>
  <c r="U15" i="5"/>
  <c r="T15" i="5"/>
  <c r="N15" i="5"/>
  <c r="E15" i="5"/>
  <c r="U37" i="5"/>
  <c r="T37" i="5"/>
  <c r="U14" i="5"/>
  <c r="T14" i="5"/>
  <c r="N14" i="5"/>
  <c r="U36" i="5"/>
  <c r="T36" i="5"/>
  <c r="E36" i="5"/>
  <c r="U13" i="5"/>
  <c r="T13" i="5"/>
  <c r="N13" i="5"/>
  <c r="E13" i="5"/>
  <c r="U35" i="5"/>
  <c r="T35" i="5"/>
  <c r="U12" i="5"/>
  <c r="T12" i="5"/>
  <c r="N12" i="5"/>
  <c r="C180" i="9" l="1"/>
  <c r="C166" i="9"/>
  <c r="C167" i="9"/>
  <c r="C168" i="9"/>
  <c r="C170" i="9"/>
  <c r="C181" i="9"/>
  <c r="C171" i="9"/>
  <c r="C172" i="9"/>
  <c r="C176" i="9"/>
  <c r="C169" i="9"/>
  <c r="C177" i="9"/>
  <c r="C173" i="9"/>
  <c r="C174" i="9"/>
  <c r="C178" i="9"/>
  <c r="C175" i="9"/>
  <c r="C179" i="9"/>
  <c r="J151" i="9"/>
  <c r="J153" i="9"/>
  <c r="J152" i="9"/>
  <c r="J154" i="9"/>
  <c r="C160" i="9"/>
  <c r="J143" i="9"/>
  <c r="J157" i="9"/>
  <c r="J146" i="9"/>
  <c r="J147" i="9"/>
  <c r="J155" i="9"/>
  <c r="J156" i="9"/>
  <c r="J148" i="9"/>
  <c r="J144" i="9"/>
  <c r="J145" i="9"/>
  <c r="J149" i="9"/>
  <c r="J158" i="9"/>
  <c r="J150" i="9"/>
  <c r="A92" i="9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N59" i="9"/>
  <c r="K203" i="9" s="1"/>
  <c r="N46" i="9"/>
  <c r="K190" i="9" s="1"/>
  <c r="P61" i="9"/>
  <c r="O205" i="9" s="1"/>
  <c r="P46" i="9"/>
  <c r="O190" i="9" s="1"/>
  <c r="O48" i="9"/>
  <c r="M192" i="9" s="1"/>
  <c r="O46" i="9"/>
  <c r="M190" i="9" s="1"/>
  <c r="P52" i="9"/>
  <c r="O196" i="9" s="1"/>
  <c r="P60" i="9"/>
  <c r="O204" i="9" s="1"/>
  <c r="N50" i="9"/>
  <c r="K194" i="9" s="1"/>
  <c r="O57" i="9"/>
  <c r="M201" i="9" s="1"/>
  <c r="N47" i="9"/>
  <c r="K191" i="9" s="1"/>
  <c r="O58" i="9"/>
  <c r="M202" i="9" s="1"/>
  <c r="L49" i="9"/>
  <c r="G193" i="9" s="1"/>
  <c r="P56" i="9"/>
  <c r="O200" i="9" s="1"/>
  <c r="J61" i="9"/>
  <c r="C205" i="9" s="1"/>
  <c r="J55" i="9"/>
  <c r="C199" i="9" s="1"/>
  <c r="J52" i="9"/>
  <c r="C196" i="9" s="1"/>
  <c r="J57" i="9"/>
  <c r="C201" i="9" s="1"/>
  <c r="L46" i="9"/>
  <c r="G190" i="9" s="1"/>
  <c r="L54" i="9"/>
  <c r="G198" i="9" s="1"/>
  <c r="N52" i="9"/>
  <c r="K196" i="9" s="1"/>
  <c r="N60" i="9"/>
  <c r="K204" i="9" s="1"/>
  <c r="D90" i="9"/>
  <c r="K89" i="9" s="1"/>
  <c r="E135" i="9" s="1"/>
  <c r="E158" i="9" s="1"/>
  <c r="E90" i="9"/>
  <c r="L88" i="9" s="1"/>
  <c r="F134" i="9" s="1"/>
  <c r="F157" i="9" s="1"/>
  <c r="F90" i="9"/>
  <c r="M82" i="9" s="1"/>
  <c r="G128" i="9" s="1"/>
  <c r="G151" i="9" s="1"/>
  <c r="C90" i="9"/>
  <c r="J86" i="9" s="1"/>
  <c r="D132" i="9" s="1"/>
  <c r="D155" i="9" s="1"/>
  <c r="G90" i="9"/>
  <c r="N84" i="9" s="1"/>
  <c r="H130" i="9" s="1"/>
  <c r="F67" i="9"/>
  <c r="F68" i="9" s="1"/>
  <c r="M61" i="9"/>
  <c r="I205" i="9" s="1"/>
  <c r="M57" i="9"/>
  <c r="I201" i="9" s="1"/>
  <c r="M60" i="9"/>
  <c r="I204" i="9" s="1"/>
  <c r="M52" i="9"/>
  <c r="I196" i="9" s="1"/>
  <c r="M53" i="9"/>
  <c r="I197" i="9" s="1"/>
  <c r="M58" i="9"/>
  <c r="I202" i="9" s="1"/>
  <c r="M55" i="9"/>
  <c r="I199" i="9" s="1"/>
  <c r="M56" i="9"/>
  <c r="I200" i="9" s="1"/>
  <c r="M47" i="9"/>
  <c r="I191" i="9" s="1"/>
  <c r="P58" i="9"/>
  <c r="O202" i="9" s="1"/>
  <c r="P51" i="9"/>
  <c r="O195" i="9" s="1"/>
  <c r="D67" i="9"/>
  <c r="D68" i="9" s="1"/>
  <c r="K51" i="9"/>
  <c r="E195" i="9" s="1"/>
  <c r="K61" i="9"/>
  <c r="E205" i="9" s="1"/>
  <c r="K50" i="9"/>
  <c r="E194" i="9" s="1"/>
  <c r="K60" i="9"/>
  <c r="E204" i="9" s="1"/>
  <c r="K52" i="9"/>
  <c r="E196" i="9" s="1"/>
  <c r="K55" i="9"/>
  <c r="E199" i="9" s="1"/>
  <c r="K47" i="9"/>
  <c r="E191" i="9" s="1"/>
  <c r="K48" i="9"/>
  <c r="E192" i="9" s="1"/>
  <c r="M48" i="9"/>
  <c r="I192" i="9" s="1"/>
  <c r="P47" i="9"/>
  <c r="O191" i="9" s="1"/>
  <c r="O50" i="9"/>
  <c r="M194" i="9" s="1"/>
  <c r="P57" i="9"/>
  <c r="O201" i="9" s="1"/>
  <c r="M59" i="9"/>
  <c r="I203" i="9" s="1"/>
  <c r="L52" i="9"/>
  <c r="G196" i="9" s="1"/>
  <c r="M49" i="9"/>
  <c r="I193" i="9" s="1"/>
  <c r="P49" i="9"/>
  <c r="O193" i="9" s="1"/>
  <c r="M46" i="9"/>
  <c r="I190" i="9" s="1"/>
  <c r="P53" i="9"/>
  <c r="O197" i="9" s="1"/>
  <c r="K54" i="9"/>
  <c r="E198" i="9" s="1"/>
  <c r="K46" i="9"/>
  <c r="E190" i="9" s="1"/>
  <c r="K49" i="9"/>
  <c r="E193" i="9" s="1"/>
  <c r="E67" i="9"/>
  <c r="E68" i="9" s="1"/>
  <c r="L61" i="9"/>
  <c r="G205" i="9" s="1"/>
  <c r="L60" i="9"/>
  <c r="G204" i="9" s="1"/>
  <c r="L55" i="9"/>
  <c r="G199" i="9" s="1"/>
  <c r="L51" i="9"/>
  <c r="G195" i="9" s="1"/>
  <c r="L53" i="9"/>
  <c r="G197" i="9" s="1"/>
  <c r="L57" i="9"/>
  <c r="G201" i="9" s="1"/>
  <c r="L47" i="9"/>
  <c r="G191" i="9" s="1"/>
  <c r="L48" i="9"/>
  <c r="G192" i="9" s="1"/>
  <c r="L50" i="9"/>
  <c r="G194" i="9" s="1"/>
  <c r="L59" i="9"/>
  <c r="G203" i="9" s="1"/>
  <c r="L58" i="9"/>
  <c r="G202" i="9" s="1"/>
  <c r="H67" i="9"/>
  <c r="H68" i="9" s="1"/>
  <c r="O51" i="9"/>
  <c r="M195" i="9" s="1"/>
  <c r="O61" i="9"/>
  <c r="M205" i="9" s="1"/>
  <c r="O52" i="9"/>
  <c r="M196" i="9" s="1"/>
  <c r="O55" i="9"/>
  <c r="M199" i="9" s="1"/>
  <c r="O47" i="9"/>
  <c r="M191" i="9" s="1"/>
  <c r="O53" i="9"/>
  <c r="M197" i="9" s="1"/>
  <c r="O49" i="9"/>
  <c r="M193" i="9" s="1"/>
  <c r="O54" i="9"/>
  <c r="M198" i="9" s="1"/>
  <c r="P59" i="9"/>
  <c r="O203" i="9" s="1"/>
  <c r="K57" i="9"/>
  <c r="E201" i="9" s="1"/>
  <c r="K59" i="9"/>
  <c r="E203" i="9" s="1"/>
  <c r="K53" i="9"/>
  <c r="E197" i="9" s="1"/>
  <c r="M51" i="9"/>
  <c r="I195" i="9" s="1"/>
  <c r="P50" i="9"/>
  <c r="O194" i="9" s="1"/>
  <c r="K58" i="9"/>
  <c r="E202" i="9" s="1"/>
  <c r="P48" i="9"/>
  <c r="O192" i="9" s="1"/>
  <c r="O56" i="9"/>
  <c r="M200" i="9" s="1"/>
  <c r="G67" i="9"/>
  <c r="G68" i="9" s="1"/>
  <c r="N61" i="9"/>
  <c r="K205" i="9" s="1"/>
  <c r="N57" i="9"/>
  <c r="K201" i="9" s="1"/>
  <c r="N55" i="9"/>
  <c r="K199" i="9" s="1"/>
  <c r="N54" i="9"/>
  <c r="K198" i="9" s="1"/>
  <c r="N51" i="9"/>
  <c r="K195" i="9" s="1"/>
  <c r="N49" i="9"/>
  <c r="K193" i="9" s="1"/>
  <c r="N56" i="9"/>
  <c r="K200" i="9" s="1"/>
  <c r="N48" i="9"/>
  <c r="K192" i="9" s="1"/>
  <c r="N53" i="9"/>
  <c r="K197" i="9" s="1"/>
  <c r="C67" i="9"/>
  <c r="C68" i="9" s="1"/>
  <c r="J59" i="9"/>
  <c r="C203" i="9" s="1"/>
  <c r="J56" i="9"/>
  <c r="C200" i="9" s="1"/>
  <c r="J54" i="9"/>
  <c r="C198" i="9" s="1"/>
  <c r="J51" i="9"/>
  <c r="C195" i="9" s="1"/>
  <c r="J48" i="9"/>
  <c r="C192" i="9" s="1"/>
  <c r="J47" i="9"/>
  <c r="C191" i="9" s="1"/>
  <c r="J49" i="9"/>
  <c r="C193" i="9" s="1"/>
  <c r="J58" i="9"/>
  <c r="C202" i="9" s="1"/>
  <c r="J50" i="9"/>
  <c r="C194" i="9" s="1"/>
  <c r="J60" i="9"/>
  <c r="C204" i="9" s="1"/>
  <c r="J46" i="9"/>
  <c r="C190" i="9" s="1"/>
  <c r="M50" i="9"/>
  <c r="I194" i="9" s="1"/>
  <c r="P54" i="9"/>
  <c r="O198" i="9" s="1"/>
  <c r="P55" i="9"/>
  <c r="O199" i="9" s="1"/>
  <c r="M54" i="9"/>
  <c r="I198" i="9" s="1"/>
  <c r="G27" i="8"/>
  <c r="D27" i="8"/>
  <c r="R50" i="8"/>
  <c r="E27" i="8"/>
  <c r="C27" i="8"/>
  <c r="C50" i="8"/>
  <c r="Q50" i="8"/>
  <c r="T50" i="8"/>
  <c r="F27" i="8"/>
  <c r="R27" i="8"/>
  <c r="U27" i="8"/>
  <c r="U50" i="8"/>
  <c r="E50" i="8"/>
  <c r="S50" i="8"/>
  <c r="F50" i="8"/>
  <c r="S27" i="8"/>
  <c r="J50" i="8"/>
  <c r="K50" i="8"/>
  <c r="L50" i="8"/>
  <c r="M50" i="8"/>
  <c r="N50" i="8"/>
  <c r="G50" i="8"/>
  <c r="D50" i="8"/>
  <c r="L27" i="8"/>
  <c r="M27" i="8"/>
  <c r="J27" i="8"/>
  <c r="T27" i="8"/>
  <c r="Q27" i="8"/>
  <c r="N27" i="8"/>
  <c r="K27" i="8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U50" i="4"/>
  <c r="T50" i="4"/>
  <c r="H50" i="4"/>
  <c r="U27" i="4"/>
  <c r="T27" i="4"/>
  <c r="H27" i="4"/>
  <c r="U49" i="4"/>
  <c r="T49" i="4"/>
  <c r="H49" i="4"/>
  <c r="U26" i="4"/>
  <c r="T26" i="4"/>
  <c r="N26" i="4"/>
  <c r="H26" i="4"/>
  <c r="U48" i="4"/>
  <c r="T48" i="4"/>
  <c r="H48" i="4"/>
  <c r="D48" i="4"/>
  <c r="U25" i="4"/>
  <c r="T25" i="4"/>
  <c r="M25" i="4"/>
  <c r="H25" i="4"/>
  <c r="D25" i="4"/>
  <c r="U47" i="4"/>
  <c r="T47" i="4"/>
  <c r="U24" i="4"/>
  <c r="T24" i="4"/>
  <c r="M24" i="4"/>
  <c r="U46" i="4"/>
  <c r="T46" i="4"/>
  <c r="U23" i="4"/>
  <c r="T23" i="4"/>
  <c r="N23" i="4"/>
  <c r="U45" i="4"/>
  <c r="T45" i="4"/>
  <c r="D45" i="4"/>
  <c r="U22" i="4"/>
  <c r="T22" i="4"/>
  <c r="N22" i="4"/>
  <c r="D22" i="4"/>
  <c r="U44" i="4"/>
  <c r="T44" i="4"/>
  <c r="U21" i="4"/>
  <c r="T21" i="4"/>
  <c r="N21" i="4"/>
  <c r="U43" i="4"/>
  <c r="T43" i="4"/>
  <c r="H43" i="4"/>
  <c r="U20" i="4"/>
  <c r="T20" i="4"/>
  <c r="N20" i="4"/>
  <c r="H20" i="4"/>
  <c r="U42" i="4"/>
  <c r="T42" i="4"/>
  <c r="H42" i="4"/>
  <c r="E42" i="4"/>
  <c r="D42" i="4"/>
  <c r="U19" i="4"/>
  <c r="T19" i="4"/>
  <c r="H19" i="4"/>
  <c r="E19" i="4"/>
  <c r="D19" i="4"/>
  <c r="U41" i="4"/>
  <c r="T41" i="4"/>
  <c r="E41" i="4"/>
  <c r="U18" i="4"/>
  <c r="T18" i="4"/>
  <c r="N18" i="4"/>
  <c r="E18" i="4"/>
  <c r="U40" i="4"/>
  <c r="T40" i="4"/>
  <c r="U17" i="4"/>
  <c r="T17" i="4"/>
  <c r="U39" i="4"/>
  <c r="T39" i="4"/>
  <c r="U16" i="4"/>
  <c r="T16" i="4"/>
  <c r="N16" i="4"/>
  <c r="M16" i="4"/>
  <c r="U38" i="4"/>
  <c r="T38" i="4"/>
  <c r="E38" i="4"/>
  <c r="U15" i="4"/>
  <c r="T15" i="4"/>
  <c r="N15" i="4"/>
  <c r="E15" i="4"/>
  <c r="U37" i="4"/>
  <c r="T37" i="4"/>
  <c r="H37" i="4"/>
  <c r="U14" i="4"/>
  <c r="T14" i="4"/>
  <c r="N14" i="4"/>
  <c r="H14" i="4"/>
  <c r="G174" i="9" l="1"/>
  <c r="D178" i="9"/>
  <c r="E181" i="9"/>
  <c r="A162" i="9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F180" i="9"/>
  <c r="D202" i="9"/>
  <c r="C183" i="9"/>
  <c r="D197" i="9"/>
  <c r="D200" i="9"/>
  <c r="D198" i="9"/>
  <c r="D196" i="9"/>
  <c r="D201" i="9"/>
  <c r="D193" i="9"/>
  <c r="D194" i="9"/>
  <c r="D192" i="9"/>
  <c r="D199" i="9"/>
  <c r="D191" i="9"/>
  <c r="E207" i="9"/>
  <c r="I207" i="9"/>
  <c r="N151" i="9"/>
  <c r="D195" i="9"/>
  <c r="O207" i="9"/>
  <c r="G207" i="9"/>
  <c r="K207" i="9"/>
  <c r="D205" i="9"/>
  <c r="M157" i="9"/>
  <c r="L158" i="9"/>
  <c r="D190" i="9"/>
  <c r="C207" i="9"/>
  <c r="D204" i="9"/>
  <c r="D203" i="9"/>
  <c r="M207" i="9"/>
  <c r="K155" i="9"/>
  <c r="N63" i="9"/>
  <c r="J160" i="9"/>
  <c r="L76" i="9"/>
  <c r="F122" i="9" s="1"/>
  <c r="F145" i="9" s="1"/>
  <c r="K84" i="9"/>
  <c r="E130" i="9" s="1"/>
  <c r="E153" i="9" s="1"/>
  <c r="K83" i="9"/>
  <c r="E129" i="9" s="1"/>
  <c r="E152" i="9" s="1"/>
  <c r="L86" i="9"/>
  <c r="F132" i="9" s="1"/>
  <c r="F155" i="9" s="1"/>
  <c r="K81" i="9"/>
  <c r="E127" i="9" s="1"/>
  <c r="E150" i="9" s="1"/>
  <c r="K82" i="9"/>
  <c r="E128" i="9" s="1"/>
  <c r="E151" i="9" s="1"/>
  <c r="L89" i="9"/>
  <c r="F135" i="9" s="1"/>
  <c r="F158" i="9" s="1"/>
  <c r="N86" i="9"/>
  <c r="H132" i="9" s="1"/>
  <c r="K86" i="9"/>
  <c r="E132" i="9" s="1"/>
  <c r="L84" i="9"/>
  <c r="F130" i="9" s="1"/>
  <c r="F153" i="9" s="1"/>
  <c r="K78" i="9"/>
  <c r="E124" i="9" s="1"/>
  <c r="E147" i="9" s="1"/>
  <c r="L63" i="9"/>
  <c r="P63" i="9"/>
  <c r="O63" i="9"/>
  <c r="L78" i="9"/>
  <c r="F124" i="9" s="1"/>
  <c r="F147" i="9" s="1"/>
  <c r="L79" i="9"/>
  <c r="F125" i="9" s="1"/>
  <c r="F148" i="9" s="1"/>
  <c r="L80" i="9"/>
  <c r="F126" i="9" s="1"/>
  <c r="F149" i="9" s="1"/>
  <c r="N81" i="9"/>
  <c r="H127" i="9" s="1"/>
  <c r="M79" i="9"/>
  <c r="G125" i="9" s="1"/>
  <c r="G148" i="9" s="1"/>
  <c r="M83" i="9"/>
  <c r="G129" i="9" s="1"/>
  <c r="G152" i="9" s="1"/>
  <c r="M89" i="9"/>
  <c r="G135" i="9" s="1"/>
  <c r="G158" i="9" s="1"/>
  <c r="L85" i="9"/>
  <c r="F131" i="9" s="1"/>
  <c r="F154" i="9" s="1"/>
  <c r="N74" i="9"/>
  <c r="H120" i="9" s="1"/>
  <c r="M75" i="9"/>
  <c r="G121" i="9" s="1"/>
  <c r="G144" i="9" s="1"/>
  <c r="L77" i="9"/>
  <c r="F123" i="9" s="1"/>
  <c r="F146" i="9" s="1"/>
  <c r="M85" i="9"/>
  <c r="G131" i="9" s="1"/>
  <c r="G154" i="9" s="1"/>
  <c r="M78" i="9"/>
  <c r="G124" i="9" s="1"/>
  <c r="G147" i="9" s="1"/>
  <c r="K88" i="9"/>
  <c r="E134" i="9" s="1"/>
  <c r="E157" i="9" s="1"/>
  <c r="M88" i="9"/>
  <c r="G134" i="9" s="1"/>
  <c r="G157" i="9" s="1"/>
  <c r="M77" i="9"/>
  <c r="G123" i="9" s="1"/>
  <c r="G146" i="9" s="1"/>
  <c r="K85" i="9"/>
  <c r="E131" i="9" s="1"/>
  <c r="E154" i="9" s="1"/>
  <c r="K87" i="9"/>
  <c r="E133" i="9" s="1"/>
  <c r="E156" i="9" s="1"/>
  <c r="L83" i="9"/>
  <c r="F129" i="9" s="1"/>
  <c r="F152" i="9" s="1"/>
  <c r="M86" i="9"/>
  <c r="G132" i="9" s="1"/>
  <c r="G155" i="9" s="1"/>
  <c r="J76" i="9"/>
  <c r="D122" i="9" s="1"/>
  <c r="D145" i="9" s="1"/>
  <c r="L75" i="9"/>
  <c r="F121" i="9" s="1"/>
  <c r="F144" i="9" s="1"/>
  <c r="M76" i="9"/>
  <c r="G122" i="9" s="1"/>
  <c r="G145" i="9" s="1"/>
  <c r="L82" i="9"/>
  <c r="F128" i="9" s="1"/>
  <c r="F151" i="9" s="1"/>
  <c r="M80" i="9"/>
  <c r="G126" i="9" s="1"/>
  <c r="G149" i="9" s="1"/>
  <c r="N77" i="9"/>
  <c r="H123" i="9" s="1"/>
  <c r="N89" i="9"/>
  <c r="H135" i="9" s="1"/>
  <c r="J77" i="9"/>
  <c r="D123" i="9" s="1"/>
  <c r="D146" i="9" s="1"/>
  <c r="N80" i="9"/>
  <c r="H126" i="9" s="1"/>
  <c r="N85" i="9"/>
  <c r="H131" i="9" s="1"/>
  <c r="N76" i="9"/>
  <c r="H122" i="9" s="1"/>
  <c r="N78" i="9"/>
  <c r="H124" i="9" s="1"/>
  <c r="N87" i="9"/>
  <c r="H133" i="9" s="1"/>
  <c r="J74" i="9"/>
  <c r="D120" i="9" s="1"/>
  <c r="D143" i="9" s="1"/>
  <c r="J85" i="9"/>
  <c r="D131" i="9" s="1"/>
  <c r="D154" i="9" s="1"/>
  <c r="N79" i="9"/>
  <c r="H125" i="9" s="1"/>
  <c r="N75" i="9"/>
  <c r="H121" i="9" s="1"/>
  <c r="J81" i="9"/>
  <c r="D127" i="9" s="1"/>
  <c r="D150" i="9" s="1"/>
  <c r="K74" i="9"/>
  <c r="E120" i="9" s="1"/>
  <c r="E143" i="9" s="1"/>
  <c r="N83" i="9"/>
  <c r="H129" i="9" s="1"/>
  <c r="N82" i="9"/>
  <c r="H128" i="9" s="1"/>
  <c r="L74" i="9"/>
  <c r="F120" i="9" s="1"/>
  <c r="F143" i="9" s="1"/>
  <c r="K75" i="9"/>
  <c r="E121" i="9" s="1"/>
  <c r="E144" i="9" s="1"/>
  <c r="J84" i="9"/>
  <c r="D130" i="9" s="1"/>
  <c r="K79" i="9"/>
  <c r="E125" i="9" s="1"/>
  <c r="E148" i="9" s="1"/>
  <c r="N88" i="9"/>
  <c r="H134" i="9" s="1"/>
  <c r="K80" i="9"/>
  <c r="E126" i="9" s="1"/>
  <c r="E149" i="9" s="1"/>
  <c r="K76" i="9"/>
  <c r="E122" i="9" s="1"/>
  <c r="E145" i="9" s="1"/>
  <c r="J79" i="9"/>
  <c r="D125" i="9" s="1"/>
  <c r="D148" i="9" s="1"/>
  <c r="M74" i="9"/>
  <c r="G120" i="9" s="1"/>
  <c r="G143" i="9" s="1"/>
  <c r="M84" i="9"/>
  <c r="G130" i="9" s="1"/>
  <c r="G153" i="9" s="1"/>
  <c r="M81" i="9"/>
  <c r="G127" i="9" s="1"/>
  <c r="G150" i="9" s="1"/>
  <c r="L81" i="9"/>
  <c r="F127" i="9" s="1"/>
  <c r="F150" i="9" s="1"/>
  <c r="J80" i="9"/>
  <c r="D126" i="9" s="1"/>
  <c r="D149" i="9" s="1"/>
  <c r="J87" i="9"/>
  <c r="D133" i="9" s="1"/>
  <c r="D156" i="9" s="1"/>
  <c r="K77" i="9"/>
  <c r="E123" i="9" s="1"/>
  <c r="E146" i="9" s="1"/>
  <c r="J78" i="9"/>
  <c r="D124" i="9" s="1"/>
  <c r="D147" i="9" s="1"/>
  <c r="M87" i="9"/>
  <c r="G133" i="9" s="1"/>
  <c r="G156" i="9" s="1"/>
  <c r="L87" i="9"/>
  <c r="F133" i="9" s="1"/>
  <c r="F156" i="9" s="1"/>
  <c r="J82" i="9"/>
  <c r="D128" i="9" s="1"/>
  <c r="J89" i="9"/>
  <c r="D135" i="9" s="1"/>
  <c r="J88" i="9"/>
  <c r="D134" i="9" s="1"/>
  <c r="D157" i="9" s="1"/>
  <c r="J83" i="9"/>
  <c r="D129" i="9" s="1"/>
  <c r="D152" i="9" s="1"/>
  <c r="J75" i="9"/>
  <c r="D121" i="9" s="1"/>
  <c r="D144" i="9" s="1"/>
  <c r="J63" i="9"/>
  <c r="K63" i="9"/>
  <c r="M63" i="9"/>
  <c r="A31" i="8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U36" i="4"/>
  <c r="T36" i="4"/>
  <c r="U13" i="4"/>
  <c r="T13" i="4"/>
  <c r="N13" i="4"/>
  <c r="M13" i="4"/>
  <c r="U35" i="4"/>
  <c r="T35" i="4"/>
  <c r="U12" i="4"/>
  <c r="T12" i="4"/>
  <c r="N12" i="4"/>
  <c r="E173" i="9" l="1"/>
  <c r="F166" i="9"/>
  <c r="D179" i="9"/>
  <c r="G167" i="9"/>
  <c r="G172" i="9"/>
  <c r="F177" i="9"/>
  <c r="G168" i="9"/>
  <c r="G175" i="9"/>
  <c r="E176" i="9"/>
  <c r="F172" i="9"/>
  <c r="D173" i="9"/>
  <c r="G171" i="9"/>
  <c r="G173" i="9"/>
  <c r="F168" i="9"/>
  <c r="E179" i="9"/>
  <c r="F181" i="9"/>
  <c r="F174" i="9"/>
  <c r="G181" i="9"/>
  <c r="F167" i="9"/>
  <c r="F173" i="9"/>
  <c r="E175" i="9"/>
  <c r="G178" i="9"/>
  <c r="F171" i="9"/>
  <c r="F170" i="9"/>
  <c r="E168" i="9"/>
  <c r="E174" i="9"/>
  <c r="D172" i="9"/>
  <c r="D177" i="9"/>
  <c r="E177" i="9"/>
  <c r="D167" i="9"/>
  <c r="D175" i="9"/>
  <c r="D180" i="9"/>
  <c r="E180" i="9"/>
  <c r="G170" i="9"/>
  <c r="E170" i="9"/>
  <c r="D170" i="9"/>
  <c r="E166" i="9"/>
  <c r="F178" i="9"/>
  <c r="D168" i="9"/>
  <c r="G176" i="9"/>
  <c r="G166" i="9"/>
  <c r="D171" i="9"/>
  <c r="D207" i="9"/>
  <c r="G180" i="9"/>
  <c r="E171" i="9"/>
  <c r="D169" i="9"/>
  <c r="G177" i="9"/>
  <c r="F176" i="9"/>
  <c r="G179" i="9"/>
  <c r="E169" i="9"/>
  <c r="F175" i="9"/>
  <c r="D166" i="9"/>
  <c r="G169" i="9"/>
  <c r="E172" i="9"/>
  <c r="F179" i="9"/>
  <c r="E167" i="9"/>
  <c r="F169" i="9"/>
  <c r="N147" i="9"/>
  <c r="N149" i="9"/>
  <c r="L146" i="9"/>
  <c r="N158" i="9"/>
  <c r="M144" i="9"/>
  <c r="N152" i="9"/>
  <c r="M155" i="9"/>
  <c r="L148" i="9"/>
  <c r="M151" i="9"/>
  <c r="L147" i="9"/>
  <c r="N154" i="9"/>
  <c r="M146" i="9"/>
  <c r="L152" i="9"/>
  <c r="L153" i="9"/>
  <c r="N153" i="9"/>
  <c r="M152" i="9"/>
  <c r="M149" i="9"/>
  <c r="M145" i="9"/>
  <c r="M156" i="9"/>
  <c r="N144" i="9"/>
  <c r="L151" i="9"/>
  <c r="N145" i="9"/>
  <c r="M150" i="9"/>
  <c r="N148" i="9"/>
  <c r="N150" i="9"/>
  <c r="M148" i="9"/>
  <c r="L154" i="9"/>
  <c r="M147" i="9"/>
  <c r="L150" i="9"/>
  <c r="N155" i="9"/>
  <c r="N146" i="9"/>
  <c r="L144" i="9"/>
  <c r="N156" i="9"/>
  <c r="M158" i="9"/>
  <c r="M154" i="9"/>
  <c r="L156" i="9"/>
  <c r="L145" i="9"/>
  <c r="L149" i="9"/>
  <c r="N157" i="9"/>
  <c r="M153" i="9"/>
  <c r="L157" i="9"/>
  <c r="K157" i="9"/>
  <c r="K146" i="9"/>
  <c r="I128" i="9"/>
  <c r="D151" i="9"/>
  <c r="I132" i="9"/>
  <c r="E155" i="9"/>
  <c r="I135" i="9"/>
  <c r="D158" i="9"/>
  <c r="F160" i="9"/>
  <c r="J200" i="9" s="1"/>
  <c r="M143" i="9"/>
  <c r="K156" i="9"/>
  <c r="K145" i="9"/>
  <c r="G160" i="9"/>
  <c r="N143" i="9"/>
  <c r="K143" i="9"/>
  <c r="K148" i="9"/>
  <c r="K147" i="9"/>
  <c r="K149" i="9"/>
  <c r="K154" i="9"/>
  <c r="K144" i="9"/>
  <c r="I130" i="9"/>
  <c r="D153" i="9"/>
  <c r="L143" i="9"/>
  <c r="K150" i="9"/>
  <c r="K152" i="9"/>
  <c r="I124" i="9"/>
  <c r="I123" i="9"/>
  <c r="F137" i="9"/>
  <c r="I131" i="9"/>
  <c r="I126" i="9"/>
  <c r="E137" i="9"/>
  <c r="I127" i="9"/>
  <c r="D137" i="9"/>
  <c r="I121" i="9"/>
  <c r="I125" i="9"/>
  <c r="I120" i="9"/>
  <c r="I133" i="9"/>
  <c r="H137" i="9"/>
  <c r="I122" i="9"/>
  <c r="G137" i="9"/>
  <c r="I129" i="9"/>
  <c r="I134" i="9"/>
  <c r="K90" i="9"/>
  <c r="N90" i="9"/>
  <c r="L90" i="9"/>
  <c r="M90" i="9"/>
  <c r="J90" i="9"/>
  <c r="U50" i="3"/>
  <c r="T50" i="3"/>
  <c r="U27" i="3"/>
  <c r="T27" i="3"/>
  <c r="U49" i="3"/>
  <c r="T49" i="3"/>
  <c r="H49" i="3"/>
  <c r="D49" i="3"/>
  <c r="U26" i="3"/>
  <c r="T26" i="3"/>
  <c r="H26" i="3"/>
  <c r="D26" i="3"/>
  <c r="U48" i="3"/>
  <c r="T48" i="3"/>
  <c r="H48" i="3"/>
  <c r="D48" i="3"/>
  <c r="U25" i="3"/>
  <c r="T25" i="3"/>
  <c r="M25" i="3"/>
  <c r="H25" i="3"/>
  <c r="D25" i="3"/>
  <c r="U47" i="3"/>
  <c r="T47" i="3"/>
  <c r="H47" i="3"/>
  <c r="U24" i="3"/>
  <c r="T24" i="3"/>
  <c r="M24" i="3"/>
  <c r="H24" i="3"/>
  <c r="U46" i="3"/>
  <c r="T46" i="3"/>
  <c r="H46" i="3"/>
  <c r="U23" i="3"/>
  <c r="T23" i="3"/>
  <c r="N23" i="3"/>
  <c r="H23" i="3"/>
  <c r="U45" i="3"/>
  <c r="T45" i="3"/>
  <c r="U22" i="3"/>
  <c r="T22" i="3"/>
  <c r="M22" i="3"/>
  <c r="U44" i="3"/>
  <c r="T44" i="3"/>
  <c r="U21" i="3"/>
  <c r="T21" i="3"/>
  <c r="N21" i="3"/>
  <c r="U43" i="3"/>
  <c r="T43" i="3"/>
  <c r="H43" i="3"/>
  <c r="E43" i="3"/>
  <c r="U20" i="3"/>
  <c r="T20" i="3"/>
  <c r="N20" i="3"/>
  <c r="H20" i="3"/>
  <c r="E20" i="3"/>
  <c r="U42" i="3"/>
  <c r="T42" i="3"/>
  <c r="H42" i="3"/>
  <c r="D42" i="3"/>
  <c r="U19" i="3"/>
  <c r="T19" i="3"/>
  <c r="H19" i="3"/>
  <c r="D19" i="3"/>
  <c r="U41" i="3"/>
  <c r="T41" i="3"/>
  <c r="U18" i="3"/>
  <c r="T18" i="3"/>
  <c r="U40" i="3"/>
  <c r="T40" i="3"/>
  <c r="U17" i="3"/>
  <c r="T17" i="3"/>
  <c r="U39" i="3"/>
  <c r="T39" i="3"/>
  <c r="H39" i="3"/>
  <c r="D39" i="3"/>
  <c r="U16" i="3"/>
  <c r="T16" i="3"/>
  <c r="N16" i="3"/>
  <c r="M16" i="3"/>
  <c r="H16" i="3"/>
  <c r="D16" i="3"/>
  <c r="U38" i="3"/>
  <c r="T38" i="3"/>
  <c r="H38" i="3"/>
  <c r="E38" i="3"/>
  <c r="U15" i="3"/>
  <c r="T15" i="3"/>
  <c r="H15" i="3"/>
  <c r="E15" i="3"/>
  <c r="U37" i="3"/>
  <c r="T37" i="3"/>
  <c r="H37" i="3"/>
  <c r="U14" i="3"/>
  <c r="T14" i="3"/>
  <c r="M14" i="3"/>
  <c r="H14" i="3"/>
  <c r="U36" i="3"/>
  <c r="T36" i="3"/>
  <c r="H36" i="3"/>
  <c r="D36" i="3"/>
  <c r="U13" i="3"/>
  <c r="T13" i="3"/>
  <c r="N13" i="3"/>
  <c r="M13" i="3"/>
  <c r="H13" i="3"/>
  <c r="D13" i="3"/>
  <c r="U35" i="3"/>
  <c r="T35" i="3"/>
  <c r="N35" i="3"/>
  <c r="U12" i="3"/>
  <c r="T12" i="3"/>
  <c r="P12" i="3"/>
  <c r="N12" i="3"/>
  <c r="M12" i="3"/>
  <c r="U50" i="2"/>
  <c r="T50" i="2"/>
  <c r="U27" i="2"/>
  <c r="T27" i="2"/>
  <c r="U49" i="2"/>
  <c r="T49" i="2"/>
  <c r="H49" i="2"/>
  <c r="U26" i="2"/>
  <c r="T26" i="2"/>
  <c r="H26" i="2"/>
  <c r="U48" i="2"/>
  <c r="T48" i="2"/>
  <c r="H48" i="2"/>
  <c r="D48" i="2"/>
  <c r="U25" i="2"/>
  <c r="T25" i="2"/>
  <c r="M25" i="2"/>
  <c r="H25" i="2"/>
  <c r="D25" i="2"/>
  <c r="U47" i="2"/>
  <c r="T47" i="2"/>
  <c r="H47" i="2"/>
  <c r="U24" i="2"/>
  <c r="T24" i="2"/>
  <c r="M24" i="2"/>
  <c r="H24" i="2"/>
  <c r="U46" i="2"/>
  <c r="T46" i="2"/>
  <c r="H46" i="2"/>
  <c r="D46" i="2"/>
  <c r="U23" i="2"/>
  <c r="T23" i="2"/>
  <c r="H23" i="2"/>
  <c r="D23" i="2"/>
  <c r="U45" i="2"/>
  <c r="T45" i="2"/>
  <c r="H45" i="2"/>
  <c r="D45" i="2"/>
  <c r="U22" i="2"/>
  <c r="T22" i="2"/>
  <c r="N22" i="2"/>
  <c r="M22" i="2"/>
  <c r="H22" i="2"/>
  <c r="D22" i="2"/>
  <c r="U44" i="2"/>
  <c r="U21" i="2"/>
  <c r="U43" i="2"/>
  <c r="T43" i="2"/>
  <c r="H43" i="2"/>
  <c r="U20" i="2"/>
  <c r="T20" i="2"/>
  <c r="M20" i="2"/>
  <c r="H20" i="2"/>
  <c r="U42" i="2"/>
  <c r="T42" i="2"/>
  <c r="U19" i="2"/>
  <c r="T19" i="2"/>
  <c r="N19" i="2"/>
  <c r="U41" i="2"/>
  <c r="T41" i="2"/>
  <c r="H41" i="2"/>
  <c r="U18" i="2"/>
  <c r="T18" i="2"/>
  <c r="M18" i="2"/>
  <c r="H18" i="2"/>
  <c r="U40" i="2"/>
  <c r="T40" i="2"/>
  <c r="H40" i="2"/>
  <c r="U17" i="2"/>
  <c r="T17" i="2"/>
  <c r="H17" i="2"/>
  <c r="U39" i="2"/>
  <c r="T39" i="2"/>
  <c r="U16" i="2"/>
  <c r="T16" i="2"/>
  <c r="M16" i="2"/>
  <c r="U38" i="2"/>
  <c r="T38" i="2"/>
  <c r="U15" i="2"/>
  <c r="T15" i="2"/>
  <c r="U37" i="2"/>
  <c r="T37" i="2"/>
  <c r="H37" i="2"/>
  <c r="U14" i="2"/>
  <c r="T14" i="2"/>
  <c r="M14" i="2"/>
  <c r="H14" i="2"/>
  <c r="U36" i="2"/>
  <c r="T36" i="2"/>
  <c r="H36" i="2"/>
  <c r="D36" i="2"/>
  <c r="U13" i="2"/>
  <c r="T13" i="2"/>
  <c r="M13" i="2"/>
  <c r="H13" i="2"/>
  <c r="D13" i="2"/>
  <c r="U35" i="2"/>
  <c r="T35" i="2"/>
  <c r="U12" i="2"/>
  <c r="T12" i="2"/>
  <c r="M12" i="2"/>
  <c r="H50" i="1"/>
  <c r="D50" i="1"/>
  <c r="H27" i="1"/>
  <c r="D27" i="1"/>
  <c r="H49" i="1"/>
  <c r="H26" i="1"/>
  <c r="H48" i="1"/>
  <c r="D48" i="1"/>
  <c r="H25" i="1"/>
  <c r="D25" i="1"/>
  <c r="H47" i="1"/>
  <c r="H24" i="1"/>
  <c r="H46" i="1"/>
  <c r="H23" i="1"/>
  <c r="U45" i="1"/>
  <c r="U22" i="1"/>
  <c r="H43" i="1"/>
  <c r="D43" i="1"/>
  <c r="H42" i="1"/>
  <c r="D181" i="9" l="1"/>
  <c r="D176" i="9"/>
  <c r="D174" i="9"/>
  <c r="E178" i="9"/>
  <c r="L198" i="9"/>
  <c r="G183" i="9"/>
  <c r="J204" i="9"/>
  <c r="F183" i="9"/>
  <c r="J201" i="9"/>
  <c r="L199" i="9"/>
  <c r="J191" i="9"/>
  <c r="J205" i="9"/>
  <c r="J194" i="9"/>
  <c r="L191" i="9"/>
  <c r="M160" i="9"/>
  <c r="L204" i="9"/>
  <c r="J203" i="9"/>
  <c r="J193" i="9"/>
  <c r="J195" i="9"/>
  <c r="L205" i="9"/>
  <c r="L193" i="9"/>
  <c r="L195" i="9"/>
  <c r="J199" i="9"/>
  <c r="J198" i="9"/>
  <c r="L196" i="9"/>
  <c r="N160" i="9"/>
  <c r="L203" i="9"/>
  <c r="L202" i="9"/>
  <c r="J197" i="9"/>
  <c r="J190" i="9"/>
  <c r="L190" i="9"/>
  <c r="L201" i="9"/>
  <c r="E160" i="9"/>
  <c r="E183" i="9" s="1"/>
  <c r="J196" i="9"/>
  <c r="L200" i="9"/>
  <c r="L194" i="9"/>
  <c r="J192" i="9"/>
  <c r="L197" i="9"/>
  <c r="L192" i="9"/>
  <c r="J202" i="9"/>
  <c r="K151" i="9"/>
  <c r="D160" i="9"/>
  <c r="D183" i="9" s="1"/>
  <c r="K158" i="9"/>
  <c r="L155" i="9"/>
  <c r="L160" i="9" s="1"/>
  <c r="K153" i="9"/>
  <c r="I137" i="9"/>
  <c r="H20" i="1"/>
  <c r="D20" i="1"/>
  <c r="V52" i="6"/>
  <c r="U52" i="6"/>
  <c r="T52" i="6"/>
  <c r="R52" i="6"/>
  <c r="Q52" i="6"/>
  <c r="O52" i="6"/>
  <c r="N52" i="6"/>
  <c r="M52" i="6"/>
  <c r="L52" i="6"/>
  <c r="I52" i="6"/>
  <c r="H52" i="6"/>
  <c r="G52" i="6"/>
  <c r="F52" i="6"/>
  <c r="E52" i="6"/>
  <c r="D52" i="6"/>
  <c r="C52" i="6"/>
  <c r="W50" i="6"/>
  <c r="S50" i="6"/>
  <c r="P50" i="6"/>
  <c r="J50" i="6"/>
  <c r="K50" i="6" s="1"/>
  <c r="W49" i="6"/>
  <c r="S49" i="6"/>
  <c r="P49" i="6"/>
  <c r="J49" i="6"/>
  <c r="K49" i="6" s="1"/>
  <c r="O24" i="8" s="1"/>
  <c r="W48" i="6"/>
  <c r="S48" i="6"/>
  <c r="X48" i="6" s="1"/>
  <c r="V23" i="8" s="1"/>
  <c r="P48" i="6"/>
  <c r="J48" i="6"/>
  <c r="K48" i="6" s="1"/>
  <c r="W47" i="6"/>
  <c r="S47" i="6"/>
  <c r="X47" i="6" s="1"/>
  <c r="V22" i="8" s="1"/>
  <c r="P47" i="6"/>
  <c r="J47" i="6"/>
  <c r="K47" i="6" s="1"/>
  <c r="W46" i="6"/>
  <c r="S46" i="6"/>
  <c r="X46" i="6" s="1"/>
  <c r="V21" i="8" s="1"/>
  <c r="P46" i="6"/>
  <c r="J46" i="6"/>
  <c r="K46" i="6" s="1"/>
  <c r="W45" i="6"/>
  <c r="S45" i="6"/>
  <c r="X45" i="6" s="1"/>
  <c r="V20" i="8" s="1"/>
  <c r="P45" i="6"/>
  <c r="J45" i="6"/>
  <c r="K45" i="6" s="1"/>
  <c r="W44" i="6"/>
  <c r="S44" i="6"/>
  <c r="P44" i="6"/>
  <c r="J44" i="6"/>
  <c r="K44" i="6" s="1"/>
  <c r="W43" i="6"/>
  <c r="S43" i="6"/>
  <c r="X43" i="6" s="1"/>
  <c r="V18" i="8" s="1"/>
  <c r="P43" i="6"/>
  <c r="J43" i="6"/>
  <c r="K43" i="6" s="1"/>
  <c r="W42" i="6"/>
  <c r="S42" i="6"/>
  <c r="P42" i="6"/>
  <c r="J42" i="6"/>
  <c r="K42" i="6" s="1"/>
  <c r="W41" i="6"/>
  <c r="S41" i="6"/>
  <c r="X41" i="6" s="1"/>
  <c r="V16" i="8" s="1"/>
  <c r="P41" i="6"/>
  <c r="J41" i="6"/>
  <c r="K41" i="6" s="1"/>
  <c r="W40" i="6"/>
  <c r="S40" i="6"/>
  <c r="P40" i="6"/>
  <c r="J40" i="6"/>
  <c r="K40" i="6" s="1"/>
  <c r="W39" i="6"/>
  <c r="S39" i="6"/>
  <c r="X39" i="6" s="1"/>
  <c r="V14" i="8" s="1"/>
  <c r="P39" i="6"/>
  <c r="J39" i="6"/>
  <c r="K39" i="6" s="1"/>
  <c r="W38" i="6"/>
  <c r="S38" i="6"/>
  <c r="X38" i="6" s="1"/>
  <c r="V13" i="8" s="1"/>
  <c r="P38" i="6"/>
  <c r="J38" i="6"/>
  <c r="K38" i="6" s="1"/>
  <c r="W37" i="6"/>
  <c r="S37" i="6"/>
  <c r="P37" i="6"/>
  <c r="J37" i="6"/>
  <c r="K37" i="6" s="1"/>
  <c r="W36" i="6"/>
  <c r="S36" i="6"/>
  <c r="P36" i="6"/>
  <c r="J36" i="6"/>
  <c r="K36" i="6" s="1"/>
  <c r="O11" i="8" s="1"/>
  <c r="W35" i="6"/>
  <c r="S35" i="6"/>
  <c r="X35" i="6" s="1"/>
  <c r="V10" i="8" s="1"/>
  <c r="P35" i="6"/>
  <c r="J35" i="6"/>
  <c r="K35" i="6" s="1"/>
  <c r="W34" i="6"/>
  <c r="S34" i="6"/>
  <c r="P34" i="6"/>
  <c r="J34" i="6"/>
  <c r="K34" i="6" s="1"/>
  <c r="O9" i="8" s="1"/>
  <c r="V52" i="5"/>
  <c r="U52" i="5"/>
  <c r="T52" i="5"/>
  <c r="R52" i="5"/>
  <c r="Q52" i="5"/>
  <c r="O52" i="5"/>
  <c r="N52" i="5"/>
  <c r="M52" i="5"/>
  <c r="L52" i="5"/>
  <c r="I52" i="5"/>
  <c r="H52" i="5"/>
  <c r="G52" i="5"/>
  <c r="F52" i="5"/>
  <c r="E52" i="5"/>
  <c r="D52" i="5"/>
  <c r="C52" i="5"/>
  <c r="W50" i="5"/>
  <c r="S50" i="5"/>
  <c r="P50" i="5"/>
  <c r="J50" i="5"/>
  <c r="K50" i="5" s="1"/>
  <c r="W49" i="5"/>
  <c r="S49" i="5"/>
  <c r="P49" i="5"/>
  <c r="J49" i="5"/>
  <c r="K49" i="5" s="1"/>
  <c r="W48" i="5"/>
  <c r="S48" i="5"/>
  <c r="P48" i="5"/>
  <c r="J48" i="5"/>
  <c r="K48" i="5" s="1"/>
  <c r="W47" i="5"/>
  <c r="S47" i="5"/>
  <c r="P47" i="5"/>
  <c r="J47" i="5"/>
  <c r="K47" i="5" s="1"/>
  <c r="W46" i="5"/>
  <c r="S46" i="5"/>
  <c r="P46" i="5"/>
  <c r="J46" i="5"/>
  <c r="K46" i="5" s="1"/>
  <c r="W45" i="5"/>
  <c r="S45" i="5"/>
  <c r="P45" i="5"/>
  <c r="J45" i="5"/>
  <c r="K45" i="5" s="1"/>
  <c r="W44" i="5"/>
  <c r="S44" i="5"/>
  <c r="X44" i="5" s="1"/>
  <c r="P44" i="5"/>
  <c r="J44" i="5"/>
  <c r="K44" i="5" s="1"/>
  <c r="W43" i="5"/>
  <c r="S43" i="5"/>
  <c r="P43" i="5"/>
  <c r="J43" i="5"/>
  <c r="K43" i="5" s="1"/>
  <c r="W42" i="5"/>
  <c r="S42" i="5"/>
  <c r="P42" i="5"/>
  <c r="J42" i="5"/>
  <c r="K42" i="5" s="1"/>
  <c r="W41" i="5"/>
  <c r="S41" i="5"/>
  <c r="P41" i="5"/>
  <c r="J41" i="5"/>
  <c r="K41" i="5" s="1"/>
  <c r="W40" i="5"/>
  <c r="S40" i="5"/>
  <c r="P40" i="5"/>
  <c r="J40" i="5"/>
  <c r="K40" i="5" s="1"/>
  <c r="W39" i="5"/>
  <c r="S39" i="5"/>
  <c r="X39" i="5" s="1"/>
  <c r="P39" i="5"/>
  <c r="J39" i="5"/>
  <c r="K39" i="5" s="1"/>
  <c r="W38" i="5"/>
  <c r="S38" i="5"/>
  <c r="X38" i="5" s="1"/>
  <c r="P38" i="5"/>
  <c r="J38" i="5"/>
  <c r="K38" i="5" s="1"/>
  <c r="W37" i="5"/>
  <c r="S37" i="5"/>
  <c r="P37" i="5"/>
  <c r="J37" i="5"/>
  <c r="K37" i="5" s="1"/>
  <c r="W36" i="5"/>
  <c r="S36" i="5"/>
  <c r="X36" i="5" s="1"/>
  <c r="P36" i="5"/>
  <c r="J36" i="5"/>
  <c r="K36" i="5" s="1"/>
  <c r="W35" i="5"/>
  <c r="S35" i="5"/>
  <c r="X35" i="5" s="1"/>
  <c r="P35" i="5"/>
  <c r="J35" i="5"/>
  <c r="K35" i="5" s="1"/>
  <c r="W34" i="5"/>
  <c r="S34" i="5"/>
  <c r="P34" i="5"/>
  <c r="J34" i="5"/>
  <c r="K34" i="5" s="1"/>
  <c r="V52" i="4"/>
  <c r="U52" i="4"/>
  <c r="T52" i="4"/>
  <c r="R52" i="4"/>
  <c r="Q52" i="4"/>
  <c r="O52" i="4"/>
  <c r="N52" i="4"/>
  <c r="M52" i="4"/>
  <c r="L52" i="4"/>
  <c r="I52" i="4"/>
  <c r="H52" i="4"/>
  <c r="G52" i="4"/>
  <c r="F52" i="4"/>
  <c r="E52" i="4"/>
  <c r="D52" i="4"/>
  <c r="C52" i="4"/>
  <c r="W50" i="4"/>
  <c r="S50" i="4"/>
  <c r="X50" i="4" s="1"/>
  <c r="P50" i="4"/>
  <c r="J50" i="4"/>
  <c r="K50" i="4" s="1"/>
  <c r="Y50" i="4" s="1"/>
  <c r="X49" i="4"/>
  <c r="W49" i="4"/>
  <c r="S49" i="4"/>
  <c r="P49" i="4"/>
  <c r="J49" i="4"/>
  <c r="K49" i="4" s="1"/>
  <c r="W48" i="4"/>
  <c r="S48" i="4"/>
  <c r="P48" i="4"/>
  <c r="J48" i="4"/>
  <c r="K48" i="4" s="1"/>
  <c r="W47" i="4"/>
  <c r="S47" i="4"/>
  <c r="X47" i="4" s="1"/>
  <c r="P47" i="4"/>
  <c r="J47" i="4"/>
  <c r="K47" i="4" s="1"/>
  <c r="W46" i="4"/>
  <c r="S46" i="4"/>
  <c r="P46" i="4"/>
  <c r="J46" i="4"/>
  <c r="K46" i="4" s="1"/>
  <c r="W45" i="4"/>
  <c r="S45" i="4"/>
  <c r="P45" i="4"/>
  <c r="J45" i="4"/>
  <c r="K45" i="4" s="1"/>
  <c r="W44" i="4"/>
  <c r="S44" i="4"/>
  <c r="P44" i="4"/>
  <c r="J44" i="4"/>
  <c r="K44" i="4" s="1"/>
  <c r="W43" i="4"/>
  <c r="S43" i="4"/>
  <c r="X43" i="4" s="1"/>
  <c r="P43" i="4"/>
  <c r="J43" i="4"/>
  <c r="K43" i="4" s="1"/>
  <c r="W42" i="4"/>
  <c r="S42" i="4"/>
  <c r="P42" i="4"/>
  <c r="J42" i="4"/>
  <c r="K42" i="4" s="1"/>
  <c r="W41" i="4"/>
  <c r="S41" i="4"/>
  <c r="P41" i="4"/>
  <c r="J41" i="4"/>
  <c r="K41" i="4" s="1"/>
  <c r="W40" i="4"/>
  <c r="S40" i="4"/>
  <c r="P40" i="4"/>
  <c r="J40" i="4"/>
  <c r="K40" i="4" s="1"/>
  <c r="W39" i="4"/>
  <c r="S39" i="4"/>
  <c r="P39" i="4"/>
  <c r="J39" i="4"/>
  <c r="K39" i="4" s="1"/>
  <c r="W38" i="4"/>
  <c r="S38" i="4"/>
  <c r="P38" i="4"/>
  <c r="J38" i="4"/>
  <c r="K38" i="4" s="1"/>
  <c r="W37" i="4"/>
  <c r="S37" i="4"/>
  <c r="P37" i="4"/>
  <c r="J37" i="4"/>
  <c r="K37" i="4" s="1"/>
  <c r="W36" i="4"/>
  <c r="S36" i="4"/>
  <c r="X36" i="4" s="1"/>
  <c r="P36" i="4"/>
  <c r="J36" i="4"/>
  <c r="W35" i="4"/>
  <c r="S35" i="4"/>
  <c r="X35" i="4" s="1"/>
  <c r="P35" i="4"/>
  <c r="J35" i="4"/>
  <c r="K35" i="4" s="1"/>
  <c r="W34" i="4"/>
  <c r="S34" i="4"/>
  <c r="P34" i="4"/>
  <c r="J34" i="4"/>
  <c r="K34" i="4" s="1"/>
  <c r="V52" i="3"/>
  <c r="U52" i="3"/>
  <c r="T52" i="3"/>
  <c r="R52" i="3"/>
  <c r="Q52" i="3"/>
  <c r="O52" i="3"/>
  <c r="N52" i="3"/>
  <c r="M52" i="3"/>
  <c r="L52" i="3"/>
  <c r="I52" i="3"/>
  <c r="H52" i="3"/>
  <c r="G52" i="3"/>
  <c r="F52" i="3"/>
  <c r="E52" i="3"/>
  <c r="D52" i="3"/>
  <c r="C52" i="3"/>
  <c r="W50" i="3"/>
  <c r="S50" i="3"/>
  <c r="P50" i="3"/>
  <c r="J50" i="3"/>
  <c r="K50" i="3" s="1"/>
  <c r="W49" i="3"/>
  <c r="S49" i="3"/>
  <c r="P49" i="3"/>
  <c r="J49" i="3"/>
  <c r="K49" i="3" s="1"/>
  <c r="W48" i="3"/>
  <c r="S48" i="3"/>
  <c r="P48" i="3"/>
  <c r="J48" i="3"/>
  <c r="K48" i="3" s="1"/>
  <c r="W47" i="3"/>
  <c r="S47" i="3"/>
  <c r="P47" i="3"/>
  <c r="J47" i="3"/>
  <c r="K47" i="3" s="1"/>
  <c r="W46" i="3"/>
  <c r="S46" i="3"/>
  <c r="P46" i="3"/>
  <c r="J46" i="3"/>
  <c r="K46" i="3" s="1"/>
  <c r="W45" i="3"/>
  <c r="S45" i="3"/>
  <c r="X45" i="3" s="1"/>
  <c r="P45" i="3"/>
  <c r="J45" i="3"/>
  <c r="K45" i="3" s="1"/>
  <c r="W44" i="3"/>
  <c r="S44" i="3"/>
  <c r="P44" i="3"/>
  <c r="J44" i="3"/>
  <c r="K44" i="3" s="1"/>
  <c r="W43" i="3"/>
  <c r="S43" i="3"/>
  <c r="X43" i="3" s="1"/>
  <c r="P43" i="3"/>
  <c r="J43" i="3"/>
  <c r="K43" i="3" s="1"/>
  <c r="W42" i="3"/>
  <c r="S42" i="3"/>
  <c r="X42" i="3" s="1"/>
  <c r="P42" i="3"/>
  <c r="J42" i="3"/>
  <c r="K42" i="3" s="1"/>
  <c r="W41" i="3"/>
  <c r="S41" i="3"/>
  <c r="P41" i="3"/>
  <c r="J41" i="3"/>
  <c r="K41" i="3" s="1"/>
  <c r="W40" i="3"/>
  <c r="S40" i="3"/>
  <c r="P40" i="3"/>
  <c r="J40" i="3"/>
  <c r="K40" i="3" s="1"/>
  <c r="W39" i="3"/>
  <c r="S39" i="3"/>
  <c r="P39" i="3"/>
  <c r="J39" i="3"/>
  <c r="K39" i="3" s="1"/>
  <c r="W38" i="3"/>
  <c r="S38" i="3"/>
  <c r="P38" i="3"/>
  <c r="J38" i="3"/>
  <c r="K38" i="3" s="1"/>
  <c r="W37" i="3"/>
  <c r="S37" i="3"/>
  <c r="P37" i="3"/>
  <c r="J37" i="3"/>
  <c r="K37" i="3" s="1"/>
  <c r="W36" i="3"/>
  <c r="S36" i="3"/>
  <c r="P36" i="3"/>
  <c r="J36" i="3"/>
  <c r="K36" i="3" s="1"/>
  <c r="W35" i="3"/>
  <c r="S35" i="3"/>
  <c r="P35" i="3"/>
  <c r="J35" i="3"/>
  <c r="K35" i="3" s="1"/>
  <c r="X34" i="3"/>
  <c r="W34" i="3"/>
  <c r="S34" i="3"/>
  <c r="P34" i="3"/>
  <c r="J34" i="3"/>
  <c r="K34" i="3" s="1"/>
  <c r="V52" i="2"/>
  <c r="U52" i="2"/>
  <c r="T52" i="2"/>
  <c r="R52" i="2"/>
  <c r="Q52" i="2"/>
  <c r="O52" i="2"/>
  <c r="N52" i="2"/>
  <c r="M52" i="2"/>
  <c r="L52" i="2"/>
  <c r="I52" i="2"/>
  <c r="H52" i="2"/>
  <c r="G52" i="2"/>
  <c r="F52" i="2"/>
  <c r="E52" i="2"/>
  <c r="D52" i="2"/>
  <c r="C52" i="2"/>
  <c r="W34" i="2"/>
  <c r="S34" i="2"/>
  <c r="P34" i="2"/>
  <c r="J34" i="2"/>
  <c r="K34" i="2" s="1"/>
  <c r="A34" i="2"/>
  <c r="A35" i="2" s="1"/>
  <c r="Y41" i="1"/>
  <c r="Y40" i="1"/>
  <c r="Y39" i="1"/>
  <c r="Y38" i="1"/>
  <c r="Y37" i="1"/>
  <c r="Y36" i="1"/>
  <c r="Y35" i="1"/>
  <c r="Y19" i="1"/>
  <c r="Y18" i="1"/>
  <c r="Y17" i="1"/>
  <c r="Y16" i="1"/>
  <c r="Y15" i="1"/>
  <c r="Y14" i="1"/>
  <c r="Y13" i="1"/>
  <c r="Y12" i="1"/>
  <c r="V52" i="1"/>
  <c r="U52" i="1"/>
  <c r="T52" i="1"/>
  <c r="R52" i="1"/>
  <c r="Q52" i="1"/>
  <c r="O52" i="1"/>
  <c r="N52" i="1"/>
  <c r="M52" i="1"/>
  <c r="L52" i="1"/>
  <c r="I52" i="1"/>
  <c r="H52" i="1"/>
  <c r="G52" i="1"/>
  <c r="F52" i="1"/>
  <c r="E52" i="1"/>
  <c r="D52" i="1"/>
  <c r="C52" i="1"/>
  <c r="W34" i="1"/>
  <c r="X34" i="1" s="1"/>
  <c r="S34" i="1"/>
  <c r="P34" i="1"/>
  <c r="J34" i="1"/>
  <c r="K34" i="1" s="1"/>
  <c r="A35" i="1"/>
  <c r="A34" i="1"/>
  <c r="H19" i="1"/>
  <c r="H40" i="1"/>
  <c r="H17" i="1"/>
  <c r="D39" i="1"/>
  <c r="D16" i="1"/>
  <c r="H38" i="1"/>
  <c r="H15" i="1"/>
  <c r="V29" i="6"/>
  <c r="U29" i="6"/>
  <c r="T29" i="6"/>
  <c r="R29" i="6"/>
  <c r="Q29" i="6"/>
  <c r="O29" i="6"/>
  <c r="N29" i="6"/>
  <c r="M29" i="6"/>
  <c r="L29" i="6"/>
  <c r="I29" i="6"/>
  <c r="H29" i="6"/>
  <c r="G29" i="6"/>
  <c r="F29" i="6"/>
  <c r="E29" i="6"/>
  <c r="D29" i="6"/>
  <c r="C29" i="6"/>
  <c r="W27" i="6"/>
  <c r="S27" i="6"/>
  <c r="X27" i="6" s="1"/>
  <c r="P27" i="6"/>
  <c r="J27" i="6"/>
  <c r="K27" i="6" s="1"/>
  <c r="Y27" i="6" s="1"/>
  <c r="W26" i="6"/>
  <c r="S26" i="6"/>
  <c r="X26" i="6" s="1"/>
  <c r="P26" i="6"/>
  <c r="J26" i="6"/>
  <c r="K26" i="6" s="1"/>
  <c r="W25" i="6"/>
  <c r="S25" i="6"/>
  <c r="P25" i="6"/>
  <c r="J25" i="6"/>
  <c r="K25" i="6" s="1"/>
  <c r="W24" i="6"/>
  <c r="S24" i="6"/>
  <c r="P24" i="6"/>
  <c r="J24" i="6"/>
  <c r="K24" i="6" s="1"/>
  <c r="W23" i="6"/>
  <c r="S23" i="6"/>
  <c r="X23" i="6" s="1"/>
  <c r="P23" i="6"/>
  <c r="J23" i="6"/>
  <c r="K23" i="6" s="1"/>
  <c r="W22" i="6"/>
  <c r="S22" i="6"/>
  <c r="P22" i="6"/>
  <c r="J22" i="6"/>
  <c r="K22" i="6" s="1"/>
  <c r="W21" i="6"/>
  <c r="S21" i="6"/>
  <c r="X21" i="6" s="1"/>
  <c r="P21" i="6"/>
  <c r="J21" i="6"/>
  <c r="K21" i="6" s="1"/>
  <c r="W20" i="6"/>
  <c r="S20" i="6"/>
  <c r="P20" i="6"/>
  <c r="J20" i="6"/>
  <c r="W19" i="6"/>
  <c r="S19" i="6"/>
  <c r="X19" i="6" s="1"/>
  <c r="P19" i="6"/>
  <c r="J19" i="6"/>
  <c r="K19" i="6" s="1"/>
  <c r="Y19" i="6" s="1"/>
  <c r="W18" i="6"/>
  <c r="S18" i="6"/>
  <c r="X18" i="6" s="1"/>
  <c r="P18" i="6"/>
  <c r="J18" i="6"/>
  <c r="K18" i="6" s="1"/>
  <c r="Y18" i="6" s="1"/>
  <c r="W17" i="6"/>
  <c r="S17" i="6"/>
  <c r="P17" i="6"/>
  <c r="J17" i="6"/>
  <c r="K17" i="6" s="1"/>
  <c r="W16" i="6"/>
  <c r="S16" i="6"/>
  <c r="X16" i="6" s="1"/>
  <c r="P16" i="6"/>
  <c r="J16" i="6"/>
  <c r="K16" i="6" s="1"/>
  <c r="Y16" i="6" s="1"/>
  <c r="W15" i="6"/>
  <c r="S15" i="6"/>
  <c r="X15" i="6" s="1"/>
  <c r="P15" i="6"/>
  <c r="J15" i="6"/>
  <c r="K15" i="6" s="1"/>
  <c r="Y15" i="6" s="1"/>
  <c r="W14" i="6"/>
  <c r="S14" i="6"/>
  <c r="P14" i="6"/>
  <c r="J14" i="6"/>
  <c r="K14" i="6" s="1"/>
  <c r="W13" i="6"/>
  <c r="S13" i="6"/>
  <c r="P13" i="6"/>
  <c r="J13" i="6"/>
  <c r="K13" i="6" s="1"/>
  <c r="W12" i="6"/>
  <c r="S12" i="6"/>
  <c r="X12" i="6" s="1"/>
  <c r="P12" i="6"/>
  <c r="J12" i="6"/>
  <c r="K12" i="6" s="1"/>
  <c r="A2" i="6"/>
  <c r="A3" i="6" s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V29" i="5"/>
  <c r="U29" i="5"/>
  <c r="T29" i="5"/>
  <c r="R29" i="5"/>
  <c r="Q29" i="5"/>
  <c r="O29" i="5"/>
  <c r="N29" i="5"/>
  <c r="M29" i="5"/>
  <c r="L29" i="5"/>
  <c r="I29" i="5"/>
  <c r="H29" i="5"/>
  <c r="G29" i="5"/>
  <c r="F29" i="5"/>
  <c r="E29" i="5"/>
  <c r="D29" i="5"/>
  <c r="C29" i="5"/>
  <c r="W27" i="5"/>
  <c r="S27" i="5"/>
  <c r="X27" i="5" s="1"/>
  <c r="P27" i="5"/>
  <c r="J27" i="5"/>
  <c r="K27" i="5" s="1"/>
  <c r="W26" i="5"/>
  <c r="S26" i="5"/>
  <c r="X26" i="5" s="1"/>
  <c r="P26" i="5"/>
  <c r="J26" i="5"/>
  <c r="K26" i="5" s="1"/>
  <c r="W25" i="5"/>
  <c r="S25" i="5"/>
  <c r="X25" i="5" s="1"/>
  <c r="P25" i="5"/>
  <c r="J25" i="5"/>
  <c r="K25" i="5" s="1"/>
  <c r="X24" i="5"/>
  <c r="W24" i="5"/>
  <c r="S24" i="5"/>
  <c r="P24" i="5"/>
  <c r="J24" i="5"/>
  <c r="K24" i="5" s="1"/>
  <c r="W23" i="5"/>
  <c r="S23" i="5"/>
  <c r="P23" i="5"/>
  <c r="J23" i="5"/>
  <c r="K23" i="5" s="1"/>
  <c r="W22" i="5"/>
  <c r="S22" i="5"/>
  <c r="P22" i="5"/>
  <c r="J22" i="5"/>
  <c r="K22" i="5" s="1"/>
  <c r="W21" i="5"/>
  <c r="S21" i="5"/>
  <c r="P21" i="5"/>
  <c r="J21" i="5"/>
  <c r="K21" i="5" s="1"/>
  <c r="W20" i="5"/>
  <c r="S20" i="5"/>
  <c r="X20" i="5" s="1"/>
  <c r="P20" i="5"/>
  <c r="J20" i="5"/>
  <c r="K20" i="5" s="1"/>
  <c r="W19" i="5"/>
  <c r="S19" i="5"/>
  <c r="P19" i="5"/>
  <c r="J19" i="5"/>
  <c r="K19" i="5" s="1"/>
  <c r="W18" i="5"/>
  <c r="S18" i="5"/>
  <c r="P18" i="5"/>
  <c r="J18" i="5"/>
  <c r="K18" i="5" s="1"/>
  <c r="W17" i="5"/>
  <c r="S17" i="5"/>
  <c r="P17" i="5"/>
  <c r="J17" i="5"/>
  <c r="K17" i="5" s="1"/>
  <c r="W16" i="5"/>
  <c r="S16" i="5"/>
  <c r="X16" i="5" s="1"/>
  <c r="P16" i="5"/>
  <c r="J16" i="5"/>
  <c r="K16" i="5" s="1"/>
  <c r="W15" i="5"/>
  <c r="S15" i="5"/>
  <c r="P15" i="5"/>
  <c r="J15" i="5"/>
  <c r="K15" i="5" s="1"/>
  <c r="W14" i="5"/>
  <c r="S14" i="5"/>
  <c r="P14" i="5"/>
  <c r="J14" i="5"/>
  <c r="K14" i="5" s="1"/>
  <c r="W13" i="5"/>
  <c r="S13" i="5"/>
  <c r="P13" i="5"/>
  <c r="J13" i="5"/>
  <c r="W12" i="5"/>
  <c r="S12" i="5"/>
  <c r="P12" i="5"/>
  <c r="J12" i="5"/>
  <c r="K12" i="5" s="1"/>
  <c r="A2" i="5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V29" i="4"/>
  <c r="U29" i="4"/>
  <c r="T29" i="4"/>
  <c r="R29" i="4"/>
  <c r="Q29" i="4"/>
  <c r="O29" i="4"/>
  <c r="N29" i="4"/>
  <c r="M29" i="4"/>
  <c r="L29" i="4"/>
  <c r="I29" i="4"/>
  <c r="H29" i="4"/>
  <c r="G29" i="4"/>
  <c r="F29" i="4"/>
  <c r="E29" i="4"/>
  <c r="D29" i="4"/>
  <c r="C29" i="4"/>
  <c r="W27" i="4"/>
  <c r="S27" i="4"/>
  <c r="P27" i="4"/>
  <c r="J27" i="4"/>
  <c r="K27" i="4" s="1"/>
  <c r="W26" i="4"/>
  <c r="S26" i="4"/>
  <c r="X26" i="4" s="1"/>
  <c r="Y26" i="4" s="1"/>
  <c r="P26" i="4"/>
  <c r="J26" i="4"/>
  <c r="K26" i="4" s="1"/>
  <c r="W25" i="4"/>
  <c r="S25" i="4"/>
  <c r="P25" i="4"/>
  <c r="J25" i="4"/>
  <c r="K25" i="4" s="1"/>
  <c r="W24" i="4"/>
  <c r="S24" i="4"/>
  <c r="P24" i="4"/>
  <c r="J24" i="4"/>
  <c r="K24" i="4" s="1"/>
  <c r="W23" i="4"/>
  <c r="S23" i="4"/>
  <c r="X23" i="4" s="1"/>
  <c r="P23" i="4"/>
  <c r="J23" i="4"/>
  <c r="K23" i="4" s="1"/>
  <c r="W22" i="4"/>
  <c r="S22" i="4"/>
  <c r="P22" i="4"/>
  <c r="J22" i="4"/>
  <c r="K22" i="4" s="1"/>
  <c r="W21" i="4"/>
  <c r="S21" i="4"/>
  <c r="X21" i="4" s="1"/>
  <c r="P21" i="4"/>
  <c r="J21" i="4"/>
  <c r="K21" i="4" s="1"/>
  <c r="W20" i="4"/>
  <c r="S20" i="4"/>
  <c r="P20" i="4"/>
  <c r="J20" i="4"/>
  <c r="K20" i="4" s="1"/>
  <c r="W19" i="4"/>
  <c r="S19" i="4"/>
  <c r="X19" i="4" s="1"/>
  <c r="P19" i="4"/>
  <c r="J19" i="4"/>
  <c r="K19" i="4" s="1"/>
  <c r="W18" i="4"/>
  <c r="S18" i="4"/>
  <c r="X18" i="4" s="1"/>
  <c r="P18" i="4"/>
  <c r="J18" i="4"/>
  <c r="K18" i="4" s="1"/>
  <c r="W17" i="4"/>
  <c r="S17" i="4"/>
  <c r="P17" i="4"/>
  <c r="J17" i="4"/>
  <c r="K17" i="4" s="1"/>
  <c r="W16" i="4"/>
  <c r="S16" i="4"/>
  <c r="X16" i="4" s="1"/>
  <c r="P16" i="4"/>
  <c r="J16" i="4"/>
  <c r="K16" i="4" s="1"/>
  <c r="W15" i="4"/>
  <c r="S15" i="4"/>
  <c r="X15" i="4" s="1"/>
  <c r="P15" i="4"/>
  <c r="J15" i="4"/>
  <c r="K15" i="4" s="1"/>
  <c r="W14" i="4"/>
  <c r="S14" i="4"/>
  <c r="P14" i="4"/>
  <c r="J14" i="4"/>
  <c r="K14" i="4" s="1"/>
  <c r="W13" i="4"/>
  <c r="S13" i="4"/>
  <c r="P13" i="4"/>
  <c r="J13" i="4"/>
  <c r="W12" i="4"/>
  <c r="S12" i="4"/>
  <c r="X12" i="4" s="1"/>
  <c r="P12" i="4"/>
  <c r="Y12" i="4" s="1"/>
  <c r="J12" i="4"/>
  <c r="K12" i="4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3" i="4"/>
  <c r="A2" i="4"/>
  <c r="V29" i="3"/>
  <c r="U29" i="3"/>
  <c r="T29" i="3"/>
  <c r="R29" i="3"/>
  <c r="Q29" i="3"/>
  <c r="O29" i="3"/>
  <c r="N29" i="3"/>
  <c r="M29" i="3"/>
  <c r="L29" i="3"/>
  <c r="I29" i="3"/>
  <c r="H29" i="3"/>
  <c r="G29" i="3"/>
  <c r="F29" i="3"/>
  <c r="E29" i="3"/>
  <c r="D29" i="3"/>
  <c r="C29" i="3"/>
  <c r="W27" i="3"/>
  <c r="S27" i="3"/>
  <c r="X27" i="3" s="1"/>
  <c r="P27" i="3"/>
  <c r="J27" i="3"/>
  <c r="K27" i="3" s="1"/>
  <c r="W26" i="3"/>
  <c r="S26" i="3"/>
  <c r="P26" i="3"/>
  <c r="J26" i="3"/>
  <c r="K26" i="3" s="1"/>
  <c r="W25" i="3"/>
  <c r="S25" i="3"/>
  <c r="P25" i="3"/>
  <c r="J25" i="3"/>
  <c r="K25" i="3" s="1"/>
  <c r="W24" i="3"/>
  <c r="S24" i="3"/>
  <c r="P24" i="3"/>
  <c r="J24" i="3"/>
  <c r="K24" i="3" s="1"/>
  <c r="W23" i="3"/>
  <c r="S23" i="3"/>
  <c r="X23" i="3" s="1"/>
  <c r="P23" i="3"/>
  <c r="J23" i="3"/>
  <c r="K23" i="3" s="1"/>
  <c r="W22" i="3"/>
  <c r="S22" i="3"/>
  <c r="P22" i="3"/>
  <c r="J22" i="3"/>
  <c r="K22" i="3" s="1"/>
  <c r="W21" i="3"/>
  <c r="S21" i="3"/>
  <c r="X21" i="3" s="1"/>
  <c r="P21" i="3"/>
  <c r="J21" i="3"/>
  <c r="K21" i="3" s="1"/>
  <c r="W20" i="3"/>
  <c r="S20" i="3"/>
  <c r="P20" i="3"/>
  <c r="J20" i="3"/>
  <c r="K20" i="3" s="1"/>
  <c r="W19" i="3"/>
  <c r="S19" i="3"/>
  <c r="P19" i="3"/>
  <c r="J19" i="3"/>
  <c r="K19" i="3" s="1"/>
  <c r="W18" i="3"/>
  <c r="S18" i="3"/>
  <c r="P18" i="3"/>
  <c r="J18" i="3"/>
  <c r="K18" i="3" s="1"/>
  <c r="W17" i="3"/>
  <c r="S17" i="3"/>
  <c r="P17" i="3"/>
  <c r="J17" i="3"/>
  <c r="K17" i="3" s="1"/>
  <c r="W16" i="3"/>
  <c r="S16" i="3"/>
  <c r="X16" i="3" s="1"/>
  <c r="P16" i="3"/>
  <c r="J16" i="3"/>
  <c r="K16" i="3" s="1"/>
  <c r="W15" i="3"/>
  <c r="S15" i="3"/>
  <c r="P15" i="3"/>
  <c r="J15" i="3"/>
  <c r="K15" i="3" s="1"/>
  <c r="W14" i="3"/>
  <c r="S14" i="3"/>
  <c r="P14" i="3"/>
  <c r="J14" i="3"/>
  <c r="K14" i="3" s="1"/>
  <c r="W13" i="3"/>
  <c r="S13" i="3"/>
  <c r="P13" i="3"/>
  <c r="J13" i="3"/>
  <c r="K13" i="3" s="1"/>
  <c r="W12" i="3"/>
  <c r="S12" i="3"/>
  <c r="J12" i="3"/>
  <c r="K12" i="3" s="1"/>
  <c r="A2" i="3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W50" i="2"/>
  <c r="S50" i="2"/>
  <c r="X50" i="2" s="1"/>
  <c r="P50" i="2"/>
  <c r="J50" i="2"/>
  <c r="K50" i="2" s="1"/>
  <c r="W49" i="2"/>
  <c r="S49" i="2"/>
  <c r="X49" i="2" s="1"/>
  <c r="P49" i="2"/>
  <c r="J49" i="2"/>
  <c r="K49" i="2" s="1"/>
  <c r="W48" i="2"/>
  <c r="S48" i="2"/>
  <c r="P48" i="2"/>
  <c r="J48" i="2"/>
  <c r="K48" i="2" s="1"/>
  <c r="W47" i="2"/>
  <c r="S47" i="2"/>
  <c r="X47" i="2" s="1"/>
  <c r="P47" i="2"/>
  <c r="Y47" i="2" s="1"/>
  <c r="J47" i="2"/>
  <c r="K47" i="2" s="1"/>
  <c r="W46" i="2"/>
  <c r="S46" i="2"/>
  <c r="P46" i="2"/>
  <c r="J46" i="2"/>
  <c r="K46" i="2" s="1"/>
  <c r="W45" i="2"/>
  <c r="S45" i="2"/>
  <c r="P45" i="2"/>
  <c r="J45" i="2"/>
  <c r="K45" i="2" s="1"/>
  <c r="W44" i="2"/>
  <c r="S44" i="2"/>
  <c r="P44" i="2"/>
  <c r="J44" i="2"/>
  <c r="K44" i="2" s="1"/>
  <c r="W43" i="2"/>
  <c r="S43" i="2"/>
  <c r="P43" i="2"/>
  <c r="J43" i="2"/>
  <c r="K43" i="2" s="1"/>
  <c r="W42" i="2"/>
  <c r="S42" i="2"/>
  <c r="P42" i="2"/>
  <c r="J42" i="2"/>
  <c r="K42" i="2" s="1"/>
  <c r="W41" i="2"/>
  <c r="S41" i="2"/>
  <c r="P41" i="2"/>
  <c r="J41" i="2"/>
  <c r="K41" i="2" s="1"/>
  <c r="W40" i="2"/>
  <c r="S40" i="2"/>
  <c r="X40" i="2" s="1"/>
  <c r="P40" i="2"/>
  <c r="J40" i="2"/>
  <c r="K40" i="2" s="1"/>
  <c r="W39" i="2"/>
  <c r="S39" i="2"/>
  <c r="P39" i="2"/>
  <c r="J39" i="2"/>
  <c r="K39" i="2" s="1"/>
  <c r="W38" i="2"/>
  <c r="S38" i="2"/>
  <c r="X38" i="2" s="1"/>
  <c r="P38" i="2"/>
  <c r="J38" i="2"/>
  <c r="K38" i="2" s="1"/>
  <c r="W37" i="2"/>
  <c r="S37" i="2"/>
  <c r="P37" i="2"/>
  <c r="J37" i="2"/>
  <c r="K37" i="2" s="1"/>
  <c r="W36" i="2"/>
  <c r="S36" i="2"/>
  <c r="P36" i="2"/>
  <c r="J36" i="2"/>
  <c r="K36" i="2" s="1"/>
  <c r="W35" i="2"/>
  <c r="S35" i="2"/>
  <c r="X35" i="2" s="1"/>
  <c r="P35" i="2"/>
  <c r="J35" i="2"/>
  <c r="V29" i="2"/>
  <c r="U29" i="2"/>
  <c r="T29" i="2"/>
  <c r="R29" i="2"/>
  <c r="Q29" i="2"/>
  <c r="O29" i="2"/>
  <c r="N29" i="2"/>
  <c r="M29" i="2"/>
  <c r="L29" i="2"/>
  <c r="I29" i="2"/>
  <c r="H29" i="2"/>
  <c r="G29" i="2"/>
  <c r="F29" i="2"/>
  <c r="E29" i="2"/>
  <c r="D29" i="2"/>
  <c r="C29" i="2"/>
  <c r="W27" i="2"/>
  <c r="S27" i="2"/>
  <c r="P27" i="2"/>
  <c r="J27" i="2"/>
  <c r="K27" i="2" s="1"/>
  <c r="W26" i="2"/>
  <c r="S26" i="2"/>
  <c r="X26" i="2" s="1"/>
  <c r="P26" i="2"/>
  <c r="J26" i="2"/>
  <c r="K26" i="2" s="1"/>
  <c r="Y26" i="2" s="1"/>
  <c r="W25" i="2"/>
  <c r="S25" i="2"/>
  <c r="P25" i="2"/>
  <c r="J25" i="2"/>
  <c r="K25" i="2" s="1"/>
  <c r="W24" i="2"/>
  <c r="S24" i="2"/>
  <c r="P24" i="2"/>
  <c r="J24" i="2"/>
  <c r="K24" i="2" s="1"/>
  <c r="W23" i="2"/>
  <c r="S23" i="2"/>
  <c r="X23" i="2" s="1"/>
  <c r="P23" i="2"/>
  <c r="J23" i="2"/>
  <c r="K23" i="2" s="1"/>
  <c r="Y23" i="2" s="1"/>
  <c r="W22" i="2"/>
  <c r="S22" i="2"/>
  <c r="P22" i="2"/>
  <c r="J22" i="2"/>
  <c r="K22" i="2" s="1"/>
  <c r="W21" i="2"/>
  <c r="S21" i="2"/>
  <c r="P21" i="2"/>
  <c r="J21" i="2"/>
  <c r="K21" i="2" s="1"/>
  <c r="W20" i="2"/>
  <c r="S20" i="2"/>
  <c r="P20" i="2"/>
  <c r="J20" i="2"/>
  <c r="K20" i="2" s="1"/>
  <c r="W19" i="2"/>
  <c r="S19" i="2"/>
  <c r="P19" i="2"/>
  <c r="J19" i="2"/>
  <c r="K19" i="2" s="1"/>
  <c r="W18" i="2"/>
  <c r="S18" i="2"/>
  <c r="P18" i="2"/>
  <c r="J18" i="2"/>
  <c r="K18" i="2" s="1"/>
  <c r="W17" i="2"/>
  <c r="S17" i="2"/>
  <c r="P17" i="2"/>
  <c r="J17" i="2"/>
  <c r="K17" i="2" s="1"/>
  <c r="W16" i="2"/>
  <c r="S16" i="2"/>
  <c r="P16" i="2"/>
  <c r="J16" i="2"/>
  <c r="K16" i="2" s="1"/>
  <c r="W15" i="2"/>
  <c r="S15" i="2"/>
  <c r="P15" i="2"/>
  <c r="J15" i="2"/>
  <c r="K15" i="2" s="1"/>
  <c r="W14" i="2"/>
  <c r="S14" i="2"/>
  <c r="P14" i="2"/>
  <c r="J14" i="2"/>
  <c r="K14" i="2" s="1"/>
  <c r="W13" i="2"/>
  <c r="S13" i="2"/>
  <c r="P13" i="2"/>
  <c r="J13" i="2"/>
  <c r="K13" i="2" s="1"/>
  <c r="W12" i="2"/>
  <c r="S12" i="2"/>
  <c r="P12" i="2"/>
  <c r="J12" i="2"/>
  <c r="K12" i="2" s="1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W50" i="1"/>
  <c r="S50" i="1"/>
  <c r="P50" i="1"/>
  <c r="W49" i="1"/>
  <c r="S49" i="1"/>
  <c r="P49" i="1"/>
  <c r="W48" i="1"/>
  <c r="S48" i="1"/>
  <c r="P48" i="1"/>
  <c r="W47" i="1"/>
  <c r="S47" i="1"/>
  <c r="P47" i="1"/>
  <c r="W46" i="1"/>
  <c r="S46" i="1"/>
  <c r="X46" i="1" s="1"/>
  <c r="P46" i="1"/>
  <c r="W45" i="1"/>
  <c r="S45" i="1"/>
  <c r="X45" i="1" s="1"/>
  <c r="P45" i="1"/>
  <c r="W44" i="1"/>
  <c r="S44" i="1"/>
  <c r="P44" i="1"/>
  <c r="W43" i="1"/>
  <c r="S43" i="1"/>
  <c r="P43" i="1"/>
  <c r="W42" i="1"/>
  <c r="S42" i="1"/>
  <c r="P42" i="1"/>
  <c r="W41" i="1"/>
  <c r="S41" i="1"/>
  <c r="X41" i="1" s="1"/>
  <c r="P41" i="1"/>
  <c r="W40" i="1"/>
  <c r="S40" i="1"/>
  <c r="P40" i="1"/>
  <c r="W39" i="1"/>
  <c r="S39" i="1"/>
  <c r="P39" i="1"/>
  <c r="W38" i="1"/>
  <c r="S38" i="1"/>
  <c r="P38" i="1"/>
  <c r="W37" i="1"/>
  <c r="S37" i="1"/>
  <c r="X37" i="1" s="1"/>
  <c r="P37" i="1"/>
  <c r="W36" i="1"/>
  <c r="S36" i="1"/>
  <c r="X36" i="1" s="1"/>
  <c r="P36" i="1"/>
  <c r="W35" i="1"/>
  <c r="S35" i="1"/>
  <c r="P35" i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W27" i="1"/>
  <c r="S27" i="1"/>
  <c r="W26" i="1"/>
  <c r="S26" i="1"/>
  <c r="W25" i="1"/>
  <c r="S25" i="1"/>
  <c r="X25" i="1" s="1"/>
  <c r="W24" i="1"/>
  <c r="S24" i="1"/>
  <c r="W23" i="1"/>
  <c r="S23" i="1"/>
  <c r="W22" i="1"/>
  <c r="S22" i="1"/>
  <c r="W21" i="1"/>
  <c r="S21" i="1"/>
  <c r="W20" i="1"/>
  <c r="S20" i="1"/>
  <c r="W19" i="1"/>
  <c r="S19" i="1"/>
  <c r="W18" i="1"/>
  <c r="S18" i="1"/>
  <c r="W17" i="1"/>
  <c r="S17" i="1"/>
  <c r="W16" i="1"/>
  <c r="S16" i="1"/>
  <c r="W15" i="1"/>
  <c r="S15" i="1"/>
  <c r="W14" i="1"/>
  <c r="S14" i="1"/>
  <c r="W13" i="1"/>
  <c r="S13" i="1"/>
  <c r="W12" i="1"/>
  <c r="S12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V29" i="1"/>
  <c r="U29" i="1"/>
  <c r="T29" i="1"/>
  <c r="R29" i="1"/>
  <c r="Q29" i="1"/>
  <c r="O29" i="1"/>
  <c r="N29" i="1"/>
  <c r="M29" i="1"/>
  <c r="L29" i="1"/>
  <c r="I29" i="1"/>
  <c r="H29" i="1"/>
  <c r="G29" i="1"/>
  <c r="F29" i="1"/>
  <c r="E29" i="1"/>
  <c r="D29" i="1"/>
  <c r="C29" i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F205" i="9" l="1"/>
  <c r="H202" i="9"/>
  <c r="K160" i="9"/>
  <c r="F200" i="9"/>
  <c r="F198" i="9"/>
  <c r="H205" i="9"/>
  <c r="H197" i="9"/>
  <c r="H204" i="9"/>
  <c r="H194" i="9"/>
  <c r="H196" i="9"/>
  <c r="H199" i="9"/>
  <c r="H193" i="9"/>
  <c r="H195" i="9"/>
  <c r="H203" i="9"/>
  <c r="H201" i="9"/>
  <c r="H192" i="9"/>
  <c r="H191" i="9"/>
  <c r="H200" i="9"/>
  <c r="H198" i="9"/>
  <c r="H190" i="9"/>
  <c r="L207" i="9"/>
  <c r="J207" i="9"/>
  <c r="F202" i="9"/>
  <c r="F192" i="9"/>
  <c r="F199" i="9"/>
  <c r="F204" i="9"/>
  <c r="F201" i="9"/>
  <c r="F191" i="9"/>
  <c r="F190" i="9"/>
  <c r="F196" i="9"/>
  <c r="F193" i="9"/>
  <c r="F197" i="9"/>
  <c r="F195" i="9"/>
  <c r="F194" i="9"/>
  <c r="F203" i="9"/>
  <c r="X50" i="6"/>
  <c r="V25" i="8" s="1"/>
  <c r="O25" i="8"/>
  <c r="X49" i="6"/>
  <c r="V24" i="8" s="1"/>
  <c r="Y49" i="6"/>
  <c r="H24" i="8" s="1"/>
  <c r="H88" i="9" s="1"/>
  <c r="H157" i="9" s="1"/>
  <c r="Y26" i="6"/>
  <c r="Y48" i="6"/>
  <c r="H23" i="8" s="1"/>
  <c r="H87" i="9" s="1"/>
  <c r="H156" i="9" s="1"/>
  <c r="O23" i="8"/>
  <c r="X25" i="6"/>
  <c r="Y25" i="6" s="1"/>
  <c r="Y47" i="6"/>
  <c r="H22" i="8" s="1"/>
  <c r="H86" i="9" s="1"/>
  <c r="H155" i="9" s="1"/>
  <c r="O22" i="8"/>
  <c r="X24" i="6"/>
  <c r="Y24" i="6"/>
  <c r="Y46" i="6"/>
  <c r="H21" i="8" s="1"/>
  <c r="H85" i="9" s="1"/>
  <c r="H154" i="9" s="1"/>
  <c r="O21" i="8"/>
  <c r="Y23" i="6"/>
  <c r="Y45" i="6"/>
  <c r="H20" i="8" s="1"/>
  <c r="H84" i="9" s="1"/>
  <c r="H153" i="9" s="1"/>
  <c r="O20" i="8"/>
  <c r="X22" i="6"/>
  <c r="Y22" i="6"/>
  <c r="X44" i="6"/>
  <c r="V19" i="8" s="1"/>
  <c r="Y44" i="6"/>
  <c r="H19" i="8" s="1"/>
  <c r="H83" i="9" s="1"/>
  <c r="H152" i="9" s="1"/>
  <c r="O19" i="8"/>
  <c r="Y21" i="6"/>
  <c r="Y43" i="6"/>
  <c r="H18" i="8" s="1"/>
  <c r="H82" i="9" s="1"/>
  <c r="H151" i="9" s="1"/>
  <c r="O18" i="8"/>
  <c r="X20" i="6"/>
  <c r="X42" i="6"/>
  <c r="V17" i="8" s="1"/>
  <c r="O17" i="8"/>
  <c r="Y41" i="6"/>
  <c r="H16" i="8" s="1"/>
  <c r="H80" i="9" s="1"/>
  <c r="H149" i="9" s="1"/>
  <c r="O16" i="8"/>
  <c r="X40" i="6"/>
  <c r="V15" i="8" s="1"/>
  <c r="Y40" i="6"/>
  <c r="H15" i="8" s="1"/>
  <c r="H79" i="9" s="1"/>
  <c r="H148" i="9" s="1"/>
  <c r="O15" i="8"/>
  <c r="X17" i="6"/>
  <c r="Y17" i="6" s="1"/>
  <c r="Y39" i="6"/>
  <c r="H14" i="8" s="1"/>
  <c r="H78" i="9" s="1"/>
  <c r="H147" i="9" s="1"/>
  <c r="O14" i="8"/>
  <c r="Y38" i="6"/>
  <c r="H13" i="8" s="1"/>
  <c r="H77" i="9" s="1"/>
  <c r="H146" i="9" s="1"/>
  <c r="O13" i="8"/>
  <c r="X37" i="6"/>
  <c r="V12" i="8" s="1"/>
  <c r="S52" i="6"/>
  <c r="P52" i="6"/>
  <c r="J52" i="6"/>
  <c r="Y37" i="6"/>
  <c r="H12" i="8" s="1"/>
  <c r="H76" i="9" s="1"/>
  <c r="H145" i="9" s="1"/>
  <c r="O12" i="8"/>
  <c r="X14" i="6"/>
  <c r="W29" i="6"/>
  <c r="Y14" i="6"/>
  <c r="W52" i="6"/>
  <c r="X36" i="6"/>
  <c r="V11" i="8" s="1"/>
  <c r="X13" i="6"/>
  <c r="Y13" i="6" s="1"/>
  <c r="Y35" i="6"/>
  <c r="H10" i="8" s="1"/>
  <c r="H74" i="9" s="1"/>
  <c r="H143" i="9" s="1"/>
  <c r="O10" i="8"/>
  <c r="Y12" i="6"/>
  <c r="P29" i="6"/>
  <c r="J29" i="6"/>
  <c r="X50" i="5"/>
  <c r="Y50" i="5"/>
  <c r="Y27" i="5"/>
  <c r="X49" i="5"/>
  <c r="Y49" i="5" s="1"/>
  <c r="Y26" i="5"/>
  <c r="X48" i="5"/>
  <c r="Y48" i="5" s="1"/>
  <c r="Y25" i="5"/>
  <c r="X47" i="5"/>
  <c r="Y24" i="5"/>
  <c r="X46" i="5"/>
  <c r="Y46" i="5"/>
  <c r="X23" i="5"/>
  <c r="Y23" i="5"/>
  <c r="X45" i="5"/>
  <c r="Y45" i="5"/>
  <c r="X22" i="5"/>
  <c r="Y22" i="5"/>
  <c r="Y44" i="5"/>
  <c r="X21" i="5"/>
  <c r="Y21" i="5" s="1"/>
  <c r="X43" i="5"/>
  <c r="Y20" i="5"/>
  <c r="X42" i="5"/>
  <c r="Y42" i="5" s="1"/>
  <c r="X19" i="5"/>
  <c r="Y19" i="5" s="1"/>
  <c r="X41" i="5"/>
  <c r="X18" i="5"/>
  <c r="Y18" i="5" s="1"/>
  <c r="X40" i="5"/>
  <c r="Y40" i="5"/>
  <c r="X17" i="5"/>
  <c r="Y17" i="5"/>
  <c r="Y39" i="5"/>
  <c r="Y16" i="5"/>
  <c r="S29" i="5"/>
  <c r="Y38" i="5"/>
  <c r="X15" i="5"/>
  <c r="Y15" i="5" s="1"/>
  <c r="X37" i="5"/>
  <c r="Y37" i="5"/>
  <c r="X14" i="5"/>
  <c r="P29" i="5"/>
  <c r="Y14" i="5"/>
  <c r="W52" i="5"/>
  <c r="S52" i="5"/>
  <c r="Y36" i="5"/>
  <c r="W29" i="5"/>
  <c r="P52" i="5"/>
  <c r="Y35" i="5"/>
  <c r="X12" i="5"/>
  <c r="Y12" i="5" s="1"/>
  <c r="J29" i="5"/>
  <c r="X27" i="4"/>
  <c r="Y27" i="4" s="1"/>
  <c r="Y49" i="4"/>
  <c r="X48" i="4"/>
  <c r="Y48" i="4"/>
  <c r="X25" i="4"/>
  <c r="Y25" i="4" s="1"/>
  <c r="X24" i="4"/>
  <c r="Y24" i="4" s="1"/>
  <c r="X46" i="4"/>
  <c r="Y46" i="4"/>
  <c r="Y23" i="4"/>
  <c r="X45" i="4"/>
  <c r="Y45" i="4"/>
  <c r="X22" i="4"/>
  <c r="Y22" i="4"/>
  <c r="X44" i="4"/>
  <c r="Y44" i="4"/>
  <c r="Y21" i="4"/>
  <c r="Y43" i="4"/>
  <c r="X20" i="4"/>
  <c r="Y20" i="4"/>
  <c r="X42" i="4"/>
  <c r="Y42" i="4"/>
  <c r="Y19" i="4"/>
  <c r="X41" i="4"/>
  <c r="Y41" i="4" s="1"/>
  <c r="Y18" i="4"/>
  <c r="X40" i="4"/>
  <c r="Y40" i="4"/>
  <c r="X17" i="4"/>
  <c r="Y17" i="4"/>
  <c r="X39" i="4"/>
  <c r="Y39" i="4" s="1"/>
  <c r="Y16" i="4"/>
  <c r="X38" i="4"/>
  <c r="Y38" i="4"/>
  <c r="W29" i="4"/>
  <c r="Y15" i="4"/>
  <c r="X37" i="4"/>
  <c r="Y37" i="4"/>
  <c r="X14" i="4"/>
  <c r="Y14" i="4" s="1"/>
  <c r="J29" i="4"/>
  <c r="Y35" i="4"/>
  <c r="W52" i="4"/>
  <c r="S52" i="4"/>
  <c r="P52" i="4"/>
  <c r="J52" i="4"/>
  <c r="S29" i="4"/>
  <c r="P29" i="4"/>
  <c r="X50" i="3"/>
  <c r="Y50" i="3"/>
  <c r="Y27" i="3"/>
  <c r="X49" i="3"/>
  <c r="Y49" i="3" s="1"/>
  <c r="X26" i="3"/>
  <c r="Y26" i="3"/>
  <c r="X48" i="3"/>
  <c r="Y48" i="3"/>
  <c r="X25" i="3"/>
  <c r="Y25" i="3"/>
  <c r="X47" i="3"/>
  <c r="Y47" i="3" s="1"/>
  <c r="X24" i="3"/>
  <c r="Y24" i="3" s="1"/>
  <c r="X46" i="3"/>
  <c r="Y46" i="3"/>
  <c r="Y23" i="3"/>
  <c r="Y45" i="3"/>
  <c r="X22" i="3"/>
  <c r="Y22" i="3" s="1"/>
  <c r="X44" i="3"/>
  <c r="Y44" i="3" s="1"/>
  <c r="Y21" i="3"/>
  <c r="Y43" i="3"/>
  <c r="X20" i="3"/>
  <c r="Y20" i="3" s="1"/>
  <c r="Y42" i="3"/>
  <c r="X19" i="3"/>
  <c r="Y19" i="3"/>
  <c r="X41" i="3"/>
  <c r="Y41" i="3"/>
  <c r="X18" i="3"/>
  <c r="Y18" i="3"/>
  <c r="X40" i="3"/>
  <c r="Y40" i="3" s="1"/>
  <c r="X17" i="3"/>
  <c r="Y17" i="3" s="1"/>
  <c r="X39" i="3"/>
  <c r="Y39" i="3" s="1"/>
  <c r="S52" i="3"/>
  <c r="Y16" i="3"/>
  <c r="X38" i="3"/>
  <c r="Y38" i="3" s="1"/>
  <c r="X15" i="3"/>
  <c r="Y15" i="3"/>
  <c r="S29" i="3"/>
  <c r="P29" i="3"/>
  <c r="X37" i="3"/>
  <c r="Y37" i="3"/>
  <c r="W29" i="3"/>
  <c r="X14" i="3"/>
  <c r="Y14" i="3"/>
  <c r="X36" i="3"/>
  <c r="X35" i="3"/>
  <c r="W52" i="3"/>
  <c r="P52" i="3"/>
  <c r="J52" i="3"/>
  <c r="X12" i="3"/>
  <c r="Y12" i="3"/>
  <c r="Y34" i="3"/>
  <c r="Y50" i="2"/>
  <c r="X27" i="2"/>
  <c r="Y27" i="2" s="1"/>
  <c r="Y49" i="2"/>
  <c r="X48" i="2"/>
  <c r="Y48" i="2"/>
  <c r="X25" i="2"/>
  <c r="Y25" i="2" s="1"/>
  <c r="X24" i="2"/>
  <c r="Y24" i="2" s="1"/>
  <c r="X46" i="2"/>
  <c r="Y46" i="2"/>
  <c r="X45" i="2"/>
  <c r="Y45" i="2"/>
  <c r="X22" i="2"/>
  <c r="Y22" i="2" s="1"/>
  <c r="X44" i="2"/>
  <c r="Y44" i="2"/>
  <c r="X43" i="2"/>
  <c r="Y43" i="2"/>
  <c r="X20" i="2"/>
  <c r="Y20" i="2"/>
  <c r="X42" i="2"/>
  <c r="Y42" i="2"/>
  <c r="X41" i="2"/>
  <c r="Y41" i="2"/>
  <c r="Y40" i="2"/>
  <c r="X17" i="2"/>
  <c r="Y17" i="2"/>
  <c r="X39" i="2"/>
  <c r="Y39" i="2"/>
  <c r="X16" i="2"/>
  <c r="Y16" i="2"/>
  <c r="Y38" i="2"/>
  <c r="X15" i="2"/>
  <c r="Y15" i="2" s="1"/>
  <c r="X37" i="2"/>
  <c r="Y37" i="2"/>
  <c r="X36" i="2"/>
  <c r="Y36" i="2" s="1"/>
  <c r="W52" i="2"/>
  <c r="P52" i="2"/>
  <c r="X12" i="2"/>
  <c r="Y12" i="2" s="1"/>
  <c r="X34" i="2"/>
  <c r="S52" i="2"/>
  <c r="J52" i="2"/>
  <c r="X50" i="1"/>
  <c r="Y50" i="1" s="1"/>
  <c r="X49" i="1"/>
  <c r="Y49" i="1"/>
  <c r="X48" i="1"/>
  <c r="Y48" i="1" s="1"/>
  <c r="Y25" i="1"/>
  <c r="X47" i="1"/>
  <c r="Y47" i="1" s="1"/>
  <c r="Y46" i="1"/>
  <c r="X23" i="1"/>
  <c r="Y23" i="1" s="1"/>
  <c r="Y45" i="1"/>
  <c r="X22" i="1"/>
  <c r="Y22" i="1" s="1"/>
  <c r="P52" i="1"/>
  <c r="W52" i="1"/>
  <c r="X43" i="1"/>
  <c r="S52" i="1"/>
  <c r="Y43" i="1"/>
  <c r="X21" i="1"/>
  <c r="Y21" i="1"/>
  <c r="X42" i="1"/>
  <c r="K52" i="1"/>
  <c r="K52" i="6"/>
  <c r="Y36" i="6"/>
  <c r="H11" i="8" s="1"/>
  <c r="H75" i="9" s="1"/>
  <c r="H144" i="9" s="1"/>
  <c r="X34" i="6"/>
  <c r="Y41" i="5"/>
  <c r="K52" i="5"/>
  <c r="Y43" i="5"/>
  <c r="Y47" i="5"/>
  <c r="J52" i="5"/>
  <c r="X34" i="5"/>
  <c r="Y47" i="4"/>
  <c r="K36" i="4"/>
  <c r="Y36" i="4" s="1"/>
  <c r="X34" i="4"/>
  <c r="Y36" i="3"/>
  <c r="K52" i="3"/>
  <c r="A36" i="2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P29" i="2"/>
  <c r="X21" i="2"/>
  <c r="Y21" i="2" s="1"/>
  <c r="X14" i="2"/>
  <c r="Y14" i="2" s="1"/>
  <c r="W29" i="2"/>
  <c r="S29" i="2"/>
  <c r="X18" i="2"/>
  <c r="Y18" i="2" s="1"/>
  <c r="X19" i="2"/>
  <c r="Y19" i="2" s="1"/>
  <c r="J52" i="1"/>
  <c r="Y34" i="1"/>
  <c r="X26" i="1"/>
  <c r="Y26" i="1" s="1"/>
  <c r="X27" i="1"/>
  <c r="Y27" i="1" s="1"/>
  <c r="X20" i="1"/>
  <c r="Y20" i="1" s="1"/>
  <c r="X19" i="1"/>
  <c r="X18" i="1"/>
  <c r="X40" i="1"/>
  <c r="X39" i="1"/>
  <c r="X16" i="1"/>
  <c r="X38" i="1"/>
  <c r="X15" i="1"/>
  <c r="X14" i="1"/>
  <c r="J29" i="1"/>
  <c r="X12" i="1"/>
  <c r="K20" i="6"/>
  <c r="S29" i="6"/>
  <c r="K13" i="5"/>
  <c r="X13" i="5"/>
  <c r="X13" i="4"/>
  <c r="K13" i="4"/>
  <c r="K29" i="3"/>
  <c r="J29" i="3"/>
  <c r="X13" i="3"/>
  <c r="K29" i="2"/>
  <c r="X13" i="2"/>
  <c r="K35" i="2"/>
  <c r="Y35" i="2" s="1"/>
  <c r="J29" i="2"/>
  <c r="P29" i="1"/>
  <c r="K12" i="1"/>
  <c r="X35" i="1"/>
  <c r="S29" i="1"/>
  <c r="X17" i="1"/>
  <c r="W29" i="1"/>
  <c r="X24" i="1"/>
  <c r="Y24" i="1" s="1"/>
  <c r="X44" i="1"/>
  <c r="Y44" i="1" s="1"/>
  <c r="X13" i="1"/>
  <c r="K29" i="1"/>
  <c r="A32" i="1"/>
  <c r="A33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H171" i="9" l="1"/>
  <c r="H166" i="9"/>
  <c r="H167" i="9"/>
  <c r="H170" i="9"/>
  <c r="H176" i="9"/>
  <c r="H172" i="9"/>
  <c r="H168" i="9"/>
  <c r="H178" i="9"/>
  <c r="H177" i="9"/>
  <c r="H174" i="9"/>
  <c r="H179" i="9"/>
  <c r="H169" i="9"/>
  <c r="H175" i="9"/>
  <c r="H180" i="9"/>
  <c r="H207" i="9"/>
  <c r="F207" i="9"/>
  <c r="O154" i="9"/>
  <c r="P154" i="9" s="1"/>
  <c r="I154" i="9"/>
  <c r="I177" i="9" s="1"/>
  <c r="O148" i="9"/>
  <c r="P148" i="9" s="1"/>
  <c r="I148" i="9"/>
  <c r="I171" i="9" s="1"/>
  <c r="O149" i="9"/>
  <c r="P149" i="9" s="1"/>
  <c r="I149" i="9"/>
  <c r="I172" i="9" s="1"/>
  <c r="O145" i="9"/>
  <c r="P145" i="9" s="1"/>
  <c r="I145" i="9"/>
  <c r="I168" i="9" s="1"/>
  <c r="O155" i="9"/>
  <c r="P155" i="9" s="1"/>
  <c r="I155" i="9"/>
  <c r="I178" i="9" s="1"/>
  <c r="O153" i="9"/>
  <c r="P153" i="9" s="1"/>
  <c r="I153" i="9"/>
  <c r="I176" i="9" s="1"/>
  <c r="O151" i="9"/>
  <c r="P151" i="9" s="1"/>
  <c r="I151" i="9"/>
  <c r="I174" i="9" s="1"/>
  <c r="O146" i="9"/>
  <c r="P146" i="9" s="1"/>
  <c r="I146" i="9"/>
  <c r="I169" i="9" s="1"/>
  <c r="O157" i="9"/>
  <c r="P157" i="9" s="1"/>
  <c r="I157" i="9"/>
  <c r="I180" i="9" s="1"/>
  <c r="O156" i="9"/>
  <c r="P156" i="9" s="1"/>
  <c r="I156" i="9"/>
  <c r="I179" i="9" s="1"/>
  <c r="O152" i="9"/>
  <c r="P152" i="9" s="1"/>
  <c r="I152" i="9"/>
  <c r="I175" i="9" s="1"/>
  <c r="O144" i="9"/>
  <c r="P144" i="9" s="1"/>
  <c r="I144" i="9"/>
  <c r="I167" i="9" s="1"/>
  <c r="O143" i="9"/>
  <c r="I143" i="9"/>
  <c r="I166" i="9" s="1"/>
  <c r="O147" i="9"/>
  <c r="P147" i="9" s="1"/>
  <c r="I147" i="9"/>
  <c r="I170" i="9" s="1"/>
  <c r="I85" i="9"/>
  <c r="I79" i="9"/>
  <c r="I80" i="9"/>
  <c r="I86" i="9"/>
  <c r="I77" i="9"/>
  <c r="O27" i="8"/>
  <c r="I78" i="9"/>
  <c r="I84" i="9"/>
  <c r="I76" i="9"/>
  <c r="I82" i="9"/>
  <c r="I87" i="9"/>
  <c r="I83" i="9"/>
  <c r="I88" i="9"/>
  <c r="I75" i="9"/>
  <c r="I74" i="9"/>
  <c r="Y50" i="6"/>
  <c r="H25" i="8" s="1"/>
  <c r="H89" i="9" s="1"/>
  <c r="H158" i="9" s="1"/>
  <c r="K29" i="6"/>
  <c r="Y20" i="6"/>
  <c r="Y29" i="6" s="1"/>
  <c r="Y42" i="6"/>
  <c r="H17" i="8" s="1"/>
  <c r="H81" i="9" s="1"/>
  <c r="H150" i="9" s="1"/>
  <c r="X29" i="6"/>
  <c r="X52" i="6"/>
  <c r="AB34" i="6" s="1"/>
  <c r="V9" i="8"/>
  <c r="V27" i="8" s="1"/>
  <c r="AA50" i="6"/>
  <c r="O48" i="8" s="1"/>
  <c r="AA34" i="6"/>
  <c r="AA37" i="6"/>
  <c r="O35" i="8" s="1"/>
  <c r="AA46" i="6"/>
  <c r="O44" i="8" s="1"/>
  <c r="AA39" i="6"/>
  <c r="O37" i="8" s="1"/>
  <c r="AA47" i="6"/>
  <c r="O45" i="8" s="1"/>
  <c r="AA44" i="6"/>
  <c r="O42" i="8" s="1"/>
  <c r="AA38" i="6"/>
  <c r="O36" i="8" s="1"/>
  <c r="AA36" i="6"/>
  <c r="O34" i="8" s="1"/>
  <c r="AA35" i="6"/>
  <c r="O33" i="8" s="1"/>
  <c r="AA49" i="6"/>
  <c r="O47" i="8" s="1"/>
  <c r="AA43" i="6"/>
  <c r="O41" i="8" s="1"/>
  <c r="AA48" i="6"/>
  <c r="O46" i="8" s="1"/>
  <c r="AA41" i="6"/>
  <c r="O39" i="8" s="1"/>
  <c r="AA42" i="6"/>
  <c r="O40" i="8" s="1"/>
  <c r="AA40" i="6"/>
  <c r="O38" i="8" s="1"/>
  <c r="AA45" i="6"/>
  <c r="O43" i="8" s="1"/>
  <c r="X52" i="5"/>
  <c r="X29" i="5"/>
  <c r="K29" i="5"/>
  <c r="Y13" i="5"/>
  <c r="Y29" i="5" s="1"/>
  <c r="X52" i="4"/>
  <c r="X29" i="4"/>
  <c r="K29" i="4"/>
  <c r="Y13" i="4"/>
  <c r="Y29" i="4" s="1"/>
  <c r="X29" i="3"/>
  <c r="X52" i="3"/>
  <c r="Y13" i="3"/>
  <c r="Y29" i="3" s="1"/>
  <c r="Y35" i="3"/>
  <c r="Y52" i="3" s="1"/>
  <c r="X52" i="2"/>
  <c r="K52" i="2"/>
  <c r="Y34" i="2"/>
  <c r="Y52" i="2" s="1"/>
  <c r="X52" i="1"/>
  <c r="Y29" i="1"/>
  <c r="Y42" i="1"/>
  <c r="Y52" i="1" s="1"/>
  <c r="Y34" i="6"/>
  <c r="Y34" i="5"/>
  <c r="Y52" i="5" s="1"/>
  <c r="Y34" i="4"/>
  <c r="Y52" i="4" s="1"/>
  <c r="K52" i="4"/>
  <c r="X29" i="2"/>
  <c r="Y13" i="2"/>
  <c r="Y29" i="2" s="1"/>
  <c r="X29" i="1"/>
  <c r="H173" i="9" l="1"/>
  <c r="H181" i="9"/>
  <c r="O150" i="9"/>
  <c r="I150" i="9"/>
  <c r="I173" i="9" s="1"/>
  <c r="H160" i="9"/>
  <c r="H183" i="9" s="1"/>
  <c r="O158" i="9"/>
  <c r="P158" i="9" s="1"/>
  <c r="I158" i="9"/>
  <c r="I181" i="9" s="1"/>
  <c r="I81" i="9"/>
  <c r="I89" i="9"/>
  <c r="I90" i="9" s="1"/>
  <c r="P143" i="9"/>
  <c r="H90" i="9"/>
  <c r="O81" i="9" s="1"/>
  <c r="V32" i="8"/>
  <c r="AB36" i="6"/>
  <c r="V34" i="8" s="1"/>
  <c r="AB46" i="6"/>
  <c r="V44" i="8" s="1"/>
  <c r="AB40" i="6"/>
  <c r="V38" i="8" s="1"/>
  <c r="AB35" i="6"/>
  <c r="V33" i="8" s="1"/>
  <c r="AB45" i="6"/>
  <c r="V43" i="8" s="1"/>
  <c r="AB42" i="6"/>
  <c r="V40" i="8" s="1"/>
  <c r="AB41" i="6"/>
  <c r="V39" i="8" s="1"/>
  <c r="AB50" i="6"/>
  <c r="V48" i="8" s="1"/>
  <c r="AB44" i="6"/>
  <c r="V42" i="8" s="1"/>
  <c r="AB38" i="6"/>
  <c r="V36" i="8" s="1"/>
  <c r="AB49" i="6"/>
  <c r="V47" i="8" s="1"/>
  <c r="AB48" i="6"/>
  <c r="V46" i="8" s="1"/>
  <c r="AB47" i="6"/>
  <c r="V45" i="8" s="1"/>
  <c r="AB37" i="6"/>
  <c r="V35" i="8" s="1"/>
  <c r="AB43" i="6"/>
  <c r="V41" i="8" s="1"/>
  <c r="AB39" i="6"/>
  <c r="V37" i="8" s="1"/>
  <c r="AA52" i="6"/>
  <c r="O32" i="8"/>
  <c r="O50" i="8" s="1"/>
  <c r="Y52" i="6"/>
  <c r="Z34" i="6" s="1"/>
  <c r="H9" i="8"/>
  <c r="O160" i="9" l="1"/>
  <c r="P150" i="9"/>
  <c r="P160" i="9" s="1"/>
  <c r="N205" i="9"/>
  <c r="N197" i="9"/>
  <c r="I160" i="9"/>
  <c r="I183" i="9" s="1"/>
  <c r="N195" i="9"/>
  <c r="N204" i="9"/>
  <c r="N200" i="9"/>
  <c r="N193" i="9"/>
  <c r="N198" i="9"/>
  <c r="N194" i="9"/>
  <c r="N202" i="9"/>
  <c r="N191" i="9"/>
  <c r="N196" i="9"/>
  <c r="N199" i="9"/>
  <c r="N192" i="9"/>
  <c r="N203" i="9"/>
  <c r="N201" i="9"/>
  <c r="N190" i="9"/>
  <c r="O89" i="9"/>
  <c r="P77" i="9"/>
  <c r="P76" i="9"/>
  <c r="P84" i="9"/>
  <c r="P82" i="9"/>
  <c r="P74" i="9"/>
  <c r="P75" i="9"/>
  <c r="P79" i="9"/>
  <c r="P85" i="9"/>
  <c r="P80" i="9"/>
  <c r="P88" i="9"/>
  <c r="P83" i="9"/>
  <c r="P78" i="9"/>
  <c r="P86" i="9"/>
  <c r="P87" i="9"/>
  <c r="H27" i="8"/>
  <c r="P81" i="9"/>
  <c r="P89" i="9"/>
  <c r="O85" i="9"/>
  <c r="O78" i="9"/>
  <c r="O88" i="9"/>
  <c r="O79" i="9"/>
  <c r="O84" i="9"/>
  <c r="O76" i="9"/>
  <c r="O86" i="9"/>
  <c r="O75" i="9"/>
  <c r="O80" i="9"/>
  <c r="O87" i="9"/>
  <c r="O74" i="9"/>
  <c r="O82" i="9"/>
  <c r="O77" i="9"/>
  <c r="O83" i="9"/>
  <c r="V50" i="8"/>
  <c r="AB52" i="6"/>
  <c r="H32" i="8"/>
  <c r="Z45" i="6"/>
  <c r="H43" i="8" s="1"/>
  <c r="Z38" i="6"/>
  <c r="H36" i="8" s="1"/>
  <c r="Z42" i="6"/>
  <c r="H40" i="8" s="1"/>
  <c r="Z47" i="6"/>
  <c r="H45" i="8" s="1"/>
  <c r="Z46" i="6"/>
  <c r="H44" i="8" s="1"/>
  <c r="Z35" i="6"/>
  <c r="H33" i="8" s="1"/>
  <c r="Z50" i="6"/>
  <c r="H48" i="8" s="1"/>
  <c r="Z48" i="6"/>
  <c r="H46" i="8" s="1"/>
  <c r="Z37" i="6"/>
  <c r="H35" i="8" s="1"/>
  <c r="Z39" i="6"/>
  <c r="H37" i="8" s="1"/>
  <c r="Z44" i="6"/>
  <c r="H42" i="8" s="1"/>
  <c r="Z49" i="6"/>
  <c r="H47" i="8" s="1"/>
  <c r="Z43" i="6"/>
  <c r="H41" i="8" s="1"/>
  <c r="Z36" i="6"/>
  <c r="H34" i="8" s="1"/>
  <c r="Z41" i="6"/>
  <c r="H39" i="8" s="1"/>
  <c r="Z40" i="6"/>
  <c r="H38" i="8" s="1"/>
  <c r="P197" i="9" l="1"/>
  <c r="P205" i="9"/>
  <c r="N207" i="9"/>
  <c r="P200" i="9"/>
  <c r="P199" i="9"/>
  <c r="P198" i="9"/>
  <c r="P194" i="9"/>
  <c r="P192" i="9"/>
  <c r="P203" i="9"/>
  <c r="P204" i="9"/>
  <c r="P201" i="9"/>
  <c r="P191" i="9"/>
  <c r="P202" i="9"/>
  <c r="P190" i="9"/>
  <c r="P195" i="9"/>
  <c r="P193" i="9"/>
  <c r="P196" i="9"/>
  <c r="P90" i="9"/>
  <c r="O90" i="9"/>
  <c r="H50" i="8"/>
  <c r="Z52" i="6"/>
  <c r="P207" i="9" l="1"/>
</calcChain>
</file>

<file path=xl/sharedStrings.xml><?xml version="1.0" encoding="utf-8"?>
<sst xmlns="http://schemas.openxmlformats.org/spreadsheetml/2006/main" count="1034" uniqueCount="132">
  <si>
    <t>Analysis of Historic DSM Programs</t>
  </si>
  <si>
    <t>Programs in Effect as of December 31, 2019</t>
  </si>
  <si>
    <t>Commercial</t>
  </si>
  <si>
    <t>Control</t>
  </si>
  <si>
    <t>Button Up</t>
  </si>
  <si>
    <t>CARES</t>
  </si>
  <si>
    <t>ENERGY STAR</t>
  </si>
  <si>
    <t>Manufactured</t>
  </si>
  <si>
    <t>Home</t>
  </si>
  <si>
    <t>Direct</t>
  </si>
  <si>
    <t>Load</t>
  </si>
  <si>
    <t>Heat</t>
  </si>
  <si>
    <t>Pump</t>
  </si>
  <si>
    <t>Retrofit</t>
  </si>
  <si>
    <t>Touchstone</t>
  </si>
  <si>
    <t>Energy</t>
  </si>
  <si>
    <t>Total</t>
  </si>
  <si>
    <t>Residential</t>
  </si>
  <si>
    <t>Residental Programs</t>
  </si>
  <si>
    <t>Active</t>
  </si>
  <si>
    <t>Programs</t>
  </si>
  <si>
    <t>CFL</t>
  </si>
  <si>
    <t>Distribution</t>
  </si>
  <si>
    <t>Audits</t>
  </si>
  <si>
    <t>LED</t>
  </si>
  <si>
    <t>Program</t>
  </si>
  <si>
    <t>Administration</t>
  </si>
  <si>
    <t>&amp; Promotional</t>
  </si>
  <si>
    <t>Non-Incentive, Non-Tariffed DSM Programs</t>
  </si>
  <si>
    <t>Total Tariffed</t>
  </si>
  <si>
    <t>Non-Tariffed</t>
  </si>
  <si>
    <t>Commercial &amp;</t>
  </si>
  <si>
    <t>Industrial</t>
  </si>
  <si>
    <t>Lighting</t>
  </si>
  <si>
    <t>Compressed</t>
  </si>
  <si>
    <t>Air</t>
  </si>
  <si>
    <t>Appliance</t>
  </si>
  <si>
    <t>Recycling</t>
  </si>
  <si>
    <t>Appliances</t>
  </si>
  <si>
    <t>HVAC</t>
  </si>
  <si>
    <t>Duct</t>
  </si>
  <si>
    <t>Sealing</t>
  </si>
  <si>
    <t>Discontinued</t>
  </si>
  <si>
    <t>Residential Programs</t>
  </si>
  <si>
    <t>Commercial Programs</t>
  </si>
  <si>
    <t>Programs Discontinued - Case No. 2019-00059</t>
  </si>
  <si>
    <t>Member</t>
  </si>
  <si>
    <t>Big Sandy</t>
  </si>
  <si>
    <t>Blue Grass</t>
  </si>
  <si>
    <t>Clark</t>
  </si>
  <si>
    <t>Cumberland Valley</t>
  </si>
  <si>
    <t>Farmers</t>
  </si>
  <si>
    <t>Fleming-Mason</t>
  </si>
  <si>
    <t>Grayson</t>
  </si>
  <si>
    <t>Inter-County</t>
  </si>
  <si>
    <t>Jackson</t>
  </si>
  <si>
    <t>Licking Valley</t>
  </si>
  <si>
    <t>Nolin</t>
  </si>
  <si>
    <t>Owen</t>
  </si>
  <si>
    <t>Salt River</t>
  </si>
  <si>
    <t>Shelby</t>
  </si>
  <si>
    <t>South Kentucky</t>
  </si>
  <si>
    <t>Taylor County</t>
  </si>
  <si>
    <t>Totals</t>
  </si>
  <si>
    <t>Total Program Costs</t>
  </si>
  <si>
    <t xml:space="preserve">Note:  </t>
  </si>
  <si>
    <t>Number of Participants</t>
  </si>
  <si>
    <t>Direct Load Control participants are new participants, not total participants.</t>
  </si>
  <si>
    <t>Direct Load Control expenses are shown in total, as EKPC pays these to third parties on behalf of the Members.</t>
  </si>
  <si>
    <t>All Members</t>
  </si>
  <si>
    <t>Combined</t>
  </si>
  <si>
    <t>Percentage of Expenditures</t>
  </si>
  <si>
    <t>Continuing</t>
  </si>
  <si>
    <t>Expenditures for All Programs</t>
  </si>
  <si>
    <t>2014</t>
  </si>
  <si>
    <t>2015</t>
  </si>
  <si>
    <t>2016</t>
  </si>
  <si>
    <t>2017</t>
  </si>
  <si>
    <t>2018</t>
  </si>
  <si>
    <t>2019</t>
  </si>
  <si>
    <t>Members</t>
  </si>
  <si>
    <t>Expenditures for Continuing Programs - Case No. 2019-00059</t>
  </si>
  <si>
    <t>Expenditures for Discontinued Programs - Case No. 2019-00059</t>
  </si>
  <si>
    <t>Dollars</t>
  </si>
  <si>
    <t>Percentages</t>
  </si>
  <si>
    <t>DLC &amp; Admin.</t>
  </si>
  <si>
    <t>Highest</t>
  </si>
  <si>
    <t>First</t>
  </si>
  <si>
    <t>Second</t>
  </si>
  <si>
    <t>Third</t>
  </si>
  <si>
    <t>Fourth</t>
  </si>
  <si>
    <t>Analysis of Base Rate Recovery</t>
  </si>
  <si>
    <t>2010 Rate Case - Sales used to determine Settlement Rates</t>
  </si>
  <si>
    <t>Rate B</t>
  </si>
  <si>
    <t>Rate C</t>
  </si>
  <si>
    <t>Rate E</t>
  </si>
  <si>
    <t>Rate G</t>
  </si>
  <si>
    <t>Special Contract</t>
  </si>
  <si>
    <t>Total kWh Sales</t>
  </si>
  <si>
    <t>DSM Expenses included in base rates</t>
  </si>
  <si>
    <t>Average DSM per kWh Sales in base rates</t>
  </si>
  <si>
    <t>Actual kWh Sales per Member</t>
  </si>
  <si>
    <t>Does not include TGP or International Paper Steam</t>
  </si>
  <si>
    <t>DSM Recovery versus DSM Expenditures</t>
  </si>
  <si>
    <t>DSM Recovery through kWh Sales  [Actual kWh Sales x Average DSM per kWh Sales in base rates]</t>
  </si>
  <si>
    <t>6-Year Average</t>
  </si>
  <si>
    <t>Percentage Mix of DSM Recovery through kWh Sales</t>
  </si>
  <si>
    <t>DSM in Base Rates</t>
  </si>
  <si>
    <t>Difference</t>
  </si>
  <si>
    <t>Percentage</t>
  </si>
  <si>
    <t>DSM Expenditures - All Programs, Member Specific (excludes DLC and Administration)</t>
  </si>
  <si>
    <t>Allocation of Direct Load Control Expenditures - Based on Annual DLC Billing Credits</t>
  </si>
  <si>
    <t>Annual DLC Billing Credits</t>
  </si>
  <si>
    <t>Allocation of Direct Load Control Expenditures</t>
  </si>
  <si>
    <t>Allocation of Program Administration &amp; Promotional Expenditures - Based on Percentage Mix of Member-Specific DSM Expenditures</t>
  </si>
  <si>
    <t>5-Year Average</t>
  </si>
  <si>
    <t>DSM Expenditures - All Programs (includes Allocated DLC &amp; Administration)</t>
  </si>
  <si>
    <t>Percentage Mix of Member-Specific DSM Expenditures - All Programs (excludes DLC &amp; Administration)</t>
  </si>
  <si>
    <t>Percentage Comparison - Recovery versus Expenditure by Member</t>
  </si>
  <si>
    <t>Recovery</t>
  </si>
  <si>
    <t>Expenditure</t>
  </si>
  <si>
    <t>DSM Expenditures (including Allocated DLC &amp; Administration) per kWh Sales</t>
  </si>
  <si>
    <t>Average above the average DSM cost per kWh in base rates of $0.000491</t>
  </si>
  <si>
    <t>Within 1 point</t>
  </si>
  <si>
    <t>Within 1.5 points</t>
  </si>
  <si>
    <t>Observations/</t>
  </si>
  <si>
    <t xml:space="preserve">  Conclusions</t>
  </si>
  <si>
    <t>In terms of dollars, recovery through base rates and actual DSM expenditures, an argument can be made that some Members subsidize others under the current arrangement.  (See Columns J-P, Rows 143-158)</t>
  </si>
  <si>
    <t>However, if you look at the percentages (Member share of recovery; Member share of DSM expenditures), the picture becomes less clear.  The percentages of share of recovery and expenditures are within 1 percentage point for 7 of</t>
  </si>
  <si>
    <t>The remaining 6 Members are evenly split - 3 Members provide more recovery through base rates and 3 Members are responsible for more of the DSM expenditures.</t>
  </si>
  <si>
    <t xml:space="preserve">  the Members and within 1.5 percentage points for 3 additional Members.  This observation is primarily based on the 6-year average of the annual percentages.</t>
  </si>
  <si>
    <t>PSC DR2 Response 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</si>
</sst>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0.000%"/>
    <numFmt numFmtId="165" formatCode="&quot;$&quot;#,##0.000000_);[Red]\(&quot;$&quot;#,##0.0000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38" fontId="3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right"/>
    </xf>
    <xf numFmtId="6" fontId="3" fillId="0" borderId="0" xfId="0" applyNumberFormat="1" applyFont="1"/>
    <xf numFmtId="38" fontId="3" fillId="0" borderId="7" xfId="0" applyNumberFormat="1" applyFont="1" applyBorder="1"/>
    <xf numFmtId="38" fontId="3" fillId="0" borderId="9" xfId="0" applyNumberFormat="1" applyFont="1" applyBorder="1"/>
    <xf numFmtId="6" fontId="3" fillId="0" borderId="9" xfId="0" applyNumberFormat="1" applyFont="1" applyBorder="1"/>
    <xf numFmtId="6" fontId="3" fillId="0" borderId="7" xfId="0" applyNumberFormat="1" applyFont="1" applyBorder="1"/>
    <xf numFmtId="0" fontId="5" fillId="0" borderId="0" xfId="0" applyFont="1" applyBorder="1" applyAlignment="1">
      <alignment horizontal="center"/>
    </xf>
    <xf numFmtId="38" fontId="3" fillId="0" borderId="0" xfId="0" applyNumberFormat="1" applyFont="1" applyBorder="1"/>
    <xf numFmtId="6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3" fillId="0" borderId="0" xfId="0" applyNumberFormat="1" applyFont="1"/>
    <xf numFmtId="164" fontId="0" fillId="0" borderId="0" xfId="0" applyNumberFormat="1"/>
    <xf numFmtId="164" fontId="3" fillId="0" borderId="0" xfId="0" applyNumberFormat="1" applyFont="1" applyBorder="1"/>
    <xf numFmtId="164" fontId="3" fillId="0" borderId="7" xfId="0" applyNumberFormat="1" applyFont="1" applyBorder="1"/>
    <xf numFmtId="164" fontId="3" fillId="0" borderId="9" xfId="0" applyNumberFormat="1" applyFont="1" applyBorder="1"/>
    <xf numFmtId="49" fontId="3" fillId="0" borderId="4" xfId="0" applyNumberFormat="1" applyFont="1" applyBorder="1" applyAlignment="1">
      <alignment horizontal="center"/>
    </xf>
    <xf numFmtId="0" fontId="6" fillId="0" borderId="0" xfId="0" applyFont="1"/>
    <xf numFmtId="0" fontId="3" fillId="4" borderId="0" xfId="0" applyFont="1" applyFill="1"/>
    <xf numFmtId="0" fontId="3" fillId="2" borderId="0" xfId="0" applyFont="1" applyFill="1"/>
    <xf numFmtId="0" fontId="3" fillId="5" borderId="0" xfId="0" applyFont="1" applyFill="1"/>
    <xf numFmtId="0" fontId="3" fillId="6" borderId="0" xfId="0" applyFont="1" applyFill="1"/>
    <xf numFmtId="164" fontId="3" fillId="6" borderId="0" xfId="0" applyNumberFormat="1" applyFont="1" applyFill="1"/>
    <xf numFmtId="164" fontId="3" fillId="4" borderId="0" xfId="0" applyNumberFormat="1" applyFont="1" applyFill="1"/>
    <xf numFmtId="164" fontId="3" fillId="2" borderId="0" xfId="0" applyNumberFormat="1" applyFont="1" applyFill="1"/>
    <xf numFmtId="164" fontId="3" fillId="5" borderId="0" xfId="0" applyNumberFormat="1" applyFont="1" applyFill="1"/>
    <xf numFmtId="0" fontId="3" fillId="0" borderId="2" xfId="0" applyFont="1" applyBorder="1" applyAlignment="1">
      <alignment horizontal="center"/>
    </xf>
    <xf numFmtId="165" fontId="3" fillId="0" borderId="0" xfId="0" applyNumberFormat="1" applyFont="1"/>
    <xf numFmtId="6" fontId="3" fillId="0" borderId="10" xfId="0" applyNumberFormat="1" applyFont="1" applyBorder="1"/>
    <xf numFmtId="6" fontId="0" fillId="0" borderId="0" xfId="0" applyNumberFormat="1"/>
    <xf numFmtId="0" fontId="3" fillId="0" borderId="0" xfId="0" applyFont="1" applyFill="1"/>
    <xf numFmtId="164" fontId="3" fillId="0" borderId="0" xfId="0" applyNumberFormat="1" applyFont="1" applyFill="1"/>
    <xf numFmtId="164" fontId="3" fillId="0" borderId="0" xfId="0" applyNumberFormat="1" applyFont="1" applyFill="1" applyBorder="1"/>
    <xf numFmtId="164" fontId="3" fillId="0" borderId="7" xfId="0" applyNumberFormat="1" applyFont="1" applyFill="1" applyBorder="1"/>
    <xf numFmtId="0" fontId="0" fillId="0" borderId="0" xfId="0" applyFill="1"/>
    <xf numFmtId="164" fontId="3" fillId="0" borderId="9" xfId="0" applyNumberFormat="1" applyFont="1" applyFill="1" applyBorder="1"/>
    <xf numFmtId="165" fontId="3" fillId="0" borderId="7" xfId="0" applyNumberFormat="1" applyFont="1" applyBorder="1"/>
    <xf numFmtId="165" fontId="3" fillId="0" borderId="9" xfId="0" applyNumberFormat="1" applyFont="1" applyBorder="1"/>
    <xf numFmtId="0" fontId="5" fillId="0" borderId="0" xfId="0" applyFont="1"/>
    <xf numFmtId="0" fontId="3" fillId="4" borderId="0" xfId="0" applyFont="1" applyFill="1" applyAlignment="1">
      <alignment horizontal="center"/>
    </xf>
    <xf numFmtId="164" fontId="3" fillId="4" borderId="0" xfId="0" applyNumberFormat="1" applyFont="1" applyFill="1" applyBorder="1"/>
    <xf numFmtId="164" fontId="3" fillId="4" borderId="7" xfId="0" applyNumberFormat="1" applyFont="1" applyFill="1" applyBorder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Border="1"/>
    <xf numFmtId="164" fontId="3" fillId="0" borderId="0" xfId="0" applyNumberFormat="1" applyFont="1" applyFill="1" applyBorder="1" applyAlignment="1">
      <alignment wrapText="1"/>
    </xf>
    <xf numFmtId="0" fontId="2" fillId="0" borderId="0" xfId="0" applyFont="1"/>
    <xf numFmtId="0" fontId="1" fillId="0" borderId="0" xfId="0" applyFont="1"/>
    <xf numFmtId="0" fontId="5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7" borderId="0" xfId="0" applyFont="1" applyFill="1"/>
    <xf numFmtId="165" fontId="3" fillId="7" borderId="0" xfId="0" applyNumberFormat="1" applyFont="1" applyFill="1"/>
    <xf numFmtId="165" fontId="3" fillId="7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9"/>
  <sheetViews>
    <sheetView tabSelected="1" zoomScale="80" zoomScaleNormal="80" workbookViewId="0">
      <selection activeCell="B3" sqref="B3"/>
    </sheetView>
  </sheetViews>
  <sheetFormatPr defaultColWidth="17.7109375" defaultRowHeight="15" x14ac:dyDescent="0.25"/>
  <cols>
    <col min="1" max="1" width="5.85546875" customWidth="1"/>
    <col min="2" max="2" width="20.7109375" customWidth="1"/>
    <col min="4" max="4" width="17.5703125" customWidth="1"/>
  </cols>
  <sheetData>
    <row r="1" spans="1:17" x14ac:dyDescent="0.25">
      <c r="A1" s="2">
        <v>1</v>
      </c>
      <c r="B1" s="55" t="s">
        <v>131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">
        <f>A1+1</f>
        <v>2</v>
      </c>
      <c r="B2" s="1" t="s">
        <v>91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>
        <f t="shared" ref="A3:A151" si="0">A2+1</f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2">
        <f t="shared" si="0"/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2">
        <f t="shared" si="0"/>
        <v>5</v>
      </c>
      <c r="B5" s="47" t="s">
        <v>92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2">
        <f t="shared" si="0"/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2">
        <f t="shared" si="0"/>
        <v>7</v>
      </c>
      <c r="B7" s="1" t="s">
        <v>93</v>
      </c>
      <c r="C7" s="1"/>
      <c r="D7" s="2">
        <v>923361000</v>
      </c>
      <c r="E7" s="1"/>
      <c r="F7" s="1" t="s">
        <v>102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2">
        <f t="shared" si="0"/>
        <v>8</v>
      </c>
      <c r="B8" s="1" t="s">
        <v>94</v>
      </c>
      <c r="C8" s="1"/>
      <c r="D8" s="2">
        <v>292305000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2">
        <f t="shared" si="0"/>
        <v>9</v>
      </c>
      <c r="B9" s="1" t="s">
        <v>95</v>
      </c>
      <c r="C9" s="1"/>
      <c r="D9" s="2">
        <v>9707144000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2">
        <f t="shared" si="0"/>
        <v>10</v>
      </c>
      <c r="B10" s="1" t="s">
        <v>96</v>
      </c>
      <c r="C10" s="1"/>
      <c r="D10" s="2">
        <v>338237000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2">
        <f t="shared" si="0"/>
        <v>11</v>
      </c>
      <c r="B11" s="1" t="s">
        <v>97</v>
      </c>
      <c r="C11" s="1"/>
      <c r="D11" s="9">
        <v>968960000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2">
        <f t="shared" si="0"/>
        <v>12</v>
      </c>
      <c r="B12" s="1"/>
      <c r="C12" s="1"/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2">
        <f t="shared" si="0"/>
        <v>13</v>
      </c>
      <c r="B13" s="1" t="s">
        <v>98</v>
      </c>
      <c r="C13" s="1"/>
      <c r="D13" s="2">
        <f>SUM(D7:D11)</f>
        <v>12230007000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2">
        <f t="shared" si="0"/>
        <v>14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2">
        <f t="shared" si="0"/>
        <v>15</v>
      </c>
      <c r="B15" s="1" t="s">
        <v>99</v>
      </c>
      <c r="C15" s="1"/>
      <c r="D15" s="1"/>
      <c r="E15" s="8">
        <v>6000000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2">
        <f t="shared" si="0"/>
        <v>16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2">
        <f t="shared" si="0"/>
        <v>17</v>
      </c>
      <c r="B17" s="1" t="s">
        <v>100</v>
      </c>
      <c r="C17" s="1"/>
      <c r="D17" s="1"/>
      <c r="E17" s="36">
        <f>ROUND(E15/D13,6)</f>
        <v>4.9100000000000001E-4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2">
        <f t="shared" si="0"/>
        <v>18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2">
        <f t="shared" si="0"/>
        <v>19</v>
      </c>
      <c r="B19" s="47" t="s">
        <v>101</v>
      </c>
      <c r="C19" s="1"/>
      <c r="D19" s="1"/>
      <c r="E19" s="1"/>
      <c r="F19" s="1"/>
      <c r="G19" s="1"/>
      <c r="H19" s="1"/>
      <c r="I19" s="1"/>
      <c r="J19" s="47" t="s">
        <v>104</v>
      </c>
      <c r="K19" s="1"/>
      <c r="L19" s="1"/>
      <c r="M19" s="1"/>
      <c r="N19" s="1"/>
      <c r="O19" s="1"/>
      <c r="P19" s="1"/>
      <c r="Q19" s="1"/>
    </row>
    <row r="20" spans="1:17" x14ac:dyDescent="0.25">
      <c r="A20" s="2">
        <f t="shared" si="0"/>
        <v>20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 thickBot="1" x14ac:dyDescent="0.3">
      <c r="A21" s="2">
        <f t="shared" si="0"/>
        <v>21</v>
      </c>
      <c r="B21" s="5" t="s">
        <v>46</v>
      </c>
      <c r="C21" s="25" t="s">
        <v>74</v>
      </c>
      <c r="D21" s="25" t="s">
        <v>75</v>
      </c>
      <c r="E21" s="25" t="s">
        <v>76</v>
      </c>
      <c r="F21" s="25" t="s">
        <v>77</v>
      </c>
      <c r="G21" s="25" t="s">
        <v>78</v>
      </c>
      <c r="H21" s="25" t="s">
        <v>79</v>
      </c>
      <c r="I21" s="5" t="s">
        <v>105</v>
      </c>
      <c r="J21" s="25" t="s">
        <v>74</v>
      </c>
      <c r="K21" s="25" t="s">
        <v>75</v>
      </c>
      <c r="L21" s="25" t="s">
        <v>76</v>
      </c>
      <c r="M21" s="25" t="s">
        <v>77</v>
      </c>
      <c r="N21" s="25" t="s">
        <v>78</v>
      </c>
      <c r="O21" s="25" t="s">
        <v>79</v>
      </c>
      <c r="P21" s="5" t="s">
        <v>105</v>
      </c>
      <c r="Q21" s="1"/>
    </row>
    <row r="22" spans="1:17" x14ac:dyDescent="0.25">
      <c r="A22" s="2">
        <f t="shared" si="0"/>
        <v>22</v>
      </c>
      <c r="B22" s="1"/>
      <c r="C22" s="1"/>
      <c r="D22" s="1"/>
      <c r="E22" s="1"/>
      <c r="F22" s="1"/>
      <c r="G22" s="1"/>
      <c r="H22" s="1"/>
      <c r="I22" s="16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2">
        <f t="shared" si="0"/>
        <v>23</v>
      </c>
      <c r="B23" s="1" t="s">
        <v>47</v>
      </c>
      <c r="C23" s="2">
        <v>259080265</v>
      </c>
      <c r="D23" s="2">
        <v>241376801</v>
      </c>
      <c r="E23" s="2">
        <v>235603266</v>
      </c>
      <c r="F23" s="2">
        <v>220559577</v>
      </c>
      <c r="G23" s="2">
        <v>238928865</v>
      </c>
      <c r="H23" s="2">
        <v>227582952</v>
      </c>
      <c r="I23" s="2">
        <f>ROUND(SUM(C23:H23)/6,0)</f>
        <v>237188621</v>
      </c>
      <c r="J23" s="8">
        <f t="shared" ref="J23:O23" si="1">ROUND(C23*$E$17,0)</f>
        <v>127208</v>
      </c>
      <c r="K23" s="8">
        <f t="shared" si="1"/>
        <v>118516</v>
      </c>
      <c r="L23" s="8">
        <f t="shared" si="1"/>
        <v>115681</v>
      </c>
      <c r="M23" s="8">
        <f t="shared" si="1"/>
        <v>108295</v>
      </c>
      <c r="N23" s="8">
        <f t="shared" si="1"/>
        <v>117314</v>
      </c>
      <c r="O23" s="8">
        <f t="shared" si="1"/>
        <v>111743</v>
      </c>
      <c r="P23" s="8">
        <f>ROUND(SUM(J23:O23)/6,0)</f>
        <v>116460</v>
      </c>
      <c r="Q23" s="1"/>
    </row>
    <row r="24" spans="1:17" x14ac:dyDescent="0.25">
      <c r="A24" s="2">
        <f t="shared" si="0"/>
        <v>24</v>
      </c>
      <c r="B24" s="1" t="s">
        <v>48</v>
      </c>
      <c r="C24" s="2">
        <v>1398378224</v>
      </c>
      <c r="D24" s="2">
        <v>1359812906</v>
      </c>
      <c r="E24" s="2">
        <v>1383686451</v>
      </c>
      <c r="F24" s="2">
        <v>1337802640</v>
      </c>
      <c r="G24" s="2">
        <v>1444803232</v>
      </c>
      <c r="H24" s="2">
        <v>1398957054</v>
      </c>
      <c r="I24" s="14">
        <f t="shared" ref="I24:I38" si="2">ROUND(SUM(C24:H24)/6,0)</f>
        <v>1387240085</v>
      </c>
      <c r="J24" s="8">
        <f t="shared" ref="J24:J38" si="3">ROUND(C24*$E$17,0)</f>
        <v>686604</v>
      </c>
      <c r="K24" s="8">
        <f t="shared" ref="K24:K38" si="4">ROUND(D24*$E$17,0)</f>
        <v>667668</v>
      </c>
      <c r="L24" s="8">
        <f t="shared" ref="L24:L38" si="5">ROUND(E24*$E$17,0)</f>
        <v>679390</v>
      </c>
      <c r="M24" s="8">
        <f t="shared" ref="M24:M38" si="6">ROUND(F24*$E$17,0)</f>
        <v>656861</v>
      </c>
      <c r="N24" s="8">
        <f t="shared" ref="N24:N38" si="7">ROUND(G24*$E$17,0)</f>
        <v>709398</v>
      </c>
      <c r="O24" s="8">
        <f t="shared" ref="O24:O38" si="8">ROUND(H24*$E$17,0)</f>
        <v>686888</v>
      </c>
      <c r="P24" s="15">
        <f t="shared" ref="P24:P38" si="9">ROUND(SUM(J24:O24)/6,0)</f>
        <v>681135</v>
      </c>
      <c r="Q24" s="1"/>
    </row>
    <row r="25" spans="1:17" x14ac:dyDescent="0.25">
      <c r="A25" s="2">
        <f t="shared" si="0"/>
        <v>25</v>
      </c>
      <c r="B25" s="1" t="s">
        <v>49</v>
      </c>
      <c r="C25" s="2">
        <v>464367752</v>
      </c>
      <c r="D25" s="2">
        <v>446895321</v>
      </c>
      <c r="E25" s="2">
        <v>448840931</v>
      </c>
      <c r="F25" s="2">
        <v>427893092</v>
      </c>
      <c r="G25" s="2">
        <v>468775619</v>
      </c>
      <c r="H25" s="2">
        <v>450510120</v>
      </c>
      <c r="I25" s="14">
        <f t="shared" si="2"/>
        <v>451213806</v>
      </c>
      <c r="J25" s="8">
        <f t="shared" si="3"/>
        <v>228005</v>
      </c>
      <c r="K25" s="8">
        <f t="shared" si="4"/>
        <v>219426</v>
      </c>
      <c r="L25" s="8">
        <f t="shared" si="5"/>
        <v>220381</v>
      </c>
      <c r="M25" s="8">
        <f t="shared" si="6"/>
        <v>210096</v>
      </c>
      <c r="N25" s="8">
        <f t="shared" si="7"/>
        <v>230169</v>
      </c>
      <c r="O25" s="8">
        <f t="shared" si="8"/>
        <v>221200</v>
      </c>
      <c r="P25" s="15">
        <f t="shared" si="9"/>
        <v>221546</v>
      </c>
      <c r="Q25" s="1"/>
    </row>
    <row r="26" spans="1:17" x14ac:dyDescent="0.25">
      <c r="A26" s="2">
        <f t="shared" si="0"/>
        <v>26</v>
      </c>
      <c r="B26" s="1" t="s">
        <v>50</v>
      </c>
      <c r="C26" s="2">
        <v>498106950</v>
      </c>
      <c r="D26" s="2">
        <v>472918391</v>
      </c>
      <c r="E26" s="2">
        <v>463419608</v>
      </c>
      <c r="F26" s="2">
        <v>436068508</v>
      </c>
      <c r="G26" s="2">
        <v>470541365</v>
      </c>
      <c r="H26" s="2">
        <v>442563458</v>
      </c>
      <c r="I26" s="14">
        <f t="shared" si="2"/>
        <v>463936380</v>
      </c>
      <c r="J26" s="8">
        <f t="shared" si="3"/>
        <v>244571</v>
      </c>
      <c r="K26" s="8">
        <f t="shared" si="4"/>
        <v>232203</v>
      </c>
      <c r="L26" s="8">
        <f t="shared" si="5"/>
        <v>227539</v>
      </c>
      <c r="M26" s="8">
        <f t="shared" si="6"/>
        <v>214110</v>
      </c>
      <c r="N26" s="8">
        <f t="shared" si="7"/>
        <v>231036</v>
      </c>
      <c r="O26" s="8">
        <f t="shared" si="8"/>
        <v>217299</v>
      </c>
      <c r="P26" s="15">
        <f t="shared" si="9"/>
        <v>227793</v>
      </c>
      <c r="Q26" s="1"/>
    </row>
    <row r="27" spans="1:17" x14ac:dyDescent="0.25">
      <c r="A27" s="2">
        <f t="shared" si="0"/>
        <v>27</v>
      </c>
      <c r="B27" s="1" t="s">
        <v>51</v>
      </c>
      <c r="C27" s="2">
        <v>545171741</v>
      </c>
      <c r="D27" s="2">
        <v>534001839</v>
      </c>
      <c r="E27" s="2">
        <v>536924600</v>
      </c>
      <c r="F27" s="2">
        <v>505322872</v>
      </c>
      <c r="G27" s="2">
        <v>545603597</v>
      </c>
      <c r="H27" s="2">
        <v>519381181</v>
      </c>
      <c r="I27" s="14">
        <f t="shared" si="2"/>
        <v>531067638</v>
      </c>
      <c r="J27" s="8">
        <f t="shared" si="3"/>
        <v>267679</v>
      </c>
      <c r="K27" s="8">
        <f t="shared" si="4"/>
        <v>262195</v>
      </c>
      <c r="L27" s="8">
        <f t="shared" si="5"/>
        <v>263630</v>
      </c>
      <c r="M27" s="8">
        <f t="shared" si="6"/>
        <v>248114</v>
      </c>
      <c r="N27" s="8">
        <f t="shared" si="7"/>
        <v>267891</v>
      </c>
      <c r="O27" s="8">
        <f t="shared" si="8"/>
        <v>255016</v>
      </c>
      <c r="P27" s="15">
        <f t="shared" si="9"/>
        <v>260754</v>
      </c>
      <c r="Q27" s="1"/>
    </row>
    <row r="28" spans="1:17" x14ac:dyDescent="0.25">
      <c r="A28" s="2">
        <f t="shared" si="0"/>
        <v>28</v>
      </c>
      <c r="B28" s="1" t="s">
        <v>52</v>
      </c>
      <c r="C28" s="2">
        <f>958270888-83021471</f>
        <v>875249417</v>
      </c>
      <c r="D28" s="2">
        <f>881817460-38275549</f>
        <v>843541911</v>
      </c>
      <c r="E28" s="2">
        <f>1004335325-154885160</f>
        <v>849450165</v>
      </c>
      <c r="F28" s="2">
        <f>1003315863-157704004</f>
        <v>845611859</v>
      </c>
      <c r="G28" s="2">
        <f>992750692-126754044</f>
        <v>865996648</v>
      </c>
      <c r="H28" s="2">
        <f>928299879-94465360</f>
        <v>833834519</v>
      </c>
      <c r="I28" s="14">
        <f t="shared" si="2"/>
        <v>852280753</v>
      </c>
      <c r="J28" s="8">
        <f t="shared" si="3"/>
        <v>429747</v>
      </c>
      <c r="K28" s="8">
        <f t="shared" si="4"/>
        <v>414179</v>
      </c>
      <c r="L28" s="8">
        <f t="shared" si="5"/>
        <v>417080</v>
      </c>
      <c r="M28" s="8">
        <f t="shared" si="6"/>
        <v>415195</v>
      </c>
      <c r="N28" s="8">
        <f t="shared" si="7"/>
        <v>425204</v>
      </c>
      <c r="O28" s="8">
        <f t="shared" si="8"/>
        <v>409413</v>
      </c>
      <c r="P28" s="15">
        <f t="shared" si="9"/>
        <v>418470</v>
      </c>
      <c r="Q28" s="1"/>
    </row>
    <row r="29" spans="1:17" x14ac:dyDescent="0.25">
      <c r="A29" s="2">
        <f t="shared" si="0"/>
        <v>29</v>
      </c>
      <c r="B29" s="1" t="s">
        <v>53</v>
      </c>
      <c r="C29" s="2">
        <v>270186693</v>
      </c>
      <c r="D29" s="2">
        <v>263079445</v>
      </c>
      <c r="E29" s="2">
        <v>261944284</v>
      </c>
      <c r="F29" s="2">
        <v>250857783</v>
      </c>
      <c r="G29" s="2">
        <v>270301596</v>
      </c>
      <c r="H29" s="2">
        <v>259792804</v>
      </c>
      <c r="I29" s="14">
        <f t="shared" si="2"/>
        <v>262693768</v>
      </c>
      <c r="J29" s="8">
        <f t="shared" si="3"/>
        <v>132662</v>
      </c>
      <c r="K29" s="8">
        <f t="shared" si="4"/>
        <v>129172</v>
      </c>
      <c r="L29" s="8">
        <f t="shared" si="5"/>
        <v>128615</v>
      </c>
      <c r="M29" s="8">
        <f t="shared" si="6"/>
        <v>123171</v>
      </c>
      <c r="N29" s="8">
        <f t="shared" si="7"/>
        <v>132718</v>
      </c>
      <c r="O29" s="8">
        <f t="shared" si="8"/>
        <v>127558</v>
      </c>
      <c r="P29" s="15">
        <f t="shared" si="9"/>
        <v>128983</v>
      </c>
      <c r="Q29" s="1"/>
    </row>
    <row r="30" spans="1:17" x14ac:dyDescent="0.25">
      <c r="A30" s="2">
        <f t="shared" si="0"/>
        <v>30</v>
      </c>
      <c r="B30" s="1" t="s">
        <v>54</v>
      </c>
      <c r="C30" s="2">
        <v>487468438</v>
      </c>
      <c r="D30" s="2">
        <v>470443362</v>
      </c>
      <c r="E30" s="2">
        <v>484106405</v>
      </c>
      <c r="F30" s="2">
        <v>465755004</v>
      </c>
      <c r="G30" s="2">
        <v>510842152</v>
      </c>
      <c r="H30" s="2">
        <v>494380809</v>
      </c>
      <c r="I30" s="14">
        <f t="shared" si="2"/>
        <v>485499362</v>
      </c>
      <c r="J30" s="8">
        <f t="shared" si="3"/>
        <v>239347</v>
      </c>
      <c r="K30" s="8">
        <f t="shared" si="4"/>
        <v>230988</v>
      </c>
      <c r="L30" s="8">
        <f t="shared" si="5"/>
        <v>237696</v>
      </c>
      <c r="M30" s="8">
        <f t="shared" si="6"/>
        <v>228686</v>
      </c>
      <c r="N30" s="8">
        <f t="shared" si="7"/>
        <v>250823</v>
      </c>
      <c r="O30" s="8">
        <f t="shared" si="8"/>
        <v>242741</v>
      </c>
      <c r="P30" s="15">
        <f t="shared" si="9"/>
        <v>238380</v>
      </c>
      <c r="Q30" s="1"/>
    </row>
    <row r="31" spans="1:17" x14ac:dyDescent="0.25">
      <c r="A31" s="2">
        <f t="shared" si="0"/>
        <v>31</v>
      </c>
      <c r="B31" s="1" t="s">
        <v>55</v>
      </c>
      <c r="C31" s="2">
        <v>963810517</v>
      </c>
      <c r="D31" s="2">
        <v>911371424</v>
      </c>
      <c r="E31" s="2">
        <v>917619623</v>
      </c>
      <c r="F31" s="2">
        <v>871147701</v>
      </c>
      <c r="G31" s="2">
        <v>955522247</v>
      </c>
      <c r="H31" s="2">
        <v>925434621</v>
      </c>
      <c r="I31" s="14">
        <f t="shared" si="2"/>
        <v>924151022</v>
      </c>
      <c r="J31" s="8">
        <f t="shared" si="3"/>
        <v>473231</v>
      </c>
      <c r="K31" s="8">
        <f t="shared" si="4"/>
        <v>447483</v>
      </c>
      <c r="L31" s="8">
        <f t="shared" si="5"/>
        <v>450551</v>
      </c>
      <c r="M31" s="8">
        <f t="shared" si="6"/>
        <v>427734</v>
      </c>
      <c r="N31" s="8">
        <f t="shared" si="7"/>
        <v>469161</v>
      </c>
      <c r="O31" s="8">
        <f t="shared" si="8"/>
        <v>454388</v>
      </c>
      <c r="P31" s="15">
        <f t="shared" si="9"/>
        <v>453758</v>
      </c>
      <c r="Q31" s="1"/>
    </row>
    <row r="32" spans="1:17" x14ac:dyDescent="0.25">
      <c r="A32" s="2">
        <f t="shared" si="0"/>
        <v>32</v>
      </c>
      <c r="B32" s="1" t="s">
        <v>56</v>
      </c>
      <c r="C32" s="2">
        <v>277479003</v>
      </c>
      <c r="D32" s="2">
        <v>262566679</v>
      </c>
      <c r="E32" s="2">
        <v>262488345</v>
      </c>
      <c r="F32" s="2">
        <v>247024092</v>
      </c>
      <c r="G32" s="2">
        <v>266385243</v>
      </c>
      <c r="H32" s="2">
        <v>255206193</v>
      </c>
      <c r="I32" s="14">
        <f t="shared" si="2"/>
        <v>261858259</v>
      </c>
      <c r="J32" s="8">
        <f t="shared" si="3"/>
        <v>136242</v>
      </c>
      <c r="K32" s="8">
        <f t="shared" si="4"/>
        <v>128920</v>
      </c>
      <c r="L32" s="8">
        <f t="shared" si="5"/>
        <v>128882</v>
      </c>
      <c r="M32" s="8">
        <f t="shared" si="6"/>
        <v>121289</v>
      </c>
      <c r="N32" s="8">
        <f t="shared" si="7"/>
        <v>130795</v>
      </c>
      <c r="O32" s="8">
        <f t="shared" si="8"/>
        <v>125306</v>
      </c>
      <c r="P32" s="15">
        <f t="shared" si="9"/>
        <v>128572</v>
      </c>
      <c r="Q32" s="1"/>
    </row>
    <row r="33" spans="1:17" x14ac:dyDescent="0.25">
      <c r="A33" s="2">
        <f t="shared" si="0"/>
        <v>33</v>
      </c>
      <c r="B33" s="1" t="s">
        <v>57</v>
      </c>
      <c r="C33" s="2">
        <v>820106323</v>
      </c>
      <c r="D33" s="2">
        <v>795034070</v>
      </c>
      <c r="E33" s="2">
        <v>798910822</v>
      </c>
      <c r="F33" s="2">
        <v>760403789</v>
      </c>
      <c r="G33" s="2">
        <v>819131411</v>
      </c>
      <c r="H33" s="2">
        <v>784861333</v>
      </c>
      <c r="I33" s="14">
        <f t="shared" si="2"/>
        <v>796407958</v>
      </c>
      <c r="J33" s="8">
        <f t="shared" si="3"/>
        <v>402672</v>
      </c>
      <c r="K33" s="8">
        <f t="shared" si="4"/>
        <v>390362</v>
      </c>
      <c r="L33" s="8">
        <f t="shared" si="5"/>
        <v>392265</v>
      </c>
      <c r="M33" s="8">
        <f t="shared" si="6"/>
        <v>373358</v>
      </c>
      <c r="N33" s="8">
        <f t="shared" si="7"/>
        <v>402194</v>
      </c>
      <c r="O33" s="8">
        <f t="shared" si="8"/>
        <v>385367</v>
      </c>
      <c r="P33" s="15">
        <f t="shared" si="9"/>
        <v>391036</v>
      </c>
      <c r="Q33" s="1"/>
    </row>
    <row r="34" spans="1:17" x14ac:dyDescent="0.25">
      <c r="A34" s="2">
        <f t="shared" si="0"/>
        <v>34</v>
      </c>
      <c r="B34" s="1" t="s">
        <v>58</v>
      </c>
      <c r="C34" s="2">
        <v>2339180734</v>
      </c>
      <c r="D34" s="2">
        <v>2134263162</v>
      </c>
      <c r="E34" s="2">
        <v>2252572338</v>
      </c>
      <c r="F34" s="2">
        <v>2284294624</v>
      </c>
      <c r="G34" s="2">
        <v>2423377414</v>
      </c>
      <c r="H34" s="2">
        <v>2409450719</v>
      </c>
      <c r="I34" s="14">
        <f t="shared" si="2"/>
        <v>2307189832</v>
      </c>
      <c r="J34" s="8">
        <f t="shared" si="3"/>
        <v>1148538</v>
      </c>
      <c r="K34" s="8">
        <f t="shared" si="4"/>
        <v>1047923</v>
      </c>
      <c r="L34" s="8">
        <f t="shared" si="5"/>
        <v>1106013</v>
      </c>
      <c r="M34" s="8">
        <f t="shared" si="6"/>
        <v>1121589</v>
      </c>
      <c r="N34" s="8">
        <f t="shared" si="7"/>
        <v>1189878</v>
      </c>
      <c r="O34" s="8">
        <f t="shared" si="8"/>
        <v>1183040</v>
      </c>
      <c r="P34" s="15">
        <f t="shared" si="9"/>
        <v>1132830</v>
      </c>
      <c r="Q34" s="1"/>
    </row>
    <row r="35" spans="1:17" x14ac:dyDescent="0.25">
      <c r="A35" s="2">
        <f t="shared" si="0"/>
        <v>35</v>
      </c>
      <c r="B35" s="1" t="s">
        <v>59</v>
      </c>
      <c r="C35" s="2">
        <v>1196920394</v>
      </c>
      <c r="D35" s="2">
        <v>1176519957</v>
      </c>
      <c r="E35" s="2">
        <v>1207066266</v>
      </c>
      <c r="F35" s="2">
        <v>1184476084</v>
      </c>
      <c r="G35" s="2">
        <v>1294364367</v>
      </c>
      <c r="H35" s="2">
        <v>1269912881</v>
      </c>
      <c r="I35" s="14">
        <f t="shared" si="2"/>
        <v>1221543325</v>
      </c>
      <c r="J35" s="8">
        <f t="shared" si="3"/>
        <v>587688</v>
      </c>
      <c r="K35" s="8">
        <f t="shared" si="4"/>
        <v>577671</v>
      </c>
      <c r="L35" s="8">
        <f t="shared" si="5"/>
        <v>592670</v>
      </c>
      <c r="M35" s="8">
        <f t="shared" si="6"/>
        <v>581578</v>
      </c>
      <c r="N35" s="8">
        <f t="shared" si="7"/>
        <v>635533</v>
      </c>
      <c r="O35" s="8">
        <f t="shared" si="8"/>
        <v>623527</v>
      </c>
      <c r="P35" s="15">
        <f t="shared" si="9"/>
        <v>599778</v>
      </c>
      <c r="Q35" s="1"/>
    </row>
    <row r="36" spans="1:17" x14ac:dyDescent="0.25">
      <c r="A36" s="2">
        <f t="shared" si="0"/>
        <v>36</v>
      </c>
      <c r="B36" s="1" t="s">
        <v>60</v>
      </c>
      <c r="C36" s="2">
        <v>500624685</v>
      </c>
      <c r="D36" s="2">
        <v>498300426</v>
      </c>
      <c r="E36" s="2">
        <v>516352906</v>
      </c>
      <c r="F36" s="2">
        <v>500695586</v>
      </c>
      <c r="G36" s="2">
        <v>524856128</v>
      </c>
      <c r="H36" s="2">
        <v>516054722</v>
      </c>
      <c r="I36" s="14">
        <f t="shared" si="2"/>
        <v>509480742</v>
      </c>
      <c r="J36" s="8">
        <f t="shared" si="3"/>
        <v>245807</v>
      </c>
      <c r="K36" s="8">
        <f t="shared" si="4"/>
        <v>244666</v>
      </c>
      <c r="L36" s="8">
        <f t="shared" si="5"/>
        <v>253529</v>
      </c>
      <c r="M36" s="8">
        <f t="shared" si="6"/>
        <v>245842</v>
      </c>
      <c r="N36" s="8">
        <f t="shared" si="7"/>
        <v>257704</v>
      </c>
      <c r="O36" s="8">
        <f t="shared" si="8"/>
        <v>253383</v>
      </c>
      <c r="P36" s="15">
        <f t="shared" si="9"/>
        <v>250155</v>
      </c>
      <c r="Q36" s="1"/>
    </row>
    <row r="37" spans="1:17" x14ac:dyDescent="0.25">
      <c r="A37" s="2">
        <f t="shared" si="0"/>
        <v>37</v>
      </c>
      <c r="B37" s="1" t="s">
        <v>61</v>
      </c>
      <c r="C37" s="2">
        <v>1374317307</v>
      </c>
      <c r="D37" s="2">
        <v>1320602148</v>
      </c>
      <c r="E37" s="2">
        <v>1334195975</v>
      </c>
      <c r="F37" s="2">
        <v>1274648341</v>
      </c>
      <c r="G37" s="2">
        <v>1379206804</v>
      </c>
      <c r="H37" s="2">
        <v>1324842733</v>
      </c>
      <c r="I37" s="14">
        <f t="shared" si="2"/>
        <v>1334635551</v>
      </c>
      <c r="J37" s="8">
        <f t="shared" si="3"/>
        <v>674790</v>
      </c>
      <c r="K37" s="8">
        <f t="shared" si="4"/>
        <v>648416</v>
      </c>
      <c r="L37" s="8">
        <f t="shared" si="5"/>
        <v>655090</v>
      </c>
      <c r="M37" s="8">
        <f t="shared" si="6"/>
        <v>625852</v>
      </c>
      <c r="N37" s="8">
        <f t="shared" si="7"/>
        <v>677191</v>
      </c>
      <c r="O37" s="8">
        <f t="shared" si="8"/>
        <v>650498</v>
      </c>
      <c r="P37" s="15">
        <f t="shared" si="9"/>
        <v>655306</v>
      </c>
      <c r="Q37" s="1"/>
    </row>
    <row r="38" spans="1:17" x14ac:dyDescent="0.25">
      <c r="A38" s="2">
        <f t="shared" si="0"/>
        <v>38</v>
      </c>
      <c r="B38" s="1" t="s">
        <v>62</v>
      </c>
      <c r="C38" s="9">
        <f>536643627-34187970</f>
        <v>502455657</v>
      </c>
      <c r="D38" s="9">
        <f>508250292-29354610</f>
        <v>478895682</v>
      </c>
      <c r="E38" s="9">
        <f>564888863-78712773</f>
        <v>486176090</v>
      </c>
      <c r="F38" s="9">
        <f>566968256-101003005</f>
        <v>465965251</v>
      </c>
      <c r="G38" s="9">
        <f>607347214-101604475</f>
        <v>505742739</v>
      </c>
      <c r="H38" s="9">
        <f>576924539-88551485</f>
        <v>488373054</v>
      </c>
      <c r="I38" s="9">
        <f t="shared" si="2"/>
        <v>487934746</v>
      </c>
      <c r="J38" s="12">
        <f t="shared" si="3"/>
        <v>246706</v>
      </c>
      <c r="K38" s="12">
        <f t="shared" si="4"/>
        <v>235138</v>
      </c>
      <c r="L38" s="12">
        <f t="shared" si="5"/>
        <v>238712</v>
      </c>
      <c r="M38" s="12">
        <f t="shared" si="6"/>
        <v>228789</v>
      </c>
      <c r="N38" s="12">
        <f t="shared" si="7"/>
        <v>248320</v>
      </c>
      <c r="O38" s="12">
        <f t="shared" si="8"/>
        <v>239791</v>
      </c>
      <c r="P38" s="12">
        <f t="shared" si="9"/>
        <v>239576</v>
      </c>
      <c r="Q38" s="1"/>
    </row>
    <row r="39" spans="1:17" x14ac:dyDescent="0.25">
      <c r="A39" s="2">
        <f t="shared" si="0"/>
        <v>39</v>
      </c>
      <c r="B39" s="1"/>
      <c r="C39" s="2"/>
      <c r="D39" s="2"/>
      <c r="E39" s="2"/>
      <c r="F39" s="2"/>
      <c r="G39" s="2"/>
      <c r="H39" s="2"/>
      <c r="I39" s="14"/>
      <c r="J39" s="8"/>
      <c r="K39" s="8"/>
      <c r="L39" s="8"/>
      <c r="M39" s="8"/>
      <c r="N39" s="8"/>
      <c r="O39" s="8"/>
      <c r="P39" s="1"/>
      <c r="Q39" s="1"/>
    </row>
    <row r="40" spans="1:17" ht="15.75" thickBot="1" x14ac:dyDescent="0.3">
      <c r="A40" s="2">
        <f t="shared" si="0"/>
        <v>40</v>
      </c>
      <c r="B40" s="1" t="s">
        <v>63</v>
      </c>
      <c r="C40" s="10">
        <f>SUM(C23:C38)</f>
        <v>12772904100</v>
      </c>
      <c r="D40" s="10">
        <f t="shared" ref="D40:I40" si="10">SUM(D23:D38)</f>
        <v>12209623524</v>
      </c>
      <c r="E40" s="10">
        <f t="shared" si="10"/>
        <v>12439358075</v>
      </c>
      <c r="F40" s="10">
        <f t="shared" si="10"/>
        <v>12078526803</v>
      </c>
      <c r="G40" s="10">
        <f t="shared" si="10"/>
        <v>12984379427</v>
      </c>
      <c r="H40" s="10">
        <f t="shared" si="10"/>
        <v>12601139153</v>
      </c>
      <c r="I40" s="10">
        <f t="shared" si="10"/>
        <v>12514321848</v>
      </c>
      <c r="J40" s="11">
        <f>SUM(J23:J38)</f>
        <v>6271497</v>
      </c>
      <c r="K40" s="11">
        <f t="shared" ref="K40:O40" si="11">SUM(K23:K38)</f>
        <v>5994926</v>
      </c>
      <c r="L40" s="11">
        <f t="shared" si="11"/>
        <v>6107724</v>
      </c>
      <c r="M40" s="11">
        <f t="shared" si="11"/>
        <v>5930559</v>
      </c>
      <c r="N40" s="11">
        <f t="shared" si="11"/>
        <v>6375329</v>
      </c>
      <c r="O40" s="11">
        <f t="shared" si="11"/>
        <v>6187158</v>
      </c>
      <c r="P40" s="11">
        <f>SUM(P23:P38)</f>
        <v>6144532</v>
      </c>
      <c r="Q40" s="1"/>
    </row>
    <row r="41" spans="1:17" ht="15.75" thickTop="1" x14ac:dyDescent="0.25">
      <c r="A41" s="2">
        <f t="shared" si="0"/>
        <v>41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2">
        <f t="shared" si="0"/>
        <v>42</v>
      </c>
      <c r="B42" s="47" t="s">
        <v>104</v>
      </c>
      <c r="C42" s="1"/>
      <c r="D42" s="1"/>
      <c r="E42" s="1"/>
      <c r="F42" s="1"/>
      <c r="G42" s="1"/>
      <c r="H42" s="1"/>
      <c r="I42" s="1"/>
      <c r="J42" s="47" t="s">
        <v>106</v>
      </c>
      <c r="K42" s="1"/>
      <c r="L42" s="1"/>
      <c r="M42" s="1"/>
      <c r="N42" s="1"/>
      <c r="O42" s="1"/>
      <c r="P42" s="1"/>
      <c r="Q42" s="1"/>
    </row>
    <row r="43" spans="1:17" x14ac:dyDescent="0.25">
      <c r="A43" s="2">
        <f t="shared" si="0"/>
        <v>43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.75" thickBot="1" x14ac:dyDescent="0.3">
      <c r="A44" s="2">
        <f t="shared" si="0"/>
        <v>44</v>
      </c>
      <c r="B44" s="5" t="s">
        <v>46</v>
      </c>
      <c r="C44" s="25" t="s">
        <v>74</v>
      </c>
      <c r="D44" s="25" t="s">
        <v>75</v>
      </c>
      <c r="E44" s="25" t="s">
        <v>76</v>
      </c>
      <c r="F44" s="25" t="s">
        <v>77</v>
      </c>
      <c r="G44" s="25" t="s">
        <v>78</v>
      </c>
      <c r="H44" s="25" t="s">
        <v>79</v>
      </c>
      <c r="I44" s="5" t="s">
        <v>105</v>
      </c>
      <c r="J44" s="25" t="s">
        <v>74</v>
      </c>
      <c r="K44" s="25" t="s">
        <v>75</v>
      </c>
      <c r="L44" s="25" t="s">
        <v>76</v>
      </c>
      <c r="M44" s="25" t="s">
        <v>77</v>
      </c>
      <c r="N44" s="25" t="s">
        <v>78</v>
      </c>
      <c r="O44" s="25" t="s">
        <v>79</v>
      </c>
      <c r="P44" s="5" t="s">
        <v>105</v>
      </c>
      <c r="Q44" s="1"/>
    </row>
    <row r="45" spans="1:17" x14ac:dyDescent="0.25">
      <c r="A45" s="2">
        <f t="shared" si="0"/>
        <v>45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">
        <f t="shared" si="0"/>
        <v>46</v>
      </c>
      <c r="B46" s="1" t="s">
        <v>47</v>
      </c>
      <c r="C46" s="8">
        <f>J23</f>
        <v>127208</v>
      </c>
      <c r="D46" s="8">
        <f t="shared" ref="D46:I46" si="12">K23</f>
        <v>118516</v>
      </c>
      <c r="E46" s="8">
        <f t="shared" si="12"/>
        <v>115681</v>
      </c>
      <c r="F46" s="8">
        <f t="shared" si="12"/>
        <v>108295</v>
      </c>
      <c r="G46" s="8">
        <f t="shared" si="12"/>
        <v>117314</v>
      </c>
      <c r="H46" s="8">
        <f t="shared" si="12"/>
        <v>111743</v>
      </c>
      <c r="I46" s="8">
        <f t="shared" si="12"/>
        <v>116460</v>
      </c>
      <c r="J46" s="20">
        <f>ROUND(C46/C$63,5)</f>
        <v>2.0279999999999999E-2</v>
      </c>
      <c r="K46" s="20">
        <f>ROUND(D46/D$63,5)</f>
        <v>1.9769999999999999E-2</v>
      </c>
      <c r="L46" s="20">
        <f t="shared" ref="L46:P61" si="13">ROUND(E46/E$63,5)</f>
        <v>1.8939999999999999E-2</v>
      </c>
      <c r="M46" s="20">
        <f t="shared" si="13"/>
        <v>1.8259999999999998E-2</v>
      </c>
      <c r="N46" s="20">
        <f t="shared" si="13"/>
        <v>1.84E-2</v>
      </c>
      <c r="O46" s="20">
        <f t="shared" si="13"/>
        <v>1.806E-2</v>
      </c>
      <c r="P46" s="20">
        <f t="shared" si="13"/>
        <v>1.8950000000000002E-2</v>
      </c>
      <c r="Q46" s="1"/>
    </row>
    <row r="47" spans="1:17" x14ac:dyDescent="0.25">
      <c r="A47" s="2">
        <f t="shared" si="0"/>
        <v>47</v>
      </c>
      <c r="B47" s="1" t="s">
        <v>48</v>
      </c>
      <c r="C47" s="15">
        <f t="shared" ref="C47:C61" si="14">J24</f>
        <v>686604</v>
      </c>
      <c r="D47" s="15">
        <f t="shared" ref="D47:D61" si="15">K24</f>
        <v>667668</v>
      </c>
      <c r="E47" s="15">
        <f t="shared" ref="E47:E61" si="16">L24</f>
        <v>679390</v>
      </c>
      <c r="F47" s="15">
        <f t="shared" ref="F47:F61" si="17">M24</f>
        <v>656861</v>
      </c>
      <c r="G47" s="15">
        <f t="shared" ref="G47:G61" si="18">N24</f>
        <v>709398</v>
      </c>
      <c r="H47" s="15">
        <f t="shared" ref="H47:H61" si="19">O24</f>
        <v>686888</v>
      </c>
      <c r="I47" s="15">
        <f t="shared" ref="I47:I61" si="20">P24</f>
        <v>681135</v>
      </c>
      <c r="J47" s="22">
        <f t="shared" ref="J47:K61" si="21">ROUND(C47/C$63,5)</f>
        <v>0.10947999999999999</v>
      </c>
      <c r="K47" s="22">
        <f t="shared" si="21"/>
        <v>0.11137</v>
      </c>
      <c r="L47" s="22">
        <f t="shared" si="13"/>
        <v>0.11123</v>
      </c>
      <c r="M47" s="22">
        <f t="shared" si="13"/>
        <v>0.11076</v>
      </c>
      <c r="N47" s="22">
        <f t="shared" si="13"/>
        <v>0.11126999999999999</v>
      </c>
      <c r="O47" s="22">
        <f t="shared" si="13"/>
        <v>0.11101999999999999</v>
      </c>
      <c r="P47" s="22">
        <f t="shared" si="13"/>
        <v>0.11085</v>
      </c>
      <c r="Q47" s="1"/>
    </row>
    <row r="48" spans="1:17" x14ac:dyDescent="0.25">
      <c r="A48" s="2">
        <f t="shared" si="0"/>
        <v>48</v>
      </c>
      <c r="B48" s="1" t="s">
        <v>49</v>
      </c>
      <c r="C48" s="15">
        <f t="shared" si="14"/>
        <v>228005</v>
      </c>
      <c r="D48" s="15">
        <f t="shared" si="15"/>
        <v>219426</v>
      </c>
      <c r="E48" s="15">
        <f t="shared" si="16"/>
        <v>220381</v>
      </c>
      <c r="F48" s="15">
        <f t="shared" si="17"/>
        <v>210096</v>
      </c>
      <c r="G48" s="15">
        <f t="shared" si="18"/>
        <v>230169</v>
      </c>
      <c r="H48" s="15">
        <f t="shared" si="19"/>
        <v>221200</v>
      </c>
      <c r="I48" s="15">
        <f t="shared" si="20"/>
        <v>221546</v>
      </c>
      <c r="J48" s="22">
        <f t="shared" si="21"/>
        <v>3.6360000000000003E-2</v>
      </c>
      <c r="K48" s="22">
        <f t="shared" si="21"/>
        <v>3.6600000000000001E-2</v>
      </c>
      <c r="L48" s="22">
        <f t="shared" si="13"/>
        <v>3.6080000000000001E-2</v>
      </c>
      <c r="M48" s="22">
        <f t="shared" si="13"/>
        <v>3.5430000000000003E-2</v>
      </c>
      <c r="N48" s="22">
        <f t="shared" si="13"/>
        <v>3.61E-2</v>
      </c>
      <c r="O48" s="22">
        <f t="shared" si="13"/>
        <v>3.5749999999999997E-2</v>
      </c>
      <c r="P48" s="22">
        <f t="shared" si="13"/>
        <v>3.6060000000000002E-2</v>
      </c>
      <c r="Q48" s="1"/>
    </row>
    <row r="49" spans="1:17" x14ac:dyDescent="0.25">
      <c r="A49" s="2">
        <f t="shared" si="0"/>
        <v>49</v>
      </c>
      <c r="B49" s="1" t="s">
        <v>50</v>
      </c>
      <c r="C49" s="15">
        <f t="shared" si="14"/>
        <v>244571</v>
      </c>
      <c r="D49" s="15">
        <f t="shared" si="15"/>
        <v>232203</v>
      </c>
      <c r="E49" s="15">
        <f t="shared" si="16"/>
        <v>227539</v>
      </c>
      <c r="F49" s="15">
        <f t="shared" si="17"/>
        <v>214110</v>
      </c>
      <c r="G49" s="15">
        <f t="shared" si="18"/>
        <v>231036</v>
      </c>
      <c r="H49" s="15">
        <f t="shared" si="19"/>
        <v>217299</v>
      </c>
      <c r="I49" s="15">
        <f t="shared" si="20"/>
        <v>227793</v>
      </c>
      <c r="J49" s="22">
        <f t="shared" si="21"/>
        <v>3.9E-2</v>
      </c>
      <c r="K49" s="22">
        <f t="shared" si="21"/>
        <v>3.8730000000000001E-2</v>
      </c>
      <c r="L49" s="22">
        <f t="shared" si="13"/>
        <v>3.7249999999999998E-2</v>
      </c>
      <c r="M49" s="22">
        <f t="shared" si="13"/>
        <v>3.61E-2</v>
      </c>
      <c r="N49" s="22">
        <f t="shared" si="13"/>
        <v>3.6240000000000001E-2</v>
      </c>
      <c r="O49" s="22">
        <f t="shared" si="13"/>
        <v>3.5119999999999998E-2</v>
      </c>
      <c r="P49" s="22">
        <f t="shared" si="13"/>
        <v>3.7069999999999999E-2</v>
      </c>
      <c r="Q49" s="1"/>
    </row>
    <row r="50" spans="1:17" x14ac:dyDescent="0.25">
      <c r="A50" s="2">
        <f t="shared" si="0"/>
        <v>50</v>
      </c>
      <c r="B50" s="1" t="s">
        <v>51</v>
      </c>
      <c r="C50" s="15">
        <f t="shared" si="14"/>
        <v>267679</v>
      </c>
      <c r="D50" s="15">
        <f t="shared" si="15"/>
        <v>262195</v>
      </c>
      <c r="E50" s="15">
        <f t="shared" si="16"/>
        <v>263630</v>
      </c>
      <c r="F50" s="15">
        <f t="shared" si="17"/>
        <v>248114</v>
      </c>
      <c r="G50" s="15">
        <f t="shared" si="18"/>
        <v>267891</v>
      </c>
      <c r="H50" s="15">
        <f t="shared" si="19"/>
        <v>255016</v>
      </c>
      <c r="I50" s="15">
        <f t="shared" si="20"/>
        <v>260754</v>
      </c>
      <c r="J50" s="22">
        <f t="shared" si="21"/>
        <v>4.2680000000000003E-2</v>
      </c>
      <c r="K50" s="22">
        <f t="shared" si="21"/>
        <v>4.3740000000000001E-2</v>
      </c>
      <c r="L50" s="22">
        <f t="shared" si="13"/>
        <v>4.3159999999999997E-2</v>
      </c>
      <c r="M50" s="22">
        <f t="shared" si="13"/>
        <v>4.1840000000000002E-2</v>
      </c>
      <c r="N50" s="22">
        <f t="shared" si="13"/>
        <v>4.2020000000000002E-2</v>
      </c>
      <c r="O50" s="22">
        <f t="shared" si="13"/>
        <v>4.122E-2</v>
      </c>
      <c r="P50" s="22">
        <f t="shared" si="13"/>
        <v>4.2439999999999999E-2</v>
      </c>
      <c r="Q50" s="1"/>
    </row>
    <row r="51" spans="1:17" x14ac:dyDescent="0.25">
      <c r="A51" s="2">
        <f t="shared" si="0"/>
        <v>51</v>
      </c>
      <c r="B51" s="1" t="s">
        <v>52</v>
      </c>
      <c r="C51" s="15">
        <f t="shared" si="14"/>
        <v>429747</v>
      </c>
      <c r="D51" s="15">
        <f t="shared" si="15"/>
        <v>414179</v>
      </c>
      <c r="E51" s="15">
        <f t="shared" si="16"/>
        <v>417080</v>
      </c>
      <c r="F51" s="15">
        <f t="shared" si="17"/>
        <v>415195</v>
      </c>
      <c r="G51" s="15">
        <f t="shared" si="18"/>
        <v>425204</v>
      </c>
      <c r="H51" s="15">
        <f t="shared" si="19"/>
        <v>409413</v>
      </c>
      <c r="I51" s="15">
        <f t="shared" si="20"/>
        <v>418470</v>
      </c>
      <c r="J51" s="22">
        <f t="shared" si="21"/>
        <v>6.8519999999999998E-2</v>
      </c>
      <c r="K51" s="22">
        <f t="shared" si="21"/>
        <v>6.9089999999999999E-2</v>
      </c>
      <c r="L51" s="22">
        <f t="shared" si="13"/>
        <v>6.8290000000000003E-2</v>
      </c>
      <c r="M51" s="22">
        <f t="shared" si="13"/>
        <v>7.0010000000000003E-2</v>
      </c>
      <c r="N51" s="22">
        <f t="shared" si="13"/>
        <v>6.6699999999999995E-2</v>
      </c>
      <c r="O51" s="22">
        <f t="shared" si="13"/>
        <v>6.6170000000000007E-2</v>
      </c>
      <c r="P51" s="22">
        <f t="shared" si="13"/>
        <v>6.8099999999999994E-2</v>
      </c>
      <c r="Q51" s="1"/>
    </row>
    <row r="52" spans="1:17" x14ac:dyDescent="0.25">
      <c r="A52" s="2">
        <f t="shared" si="0"/>
        <v>52</v>
      </c>
      <c r="B52" s="1" t="s">
        <v>53</v>
      </c>
      <c r="C52" s="15">
        <f t="shared" si="14"/>
        <v>132662</v>
      </c>
      <c r="D52" s="15">
        <f t="shared" si="15"/>
        <v>129172</v>
      </c>
      <c r="E52" s="15">
        <f t="shared" si="16"/>
        <v>128615</v>
      </c>
      <c r="F52" s="15">
        <f t="shared" si="17"/>
        <v>123171</v>
      </c>
      <c r="G52" s="15">
        <f t="shared" si="18"/>
        <v>132718</v>
      </c>
      <c r="H52" s="15">
        <f t="shared" si="19"/>
        <v>127558</v>
      </c>
      <c r="I52" s="15">
        <f t="shared" si="20"/>
        <v>128983</v>
      </c>
      <c r="J52" s="22">
        <f t="shared" si="21"/>
        <v>2.1149999999999999E-2</v>
      </c>
      <c r="K52" s="22">
        <f t="shared" si="21"/>
        <v>2.155E-2</v>
      </c>
      <c r="L52" s="22">
        <f t="shared" si="13"/>
        <v>2.1059999999999999E-2</v>
      </c>
      <c r="M52" s="22">
        <f t="shared" si="13"/>
        <v>2.077E-2</v>
      </c>
      <c r="N52" s="22">
        <f t="shared" si="13"/>
        <v>2.0820000000000002E-2</v>
      </c>
      <c r="O52" s="22">
        <f t="shared" si="13"/>
        <v>2.0619999999999999E-2</v>
      </c>
      <c r="P52" s="22">
        <f t="shared" si="13"/>
        <v>2.0990000000000002E-2</v>
      </c>
      <c r="Q52" s="1"/>
    </row>
    <row r="53" spans="1:17" x14ac:dyDescent="0.25">
      <c r="A53" s="2">
        <f t="shared" si="0"/>
        <v>53</v>
      </c>
      <c r="B53" s="1" t="s">
        <v>54</v>
      </c>
      <c r="C53" s="15">
        <f t="shared" si="14"/>
        <v>239347</v>
      </c>
      <c r="D53" s="15">
        <f t="shared" si="15"/>
        <v>230988</v>
      </c>
      <c r="E53" s="15">
        <f t="shared" si="16"/>
        <v>237696</v>
      </c>
      <c r="F53" s="15">
        <f t="shared" si="17"/>
        <v>228686</v>
      </c>
      <c r="G53" s="15">
        <f t="shared" si="18"/>
        <v>250823</v>
      </c>
      <c r="H53" s="15">
        <f t="shared" si="19"/>
        <v>242741</v>
      </c>
      <c r="I53" s="15">
        <f t="shared" si="20"/>
        <v>238380</v>
      </c>
      <c r="J53" s="22">
        <f t="shared" si="21"/>
        <v>3.8159999999999999E-2</v>
      </c>
      <c r="K53" s="22">
        <f t="shared" si="21"/>
        <v>3.8530000000000002E-2</v>
      </c>
      <c r="L53" s="22">
        <f t="shared" si="13"/>
        <v>3.8920000000000003E-2</v>
      </c>
      <c r="M53" s="22">
        <f t="shared" si="13"/>
        <v>3.8559999999999997E-2</v>
      </c>
      <c r="N53" s="22">
        <f t="shared" si="13"/>
        <v>3.934E-2</v>
      </c>
      <c r="O53" s="22">
        <f t="shared" si="13"/>
        <v>3.9230000000000001E-2</v>
      </c>
      <c r="P53" s="22">
        <f t="shared" si="13"/>
        <v>3.8800000000000001E-2</v>
      </c>
      <c r="Q53" s="1"/>
    </row>
    <row r="54" spans="1:17" x14ac:dyDescent="0.25">
      <c r="A54" s="2">
        <f t="shared" si="0"/>
        <v>54</v>
      </c>
      <c r="B54" s="1" t="s">
        <v>55</v>
      </c>
      <c r="C54" s="15">
        <f t="shared" si="14"/>
        <v>473231</v>
      </c>
      <c r="D54" s="15">
        <f t="shared" si="15"/>
        <v>447483</v>
      </c>
      <c r="E54" s="15">
        <f t="shared" si="16"/>
        <v>450551</v>
      </c>
      <c r="F54" s="15">
        <f t="shared" si="17"/>
        <v>427734</v>
      </c>
      <c r="G54" s="15">
        <f t="shared" si="18"/>
        <v>469161</v>
      </c>
      <c r="H54" s="15">
        <f t="shared" si="19"/>
        <v>454388</v>
      </c>
      <c r="I54" s="15">
        <f t="shared" si="20"/>
        <v>453758</v>
      </c>
      <c r="J54" s="22">
        <f t="shared" si="21"/>
        <v>7.5459999999999999E-2</v>
      </c>
      <c r="K54" s="22">
        <f t="shared" si="21"/>
        <v>7.4639999999999998E-2</v>
      </c>
      <c r="L54" s="22">
        <f t="shared" si="13"/>
        <v>7.3770000000000002E-2</v>
      </c>
      <c r="M54" s="22">
        <f t="shared" si="13"/>
        <v>7.2120000000000004E-2</v>
      </c>
      <c r="N54" s="22">
        <f t="shared" si="13"/>
        <v>7.3590000000000003E-2</v>
      </c>
      <c r="O54" s="22">
        <f t="shared" si="13"/>
        <v>7.3440000000000005E-2</v>
      </c>
      <c r="P54" s="22">
        <f t="shared" si="13"/>
        <v>7.3849999999999999E-2</v>
      </c>
      <c r="Q54" s="1"/>
    </row>
    <row r="55" spans="1:17" x14ac:dyDescent="0.25">
      <c r="A55" s="2">
        <f t="shared" si="0"/>
        <v>55</v>
      </c>
      <c r="B55" s="1" t="s">
        <v>56</v>
      </c>
      <c r="C55" s="15">
        <f t="shared" si="14"/>
        <v>136242</v>
      </c>
      <c r="D55" s="15">
        <f t="shared" si="15"/>
        <v>128920</v>
      </c>
      <c r="E55" s="15">
        <f t="shared" si="16"/>
        <v>128882</v>
      </c>
      <c r="F55" s="15">
        <f t="shared" si="17"/>
        <v>121289</v>
      </c>
      <c r="G55" s="15">
        <f t="shared" si="18"/>
        <v>130795</v>
      </c>
      <c r="H55" s="15">
        <f t="shared" si="19"/>
        <v>125306</v>
      </c>
      <c r="I55" s="15">
        <f t="shared" si="20"/>
        <v>128572</v>
      </c>
      <c r="J55" s="22">
        <f t="shared" si="21"/>
        <v>2.172E-2</v>
      </c>
      <c r="K55" s="22">
        <f t="shared" si="21"/>
        <v>2.1499999999999998E-2</v>
      </c>
      <c r="L55" s="22">
        <f t="shared" si="13"/>
        <v>2.1100000000000001E-2</v>
      </c>
      <c r="M55" s="22">
        <f t="shared" si="13"/>
        <v>2.0449999999999999E-2</v>
      </c>
      <c r="N55" s="22">
        <f t="shared" si="13"/>
        <v>2.052E-2</v>
      </c>
      <c r="O55" s="22">
        <f t="shared" si="13"/>
        <v>2.0250000000000001E-2</v>
      </c>
      <c r="P55" s="22">
        <f t="shared" si="13"/>
        <v>2.0920000000000001E-2</v>
      </c>
      <c r="Q55" s="1"/>
    </row>
    <row r="56" spans="1:17" x14ac:dyDescent="0.25">
      <c r="A56" s="2">
        <f t="shared" si="0"/>
        <v>56</v>
      </c>
      <c r="B56" s="1" t="s">
        <v>57</v>
      </c>
      <c r="C56" s="15">
        <f t="shared" si="14"/>
        <v>402672</v>
      </c>
      <c r="D56" s="15">
        <f t="shared" si="15"/>
        <v>390362</v>
      </c>
      <c r="E56" s="15">
        <f t="shared" si="16"/>
        <v>392265</v>
      </c>
      <c r="F56" s="15">
        <f t="shared" si="17"/>
        <v>373358</v>
      </c>
      <c r="G56" s="15">
        <f t="shared" si="18"/>
        <v>402194</v>
      </c>
      <c r="H56" s="15">
        <f t="shared" si="19"/>
        <v>385367</v>
      </c>
      <c r="I56" s="15">
        <f t="shared" si="20"/>
        <v>391036</v>
      </c>
      <c r="J56" s="22">
        <f t="shared" si="21"/>
        <v>6.4210000000000003E-2</v>
      </c>
      <c r="K56" s="22">
        <f>ROUND(D56/D$63,5)</f>
        <v>6.5119999999999997E-2</v>
      </c>
      <c r="L56" s="22">
        <f t="shared" si="13"/>
        <v>6.4219999999999999E-2</v>
      </c>
      <c r="M56" s="22">
        <f t="shared" si="13"/>
        <v>6.2950000000000006E-2</v>
      </c>
      <c r="N56" s="22">
        <f t="shared" si="13"/>
        <v>6.3089999999999993E-2</v>
      </c>
      <c r="O56" s="22">
        <f t="shared" si="13"/>
        <v>6.2280000000000002E-2</v>
      </c>
      <c r="P56" s="22">
        <f t="shared" si="13"/>
        <v>6.3640000000000002E-2</v>
      </c>
      <c r="Q56" s="1"/>
    </row>
    <row r="57" spans="1:17" x14ac:dyDescent="0.25">
      <c r="A57" s="2">
        <f t="shared" si="0"/>
        <v>57</v>
      </c>
      <c r="B57" s="1" t="s">
        <v>58</v>
      </c>
      <c r="C57" s="15">
        <f t="shared" si="14"/>
        <v>1148538</v>
      </c>
      <c r="D57" s="15">
        <f t="shared" si="15"/>
        <v>1047923</v>
      </c>
      <c r="E57" s="15">
        <f t="shared" si="16"/>
        <v>1106013</v>
      </c>
      <c r="F57" s="15">
        <f t="shared" si="17"/>
        <v>1121589</v>
      </c>
      <c r="G57" s="15">
        <f t="shared" si="18"/>
        <v>1189878</v>
      </c>
      <c r="H57" s="15">
        <f t="shared" si="19"/>
        <v>1183040</v>
      </c>
      <c r="I57" s="15">
        <f t="shared" si="20"/>
        <v>1132830</v>
      </c>
      <c r="J57" s="22">
        <f t="shared" si="21"/>
        <v>0.18314</v>
      </c>
      <c r="K57" s="22">
        <f t="shared" si="21"/>
        <v>0.17480000000000001</v>
      </c>
      <c r="L57" s="22">
        <f t="shared" si="13"/>
        <v>0.18107999999999999</v>
      </c>
      <c r="M57" s="22">
        <f t="shared" si="13"/>
        <v>0.18912000000000001</v>
      </c>
      <c r="N57" s="22">
        <f t="shared" si="13"/>
        <v>0.18664</v>
      </c>
      <c r="O57" s="22">
        <f t="shared" si="13"/>
        <v>0.19120999999999999</v>
      </c>
      <c r="P57" s="22">
        <f t="shared" si="13"/>
        <v>0.18436</v>
      </c>
      <c r="Q57" s="1"/>
    </row>
    <row r="58" spans="1:17" x14ac:dyDescent="0.25">
      <c r="A58" s="2">
        <f t="shared" si="0"/>
        <v>58</v>
      </c>
      <c r="B58" s="1" t="s">
        <v>59</v>
      </c>
      <c r="C58" s="15">
        <f t="shared" si="14"/>
        <v>587688</v>
      </c>
      <c r="D58" s="15">
        <f t="shared" si="15"/>
        <v>577671</v>
      </c>
      <c r="E58" s="15">
        <f t="shared" si="16"/>
        <v>592670</v>
      </c>
      <c r="F58" s="15">
        <f t="shared" si="17"/>
        <v>581578</v>
      </c>
      <c r="G58" s="15">
        <f t="shared" si="18"/>
        <v>635533</v>
      </c>
      <c r="H58" s="15">
        <f t="shared" si="19"/>
        <v>623527</v>
      </c>
      <c r="I58" s="15">
        <f t="shared" si="20"/>
        <v>599778</v>
      </c>
      <c r="J58" s="22">
        <f t="shared" si="21"/>
        <v>9.3710000000000002E-2</v>
      </c>
      <c r="K58" s="22">
        <f t="shared" si="21"/>
        <v>9.6360000000000001E-2</v>
      </c>
      <c r="L58" s="22">
        <f t="shared" si="13"/>
        <v>9.7040000000000001E-2</v>
      </c>
      <c r="M58" s="22">
        <f t="shared" si="13"/>
        <v>9.8059999999999994E-2</v>
      </c>
      <c r="N58" s="22">
        <f t="shared" si="13"/>
        <v>9.9690000000000001E-2</v>
      </c>
      <c r="O58" s="22">
        <f t="shared" si="13"/>
        <v>0.10077999999999999</v>
      </c>
      <c r="P58" s="22">
        <f t="shared" si="13"/>
        <v>9.7610000000000002E-2</v>
      </c>
      <c r="Q58" s="1"/>
    </row>
    <row r="59" spans="1:17" x14ac:dyDescent="0.25">
      <c r="A59" s="2">
        <f t="shared" si="0"/>
        <v>59</v>
      </c>
      <c r="B59" s="1" t="s">
        <v>60</v>
      </c>
      <c r="C59" s="15">
        <f t="shared" si="14"/>
        <v>245807</v>
      </c>
      <c r="D59" s="15">
        <f t="shared" si="15"/>
        <v>244666</v>
      </c>
      <c r="E59" s="15">
        <f t="shared" si="16"/>
        <v>253529</v>
      </c>
      <c r="F59" s="15">
        <f t="shared" si="17"/>
        <v>245842</v>
      </c>
      <c r="G59" s="15">
        <f t="shared" si="18"/>
        <v>257704</v>
      </c>
      <c r="H59" s="15">
        <f t="shared" si="19"/>
        <v>253383</v>
      </c>
      <c r="I59" s="15">
        <f t="shared" si="20"/>
        <v>250155</v>
      </c>
      <c r="J59" s="22">
        <f t="shared" si="21"/>
        <v>3.9190000000000003E-2</v>
      </c>
      <c r="K59" s="22">
        <f t="shared" si="21"/>
        <v>4.0809999999999999E-2</v>
      </c>
      <c r="L59" s="22">
        <f t="shared" si="13"/>
        <v>4.1509999999999998E-2</v>
      </c>
      <c r="M59" s="22">
        <f t="shared" si="13"/>
        <v>4.1450000000000001E-2</v>
      </c>
      <c r="N59" s="22">
        <f t="shared" si="13"/>
        <v>4.0419999999999998E-2</v>
      </c>
      <c r="O59" s="22">
        <f t="shared" si="13"/>
        <v>4.095E-2</v>
      </c>
      <c r="P59" s="22">
        <f t="shared" si="13"/>
        <v>4.0710000000000003E-2</v>
      </c>
      <c r="Q59" s="1"/>
    </row>
    <row r="60" spans="1:17" x14ac:dyDescent="0.25">
      <c r="A60" s="2">
        <f t="shared" si="0"/>
        <v>60</v>
      </c>
      <c r="B60" s="1" t="s">
        <v>61</v>
      </c>
      <c r="C60" s="15">
        <f t="shared" si="14"/>
        <v>674790</v>
      </c>
      <c r="D60" s="15">
        <f t="shared" si="15"/>
        <v>648416</v>
      </c>
      <c r="E60" s="15">
        <f t="shared" si="16"/>
        <v>655090</v>
      </c>
      <c r="F60" s="15">
        <f t="shared" si="17"/>
        <v>625852</v>
      </c>
      <c r="G60" s="15">
        <f t="shared" si="18"/>
        <v>677191</v>
      </c>
      <c r="H60" s="15">
        <f t="shared" si="19"/>
        <v>650498</v>
      </c>
      <c r="I60" s="15">
        <f t="shared" si="20"/>
        <v>655306</v>
      </c>
      <c r="J60" s="22">
        <f t="shared" si="21"/>
        <v>0.1076</v>
      </c>
      <c r="K60" s="22">
        <f t="shared" si="21"/>
        <v>0.10816000000000001</v>
      </c>
      <c r="L60" s="22">
        <f t="shared" si="13"/>
        <v>0.10725999999999999</v>
      </c>
      <c r="M60" s="22">
        <f t="shared" si="13"/>
        <v>0.10553</v>
      </c>
      <c r="N60" s="22">
        <f t="shared" si="13"/>
        <v>0.10621999999999999</v>
      </c>
      <c r="O60" s="22">
        <f t="shared" si="13"/>
        <v>0.10514</v>
      </c>
      <c r="P60" s="22">
        <f t="shared" si="13"/>
        <v>0.10664999999999999</v>
      </c>
      <c r="Q60" s="1"/>
    </row>
    <row r="61" spans="1:17" x14ac:dyDescent="0.25">
      <c r="A61" s="2">
        <f t="shared" si="0"/>
        <v>61</v>
      </c>
      <c r="B61" s="1" t="s">
        <v>62</v>
      </c>
      <c r="C61" s="12">
        <f t="shared" si="14"/>
        <v>246706</v>
      </c>
      <c r="D61" s="12">
        <f t="shared" si="15"/>
        <v>235138</v>
      </c>
      <c r="E61" s="12">
        <f t="shared" si="16"/>
        <v>238712</v>
      </c>
      <c r="F61" s="12">
        <f t="shared" si="17"/>
        <v>228789</v>
      </c>
      <c r="G61" s="12">
        <f t="shared" si="18"/>
        <v>248320</v>
      </c>
      <c r="H61" s="12">
        <f t="shared" si="19"/>
        <v>239791</v>
      </c>
      <c r="I61" s="12">
        <f t="shared" si="20"/>
        <v>239576</v>
      </c>
      <c r="J61" s="23">
        <f t="shared" si="21"/>
        <v>3.934E-2</v>
      </c>
      <c r="K61" s="23">
        <f t="shared" si="21"/>
        <v>3.9219999999999998E-2</v>
      </c>
      <c r="L61" s="23">
        <f t="shared" si="13"/>
        <v>3.9079999999999997E-2</v>
      </c>
      <c r="M61" s="23">
        <f t="shared" si="13"/>
        <v>3.8580000000000003E-2</v>
      </c>
      <c r="N61" s="23">
        <f t="shared" si="13"/>
        <v>3.8949999999999999E-2</v>
      </c>
      <c r="O61" s="23">
        <f t="shared" si="13"/>
        <v>3.8760000000000003E-2</v>
      </c>
      <c r="P61" s="23">
        <f t="shared" si="13"/>
        <v>3.8989999999999997E-2</v>
      </c>
      <c r="Q61" s="1"/>
    </row>
    <row r="62" spans="1:17" x14ac:dyDescent="0.25">
      <c r="A62" s="2">
        <f t="shared" si="0"/>
        <v>62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.75" thickBot="1" x14ac:dyDescent="0.3">
      <c r="A63" s="2">
        <f t="shared" si="0"/>
        <v>63</v>
      </c>
      <c r="B63" s="1" t="s">
        <v>63</v>
      </c>
      <c r="C63" s="11">
        <f>SUM(C46:C61)</f>
        <v>6271497</v>
      </c>
      <c r="D63" s="11">
        <f t="shared" ref="D63:I63" si="22">SUM(D46:D61)</f>
        <v>5994926</v>
      </c>
      <c r="E63" s="11">
        <f t="shared" si="22"/>
        <v>6107724</v>
      </c>
      <c r="F63" s="11">
        <f t="shared" si="22"/>
        <v>5930559</v>
      </c>
      <c r="G63" s="11">
        <f t="shared" si="22"/>
        <v>6375329</v>
      </c>
      <c r="H63" s="11">
        <f t="shared" si="22"/>
        <v>6187158</v>
      </c>
      <c r="I63" s="11">
        <f t="shared" si="22"/>
        <v>6144532</v>
      </c>
      <c r="J63" s="24">
        <f>SUM(J46:J61)</f>
        <v>1</v>
      </c>
      <c r="K63" s="24">
        <f>SUM(K46:K61)</f>
        <v>0.99999000000000016</v>
      </c>
      <c r="L63" s="24">
        <f t="shared" ref="L63:P63" si="23">SUM(L46:L61)</f>
        <v>0.99999000000000016</v>
      </c>
      <c r="M63" s="24">
        <f t="shared" si="23"/>
        <v>0.99998999999999993</v>
      </c>
      <c r="N63" s="24">
        <f t="shared" si="23"/>
        <v>1.0000099999999998</v>
      </c>
      <c r="O63" s="24">
        <f t="shared" si="23"/>
        <v>1</v>
      </c>
      <c r="P63" s="24">
        <f t="shared" si="23"/>
        <v>0.99998999999999993</v>
      </c>
      <c r="Q63" s="1"/>
    </row>
    <row r="64" spans="1:17" ht="15.75" thickTop="1" x14ac:dyDescent="0.25">
      <c r="A64" s="2">
        <f t="shared" si="0"/>
        <v>64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.75" thickBot="1" x14ac:dyDescent="0.3">
      <c r="A65" s="2">
        <f t="shared" si="0"/>
        <v>65</v>
      </c>
      <c r="B65" s="1" t="s">
        <v>107</v>
      </c>
      <c r="C65" s="11">
        <f>E15</f>
        <v>6000000</v>
      </c>
      <c r="D65" s="11">
        <f>C65</f>
        <v>6000000</v>
      </c>
      <c r="E65" s="11">
        <f t="shared" ref="E65:I65" si="24">D65</f>
        <v>6000000</v>
      </c>
      <c r="F65" s="11">
        <f t="shared" si="24"/>
        <v>6000000</v>
      </c>
      <c r="G65" s="11">
        <f t="shared" si="24"/>
        <v>6000000</v>
      </c>
      <c r="H65" s="11">
        <f t="shared" si="24"/>
        <v>6000000</v>
      </c>
      <c r="I65" s="11">
        <f t="shared" si="24"/>
        <v>6000000</v>
      </c>
      <c r="J65" s="1"/>
      <c r="K65" s="1"/>
      <c r="L65" s="1"/>
      <c r="M65" s="1"/>
      <c r="N65" s="1"/>
      <c r="O65" s="1"/>
      <c r="P65" s="1"/>
      <c r="Q65" s="1"/>
    </row>
    <row r="66" spans="1:17" ht="15.75" thickTop="1" x14ac:dyDescent="0.25">
      <c r="A66" s="2">
        <f t="shared" si="0"/>
        <v>66</v>
      </c>
      <c r="B66" s="1"/>
      <c r="C66" s="8"/>
      <c r="D66" s="8"/>
      <c r="E66" s="8"/>
      <c r="F66" s="8"/>
      <c r="G66" s="8"/>
      <c r="H66" s="8"/>
      <c r="I66" s="8"/>
      <c r="J66" s="1"/>
      <c r="K66" s="1"/>
      <c r="L66" s="1"/>
      <c r="M66" s="1"/>
      <c r="N66" s="1"/>
      <c r="O66" s="1"/>
      <c r="P66" s="1"/>
      <c r="Q66" s="1"/>
    </row>
    <row r="67" spans="1:17" ht="15.75" thickBot="1" x14ac:dyDescent="0.3">
      <c r="A67" s="2">
        <f t="shared" si="0"/>
        <v>67</v>
      </c>
      <c r="B67" s="1" t="s">
        <v>108</v>
      </c>
      <c r="C67" s="11">
        <f>C63-C65</f>
        <v>271497</v>
      </c>
      <c r="D67" s="11">
        <f t="shared" ref="D67:I67" si="25">D63-D65</f>
        <v>-5074</v>
      </c>
      <c r="E67" s="11">
        <f t="shared" si="25"/>
        <v>107724</v>
      </c>
      <c r="F67" s="11">
        <f t="shared" si="25"/>
        <v>-69441</v>
      </c>
      <c r="G67" s="11">
        <f t="shared" si="25"/>
        <v>375329</v>
      </c>
      <c r="H67" s="11">
        <f t="shared" si="25"/>
        <v>187158</v>
      </c>
      <c r="I67" s="11">
        <f t="shared" si="25"/>
        <v>144532</v>
      </c>
      <c r="J67" s="1"/>
      <c r="K67" s="1"/>
      <c r="L67" s="1"/>
      <c r="M67" s="1"/>
      <c r="N67" s="1"/>
      <c r="O67" s="1"/>
      <c r="P67" s="1"/>
      <c r="Q67" s="1"/>
    </row>
    <row r="68" spans="1:17" ht="15.75" thickTop="1" x14ac:dyDescent="0.25">
      <c r="A68" s="2">
        <f t="shared" si="0"/>
        <v>68</v>
      </c>
      <c r="B68" s="1" t="s">
        <v>109</v>
      </c>
      <c r="C68" s="20">
        <f>ROUND(C67/C65,5)</f>
        <v>4.5249999999999999E-2</v>
      </c>
      <c r="D68" s="20">
        <f t="shared" ref="D68:I68" si="26">ROUND(D67/D65,5)</f>
        <v>-8.4999999999999995E-4</v>
      </c>
      <c r="E68" s="20">
        <f t="shared" si="26"/>
        <v>1.7950000000000001E-2</v>
      </c>
      <c r="F68" s="20">
        <f t="shared" si="26"/>
        <v>-1.157E-2</v>
      </c>
      <c r="G68" s="20">
        <f t="shared" si="26"/>
        <v>6.2549999999999994E-2</v>
      </c>
      <c r="H68" s="20">
        <f t="shared" si="26"/>
        <v>3.1189999999999999E-2</v>
      </c>
      <c r="I68" s="20">
        <f t="shared" si="26"/>
        <v>2.409E-2</v>
      </c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2">
        <f t="shared" si="0"/>
        <v>69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2">
        <f t="shared" si="0"/>
        <v>70</v>
      </c>
      <c r="B70" s="47" t="s">
        <v>110</v>
      </c>
      <c r="C70" s="1"/>
      <c r="D70" s="1"/>
      <c r="E70" s="1"/>
      <c r="F70" s="1"/>
      <c r="G70" s="1"/>
      <c r="H70" s="1"/>
      <c r="I70" s="1"/>
      <c r="J70" s="47" t="s">
        <v>117</v>
      </c>
      <c r="K70" s="1"/>
      <c r="L70" s="1"/>
      <c r="M70" s="1"/>
      <c r="N70" s="1"/>
      <c r="O70" s="1"/>
      <c r="P70" s="1"/>
      <c r="Q70" s="1"/>
    </row>
    <row r="71" spans="1:17" x14ac:dyDescent="0.25">
      <c r="A71" s="2">
        <f t="shared" si="0"/>
        <v>71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.75" thickBot="1" x14ac:dyDescent="0.3">
      <c r="A72" s="2">
        <f t="shared" si="0"/>
        <v>72</v>
      </c>
      <c r="B72" s="5" t="s">
        <v>46</v>
      </c>
      <c r="C72" s="25" t="s">
        <v>74</v>
      </c>
      <c r="D72" s="25" t="s">
        <v>75</v>
      </c>
      <c r="E72" s="25" t="s">
        <v>76</v>
      </c>
      <c r="F72" s="25" t="s">
        <v>77</v>
      </c>
      <c r="G72" s="25" t="s">
        <v>78</v>
      </c>
      <c r="H72" s="25" t="s">
        <v>79</v>
      </c>
      <c r="I72" s="25" t="s">
        <v>105</v>
      </c>
      <c r="J72" s="25" t="s">
        <v>74</v>
      </c>
      <c r="K72" s="25" t="s">
        <v>75</v>
      </c>
      <c r="L72" s="25" t="s">
        <v>76</v>
      </c>
      <c r="M72" s="25" t="s">
        <v>77</v>
      </c>
      <c r="N72" s="25" t="s">
        <v>78</v>
      </c>
      <c r="O72" s="25" t="s">
        <v>79</v>
      </c>
      <c r="P72" s="25" t="s">
        <v>105</v>
      </c>
      <c r="Q72" s="1"/>
    </row>
    <row r="73" spans="1:17" x14ac:dyDescent="0.25">
      <c r="A73" s="2">
        <f t="shared" si="0"/>
        <v>73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2">
        <f t="shared" si="0"/>
        <v>74</v>
      </c>
      <c r="B74" s="1" t="s">
        <v>47</v>
      </c>
      <c r="C74" s="8">
        <f>Recap!C10</f>
        <v>48871</v>
      </c>
      <c r="D74" s="8">
        <f>Recap!D10</f>
        <v>120928</v>
      </c>
      <c r="E74" s="8">
        <f>Recap!E10</f>
        <v>127536</v>
      </c>
      <c r="F74" s="8">
        <f>Recap!F10</f>
        <v>89420</v>
      </c>
      <c r="G74" s="8">
        <f>Recap!G10</f>
        <v>48061</v>
      </c>
      <c r="H74" s="8">
        <f>Recap!H10</f>
        <v>12950</v>
      </c>
      <c r="I74" s="8">
        <f>ROUND(SUM(C74:H74)/6,0)</f>
        <v>74628</v>
      </c>
      <c r="J74" s="20">
        <f>ROUND(C74/C$90,5)</f>
        <v>1.932E-2</v>
      </c>
      <c r="K74" s="20">
        <f t="shared" ref="K74:P74" si="27">ROUND(D74/D$90,5)</f>
        <v>2.1680000000000001E-2</v>
      </c>
      <c r="L74" s="20">
        <f t="shared" si="27"/>
        <v>1.528E-2</v>
      </c>
      <c r="M74" s="20">
        <f t="shared" si="27"/>
        <v>1.061E-2</v>
      </c>
      <c r="N74" s="20">
        <f t="shared" si="27"/>
        <v>8.0599999999999995E-3</v>
      </c>
      <c r="O74" s="20">
        <f t="shared" si="27"/>
        <v>4.6100000000000004E-3</v>
      </c>
      <c r="P74" s="20">
        <f t="shared" si="27"/>
        <v>1.3299999999999999E-2</v>
      </c>
      <c r="Q74" s="1"/>
    </row>
    <row r="75" spans="1:17" x14ac:dyDescent="0.25">
      <c r="A75" s="2">
        <f t="shared" si="0"/>
        <v>75</v>
      </c>
      <c r="B75" s="1" t="s">
        <v>48</v>
      </c>
      <c r="C75" s="15">
        <f>Recap!C11</f>
        <v>308191</v>
      </c>
      <c r="D75" s="15">
        <f>Recap!D11</f>
        <v>822222</v>
      </c>
      <c r="E75" s="15">
        <f>Recap!E11</f>
        <v>1167142</v>
      </c>
      <c r="F75" s="15">
        <f>Recap!F11</f>
        <v>997147</v>
      </c>
      <c r="G75" s="15">
        <f>Recap!G11</f>
        <v>934482</v>
      </c>
      <c r="H75" s="15">
        <f>Recap!H11</f>
        <v>427133</v>
      </c>
      <c r="I75" s="15">
        <f t="shared" ref="I75:I89" si="28">ROUND(SUM(C75:H75)/6,0)</f>
        <v>776053</v>
      </c>
      <c r="J75" s="22">
        <f t="shared" ref="J75:J89" si="29">ROUND(C75/C$90,5)</f>
        <v>0.12182</v>
      </c>
      <c r="K75" s="22">
        <f t="shared" ref="K75:K89" si="30">ROUND(D75/D$90,5)</f>
        <v>0.14743000000000001</v>
      </c>
      <c r="L75" s="22">
        <f t="shared" ref="L75:L89" si="31">ROUND(E75/E$90,5)</f>
        <v>0.13983999999999999</v>
      </c>
      <c r="M75" s="22">
        <f t="shared" ref="M75:M89" si="32">ROUND(F75/F$90,5)</f>
        <v>0.11827</v>
      </c>
      <c r="N75" s="22">
        <f t="shared" ref="N75:N89" si="33">ROUND(G75/G$90,5)</f>
        <v>0.15672</v>
      </c>
      <c r="O75" s="22">
        <f t="shared" ref="O75:O89" si="34">ROUND(H75/H$90,5)</f>
        <v>0.15204000000000001</v>
      </c>
      <c r="P75" s="22">
        <f t="shared" ref="P75:P89" si="35">ROUND(I75/I$90,5)</f>
        <v>0.13835</v>
      </c>
      <c r="Q75" s="1"/>
    </row>
    <row r="76" spans="1:17" x14ac:dyDescent="0.25">
      <c r="A76" s="2">
        <f t="shared" si="0"/>
        <v>76</v>
      </c>
      <c r="B76" s="1" t="s">
        <v>49</v>
      </c>
      <c r="C76" s="15">
        <f>Recap!C12</f>
        <v>78273</v>
      </c>
      <c r="D76" s="15">
        <f>Recap!D12</f>
        <v>158281</v>
      </c>
      <c r="E76" s="15">
        <f>Recap!E12</f>
        <v>338603</v>
      </c>
      <c r="F76" s="15">
        <f>Recap!F12</f>
        <v>255320</v>
      </c>
      <c r="G76" s="15">
        <f>Recap!G12</f>
        <v>150631</v>
      </c>
      <c r="H76" s="15">
        <f>Recap!H12</f>
        <v>68838</v>
      </c>
      <c r="I76" s="15">
        <f t="shared" si="28"/>
        <v>174991</v>
      </c>
      <c r="J76" s="22">
        <f t="shared" si="29"/>
        <v>3.0939999999999999E-2</v>
      </c>
      <c r="K76" s="22">
        <f t="shared" si="30"/>
        <v>2.8379999999999999E-2</v>
      </c>
      <c r="L76" s="22">
        <f t="shared" si="31"/>
        <v>4.0570000000000002E-2</v>
      </c>
      <c r="M76" s="22">
        <f t="shared" si="32"/>
        <v>3.0280000000000001E-2</v>
      </c>
      <c r="N76" s="22">
        <f t="shared" si="33"/>
        <v>2.5260000000000001E-2</v>
      </c>
      <c r="O76" s="22">
        <f t="shared" si="34"/>
        <v>2.4500000000000001E-2</v>
      </c>
      <c r="P76" s="22">
        <f t="shared" si="35"/>
        <v>3.1199999999999999E-2</v>
      </c>
      <c r="Q76" s="1"/>
    </row>
    <row r="77" spans="1:17" x14ac:dyDescent="0.25">
      <c r="A77" s="2">
        <f t="shared" si="0"/>
        <v>77</v>
      </c>
      <c r="B77" s="1" t="s">
        <v>50</v>
      </c>
      <c r="C77" s="15">
        <f>Recap!C13</f>
        <v>36742</v>
      </c>
      <c r="D77" s="15">
        <f>Recap!D13</f>
        <v>105919</v>
      </c>
      <c r="E77" s="15">
        <f>Recap!E13</f>
        <v>174372</v>
      </c>
      <c r="F77" s="15">
        <f>Recap!F13</f>
        <v>208159</v>
      </c>
      <c r="G77" s="15">
        <f>Recap!G13</f>
        <v>190889</v>
      </c>
      <c r="H77" s="15">
        <f>Recap!H13</f>
        <v>120218</v>
      </c>
      <c r="I77" s="15">
        <f t="shared" si="28"/>
        <v>139383</v>
      </c>
      <c r="J77" s="22">
        <f t="shared" si="29"/>
        <v>1.452E-2</v>
      </c>
      <c r="K77" s="22">
        <f t="shared" si="30"/>
        <v>1.899E-2</v>
      </c>
      <c r="L77" s="22">
        <f t="shared" si="31"/>
        <v>2.0889999999999999E-2</v>
      </c>
      <c r="M77" s="22">
        <f t="shared" si="32"/>
        <v>2.469E-2</v>
      </c>
      <c r="N77" s="22">
        <f t="shared" si="33"/>
        <v>3.2009999999999997E-2</v>
      </c>
      <c r="O77" s="22">
        <f t="shared" si="34"/>
        <v>4.2790000000000002E-2</v>
      </c>
      <c r="P77" s="22">
        <f t="shared" si="35"/>
        <v>2.4850000000000001E-2</v>
      </c>
      <c r="Q77" s="1"/>
    </row>
    <row r="78" spans="1:17" x14ac:dyDescent="0.25">
      <c r="A78" s="2">
        <f t="shared" si="0"/>
        <v>78</v>
      </c>
      <c r="B78" s="1" t="s">
        <v>51</v>
      </c>
      <c r="C78" s="15">
        <f>Recap!C14</f>
        <v>170898</v>
      </c>
      <c r="D78" s="15">
        <f>Recap!D14</f>
        <v>240891</v>
      </c>
      <c r="E78" s="15">
        <f>Recap!E14</f>
        <v>289568</v>
      </c>
      <c r="F78" s="15">
        <f>Recap!F14</f>
        <v>228468</v>
      </c>
      <c r="G78" s="15">
        <f>Recap!G14</f>
        <v>235366</v>
      </c>
      <c r="H78" s="15">
        <f>Recap!H14</f>
        <v>57745</v>
      </c>
      <c r="I78" s="15">
        <f t="shared" si="28"/>
        <v>203823</v>
      </c>
      <c r="J78" s="22">
        <f t="shared" si="29"/>
        <v>6.7549999999999999E-2</v>
      </c>
      <c r="K78" s="22">
        <f t="shared" si="30"/>
        <v>4.3189999999999999E-2</v>
      </c>
      <c r="L78" s="22">
        <f t="shared" si="31"/>
        <v>3.4689999999999999E-2</v>
      </c>
      <c r="M78" s="22">
        <f t="shared" si="32"/>
        <v>2.7099999999999999E-2</v>
      </c>
      <c r="N78" s="22">
        <f t="shared" si="33"/>
        <v>3.9469999999999998E-2</v>
      </c>
      <c r="O78" s="22">
        <f t="shared" si="34"/>
        <v>2.0549999999999999E-2</v>
      </c>
      <c r="P78" s="22">
        <f t="shared" si="35"/>
        <v>3.6339999999999997E-2</v>
      </c>
      <c r="Q78" s="1"/>
    </row>
    <row r="79" spans="1:17" x14ac:dyDescent="0.25">
      <c r="A79" s="2">
        <f t="shared" si="0"/>
        <v>79</v>
      </c>
      <c r="B79" s="1" t="s">
        <v>52</v>
      </c>
      <c r="C79" s="15">
        <f>Recap!C15</f>
        <v>45518</v>
      </c>
      <c r="D79" s="15">
        <f>Recap!D15</f>
        <v>152392</v>
      </c>
      <c r="E79" s="15">
        <f>Recap!E15</f>
        <v>186695</v>
      </c>
      <c r="F79" s="15">
        <f>Recap!F15</f>
        <v>153984</v>
      </c>
      <c r="G79" s="15">
        <f>Recap!G15</f>
        <v>184942</v>
      </c>
      <c r="H79" s="15">
        <f>Recap!H15</f>
        <v>125672</v>
      </c>
      <c r="I79" s="15">
        <f t="shared" si="28"/>
        <v>141534</v>
      </c>
      <c r="J79" s="22">
        <f t="shared" si="29"/>
        <v>1.7989999999999999E-2</v>
      </c>
      <c r="K79" s="22">
        <f t="shared" si="30"/>
        <v>2.733E-2</v>
      </c>
      <c r="L79" s="22">
        <f t="shared" si="31"/>
        <v>2.2370000000000001E-2</v>
      </c>
      <c r="M79" s="22">
        <f t="shared" si="32"/>
        <v>1.8259999999999998E-2</v>
      </c>
      <c r="N79" s="22">
        <f t="shared" si="33"/>
        <v>3.1019999999999999E-2</v>
      </c>
      <c r="O79" s="22">
        <f t="shared" si="34"/>
        <v>4.4729999999999999E-2</v>
      </c>
      <c r="P79" s="22">
        <f t="shared" si="35"/>
        <v>2.5229999999999999E-2</v>
      </c>
      <c r="Q79" s="1"/>
    </row>
    <row r="80" spans="1:17" x14ac:dyDescent="0.25">
      <c r="A80" s="2">
        <f t="shared" si="0"/>
        <v>80</v>
      </c>
      <c r="B80" s="1" t="s">
        <v>53</v>
      </c>
      <c r="C80" s="15">
        <f>Recap!C16</f>
        <v>54261</v>
      </c>
      <c r="D80" s="15">
        <f>Recap!D16</f>
        <v>119156</v>
      </c>
      <c r="E80" s="15">
        <f>Recap!E16</f>
        <v>187919</v>
      </c>
      <c r="F80" s="15">
        <f>Recap!F16</f>
        <v>127157</v>
      </c>
      <c r="G80" s="15">
        <f>Recap!G16</f>
        <v>77367</v>
      </c>
      <c r="H80" s="15">
        <f>Recap!H16</f>
        <v>47405</v>
      </c>
      <c r="I80" s="15">
        <f t="shared" si="28"/>
        <v>102211</v>
      </c>
      <c r="J80" s="22">
        <f t="shared" si="29"/>
        <v>2.145E-2</v>
      </c>
      <c r="K80" s="22">
        <f t="shared" si="30"/>
        <v>2.137E-2</v>
      </c>
      <c r="L80" s="22">
        <f t="shared" si="31"/>
        <v>2.2509999999999999E-2</v>
      </c>
      <c r="M80" s="22">
        <f t="shared" si="32"/>
        <v>1.508E-2</v>
      </c>
      <c r="N80" s="22">
        <f t="shared" si="33"/>
        <v>1.2970000000000001E-2</v>
      </c>
      <c r="O80" s="22">
        <f t="shared" si="34"/>
        <v>1.687E-2</v>
      </c>
      <c r="P80" s="22">
        <f t="shared" si="35"/>
        <v>1.822E-2</v>
      </c>
      <c r="Q80" s="1"/>
    </row>
    <row r="81" spans="1:17" x14ac:dyDescent="0.25">
      <c r="A81" s="2">
        <f t="shared" si="0"/>
        <v>81</v>
      </c>
      <c r="B81" s="1" t="s">
        <v>54</v>
      </c>
      <c r="C81" s="15">
        <f>Recap!C17</f>
        <v>84462</v>
      </c>
      <c r="D81" s="15">
        <f>Recap!D17</f>
        <v>213113</v>
      </c>
      <c r="E81" s="15">
        <f>Recap!E17</f>
        <v>357001</v>
      </c>
      <c r="F81" s="15">
        <f>Recap!F17</f>
        <v>389533</v>
      </c>
      <c r="G81" s="15">
        <f>Recap!G17</f>
        <v>306381</v>
      </c>
      <c r="H81" s="15">
        <f>Recap!H17</f>
        <v>208794</v>
      </c>
      <c r="I81" s="15">
        <f t="shared" si="28"/>
        <v>259881</v>
      </c>
      <c r="J81" s="22">
        <f t="shared" si="29"/>
        <v>3.3390000000000003E-2</v>
      </c>
      <c r="K81" s="22">
        <f t="shared" si="30"/>
        <v>3.8210000000000001E-2</v>
      </c>
      <c r="L81" s="22">
        <f t="shared" si="31"/>
        <v>4.2770000000000002E-2</v>
      </c>
      <c r="M81" s="22">
        <f t="shared" si="32"/>
        <v>4.6199999999999998E-2</v>
      </c>
      <c r="N81" s="22">
        <f t="shared" si="33"/>
        <v>5.1380000000000002E-2</v>
      </c>
      <c r="O81" s="22">
        <f t="shared" si="34"/>
        <v>7.4319999999999997E-2</v>
      </c>
      <c r="P81" s="22">
        <f t="shared" si="35"/>
        <v>4.6330000000000003E-2</v>
      </c>
      <c r="Q81" s="1"/>
    </row>
    <row r="82" spans="1:17" x14ac:dyDescent="0.25">
      <c r="A82" s="2">
        <f t="shared" si="0"/>
        <v>82</v>
      </c>
      <c r="B82" s="1" t="s">
        <v>55</v>
      </c>
      <c r="C82" s="15">
        <f>Recap!C18</f>
        <v>316624</v>
      </c>
      <c r="D82" s="15">
        <f>Recap!D18</f>
        <v>634859</v>
      </c>
      <c r="E82" s="15">
        <f>Recap!E18</f>
        <v>878992</v>
      </c>
      <c r="F82" s="15">
        <f>Recap!F18</f>
        <v>1191461</v>
      </c>
      <c r="G82" s="15">
        <f>Recap!G18</f>
        <v>712689</v>
      </c>
      <c r="H82" s="15">
        <f>Recap!H18</f>
        <v>24972</v>
      </c>
      <c r="I82" s="15">
        <f t="shared" si="28"/>
        <v>626600</v>
      </c>
      <c r="J82" s="22">
        <f t="shared" si="29"/>
        <v>0.12515999999999999</v>
      </c>
      <c r="K82" s="22">
        <f t="shared" si="30"/>
        <v>0.11384</v>
      </c>
      <c r="L82" s="22">
        <f t="shared" si="31"/>
        <v>0.10531</v>
      </c>
      <c r="M82" s="22">
        <f t="shared" si="32"/>
        <v>0.14132</v>
      </c>
      <c r="N82" s="22">
        <f t="shared" si="33"/>
        <v>0.11952</v>
      </c>
      <c r="O82" s="22">
        <f t="shared" si="34"/>
        <v>8.8900000000000003E-3</v>
      </c>
      <c r="P82" s="22">
        <f t="shared" si="35"/>
        <v>0.11169999999999999</v>
      </c>
      <c r="Q82" s="1"/>
    </row>
    <row r="83" spans="1:17" x14ac:dyDescent="0.25">
      <c r="A83" s="2">
        <f t="shared" si="0"/>
        <v>83</v>
      </c>
      <c r="B83" s="1" t="s">
        <v>56</v>
      </c>
      <c r="C83" s="15">
        <f>Recap!C19</f>
        <v>67521</v>
      </c>
      <c r="D83" s="15">
        <f>Recap!D19</f>
        <v>76620</v>
      </c>
      <c r="E83" s="15">
        <f>Recap!E19</f>
        <v>266797</v>
      </c>
      <c r="F83" s="15">
        <f>Recap!F19</f>
        <v>137189</v>
      </c>
      <c r="G83" s="15">
        <f>Recap!G19</f>
        <v>116767</v>
      </c>
      <c r="H83" s="15">
        <f>Recap!H19</f>
        <v>57252</v>
      </c>
      <c r="I83" s="15">
        <f t="shared" si="28"/>
        <v>120358</v>
      </c>
      <c r="J83" s="22">
        <f t="shared" si="29"/>
        <v>2.6689999999999998E-2</v>
      </c>
      <c r="K83" s="22">
        <f t="shared" si="30"/>
        <v>1.374E-2</v>
      </c>
      <c r="L83" s="22">
        <f t="shared" si="31"/>
        <v>3.1969999999999998E-2</v>
      </c>
      <c r="M83" s="22">
        <f t="shared" si="32"/>
        <v>1.627E-2</v>
      </c>
      <c r="N83" s="22">
        <f t="shared" si="33"/>
        <v>1.958E-2</v>
      </c>
      <c r="O83" s="22">
        <f t="shared" si="34"/>
        <v>2.0379999999999999E-2</v>
      </c>
      <c r="P83" s="22">
        <f t="shared" si="35"/>
        <v>2.146E-2</v>
      </c>
      <c r="Q83" s="1"/>
    </row>
    <row r="84" spans="1:17" x14ac:dyDescent="0.25">
      <c r="A84" s="2">
        <f t="shared" si="0"/>
        <v>84</v>
      </c>
      <c r="B84" s="1" t="s">
        <v>57</v>
      </c>
      <c r="C84" s="15">
        <f>Recap!C20</f>
        <v>129511</v>
      </c>
      <c r="D84" s="15">
        <f>Recap!D20</f>
        <v>465820</v>
      </c>
      <c r="E84" s="15">
        <f>Recap!E20</f>
        <v>583051</v>
      </c>
      <c r="F84" s="15">
        <f>Recap!F20</f>
        <v>683335</v>
      </c>
      <c r="G84" s="15">
        <f>Recap!G20</f>
        <v>543149</v>
      </c>
      <c r="H84" s="15">
        <f>Recap!H20</f>
        <v>276160</v>
      </c>
      <c r="I84" s="15">
        <f t="shared" si="28"/>
        <v>446838</v>
      </c>
      <c r="J84" s="22">
        <f t="shared" si="29"/>
        <v>5.1189999999999999E-2</v>
      </c>
      <c r="K84" s="22">
        <f t="shared" si="30"/>
        <v>8.3529999999999993E-2</v>
      </c>
      <c r="L84" s="22">
        <f t="shared" si="31"/>
        <v>6.9860000000000005E-2</v>
      </c>
      <c r="M84" s="22">
        <f t="shared" si="32"/>
        <v>8.1049999999999997E-2</v>
      </c>
      <c r="N84" s="22">
        <f t="shared" si="33"/>
        <v>9.1090000000000004E-2</v>
      </c>
      <c r="O84" s="22">
        <f t="shared" si="34"/>
        <v>9.8299999999999998E-2</v>
      </c>
      <c r="P84" s="22">
        <f t="shared" si="35"/>
        <v>7.9659999999999995E-2</v>
      </c>
      <c r="Q84" s="1"/>
    </row>
    <row r="85" spans="1:17" x14ac:dyDescent="0.25">
      <c r="A85" s="2">
        <f t="shared" si="0"/>
        <v>85</v>
      </c>
      <c r="B85" s="1" t="s">
        <v>58</v>
      </c>
      <c r="C85" s="15">
        <f>Recap!C21</f>
        <v>331455</v>
      </c>
      <c r="D85" s="15">
        <f>Recap!D21</f>
        <v>752135</v>
      </c>
      <c r="E85" s="15">
        <f>Recap!E21</f>
        <v>748950</v>
      </c>
      <c r="F85" s="15">
        <f>Recap!F21</f>
        <v>702148</v>
      </c>
      <c r="G85" s="15">
        <f>Recap!G21</f>
        <v>603031</v>
      </c>
      <c r="H85" s="15">
        <f>Recap!H21</f>
        <v>254472</v>
      </c>
      <c r="I85" s="15">
        <f t="shared" si="28"/>
        <v>565365</v>
      </c>
      <c r="J85" s="22">
        <f t="shared" si="29"/>
        <v>0.13102</v>
      </c>
      <c r="K85" s="22">
        <f t="shared" si="30"/>
        <v>0.13486999999999999</v>
      </c>
      <c r="L85" s="22">
        <f t="shared" si="31"/>
        <v>8.9730000000000004E-2</v>
      </c>
      <c r="M85" s="22">
        <f t="shared" si="32"/>
        <v>8.3280000000000007E-2</v>
      </c>
      <c r="N85" s="22">
        <f t="shared" si="33"/>
        <v>0.10113</v>
      </c>
      <c r="O85" s="22">
        <f t="shared" si="34"/>
        <v>9.0579999999999994E-2</v>
      </c>
      <c r="P85" s="22">
        <f t="shared" si="35"/>
        <v>0.10079</v>
      </c>
      <c r="Q85" s="1"/>
    </row>
    <row r="86" spans="1:17" x14ac:dyDescent="0.25">
      <c r="A86" s="2">
        <f t="shared" si="0"/>
        <v>86</v>
      </c>
      <c r="B86" s="1" t="s">
        <v>59</v>
      </c>
      <c r="C86" s="15">
        <f>Recap!C22</f>
        <v>135900</v>
      </c>
      <c r="D86" s="15">
        <f>Recap!D22</f>
        <v>376366</v>
      </c>
      <c r="E86" s="15">
        <f>Recap!E22</f>
        <v>561325</v>
      </c>
      <c r="F86" s="15">
        <f>Recap!F22</f>
        <v>762913</v>
      </c>
      <c r="G86" s="15">
        <f>Recap!G22</f>
        <v>525258</v>
      </c>
      <c r="H86" s="15">
        <f>Recap!H22</f>
        <v>301142</v>
      </c>
      <c r="I86" s="15">
        <f t="shared" si="28"/>
        <v>443817</v>
      </c>
      <c r="J86" s="22">
        <f t="shared" si="29"/>
        <v>5.3719999999999997E-2</v>
      </c>
      <c r="K86" s="22">
        <f t="shared" si="30"/>
        <v>6.7489999999999994E-2</v>
      </c>
      <c r="L86" s="22">
        <f t="shared" si="31"/>
        <v>6.7250000000000004E-2</v>
      </c>
      <c r="M86" s="22">
        <f t="shared" si="32"/>
        <v>9.0490000000000001E-2</v>
      </c>
      <c r="N86" s="22">
        <f t="shared" si="33"/>
        <v>8.8090000000000002E-2</v>
      </c>
      <c r="O86" s="22">
        <f t="shared" si="34"/>
        <v>0.10718999999999999</v>
      </c>
      <c r="P86" s="22">
        <f t="shared" si="35"/>
        <v>7.9119999999999996E-2</v>
      </c>
      <c r="Q86" s="1"/>
    </row>
    <row r="87" spans="1:17" x14ac:dyDescent="0.25">
      <c r="A87" s="2">
        <f t="shared" si="0"/>
        <v>87</v>
      </c>
      <c r="B87" s="1" t="s">
        <v>60</v>
      </c>
      <c r="C87" s="15">
        <f>Recap!C23</f>
        <v>123015</v>
      </c>
      <c r="D87" s="15">
        <f>Recap!D23</f>
        <v>221783</v>
      </c>
      <c r="E87" s="15">
        <f>Recap!E23</f>
        <v>221997</v>
      </c>
      <c r="F87" s="15">
        <f>Recap!F23</f>
        <v>290111</v>
      </c>
      <c r="G87" s="15">
        <f>Recap!G23</f>
        <v>140186</v>
      </c>
      <c r="H87" s="15">
        <f>Recap!H23</f>
        <v>90065</v>
      </c>
      <c r="I87" s="15">
        <f t="shared" si="28"/>
        <v>181193</v>
      </c>
      <c r="J87" s="22">
        <f t="shared" si="29"/>
        <v>4.863E-2</v>
      </c>
      <c r="K87" s="22">
        <f t="shared" si="30"/>
        <v>3.977E-2</v>
      </c>
      <c r="L87" s="22">
        <f t="shared" si="31"/>
        <v>2.6599999999999999E-2</v>
      </c>
      <c r="M87" s="22">
        <f t="shared" si="32"/>
        <v>3.4410000000000003E-2</v>
      </c>
      <c r="N87" s="22">
        <f t="shared" si="33"/>
        <v>2.351E-2</v>
      </c>
      <c r="O87" s="22">
        <f t="shared" si="34"/>
        <v>3.2059999999999998E-2</v>
      </c>
      <c r="P87" s="22">
        <f t="shared" si="35"/>
        <v>3.2300000000000002E-2</v>
      </c>
      <c r="Q87" s="1"/>
    </row>
    <row r="88" spans="1:17" x14ac:dyDescent="0.25">
      <c r="A88" s="2">
        <f t="shared" si="0"/>
        <v>88</v>
      </c>
      <c r="B88" s="1" t="s">
        <v>61</v>
      </c>
      <c r="C88" s="15">
        <f>Recap!C24</f>
        <v>429669</v>
      </c>
      <c r="D88" s="15">
        <f>Recap!D24</f>
        <v>946351</v>
      </c>
      <c r="E88" s="15">
        <f>Recap!E24</f>
        <v>1722069</v>
      </c>
      <c r="F88" s="15">
        <f>Recap!F24</f>
        <v>1987697</v>
      </c>
      <c r="G88" s="15">
        <f>Recap!G24</f>
        <v>977660</v>
      </c>
      <c r="H88" s="15">
        <f>Recap!H24</f>
        <v>621879</v>
      </c>
      <c r="I88" s="15">
        <f t="shared" si="28"/>
        <v>1114221</v>
      </c>
      <c r="J88" s="22">
        <f t="shared" si="29"/>
        <v>0.16983999999999999</v>
      </c>
      <c r="K88" s="22">
        <f t="shared" si="30"/>
        <v>0.16969000000000001</v>
      </c>
      <c r="L88" s="22">
        <f t="shared" si="31"/>
        <v>0.20632</v>
      </c>
      <c r="M88" s="22">
        <f t="shared" si="32"/>
        <v>0.23576</v>
      </c>
      <c r="N88" s="22">
        <f t="shared" si="33"/>
        <v>0.16395999999999999</v>
      </c>
      <c r="O88" s="22">
        <f t="shared" si="34"/>
        <v>0.22136</v>
      </c>
      <c r="P88" s="22">
        <f t="shared" si="35"/>
        <v>0.19863</v>
      </c>
      <c r="Q88" s="1"/>
    </row>
    <row r="89" spans="1:17" x14ac:dyDescent="0.25">
      <c r="A89" s="2">
        <f t="shared" si="0"/>
        <v>89</v>
      </c>
      <c r="B89" s="1" t="s">
        <v>62</v>
      </c>
      <c r="C89" s="12">
        <f>Recap!C25</f>
        <v>168883</v>
      </c>
      <c r="D89" s="12">
        <f>Recap!D25</f>
        <v>170033</v>
      </c>
      <c r="E89" s="12">
        <f>Recap!E25</f>
        <v>534496</v>
      </c>
      <c r="F89" s="12">
        <f>Recap!F25</f>
        <v>227150</v>
      </c>
      <c r="G89" s="12">
        <f>Recap!G25</f>
        <v>216057</v>
      </c>
      <c r="H89" s="12">
        <f>Recap!H25</f>
        <v>114700</v>
      </c>
      <c r="I89" s="12">
        <f t="shared" si="28"/>
        <v>238553</v>
      </c>
      <c r="J89" s="23">
        <f t="shared" si="29"/>
        <v>6.676E-2</v>
      </c>
      <c r="K89" s="23">
        <f t="shared" si="30"/>
        <v>3.049E-2</v>
      </c>
      <c r="L89" s="23">
        <f t="shared" si="31"/>
        <v>6.404E-2</v>
      </c>
      <c r="M89" s="23">
        <f t="shared" si="32"/>
        <v>2.6939999999999999E-2</v>
      </c>
      <c r="N89" s="23">
        <f t="shared" si="33"/>
        <v>3.6229999999999998E-2</v>
      </c>
      <c r="O89" s="23">
        <f t="shared" si="34"/>
        <v>4.0829999999999998E-2</v>
      </c>
      <c r="P89" s="23">
        <f t="shared" si="35"/>
        <v>4.2529999999999998E-2</v>
      </c>
      <c r="Q89" s="1"/>
    </row>
    <row r="90" spans="1:17" ht="15.75" thickBot="1" x14ac:dyDescent="0.3">
      <c r="A90" s="2">
        <f t="shared" si="0"/>
        <v>90</v>
      </c>
      <c r="B90" s="1" t="s">
        <v>63</v>
      </c>
      <c r="C90" s="37">
        <f>SUM(C74:C89)</f>
        <v>2529794</v>
      </c>
      <c r="D90" s="37">
        <f t="shared" ref="D90:H90" si="36">SUM(D74:D89)</f>
        <v>5576869</v>
      </c>
      <c r="E90" s="37">
        <f t="shared" si="36"/>
        <v>8346513</v>
      </c>
      <c r="F90" s="37">
        <f t="shared" si="36"/>
        <v>8431192</v>
      </c>
      <c r="G90" s="37">
        <f t="shared" si="36"/>
        <v>5962916</v>
      </c>
      <c r="H90" s="37">
        <f t="shared" si="36"/>
        <v>2809397</v>
      </c>
      <c r="I90" s="37">
        <f t="shared" ref="I90:P90" si="37">SUM(I74:I89)</f>
        <v>5609449</v>
      </c>
      <c r="J90" s="24">
        <f t="shared" si="37"/>
        <v>0.99999000000000005</v>
      </c>
      <c r="K90" s="24">
        <f t="shared" si="37"/>
        <v>1</v>
      </c>
      <c r="L90" s="24">
        <f t="shared" si="37"/>
        <v>0.99999999999999989</v>
      </c>
      <c r="M90" s="24">
        <f t="shared" si="37"/>
        <v>1.0000100000000001</v>
      </c>
      <c r="N90" s="24">
        <f t="shared" si="37"/>
        <v>1</v>
      </c>
      <c r="O90" s="24">
        <f t="shared" si="37"/>
        <v>1</v>
      </c>
      <c r="P90" s="24">
        <f t="shared" si="37"/>
        <v>1.0000100000000001</v>
      </c>
      <c r="Q90" s="1"/>
    </row>
    <row r="91" spans="1:17" ht="15.75" thickTop="1" x14ac:dyDescent="0.25">
      <c r="A91" s="2">
        <f t="shared" si="0"/>
        <v>91</v>
      </c>
      <c r="B91" s="16"/>
      <c r="C91" s="15"/>
      <c r="D91" s="15"/>
      <c r="E91" s="15"/>
      <c r="F91" s="15"/>
      <c r="G91" s="15"/>
      <c r="H91" s="15"/>
      <c r="I91" s="15"/>
      <c r="J91" s="15"/>
      <c r="Q91" s="1"/>
    </row>
    <row r="92" spans="1:17" x14ac:dyDescent="0.25">
      <c r="A92" s="2">
        <f t="shared" si="0"/>
        <v>92</v>
      </c>
      <c r="B92" s="56" t="s">
        <v>111</v>
      </c>
      <c r="C92" s="15"/>
      <c r="D92" s="15"/>
      <c r="E92" s="15"/>
      <c r="F92" s="15"/>
      <c r="G92" s="15"/>
      <c r="H92" s="15"/>
      <c r="I92" s="15"/>
      <c r="J92" s="15"/>
      <c r="Q92" s="1"/>
    </row>
    <row r="93" spans="1:17" x14ac:dyDescent="0.25">
      <c r="A93" s="2">
        <f t="shared" si="0"/>
        <v>93</v>
      </c>
      <c r="B93" s="16"/>
      <c r="C93" s="15" t="s">
        <v>112</v>
      </c>
      <c r="D93" s="15"/>
      <c r="E93" s="15"/>
      <c r="F93" s="15"/>
      <c r="G93" s="15"/>
      <c r="H93" s="15"/>
      <c r="I93" s="15"/>
      <c r="J93" s="15" t="s">
        <v>113</v>
      </c>
      <c r="Q93" s="1"/>
    </row>
    <row r="94" spans="1:17" x14ac:dyDescent="0.25">
      <c r="A94" s="2">
        <f t="shared" si="0"/>
        <v>94</v>
      </c>
      <c r="B94" s="16"/>
      <c r="C94" s="15"/>
      <c r="D94" s="15"/>
      <c r="E94" s="15"/>
      <c r="F94" s="15"/>
      <c r="G94" s="15"/>
      <c r="H94" s="15"/>
      <c r="I94" s="15"/>
      <c r="J94" s="15">
        <f>'2014'!I34</f>
        <v>3051500</v>
      </c>
      <c r="K94" s="8">
        <f>'2015'!I34</f>
        <v>2466644</v>
      </c>
      <c r="L94" s="8">
        <f>'2016'!I34</f>
        <v>1174824</v>
      </c>
      <c r="M94" s="8">
        <f>'2017'!I34</f>
        <v>635217</v>
      </c>
      <c r="N94" s="8">
        <f>'2018'!I34</f>
        <v>228129</v>
      </c>
      <c r="O94" s="8">
        <f>'2019'!I34</f>
        <v>80445</v>
      </c>
      <c r="Q94" s="1"/>
    </row>
    <row r="95" spans="1:17" ht="15.75" thickBot="1" x14ac:dyDescent="0.3">
      <c r="A95" s="2">
        <f t="shared" si="0"/>
        <v>95</v>
      </c>
      <c r="B95" s="5" t="s">
        <v>46</v>
      </c>
      <c r="C95" s="25" t="s">
        <v>74</v>
      </c>
      <c r="D95" s="25" t="s">
        <v>75</v>
      </c>
      <c r="E95" s="25" t="s">
        <v>76</v>
      </c>
      <c r="F95" s="25" t="s">
        <v>77</v>
      </c>
      <c r="G95" s="25" t="s">
        <v>78</v>
      </c>
      <c r="H95" s="25" t="s">
        <v>79</v>
      </c>
      <c r="I95" s="25" t="s">
        <v>105</v>
      </c>
      <c r="J95" s="25" t="s">
        <v>74</v>
      </c>
      <c r="K95" s="25" t="s">
        <v>75</v>
      </c>
      <c r="L95" s="25" t="s">
        <v>76</v>
      </c>
      <c r="M95" s="25" t="s">
        <v>77</v>
      </c>
      <c r="N95" s="25" t="s">
        <v>78</v>
      </c>
      <c r="O95" s="25" t="s">
        <v>79</v>
      </c>
      <c r="P95" s="25" t="s">
        <v>105</v>
      </c>
      <c r="Q95" s="1"/>
    </row>
    <row r="96" spans="1:17" x14ac:dyDescent="0.25">
      <c r="A96" s="2">
        <f t="shared" si="0"/>
        <v>96</v>
      </c>
      <c r="B96" s="16"/>
      <c r="C96" s="15"/>
      <c r="D96" s="15"/>
      <c r="E96" s="15"/>
      <c r="F96" s="15"/>
      <c r="G96" s="15"/>
      <c r="H96" s="15"/>
      <c r="I96" s="15"/>
      <c r="J96" s="15"/>
      <c r="Q96" s="1"/>
    </row>
    <row r="97" spans="1:17" x14ac:dyDescent="0.25">
      <c r="A97" s="2">
        <f t="shared" si="0"/>
        <v>97</v>
      </c>
      <c r="B97" s="1" t="s">
        <v>47</v>
      </c>
      <c r="C97" s="15">
        <v>16391</v>
      </c>
      <c r="D97" s="15">
        <v>17847</v>
      </c>
      <c r="E97" s="15">
        <v>18911</v>
      </c>
      <c r="F97" s="15">
        <v>19036</v>
      </c>
      <c r="G97" s="15">
        <v>18953</v>
      </c>
      <c r="H97" s="15">
        <v>18693</v>
      </c>
      <c r="I97" s="15">
        <f t="shared" ref="I97:I112" si="38">ROUND(SUM(C97:H97)/6,0)</f>
        <v>18305</v>
      </c>
      <c r="J97" s="15">
        <f>ROUND(J$94*(C97/C$114),0)</f>
        <v>54712</v>
      </c>
      <c r="K97" s="15">
        <f>ROUND(K$94*(D97/D$114),0)</f>
        <v>46028</v>
      </c>
      <c r="L97" s="15">
        <f t="shared" ref="L97:O112" si="39">ROUND(L$94*(E97/E$114),0)</f>
        <v>22224</v>
      </c>
      <c r="M97" s="15">
        <f t="shared" si="39"/>
        <v>12252</v>
      </c>
      <c r="N97" s="15">
        <f t="shared" si="39"/>
        <v>4437</v>
      </c>
      <c r="O97" s="15">
        <f t="shared" si="39"/>
        <v>1574</v>
      </c>
      <c r="P97" s="15">
        <f t="shared" ref="P97:P112" si="40">ROUND(SUM(J97:O97)/6,0)</f>
        <v>23538</v>
      </c>
      <c r="Q97" s="1"/>
    </row>
    <row r="98" spans="1:17" x14ac:dyDescent="0.25">
      <c r="A98" s="2">
        <f t="shared" si="0"/>
        <v>98</v>
      </c>
      <c r="B98" s="1" t="s">
        <v>48</v>
      </c>
      <c r="C98" s="15">
        <v>211666</v>
      </c>
      <c r="D98" s="15">
        <v>228997</v>
      </c>
      <c r="E98" s="15">
        <v>248776</v>
      </c>
      <c r="F98" s="15">
        <v>260262</v>
      </c>
      <c r="G98" s="15">
        <v>257174</v>
      </c>
      <c r="H98" s="15">
        <v>254957</v>
      </c>
      <c r="I98" s="15">
        <f t="shared" si="38"/>
        <v>243639</v>
      </c>
      <c r="J98" s="15">
        <f t="shared" ref="J98:K112" si="41">ROUND(J$94*(C98/C$114),0)</f>
        <v>706523</v>
      </c>
      <c r="K98" s="15">
        <f t="shared" si="41"/>
        <v>590593</v>
      </c>
      <c r="L98" s="15">
        <f t="shared" si="39"/>
        <v>292358</v>
      </c>
      <c r="M98" s="15">
        <f t="shared" si="39"/>
        <v>167512</v>
      </c>
      <c r="N98" s="15">
        <f t="shared" si="39"/>
        <v>60203</v>
      </c>
      <c r="O98" s="15">
        <f t="shared" si="39"/>
        <v>21475</v>
      </c>
      <c r="P98" s="15">
        <f t="shared" si="40"/>
        <v>306444</v>
      </c>
      <c r="Q98" s="1"/>
    </row>
    <row r="99" spans="1:17" x14ac:dyDescent="0.25">
      <c r="A99" s="2">
        <f t="shared" si="0"/>
        <v>99</v>
      </c>
      <c r="B99" s="1" t="s">
        <v>49</v>
      </c>
      <c r="C99" s="15">
        <v>15856</v>
      </c>
      <c r="D99" s="15">
        <v>17219</v>
      </c>
      <c r="E99" s="15">
        <v>19225</v>
      </c>
      <c r="F99" s="15">
        <v>20156</v>
      </c>
      <c r="G99" s="15">
        <v>20218</v>
      </c>
      <c r="H99" s="15">
        <v>20182</v>
      </c>
      <c r="I99" s="15">
        <f t="shared" si="38"/>
        <v>18809</v>
      </c>
      <c r="J99" s="15">
        <f t="shared" si="41"/>
        <v>52926</v>
      </c>
      <c r="K99" s="15">
        <f t="shared" si="41"/>
        <v>44409</v>
      </c>
      <c r="L99" s="15">
        <f t="shared" si="39"/>
        <v>22593</v>
      </c>
      <c r="M99" s="15">
        <f t="shared" si="39"/>
        <v>12973</v>
      </c>
      <c r="N99" s="15">
        <f t="shared" si="39"/>
        <v>4733</v>
      </c>
      <c r="O99" s="15">
        <f t="shared" si="39"/>
        <v>1700</v>
      </c>
      <c r="P99" s="15">
        <f t="shared" si="40"/>
        <v>23222</v>
      </c>
      <c r="Q99" s="1"/>
    </row>
    <row r="100" spans="1:17" x14ac:dyDescent="0.25">
      <c r="A100" s="2">
        <f t="shared" si="0"/>
        <v>100</v>
      </c>
      <c r="B100" s="1" t="s">
        <v>50</v>
      </c>
      <c r="C100" s="15">
        <v>27398</v>
      </c>
      <c r="D100" s="15">
        <v>31716</v>
      </c>
      <c r="E100" s="15">
        <v>33900</v>
      </c>
      <c r="F100" s="15">
        <v>34197</v>
      </c>
      <c r="G100" s="15">
        <v>34188</v>
      </c>
      <c r="H100" s="15">
        <v>33872</v>
      </c>
      <c r="I100" s="15">
        <f t="shared" si="38"/>
        <v>32545</v>
      </c>
      <c r="J100" s="15">
        <f t="shared" si="41"/>
        <v>91452</v>
      </c>
      <c r="K100" s="15">
        <f t="shared" si="41"/>
        <v>81797</v>
      </c>
      <c r="L100" s="15">
        <f t="shared" si="39"/>
        <v>39839</v>
      </c>
      <c r="M100" s="15">
        <f t="shared" si="39"/>
        <v>22010</v>
      </c>
      <c r="N100" s="15">
        <f t="shared" si="39"/>
        <v>8003</v>
      </c>
      <c r="O100" s="15">
        <f t="shared" si="39"/>
        <v>2853</v>
      </c>
      <c r="P100" s="15">
        <f t="shared" si="40"/>
        <v>40992</v>
      </c>
      <c r="Q100" s="1"/>
    </row>
    <row r="101" spans="1:17" x14ac:dyDescent="0.25">
      <c r="A101" s="2">
        <f t="shared" si="0"/>
        <v>101</v>
      </c>
      <c r="B101" s="1" t="s">
        <v>51</v>
      </c>
      <c r="C101" s="15">
        <v>60284</v>
      </c>
      <c r="D101" s="15">
        <v>59677</v>
      </c>
      <c r="E101" s="15">
        <v>59696</v>
      </c>
      <c r="F101" s="15">
        <v>61434</v>
      </c>
      <c r="G101" s="15">
        <v>61537</v>
      </c>
      <c r="H101" s="15">
        <v>61111</v>
      </c>
      <c r="I101" s="15">
        <f t="shared" si="38"/>
        <v>60623</v>
      </c>
      <c r="J101" s="15">
        <f t="shared" si="41"/>
        <v>201223</v>
      </c>
      <c r="K101" s="15">
        <f t="shared" si="41"/>
        <v>153910</v>
      </c>
      <c r="L101" s="15">
        <f t="shared" si="39"/>
        <v>70154</v>
      </c>
      <c r="M101" s="15">
        <f t="shared" si="39"/>
        <v>39541</v>
      </c>
      <c r="N101" s="15">
        <f t="shared" si="39"/>
        <v>14406</v>
      </c>
      <c r="O101" s="15">
        <f t="shared" si="39"/>
        <v>5147</v>
      </c>
      <c r="P101" s="15">
        <f t="shared" si="40"/>
        <v>80730</v>
      </c>
      <c r="Q101" s="1"/>
    </row>
    <row r="102" spans="1:17" x14ac:dyDescent="0.25">
      <c r="A102" s="2">
        <f t="shared" si="0"/>
        <v>102</v>
      </c>
      <c r="B102" s="1" t="s">
        <v>52</v>
      </c>
      <c r="C102" s="15">
        <v>699</v>
      </c>
      <c r="D102" s="15">
        <v>14352</v>
      </c>
      <c r="E102" s="15">
        <v>30004</v>
      </c>
      <c r="F102" s="15">
        <v>32305</v>
      </c>
      <c r="G102" s="15">
        <v>34087</v>
      </c>
      <c r="H102" s="15">
        <v>33057</v>
      </c>
      <c r="I102" s="15">
        <f t="shared" si="38"/>
        <v>24084</v>
      </c>
      <c r="J102" s="15">
        <f t="shared" si="41"/>
        <v>2333</v>
      </c>
      <c r="K102" s="15">
        <f t="shared" si="41"/>
        <v>37014</v>
      </c>
      <c r="L102" s="15">
        <f t="shared" si="39"/>
        <v>35260</v>
      </c>
      <c r="M102" s="15">
        <f t="shared" si="39"/>
        <v>20792</v>
      </c>
      <c r="N102" s="15">
        <f t="shared" si="39"/>
        <v>7980</v>
      </c>
      <c r="O102" s="15">
        <f t="shared" si="39"/>
        <v>2784</v>
      </c>
      <c r="P102" s="15">
        <f t="shared" si="40"/>
        <v>17694</v>
      </c>
      <c r="Q102" s="1"/>
    </row>
    <row r="103" spans="1:17" x14ac:dyDescent="0.25">
      <c r="A103" s="2">
        <f t="shared" si="0"/>
        <v>103</v>
      </c>
      <c r="B103" s="1" t="s">
        <v>53</v>
      </c>
      <c r="C103" s="15">
        <v>21599</v>
      </c>
      <c r="D103" s="15">
        <v>23487</v>
      </c>
      <c r="E103" s="15">
        <v>23993</v>
      </c>
      <c r="F103" s="15">
        <v>24421</v>
      </c>
      <c r="G103" s="15">
        <v>23683</v>
      </c>
      <c r="H103" s="15">
        <v>22610</v>
      </c>
      <c r="I103" s="15">
        <f t="shared" si="38"/>
        <v>23299</v>
      </c>
      <c r="J103" s="15">
        <f t="shared" si="41"/>
        <v>72096</v>
      </c>
      <c r="K103" s="15">
        <f t="shared" si="41"/>
        <v>60574</v>
      </c>
      <c r="L103" s="15">
        <f t="shared" si="39"/>
        <v>28196</v>
      </c>
      <c r="M103" s="15">
        <f t="shared" si="39"/>
        <v>15718</v>
      </c>
      <c r="N103" s="15">
        <f t="shared" si="39"/>
        <v>5544</v>
      </c>
      <c r="O103" s="15">
        <f t="shared" si="39"/>
        <v>1904</v>
      </c>
      <c r="P103" s="15">
        <f t="shared" si="40"/>
        <v>30672</v>
      </c>
      <c r="Q103" s="1"/>
    </row>
    <row r="104" spans="1:17" x14ac:dyDescent="0.25">
      <c r="A104" s="2">
        <f t="shared" si="0"/>
        <v>104</v>
      </c>
      <c r="B104" s="1" t="s">
        <v>54</v>
      </c>
      <c r="C104" s="15">
        <v>63142</v>
      </c>
      <c r="D104" s="15">
        <v>66996</v>
      </c>
      <c r="E104" s="15">
        <v>68599</v>
      </c>
      <c r="F104" s="15">
        <v>68932</v>
      </c>
      <c r="G104" s="15">
        <v>67664</v>
      </c>
      <c r="H104" s="15">
        <v>66300</v>
      </c>
      <c r="I104" s="15">
        <f t="shared" si="38"/>
        <v>66939</v>
      </c>
      <c r="J104" s="15">
        <f t="shared" si="41"/>
        <v>210763</v>
      </c>
      <c r="K104" s="15">
        <f t="shared" si="41"/>
        <v>172786</v>
      </c>
      <c r="L104" s="15">
        <f t="shared" si="39"/>
        <v>80617</v>
      </c>
      <c r="M104" s="15">
        <f t="shared" si="39"/>
        <v>44367</v>
      </c>
      <c r="N104" s="15">
        <f t="shared" si="39"/>
        <v>15840</v>
      </c>
      <c r="O104" s="15">
        <f t="shared" si="39"/>
        <v>5584</v>
      </c>
      <c r="P104" s="15">
        <f t="shared" si="40"/>
        <v>88326</v>
      </c>
      <c r="Q104" s="1"/>
    </row>
    <row r="105" spans="1:17" x14ac:dyDescent="0.25">
      <c r="A105" s="2">
        <f t="shared" si="0"/>
        <v>105</v>
      </c>
      <c r="B105" s="1" t="s">
        <v>55</v>
      </c>
      <c r="C105" s="15">
        <v>19906</v>
      </c>
      <c r="D105" s="15">
        <v>21624</v>
      </c>
      <c r="E105" s="15">
        <v>25836</v>
      </c>
      <c r="F105" s="15">
        <v>27936</v>
      </c>
      <c r="G105" s="15">
        <v>27985</v>
      </c>
      <c r="H105" s="15">
        <v>27471</v>
      </c>
      <c r="I105" s="15">
        <f t="shared" si="38"/>
        <v>25126</v>
      </c>
      <c r="J105" s="15">
        <f t="shared" si="41"/>
        <v>66444</v>
      </c>
      <c r="K105" s="15">
        <f t="shared" si="41"/>
        <v>55769</v>
      </c>
      <c r="L105" s="15">
        <f t="shared" si="39"/>
        <v>30362</v>
      </c>
      <c r="M105" s="15">
        <f t="shared" si="39"/>
        <v>17980</v>
      </c>
      <c r="N105" s="15">
        <f t="shared" si="39"/>
        <v>6551</v>
      </c>
      <c r="O105" s="15">
        <f t="shared" si="39"/>
        <v>2314</v>
      </c>
      <c r="P105" s="15">
        <f t="shared" si="40"/>
        <v>29903</v>
      </c>
      <c r="Q105" s="1"/>
    </row>
    <row r="106" spans="1:17" x14ac:dyDescent="0.25">
      <c r="A106" s="2">
        <f t="shared" si="0"/>
        <v>106</v>
      </c>
      <c r="B106" s="1" t="s">
        <v>56</v>
      </c>
      <c r="C106" s="15">
        <v>10756</v>
      </c>
      <c r="D106" s="15">
        <v>12204</v>
      </c>
      <c r="E106" s="15">
        <v>16192</v>
      </c>
      <c r="F106" s="15">
        <v>16210</v>
      </c>
      <c r="G106" s="15">
        <v>15228</v>
      </c>
      <c r="H106" s="15">
        <v>15049</v>
      </c>
      <c r="I106" s="15">
        <f t="shared" si="38"/>
        <v>14273</v>
      </c>
      <c r="J106" s="15">
        <f t="shared" si="41"/>
        <v>35903</v>
      </c>
      <c r="K106" s="15">
        <f t="shared" si="41"/>
        <v>31475</v>
      </c>
      <c r="L106" s="15">
        <f t="shared" si="39"/>
        <v>19029</v>
      </c>
      <c r="M106" s="15">
        <f t="shared" si="39"/>
        <v>10433</v>
      </c>
      <c r="N106" s="15">
        <f t="shared" si="39"/>
        <v>3565</v>
      </c>
      <c r="O106" s="15">
        <f t="shared" si="39"/>
        <v>1268</v>
      </c>
      <c r="P106" s="15">
        <f t="shared" si="40"/>
        <v>16946</v>
      </c>
      <c r="Q106" s="1"/>
    </row>
    <row r="107" spans="1:17" x14ac:dyDescent="0.25">
      <c r="A107" s="2">
        <f t="shared" si="0"/>
        <v>107</v>
      </c>
      <c r="B107" s="1" t="s">
        <v>57</v>
      </c>
      <c r="C107" s="15">
        <v>60984</v>
      </c>
      <c r="D107" s="15">
        <v>65570</v>
      </c>
      <c r="E107" s="15">
        <v>44874</v>
      </c>
      <c r="F107" s="15">
        <v>0</v>
      </c>
      <c r="G107" s="15">
        <v>0</v>
      </c>
      <c r="H107" s="15">
        <v>0</v>
      </c>
      <c r="I107" s="15">
        <f t="shared" si="38"/>
        <v>28571</v>
      </c>
      <c r="J107" s="15">
        <f t="shared" si="41"/>
        <v>203559</v>
      </c>
      <c r="K107" s="15">
        <f t="shared" si="41"/>
        <v>169108</v>
      </c>
      <c r="L107" s="15">
        <f t="shared" si="39"/>
        <v>52735</v>
      </c>
      <c r="M107" s="15">
        <f t="shared" si="39"/>
        <v>0</v>
      </c>
      <c r="N107" s="15">
        <f t="shared" si="39"/>
        <v>0</v>
      </c>
      <c r="O107" s="15">
        <f t="shared" si="39"/>
        <v>0</v>
      </c>
      <c r="P107" s="15">
        <f t="shared" si="40"/>
        <v>70900</v>
      </c>
      <c r="Q107" s="1"/>
    </row>
    <row r="108" spans="1:17" x14ac:dyDescent="0.25">
      <c r="A108" s="2">
        <f t="shared" si="0"/>
        <v>108</v>
      </c>
      <c r="B108" s="1" t="s">
        <v>58</v>
      </c>
      <c r="C108" s="15">
        <v>174799</v>
      </c>
      <c r="D108" s="15">
        <v>138096</v>
      </c>
      <c r="E108" s="15">
        <v>133928</v>
      </c>
      <c r="F108" s="15">
        <v>136452</v>
      </c>
      <c r="G108" s="15">
        <v>135496</v>
      </c>
      <c r="H108" s="15">
        <v>132533</v>
      </c>
      <c r="I108" s="15">
        <f t="shared" si="38"/>
        <v>141884</v>
      </c>
      <c r="J108" s="15">
        <f t="shared" si="41"/>
        <v>583464</v>
      </c>
      <c r="K108" s="15">
        <f t="shared" si="41"/>
        <v>356156</v>
      </c>
      <c r="L108" s="15">
        <f t="shared" si="39"/>
        <v>157390</v>
      </c>
      <c r="M108" s="15">
        <f t="shared" si="39"/>
        <v>87824</v>
      </c>
      <c r="N108" s="15">
        <f t="shared" si="39"/>
        <v>31719</v>
      </c>
      <c r="O108" s="15">
        <f t="shared" si="39"/>
        <v>11163</v>
      </c>
      <c r="P108" s="15">
        <f t="shared" si="40"/>
        <v>204619</v>
      </c>
      <c r="Q108" s="1"/>
    </row>
    <row r="109" spans="1:17" x14ac:dyDescent="0.25">
      <c r="A109" s="2">
        <f t="shared" si="0"/>
        <v>109</v>
      </c>
      <c r="B109" s="1" t="s">
        <v>59</v>
      </c>
      <c r="C109" s="15">
        <v>69788</v>
      </c>
      <c r="D109" s="15">
        <v>79344</v>
      </c>
      <c r="E109" s="15">
        <v>83777</v>
      </c>
      <c r="F109" s="15">
        <v>87510</v>
      </c>
      <c r="G109" s="15">
        <v>84332</v>
      </c>
      <c r="H109" s="15">
        <v>80721</v>
      </c>
      <c r="I109" s="15">
        <f t="shared" si="38"/>
        <v>80912</v>
      </c>
      <c r="J109" s="15">
        <f t="shared" si="41"/>
        <v>232946</v>
      </c>
      <c r="K109" s="15">
        <f t="shared" si="41"/>
        <v>204632</v>
      </c>
      <c r="L109" s="15">
        <f t="shared" si="39"/>
        <v>98453</v>
      </c>
      <c r="M109" s="15">
        <f t="shared" si="39"/>
        <v>56324</v>
      </c>
      <c r="N109" s="15">
        <f t="shared" si="39"/>
        <v>19742</v>
      </c>
      <c r="O109" s="15">
        <f t="shared" si="39"/>
        <v>6799</v>
      </c>
      <c r="P109" s="15">
        <f t="shared" si="40"/>
        <v>103149</v>
      </c>
      <c r="Q109" s="1"/>
    </row>
    <row r="110" spans="1:17" x14ac:dyDescent="0.25">
      <c r="A110" s="2">
        <f t="shared" si="0"/>
        <v>110</v>
      </c>
      <c r="B110" s="1" t="s">
        <v>60</v>
      </c>
      <c r="C110" s="15">
        <v>42164</v>
      </c>
      <c r="D110" s="15">
        <v>43133</v>
      </c>
      <c r="E110" s="15">
        <v>44106</v>
      </c>
      <c r="F110" s="15">
        <v>45164</v>
      </c>
      <c r="G110" s="15">
        <v>43888</v>
      </c>
      <c r="H110" s="15">
        <v>42603</v>
      </c>
      <c r="I110" s="15">
        <f t="shared" si="38"/>
        <v>43510</v>
      </c>
      <c r="J110" s="15">
        <f t="shared" si="41"/>
        <v>140740</v>
      </c>
      <c r="K110" s="15">
        <f t="shared" si="41"/>
        <v>111242</v>
      </c>
      <c r="L110" s="15">
        <f t="shared" si="39"/>
        <v>51833</v>
      </c>
      <c r="M110" s="15">
        <f t="shared" si="39"/>
        <v>29069</v>
      </c>
      <c r="N110" s="15">
        <f t="shared" si="39"/>
        <v>10274</v>
      </c>
      <c r="O110" s="15">
        <f t="shared" si="39"/>
        <v>3588</v>
      </c>
      <c r="P110" s="15">
        <f t="shared" si="40"/>
        <v>57791</v>
      </c>
      <c r="Q110" s="1"/>
    </row>
    <row r="111" spans="1:17" x14ac:dyDescent="0.25">
      <c r="A111" s="2">
        <f t="shared" si="0"/>
        <v>111</v>
      </c>
      <c r="B111" s="1" t="s">
        <v>61</v>
      </c>
      <c r="C111" s="15">
        <v>113406</v>
      </c>
      <c r="D111" s="15">
        <v>126802</v>
      </c>
      <c r="E111" s="15">
        <v>134613</v>
      </c>
      <c r="F111" s="15">
        <v>138972</v>
      </c>
      <c r="G111" s="15">
        <v>134671</v>
      </c>
      <c r="H111" s="15">
        <v>130547</v>
      </c>
      <c r="I111" s="15">
        <f t="shared" si="38"/>
        <v>129835</v>
      </c>
      <c r="J111" s="15">
        <f t="shared" si="41"/>
        <v>378539</v>
      </c>
      <c r="K111" s="15">
        <f t="shared" si="41"/>
        <v>327028</v>
      </c>
      <c r="L111" s="15">
        <f t="shared" si="39"/>
        <v>158195</v>
      </c>
      <c r="M111" s="15">
        <f t="shared" si="39"/>
        <v>89446</v>
      </c>
      <c r="N111" s="15">
        <f t="shared" si="39"/>
        <v>31526</v>
      </c>
      <c r="O111" s="15">
        <f t="shared" si="39"/>
        <v>10996</v>
      </c>
      <c r="P111" s="15">
        <f t="shared" si="40"/>
        <v>165955</v>
      </c>
      <c r="Q111" s="1"/>
    </row>
    <row r="112" spans="1:17" x14ac:dyDescent="0.25">
      <c r="A112" s="2">
        <f t="shared" si="0"/>
        <v>112</v>
      </c>
      <c r="B112" s="1" t="s">
        <v>62</v>
      </c>
      <c r="C112" s="12">
        <v>5356</v>
      </c>
      <c r="D112" s="12">
        <v>9354</v>
      </c>
      <c r="E112" s="12">
        <v>13263</v>
      </c>
      <c r="F112" s="12">
        <v>13944</v>
      </c>
      <c r="G112" s="12">
        <v>15405</v>
      </c>
      <c r="H112" s="12">
        <v>15368</v>
      </c>
      <c r="I112" s="12">
        <f t="shared" si="38"/>
        <v>12115</v>
      </c>
      <c r="J112" s="12">
        <f t="shared" si="41"/>
        <v>17878</v>
      </c>
      <c r="K112" s="12">
        <f t="shared" si="41"/>
        <v>24124</v>
      </c>
      <c r="L112" s="12">
        <f t="shared" si="39"/>
        <v>15586</v>
      </c>
      <c r="M112" s="12">
        <f t="shared" si="39"/>
        <v>8975</v>
      </c>
      <c r="N112" s="12">
        <f t="shared" si="39"/>
        <v>3606</v>
      </c>
      <c r="O112" s="12">
        <f t="shared" si="39"/>
        <v>1294</v>
      </c>
      <c r="P112" s="12">
        <f t="shared" si="40"/>
        <v>11911</v>
      </c>
      <c r="Q112" s="1"/>
    </row>
    <row r="113" spans="1:17" x14ac:dyDescent="0.25">
      <c r="A113" s="2">
        <f t="shared" si="0"/>
        <v>113</v>
      </c>
      <c r="B113" s="1"/>
      <c r="C113" s="15"/>
      <c r="D113" s="15"/>
      <c r="E113" s="15"/>
      <c r="F113" s="15"/>
      <c r="G113" s="15"/>
      <c r="H113" s="15"/>
      <c r="I113" s="15"/>
      <c r="J113" s="15"/>
      <c r="K113" s="38"/>
      <c r="L113" s="38"/>
      <c r="M113" s="38"/>
      <c r="N113" s="38"/>
      <c r="O113" s="38"/>
      <c r="P113" s="38"/>
      <c r="Q113" s="1"/>
    </row>
    <row r="114" spans="1:17" ht="15.75" thickBot="1" x14ac:dyDescent="0.3">
      <c r="A114" s="2">
        <f t="shared" si="0"/>
        <v>114</v>
      </c>
      <c r="B114" s="16" t="s">
        <v>63</v>
      </c>
      <c r="C114" s="11">
        <f>SUM(C97:C112)</f>
        <v>914194</v>
      </c>
      <c r="D114" s="11">
        <f t="shared" ref="D114:P114" si="42">SUM(D97:D112)</f>
        <v>956418</v>
      </c>
      <c r="E114" s="11">
        <f t="shared" si="42"/>
        <v>999693</v>
      </c>
      <c r="F114" s="11">
        <f t="shared" si="42"/>
        <v>986931</v>
      </c>
      <c r="G114" s="11">
        <f t="shared" si="42"/>
        <v>974509</v>
      </c>
      <c r="H114" s="11">
        <f t="shared" si="42"/>
        <v>955074</v>
      </c>
      <c r="I114" s="11">
        <f t="shared" si="42"/>
        <v>964469</v>
      </c>
      <c r="J114" s="11">
        <f t="shared" si="42"/>
        <v>3051501</v>
      </c>
      <c r="K114" s="11">
        <f t="shared" si="42"/>
        <v>2466645</v>
      </c>
      <c r="L114" s="11">
        <f t="shared" si="42"/>
        <v>1174824</v>
      </c>
      <c r="M114" s="11">
        <f t="shared" si="42"/>
        <v>635216</v>
      </c>
      <c r="N114" s="11">
        <f t="shared" si="42"/>
        <v>228129</v>
      </c>
      <c r="O114" s="11">
        <f t="shared" si="42"/>
        <v>80443</v>
      </c>
      <c r="P114" s="11">
        <f t="shared" si="42"/>
        <v>1272792</v>
      </c>
      <c r="Q114" s="1"/>
    </row>
    <row r="115" spans="1:17" ht="15.75" thickTop="1" x14ac:dyDescent="0.25">
      <c r="A115" s="2">
        <f t="shared" si="0"/>
        <v>115</v>
      </c>
      <c r="B115" s="16"/>
      <c r="C115" s="15"/>
      <c r="D115" s="15"/>
      <c r="E115" s="15"/>
      <c r="F115" s="15"/>
      <c r="G115" s="15"/>
      <c r="H115" s="15"/>
      <c r="I115" s="15"/>
      <c r="J115" s="15"/>
      <c r="Q115" s="1"/>
    </row>
    <row r="116" spans="1:17" x14ac:dyDescent="0.25">
      <c r="A116" s="2">
        <f t="shared" si="0"/>
        <v>116</v>
      </c>
      <c r="B116" s="56" t="s">
        <v>114</v>
      </c>
      <c r="C116" s="15"/>
      <c r="D116" s="15"/>
      <c r="E116" s="15"/>
      <c r="F116" s="15"/>
      <c r="G116" s="15"/>
      <c r="H116" s="15"/>
      <c r="I116" s="15"/>
      <c r="J116" s="15"/>
      <c r="Q116" s="1"/>
    </row>
    <row r="117" spans="1:17" x14ac:dyDescent="0.25">
      <c r="A117" s="2">
        <f t="shared" si="0"/>
        <v>117</v>
      </c>
      <c r="B117" s="16"/>
      <c r="C117" s="15">
        <f>'2014'!O34</f>
        <v>0</v>
      </c>
      <c r="D117" s="15">
        <f>'2015'!O34</f>
        <v>1325639</v>
      </c>
      <c r="E117" s="15">
        <f>'2016'!O34</f>
        <v>1255049</v>
      </c>
      <c r="F117" s="15">
        <f>'2017'!O34</f>
        <v>1351443</v>
      </c>
      <c r="G117" s="15">
        <f>'2018'!O34</f>
        <v>941590</v>
      </c>
      <c r="H117" s="15">
        <f>'2019'!O34</f>
        <v>817777</v>
      </c>
      <c r="I117" s="15"/>
      <c r="J117" s="15"/>
      <c r="Q117" s="1"/>
    </row>
    <row r="118" spans="1:17" ht="15.75" thickBot="1" x14ac:dyDescent="0.3">
      <c r="A118" s="2">
        <f t="shared" si="0"/>
        <v>118</v>
      </c>
      <c r="B118" s="5" t="s">
        <v>46</v>
      </c>
      <c r="C118" s="25" t="s">
        <v>74</v>
      </c>
      <c r="D118" s="25" t="s">
        <v>75</v>
      </c>
      <c r="E118" s="25" t="s">
        <v>76</v>
      </c>
      <c r="F118" s="25" t="s">
        <v>77</v>
      </c>
      <c r="G118" s="25" t="s">
        <v>78</v>
      </c>
      <c r="H118" s="25" t="s">
        <v>79</v>
      </c>
      <c r="I118" s="25" t="s">
        <v>115</v>
      </c>
      <c r="J118" s="15"/>
      <c r="Q118" s="1"/>
    </row>
    <row r="119" spans="1:17" x14ac:dyDescent="0.25">
      <c r="A119" s="2">
        <f t="shared" si="0"/>
        <v>119</v>
      </c>
      <c r="B119" s="16"/>
      <c r="C119" s="15"/>
      <c r="D119" s="15"/>
      <c r="E119" s="15"/>
      <c r="F119" s="15"/>
      <c r="G119" s="15"/>
      <c r="H119" s="15"/>
      <c r="I119" s="15"/>
      <c r="J119" s="15"/>
      <c r="Q119" s="1"/>
    </row>
    <row r="120" spans="1:17" x14ac:dyDescent="0.25">
      <c r="A120" s="2">
        <f t="shared" si="0"/>
        <v>120</v>
      </c>
      <c r="B120" s="1" t="s">
        <v>47</v>
      </c>
      <c r="C120" s="15">
        <v>0</v>
      </c>
      <c r="D120" s="15">
        <f>ROUND(D$117*J74,0)</f>
        <v>25611</v>
      </c>
      <c r="E120" s="15">
        <f>ROUND(E$117*K74,0)</f>
        <v>27209</v>
      </c>
      <c r="F120" s="15">
        <f t="shared" ref="F120:H135" si="43">ROUND(F$117*L74,0)</f>
        <v>20650</v>
      </c>
      <c r="G120" s="15">
        <f t="shared" si="43"/>
        <v>9990</v>
      </c>
      <c r="H120" s="15">
        <f t="shared" si="43"/>
        <v>6591</v>
      </c>
      <c r="I120" s="15">
        <f>ROUND(SUM(C120:H120)/5,0)</f>
        <v>18010</v>
      </c>
      <c r="J120" s="15"/>
      <c r="Q120" s="1"/>
    </row>
    <row r="121" spans="1:17" x14ac:dyDescent="0.25">
      <c r="A121" s="2">
        <f t="shared" si="0"/>
        <v>121</v>
      </c>
      <c r="B121" s="1" t="s">
        <v>48</v>
      </c>
      <c r="C121" s="15">
        <v>0</v>
      </c>
      <c r="D121" s="15">
        <f t="shared" ref="D121:E135" si="44">ROUND(D$117*J75,0)</f>
        <v>161489</v>
      </c>
      <c r="E121" s="15">
        <f t="shared" si="44"/>
        <v>185032</v>
      </c>
      <c r="F121" s="15">
        <f t="shared" si="43"/>
        <v>188986</v>
      </c>
      <c r="G121" s="15">
        <f t="shared" si="43"/>
        <v>111362</v>
      </c>
      <c r="H121" s="15">
        <f t="shared" si="43"/>
        <v>128162</v>
      </c>
      <c r="I121" s="15">
        <f t="shared" ref="I121:I135" si="45">ROUND(SUM(C121:H121)/5,0)</f>
        <v>155006</v>
      </c>
      <c r="J121" s="15"/>
      <c r="Q121" s="1"/>
    </row>
    <row r="122" spans="1:17" x14ac:dyDescent="0.25">
      <c r="A122" s="2">
        <f t="shared" si="0"/>
        <v>122</v>
      </c>
      <c r="B122" s="1" t="s">
        <v>49</v>
      </c>
      <c r="C122" s="15">
        <v>0</v>
      </c>
      <c r="D122" s="15">
        <f t="shared" si="44"/>
        <v>41015</v>
      </c>
      <c r="E122" s="15">
        <f t="shared" si="44"/>
        <v>35618</v>
      </c>
      <c r="F122" s="15">
        <f t="shared" si="43"/>
        <v>54828</v>
      </c>
      <c r="G122" s="15">
        <f t="shared" si="43"/>
        <v>28511</v>
      </c>
      <c r="H122" s="15">
        <f t="shared" si="43"/>
        <v>20657</v>
      </c>
      <c r="I122" s="15">
        <f t="shared" si="45"/>
        <v>36126</v>
      </c>
      <c r="J122" s="15"/>
      <c r="Q122" s="1"/>
    </row>
    <row r="123" spans="1:17" x14ac:dyDescent="0.25">
      <c r="A123" s="2">
        <f t="shared" si="0"/>
        <v>123</v>
      </c>
      <c r="B123" s="1" t="s">
        <v>50</v>
      </c>
      <c r="C123" s="15">
        <v>0</v>
      </c>
      <c r="D123" s="15">
        <f t="shared" si="44"/>
        <v>19248</v>
      </c>
      <c r="E123" s="15">
        <f t="shared" si="44"/>
        <v>23833</v>
      </c>
      <c r="F123" s="15">
        <f t="shared" si="43"/>
        <v>28232</v>
      </c>
      <c r="G123" s="15">
        <f t="shared" si="43"/>
        <v>23248</v>
      </c>
      <c r="H123" s="15">
        <f t="shared" si="43"/>
        <v>26177</v>
      </c>
      <c r="I123" s="15">
        <f t="shared" si="45"/>
        <v>24148</v>
      </c>
      <c r="J123" s="15"/>
      <c r="Q123" s="1"/>
    </row>
    <row r="124" spans="1:17" x14ac:dyDescent="0.25">
      <c r="A124" s="2">
        <f t="shared" si="0"/>
        <v>124</v>
      </c>
      <c r="B124" s="1" t="s">
        <v>51</v>
      </c>
      <c r="C124" s="15">
        <v>0</v>
      </c>
      <c r="D124" s="15">
        <f t="shared" si="44"/>
        <v>89547</v>
      </c>
      <c r="E124" s="15">
        <f t="shared" si="44"/>
        <v>54206</v>
      </c>
      <c r="F124" s="15">
        <f t="shared" si="43"/>
        <v>46882</v>
      </c>
      <c r="G124" s="15">
        <f t="shared" si="43"/>
        <v>25517</v>
      </c>
      <c r="H124" s="15">
        <f t="shared" si="43"/>
        <v>32278</v>
      </c>
      <c r="I124" s="15">
        <f t="shared" si="45"/>
        <v>49686</v>
      </c>
      <c r="J124" s="15"/>
      <c r="Q124" s="1"/>
    </row>
    <row r="125" spans="1:17" x14ac:dyDescent="0.25">
      <c r="A125" s="2">
        <f t="shared" si="0"/>
        <v>125</v>
      </c>
      <c r="B125" s="1" t="s">
        <v>52</v>
      </c>
      <c r="C125" s="15">
        <v>0</v>
      </c>
      <c r="D125" s="15">
        <f t="shared" si="44"/>
        <v>23848</v>
      </c>
      <c r="E125" s="15">
        <f t="shared" si="44"/>
        <v>34300</v>
      </c>
      <c r="F125" s="15">
        <f t="shared" si="43"/>
        <v>30232</v>
      </c>
      <c r="G125" s="15">
        <f t="shared" si="43"/>
        <v>17193</v>
      </c>
      <c r="H125" s="15">
        <f t="shared" si="43"/>
        <v>25367</v>
      </c>
      <c r="I125" s="15">
        <f t="shared" si="45"/>
        <v>26188</v>
      </c>
      <c r="J125" s="15"/>
      <c r="Q125" s="1"/>
    </row>
    <row r="126" spans="1:17" x14ac:dyDescent="0.25">
      <c r="A126" s="2">
        <f t="shared" si="0"/>
        <v>126</v>
      </c>
      <c r="B126" s="1" t="s">
        <v>53</v>
      </c>
      <c r="C126" s="15">
        <v>0</v>
      </c>
      <c r="D126" s="15">
        <f t="shared" si="44"/>
        <v>28435</v>
      </c>
      <c r="E126" s="15">
        <f t="shared" si="44"/>
        <v>26820</v>
      </c>
      <c r="F126" s="15">
        <f t="shared" si="43"/>
        <v>30421</v>
      </c>
      <c r="G126" s="15">
        <f t="shared" si="43"/>
        <v>14199</v>
      </c>
      <c r="H126" s="15">
        <f t="shared" si="43"/>
        <v>10607</v>
      </c>
      <c r="I126" s="15">
        <f t="shared" si="45"/>
        <v>22096</v>
      </c>
      <c r="J126" s="15"/>
      <c r="Q126" s="1"/>
    </row>
    <row r="127" spans="1:17" x14ac:dyDescent="0.25">
      <c r="A127" s="2">
        <f t="shared" si="0"/>
        <v>127</v>
      </c>
      <c r="B127" s="1" t="s">
        <v>54</v>
      </c>
      <c r="C127" s="15">
        <v>0</v>
      </c>
      <c r="D127" s="15">
        <f t="shared" si="44"/>
        <v>44263</v>
      </c>
      <c r="E127" s="15">
        <f t="shared" si="44"/>
        <v>47955</v>
      </c>
      <c r="F127" s="15">
        <f t="shared" si="43"/>
        <v>57801</v>
      </c>
      <c r="G127" s="15">
        <f t="shared" si="43"/>
        <v>43501</v>
      </c>
      <c r="H127" s="15">
        <f t="shared" si="43"/>
        <v>42017</v>
      </c>
      <c r="I127" s="15">
        <f t="shared" si="45"/>
        <v>47107</v>
      </c>
      <c r="J127" s="15"/>
      <c r="Q127" s="1"/>
    </row>
    <row r="128" spans="1:17" x14ac:dyDescent="0.25">
      <c r="A128" s="2">
        <f t="shared" si="0"/>
        <v>128</v>
      </c>
      <c r="B128" s="1" t="s">
        <v>55</v>
      </c>
      <c r="C128" s="15">
        <v>0</v>
      </c>
      <c r="D128" s="15">
        <f t="shared" si="44"/>
        <v>165917</v>
      </c>
      <c r="E128" s="15">
        <f t="shared" si="44"/>
        <v>142875</v>
      </c>
      <c r="F128" s="15">
        <f t="shared" si="43"/>
        <v>142320</v>
      </c>
      <c r="G128" s="15">
        <f t="shared" si="43"/>
        <v>133065</v>
      </c>
      <c r="H128" s="15">
        <f t="shared" si="43"/>
        <v>97741</v>
      </c>
      <c r="I128" s="15">
        <f t="shared" si="45"/>
        <v>136384</v>
      </c>
      <c r="J128" s="15"/>
      <c r="Q128" s="1"/>
    </row>
    <row r="129" spans="1:17" x14ac:dyDescent="0.25">
      <c r="A129" s="2">
        <f t="shared" si="0"/>
        <v>129</v>
      </c>
      <c r="B129" s="1" t="s">
        <v>56</v>
      </c>
      <c r="C129" s="15">
        <v>0</v>
      </c>
      <c r="D129" s="15">
        <f t="shared" si="44"/>
        <v>35381</v>
      </c>
      <c r="E129" s="15">
        <f t="shared" si="44"/>
        <v>17244</v>
      </c>
      <c r="F129" s="15">
        <f t="shared" si="43"/>
        <v>43206</v>
      </c>
      <c r="G129" s="15">
        <f t="shared" si="43"/>
        <v>15320</v>
      </c>
      <c r="H129" s="15">
        <f t="shared" si="43"/>
        <v>16012</v>
      </c>
      <c r="I129" s="15">
        <f t="shared" si="45"/>
        <v>25433</v>
      </c>
      <c r="J129" s="15"/>
      <c r="Q129" s="1"/>
    </row>
    <row r="130" spans="1:17" x14ac:dyDescent="0.25">
      <c r="A130" s="2">
        <f t="shared" si="0"/>
        <v>130</v>
      </c>
      <c r="B130" s="1" t="s">
        <v>57</v>
      </c>
      <c r="C130" s="15">
        <v>0</v>
      </c>
      <c r="D130" s="15">
        <f t="shared" si="44"/>
        <v>67859</v>
      </c>
      <c r="E130" s="15">
        <f t="shared" si="44"/>
        <v>104834</v>
      </c>
      <c r="F130" s="15">
        <f t="shared" si="43"/>
        <v>94412</v>
      </c>
      <c r="G130" s="15">
        <f t="shared" si="43"/>
        <v>76316</v>
      </c>
      <c r="H130" s="15">
        <f t="shared" si="43"/>
        <v>74491</v>
      </c>
      <c r="I130" s="15">
        <f t="shared" si="45"/>
        <v>83582</v>
      </c>
      <c r="J130" s="15"/>
      <c r="Q130" s="1"/>
    </row>
    <row r="131" spans="1:17" x14ac:dyDescent="0.25">
      <c r="A131" s="2">
        <f t="shared" si="0"/>
        <v>131</v>
      </c>
      <c r="B131" s="1" t="s">
        <v>58</v>
      </c>
      <c r="C131" s="15">
        <v>0</v>
      </c>
      <c r="D131" s="15">
        <f t="shared" si="44"/>
        <v>173685</v>
      </c>
      <c r="E131" s="15">
        <f t="shared" si="44"/>
        <v>169268</v>
      </c>
      <c r="F131" s="15">
        <f t="shared" si="43"/>
        <v>121265</v>
      </c>
      <c r="G131" s="15">
        <f t="shared" si="43"/>
        <v>78416</v>
      </c>
      <c r="H131" s="15">
        <f t="shared" si="43"/>
        <v>82702</v>
      </c>
      <c r="I131" s="15">
        <f t="shared" si="45"/>
        <v>125067</v>
      </c>
      <c r="J131" s="15"/>
      <c r="Q131" s="1"/>
    </row>
    <row r="132" spans="1:17" x14ac:dyDescent="0.25">
      <c r="A132" s="2">
        <f t="shared" si="0"/>
        <v>132</v>
      </c>
      <c r="B132" s="1" t="s">
        <v>59</v>
      </c>
      <c r="C132" s="15">
        <v>0</v>
      </c>
      <c r="D132" s="15">
        <f t="shared" si="44"/>
        <v>71213</v>
      </c>
      <c r="E132" s="15">
        <f t="shared" si="44"/>
        <v>84703</v>
      </c>
      <c r="F132" s="15">
        <f t="shared" si="43"/>
        <v>90885</v>
      </c>
      <c r="G132" s="15">
        <f t="shared" si="43"/>
        <v>85204</v>
      </c>
      <c r="H132" s="15">
        <f t="shared" si="43"/>
        <v>72038</v>
      </c>
      <c r="I132" s="15">
        <f t="shared" si="45"/>
        <v>80809</v>
      </c>
      <c r="J132" s="15"/>
      <c r="Q132" s="1"/>
    </row>
    <row r="133" spans="1:17" x14ac:dyDescent="0.25">
      <c r="A133" s="2">
        <f t="shared" si="0"/>
        <v>133</v>
      </c>
      <c r="B133" s="1" t="s">
        <v>60</v>
      </c>
      <c r="C133" s="15">
        <v>0</v>
      </c>
      <c r="D133" s="15">
        <f t="shared" si="44"/>
        <v>64466</v>
      </c>
      <c r="E133" s="15">
        <f t="shared" si="44"/>
        <v>49913</v>
      </c>
      <c r="F133" s="15">
        <f t="shared" si="43"/>
        <v>35948</v>
      </c>
      <c r="G133" s="15">
        <f t="shared" si="43"/>
        <v>32400</v>
      </c>
      <c r="H133" s="15">
        <f t="shared" si="43"/>
        <v>19226</v>
      </c>
      <c r="I133" s="15">
        <f t="shared" si="45"/>
        <v>40391</v>
      </c>
      <c r="J133" s="15"/>
      <c r="Q133" s="1"/>
    </row>
    <row r="134" spans="1:17" x14ac:dyDescent="0.25">
      <c r="A134" s="2">
        <f t="shared" si="0"/>
        <v>134</v>
      </c>
      <c r="B134" s="1" t="s">
        <v>61</v>
      </c>
      <c r="C134" s="15">
        <v>0</v>
      </c>
      <c r="D134" s="15">
        <f t="shared" si="44"/>
        <v>225147</v>
      </c>
      <c r="E134" s="15">
        <f t="shared" si="44"/>
        <v>212969</v>
      </c>
      <c r="F134" s="15">
        <f t="shared" si="43"/>
        <v>278830</v>
      </c>
      <c r="G134" s="15">
        <f t="shared" si="43"/>
        <v>221989</v>
      </c>
      <c r="H134" s="15">
        <f t="shared" si="43"/>
        <v>134083</v>
      </c>
      <c r="I134" s="15">
        <f t="shared" si="45"/>
        <v>214604</v>
      </c>
      <c r="J134" s="15"/>
      <c r="Q134" s="1"/>
    </row>
    <row r="135" spans="1:17" x14ac:dyDescent="0.25">
      <c r="A135" s="2">
        <f t="shared" si="0"/>
        <v>135</v>
      </c>
      <c r="B135" s="1" t="s">
        <v>62</v>
      </c>
      <c r="C135" s="12">
        <v>0</v>
      </c>
      <c r="D135" s="12">
        <f t="shared" si="44"/>
        <v>88500</v>
      </c>
      <c r="E135" s="12">
        <f t="shared" si="44"/>
        <v>38266</v>
      </c>
      <c r="F135" s="12">
        <f t="shared" si="43"/>
        <v>86546</v>
      </c>
      <c r="G135" s="12">
        <f t="shared" si="43"/>
        <v>25366</v>
      </c>
      <c r="H135" s="12">
        <f t="shared" si="43"/>
        <v>29628</v>
      </c>
      <c r="I135" s="12">
        <f t="shared" si="45"/>
        <v>53661</v>
      </c>
      <c r="J135" s="15"/>
      <c r="Q135" s="1"/>
    </row>
    <row r="136" spans="1:17" x14ac:dyDescent="0.25">
      <c r="A136" s="2">
        <f t="shared" si="0"/>
        <v>136</v>
      </c>
      <c r="B136" s="1"/>
      <c r="C136" s="15"/>
      <c r="D136" s="15"/>
      <c r="E136" s="15"/>
      <c r="F136" s="15"/>
      <c r="G136" s="15"/>
      <c r="H136" s="15"/>
      <c r="I136" s="15"/>
      <c r="J136" s="15"/>
      <c r="Q136" s="1"/>
    </row>
    <row r="137" spans="1:17" ht="15.75" thickBot="1" x14ac:dyDescent="0.3">
      <c r="A137" s="2">
        <f t="shared" si="0"/>
        <v>137</v>
      </c>
      <c r="B137" s="16" t="s">
        <v>63</v>
      </c>
      <c r="C137" s="11">
        <f>SUM(C120:C135)</f>
        <v>0</v>
      </c>
      <c r="D137" s="11">
        <f t="shared" ref="D137:I137" si="46">SUM(D120:D135)</f>
        <v>1325624</v>
      </c>
      <c r="E137" s="11">
        <f t="shared" si="46"/>
        <v>1255045</v>
      </c>
      <c r="F137" s="11">
        <f t="shared" si="46"/>
        <v>1351444</v>
      </c>
      <c r="G137" s="11">
        <f t="shared" si="46"/>
        <v>941597</v>
      </c>
      <c r="H137" s="11">
        <f t="shared" si="46"/>
        <v>817777</v>
      </c>
      <c r="I137" s="11">
        <f t="shared" si="46"/>
        <v>1138298</v>
      </c>
      <c r="J137" s="15"/>
      <c r="Q137" s="1"/>
    </row>
    <row r="138" spans="1:17" ht="15.75" thickTop="1" x14ac:dyDescent="0.25">
      <c r="A138" s="2">
        <f t="shared" si="0"/>
        <v>138</v>
      </c>
      <c r="B138" s="16"/>
      <c r="C138" s="15"/>
      <c r="D138" s="15"/>
      <c r="E138" s="15"/>
      <c r="F138" s="15"/>
      <c r="G138" s="15"/>
      <c r="H138" s="15"/>
      <c r="I138" s="15"/>
      <c r="J138" s="15"/>
      <c r="Q138" s="1"/>
    </row>
    <row r="139" spans="1:17" x14ac:dyDescent="0.25">
      <c r="A139" s="2">
        <f t="shared" si="0"/>
        <v>139</v>
      </c>
      <c r="B139" s="56" t="s">
        <v>116</v>
      </c>
      <c r="C139" s="15"/>
      <c r="D139" s="15"/>
      <c r="E139" s="15"/>
      <c r="F139" s="15"/>
      <c r="G139" s="15"/>
      <c r="H139" s="15"/>
      <c r="I139" s="15"/>
      <c r="J139" s="47" t="s">
        <v>103</v>
      </c>
      <c r="Q139" s="1"/>
    </row>
    <row r="140" spans="1:17" x14ac:dyDescent="0.25">
      <c r="A140" s="2">
        <f t="shared" si="0"/>
        <v>140</v>
      </c>
      <c r="B140" s="16"/>
      <c r="C140" s="15"/>
      <c r="D140" s="15"/>
      <c r="E140" s="15"/>
      <c r="F140" s="15"/>
      <c r="G140" s="15"/>
      <c r="H140" s="15"/>
      <c r="I140" s="15"/>
      <c r="J140" s="15"/>
      <c r="Q140" s="1"/>
    </row>
    <row r="141" spans="1:17" ht="15.75" thickBot="1" x14ac:dyDescent="0.3">
      <c r="A141" s="2">
        <f t="shared" si="0"/>
        <v>141</v>
      </c>
      <c r="B141" s="5" t="s">
        <v>46</v>
      </c>
      <c r="C141" s="25" t="s">
        <v>74</v>
      </c>
      <c r="D141" s="25" t="s">
        <v>75</v>
      </c>
      <c r="E141" s="25" t="s">
        <v>76</v>
      </c>
      <c r="F141" s="25" t="s">
        <v>77</v>
      </c>
      <c r="G141" s="25" t="s">
        <v>78</v>
      </c>
      <c r="H141" s="25" t="s">
        <v>79</v>
      </c>
      <c r="I141" s="5" t="s">
        <v>105</v>
      </c>
      <c r="J141" s="25" t="s">
        <v>74</v>
      </c>
      <c r="K141" s="25" t="s">
        <v>75</v>
      </c>
      <c r="L141" s="25" t="s">
        <v>76</v>
      </c>
      <c r="M141" s="25" t="s">
        <v>77</v>
      </c>
      <c r="N141" s="25" t="s">
        <v>78</v>
      </c>
      <c r="O141" s="25" t="s">
        <v>79</v>
      </c>
      <c r="P141" s="5" t="s">
        <v>105</v>
      </c>
      <c r="Q141" s="1"/>
    </row>
    <row r="142" spans="1:17" x14ac:dyDescent="0.25">
      <c r="A142" s="2">
        <f t="shared" si="0"/>
        <v>142</v>
      </c>
      <c r="B142" s="1"/>
      <c r="C142" s="15"/>
      <c r="D142" s="15"/>
      <c r="E142" s="15"/>
      <c r="F142" s="15"/>
      <c r="G142" s="15"/>
      <c r="H142" s="15"/>
      <c r="I142" s="15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2">
        <f t="shared" si="0"/>
        <v>143</v>
      </c>
      <c r="B143" s="1" t="s">
        <v>47</v>
      </c>
      <c r="C143" s="15">
        <f>C74+J97+C120</f>
        <v>103583</v>
      </c>
      <c r="D143" s="15">
        <f>D74+K97+D120</f>
        <v>192567</v>
      </c>
      <c r="E143" s="15">
        <f t="shared" ref="E143:H150" si="47">E74+L97+E120</f>
        <v>176969</v>
      </c>
      <c r="F143" s="15">
        <f t="shared" si="47"/>
        <v>122322</v>
      </c>
      <c r="G143" s="15">
        <f t="shared" si="47"/>
        <v>62488</v>
      </c>
      <c r="H143" s="15">
        <f t="shared" si="47"/>
        <v>21115</v>
      </c>
      <c r="I143" s="15">
        <f t="shared" ref="I143:I158" si="48">ROUND(SUM(C143:H143)/6,0)</f>
        <v>113174</v>
      </c>
      <c r="J143" s="8">
        <f>J23-C143</f>
        <v>23625</v>
      </c>
      <c r="K143" s="8">
        <f>K23-D143</f>
        <v>-74051</v>
      </c>
      <c r="L143" s="8">
        <f t="shared" ref="L143:O158" si="49">L23-E143</f>
        <v>-61288</v>
      </c>
      <c r="M143" s="8">
        <f t="shared" si="49"/>
        <v>-14027</v>
      </c>
      <c r="N143" s="8">
        <f t="shared" si="49"/>
        <v>54826</v>
      </c>
      <c r="O143" s="8">
        <f t="shared" si="49"/>
        <v>90628</v>
      </c>
      <c r="P143" s="8">
        <f t="shared" ref="P143:P158" si="50">ROUND(SUM(J143:O143)/6,0)</f>
        <v>3286</v>
      </c>
      <c r="Q143" s="1"/>
    </row>
    <row r="144" spans="1:17" x14ac:dyDescent="0.25">
      <c r="A144" s="2">
        <f t="shared" si="0"/>
        <v>144</v>
      </c>
      <c r="B144" s="1" t="s">
        <v>48</v>
      </c>
      <c r="C144" s="15">
        <f t="shared" ref="C144:D158" si="51">C75+J98+C121</f>
        <v>1014714</v>
      </c>
      <c r="D144" s="15">
        <f t="shared" si="51"/>
        <v>1574304</v>
      </c>
      <c r="E144" s="15">
        <f t="shared" si="47"/>
        <v>1644532</v>
      </c>
      <c r="F144" s="15">
        <f t="shared" si="47"/>
        <v>1353645</v>
      </c>
      <c r="G144" s="15">
        <f t="shared" si="47"/>
        <v>1106047</v>
      </c>
      <c r="H144" s="15">
        <f t="shared" si="47"/>
        <v>576770</v>
      </c>
      <c r="I144" s="15">
        <f t="shared" si="48"/>
        <v>1211669</v>
      </c>
      <c r="J144" s="15">
        <f t="shared" ref="J144:K158" si="52">J24-C144</f>
        <v>-328110</v>
      </c>
      <c r="K144" s="15">
        <f t="shared" si="52"/>
        <v>-906636</v>
      </c>
      <c r="L144" s="15">
        <f t="shared" si="49"/>
        <v>-965142</v>
      </c>
      <c r="M144" s="15">
        <f t="shared" si="49"/>
        <v>-696784</v>
      </c>
      <c r="N144" s="15">
        <f t="shared" si="49"/>
        <v>-396649</v>
      </c>
      <c r="O144" s="15">
        <f t="shared" si="49"/>
        <v>110118</v>
      </c>
      <c r="P144" s="15">
        <f t="shared" si="50"/>
        <v>-530534</v>
      </c>
      <c r="Q144" s="1"/>
    </row>
    <row r="145" spans="1:17" x14ac:dyDescent="0.25">
      <c r="A145" s="2">
        <f t="shared" si="0"/>
        <v>145</v>
      </c>
      <c r="B145" s="1" t="s">
        <v>49</v>
      </c>
      <c r="C145" s="15">
        <f t="shared" si="51"/>
        <v>131199</v>
      </c>
      <c r="D145" s="15">
        <f t="shared" si="51"/>
        <v>243705</v>
      </c>
      <c r="E145" s="15">
        <f t="shared" si="47"/>
        <v>396814</v>
      </c>
      <c r="F145" s="15">
        <f t="shared" si="47"/>
        <v>323121</v>
      </c>
      <c r="G145" s="15">
        <f t="shared" si="47"/>
        <v>183875</v>
      </c>
      <c r="H145" s="15">
        <f t="shared" si="47"/>
        <v>91195</v>
      </c>
      <c r="I145" s="15">
        <f t="shared" si="48"/>
        <v>228318</v>
      </c>
      <c r="J145" s="15">
        <f t="shared" si="52"/>
        <v>96806</v>
      </c>
      <c r="K145" s="15">
        <f t="shared" si="52"/>
        <v>-24279</v>
      </c>
      <c r="L145" s="15">
        <f t="shared" si="49"/>
        <v>-176433</v>
      </c>
      <c r="M145" s="15">
        <f t="shared" si="49"/>
        <v>-113025</v>
      </c>
      <c r="N145" s="15">
        <f t="shared" si="49"/>
        <v>46294</v>
      </c>
      <c r="O145" s="15">
        <f t="shared" si="49"/>
        <v>130005</v>
      </c>
      <c r="P145" s="15">
        <f t="shared" si="50"/>
        <v>-6772</v>
      </c>
      <c r="Q145" s="1"/>
    </row>
    <row r="146" spans="1:17" x14ac:dyDescent="0.25">
      <c r="A146" s="2">
        <f t="shared" si="0"/>
        <v>146</v>
      </c>
      <c r="B146" s="1" t="s">
        <v>50</v>
      </c>
      <c r="C146" s="15">
        <f t="shared" si="51"/>
        <v>128194</v>
      </c>
      <c r="D146" s="15">
        <f t="shared" si="51"/>
        <v>206964</v>
      </c>
      <c r="E146" s="15">
        <f t="shared" si="47"/>
        <v>238044</v>
      </c>
      <c r="F146" s="15">
        <f t="shared" si="47"/>
        <v>258401</v>
      </c>
      <c r="G146" s="15">
        <f t="shared" si="47"/>
        <v>222140</v>
      </c>
      <c r="H146" s="15">
        <f t="shared" si="47"/>
        <v>149248</v>
      </c>
      <c r="I146" s="15">
        <f t="shared" si="48"/>
        <v>200499</v>
      </c>
      <c r="J146" s="15">
        <f t="shared" si="52"/>
        <v>116377</v>
      </c>
      <c r="K146" s="15">
        <f t="shared" si="52"/>
        <v>25239</v>
      </c>
      <c r="L146" s="15">
        <f t="shared" si="49"/>
        <v>-10505</v>
      </c>
      <c r="M146" s="15">
        <f t="shared" si="49"/>
        <v>-44291</v>
      </c>
      <c r="N146" s="15">
        <f t="shared" si="49"/>
        <v>8896</v>
      </c>
      <c r="O146" s="15">
        <f t="shared" si="49"/>
        <v>68051</v>
      </c>
      <c r="P146" s="15">
        <f t="shared" si="50"/>
        <v>27295</v>
      </c>
      <c r="Q146" s="1"/>
    </row>
    <row r="147" spans="1:17" x14ac:dyDescent="0.25">
      <c r="A147" s="2">
        <f t="shared" si="0"/>
        <v>147</v>
      </c>
      <c r="B147" s="1" t="s">
        <v>51</v>
      </c>
      <c r="C147" s="15">
        <f t="shared" si="51"/>
        <v>372121</v>
      </c>
      <c r="D147" s="15">
        <f t="shared" si="51"/>
        <v>484348</v>
      </c>
      <c r="E147" s="15">
        <f t="shared" si="47"/>
        <v>413928</v>
      </c>
      <c r="F147" s="15">
        <f t="shared" si="47"/>
        <v>314891</v>
      </c>
      <c r="G147" s="15">
        <f t="shared" si="47"/>
        <v>275289</v>
      </c>
      <c r="H147" s="15">
        <f t="shared" si="47"/>
        <v>95170</v>
      </c>
      <c r="I147" s="15">
        <f t="shared" si="48"/>
        <v>325958</v>
      </c>
      <c r="J147" s="15">
        <f t="shared" si="52"/>
        <v>-104442</v>
      </c>
      <c r="K147" s="15">
        <f t="shared" si="52"/>
        <v>-222153</v>
      </c>
      <c r="L147" s="15">
        <f t="shared" si="49"/>
        <v>-150298</v>
      </c>
      <c r="M147" s="15">
        <f t="shared" si="49"/>
        <v>-66777</v>
      </c>
      <c r="N147" s="15">
        <f t="shared" si="49"/>
        <v>-7398</v>
      </c>
      <c r="O147" s="15">
        <f t="shared" si="49"/>
        <v>159846</v>
      </c>
      <c r="P147" s="15">
        <f t="shared" si="50"/>
        <v>-65204</v>
      </c>
      <c r="Q147" s="1"/>
    </row>
    <row r="148" spans="1:17" x14ac:dyDescent="0.25">
      <c r="A148" s="2">
        <f t="shared" si="0"/>
        <v>148</v>
      </c>
      <c r="B148" s="1" t="s">
        <v>52</v>
      </c>
      <c r="C148" s="15">
        <f t="shared" si="51"/>
        <v>47851</v>
      </c>
      <c r="D148" s="15">
        <f t="shared" si="51"/>
        <v>213254</v>
      </c>
      <c r="E148" s="15">
        <f t="shared" si="47"/>
        <v>256255</v>
      </c>
      <c r="F148" s="15">
        <f t="shared" si="47"/>
        <v>205008</v>
      </c>
      <c r="G148" s="15">
        <f t="shared" si="47"/>
        <v>210115</v>
      </c>
      <c r="H148" s="15">
        <f t="shared" si="47"/>
        <v>153823</v>
      </c>
      <c r="I148" s="15">
        <f t="shared" si="48"/>
        <v>181051</v>
      </c>
      <c r="J148" s="15">
        <f t="shared" si="52"/>
        <v>381896</v>
      </c>
      <c r="K148" s="15">
        <f t="shared" si="52"/>
        <v>200925</v>
      </c>
      <c r="L148" s="15">
        <f t="shared" si="49"/>
        <v>160825</v>
      </c>
      <c r="M148" s="15">
        <f t="shared" si="49"/>
        <v>210187</v>
      </c>
      <c r="N148" s="15">
        <f t="shared" si="49"/>
        <v>215089</v>
      </c>
      <c r="O148" s="15">
        <f t="shared" si="49"/>
        <v>255590</v>
      </c>
      <c r="P148" s="15">
        <f t="shared" si="50"/>
        <v>237419</v>
      </c>
      <c r="Q148" s="1"/>
    </row>
    <row r="149" spans="1:17" x14ac:dyDescent="0.25">
      <c r="A149" s="2">
        <f t="shared" si="0"/>
        <v>149</v>
      </c>
      <c r="B149" s="1" t="s">
        <v>53</v>
      </c>
      <c r="C149" s="15">
        <f t="shared" si="51"/>
        <v>126357</v>
      </c>
      <c r="D149" s="15">
        <f t="shared" si="51"/>
        <v>208165</v>
      </c>
      <c r="E149" s="15">
        <f t="shared" si="47"/>
        <v>242935</v>
      </c>
      <c r="F149" s="15">
        <f t="shared" si="47"/>
        <v>173296</v>
      </c>
      <c r="G149" s="15">
        <f t="shared" si="47"/>
        <v>97110</v>
      </c>
      <c r="H149" s="15">
        <f t="shared" si="47"/>
        <v>59916</v>
      </c>
      <c r="I149" s="15">
        <f t="shared" si="48"/>
        <v>151297</v>
      </c>
      <c r="J149" s="15">
        <f t="shared" si="52"/>
        <v>6305</v>
      </c>
      <c r="K149" s="15">
        <f t="shared" si="52"/>
        <v>-78993</v>
      </c>
      <c r="L149" s="15">
        <f t="shared" si="49"/>
        <v>-114320</v>
      </c>
      <c r="M149" s="15">
        <f t="shared" si="49"/>
        <v>-50125</v>
      </c>
      <c r="N149" s="15">
        <f t="shared" si="49"/>
        <v>35608</v>
      </c>
      <c r="O149" s="15">
        <f t="shared" si="49"/>
        <v>67642</v>
      </c>
      <c r="P149" s="15">
        <f t="shared" si="50"/>
        <v>-22314</v>
      </c>
      <c r="Q149" s="1"/>
    </row>
    <row r="150" spans="1:17" x14ac:dyDescent="0.25">
      <c r="A150" s="2">
        <f t="shared" si="0"/>
        <v>150</v>
      </c>
      <c r="B150" s="1" t="s">
        <v>54</v>
      </c>
      <c r="C150" s="15">
        <f t="shared" si="51"/>
        <v>295225</v>
      </c>
      <c r="D150" s="15">
        <f t="shared" si="51"/>
        <v>430162</v>
      </c>
      <c r="E150" s="15">
        <f t="shared" si="47"/>
        <v>485573</v>
      </c>
      <c r="F150" s="15">
        <f t="shared" si="47"/>
        <v>491701</v>
      </c>
      <c r="G150" s="15">
        <f t="shared" si="47"/>
        <v>365722</v>
      </c>
      <c r="H150" s="15">
        <f t="shared" si="47"/>
        <v>256395</v>
      </c>
      <c r="I150" s="15">
        <f t="shared" si="48"/>
        <v>387463</v>
      </c>
      <c r="J150" s="15">
        <f t="shared" si="52"/>
        <v>-55878</v>
      </c>
      <c r="K150" s="15">
        <f t="shared" si="52"/>
        <v>-199174</v>
      </c>
      <c r="L150" s="15">
        <f t="shared" si="49"/>
        <v>-247877</v>
      </c>
      <c r="M150" s="15">
        <f t="shared" si="49"/>
        <v>-263015</v>
      </c>
      <c r="N150" s="15">
        <f t="shared" si="49"/>
        <v>-114899</v>
      </c>
      <c r="O150" s="15">
        <f t="shared" si="49"/>
        <v>-13654</v>
      </c>
      <c r="P150" s="15">
        <f t="shared" si="50"/>
        <v>-149083</v>
      </c>
      <c r="Q150" s="1"/>
    </row>
    <row r="151" spans="1:17" x14ac:dyDescent="0.25">
      <c r="A151" s="2">
        <f t="shared" si="0"/>
        <v>151</v>
      </c>
      <c r="B151" s="1" t="s">
        <v>55</v>
      </c>
      <c r="C151" s="15">
        <f t="shared" si="51"/>
        <v>383068</v>
      </c>
      <c r="D151" s="15">
        <f>D82+K105+D128</f>
        <v>856545</v>
      </c>
      <c r="E151" s="15">
        <f t="shared" ref="E151:H158" si="53">E82+L105+E128</f>
        <v>1052229</v>
      </c>
      <c r="F151" s="15">
        <f t="shared" si="53"/>
        <v>1351761</v>
      </c>
      <c r="G151" s="15">
        <f t="shared" si="53"/>
        <v>852305</v>
      </c>
      <c r="H151" s="15">
        <f t="shared" si="53"/>
        <v>125027</v>
      </c>
      <c r="I151" s="15">
        <f t="shared" si="48"/>
        <v>770156</v>
      </c>
      <c r="J151" s="15">
        <f t="shared" si="52"/>
        <v>90163</v>
      </c>
      <c r="K151" s="15">
        <f t="shared" si="52"/>
        <v>-409062</v>
      </c>
      <c r="L151" s="15">
        <f t="shared" si="49"/>
        <v>-601678</v>
      </c>
      <c r="M151" s="15">
        <f t="shared" si="49"/>
        <v>-924027</v>
      </c>
      <c r="N151" s="15">
        <f t="shared" si="49"/>
        <v>-383144</v>
      </c>
      <c r="O151" s="15">
        <f t="shared" si="49"/>
        <v>329361</v>
      </c>
      <c r="P151" s="15">
        <f t="shared" si="50"/>
        <v>-316398</v>
      </c>
      <c r="Q151" s="1"/>
    </row>
    <row r="152" spans="1:17" x14ac:dyDescent="0.25">
      <c r="A152" s="2">
        <f t="shared" ref="A152:A159" si="54">A151+1</f>
        <v>152</v>
      </c>
      <c r="B152" s="1" t="s">
        <v>56</v>
      </c>
      <c r="C152" s="15">
        <f t="shared" si="51"/>
        <v>103424</v>
      </c>
      <c r="D152" s="15">
        <f t="shared" si="51"/>
        <v>143476</v>
      </c>
      <c r="E152" s="15">
        <f t="shared" si="53"/>
        <v>303070</v>
      </c>
      <c r="F152" s="15">
        <f t="shared" si="53"/>
        <v>190828</v>
      </c>
      <c r="G152" s="15">
        <f t="shared" si="53"/>
        <v>135652</v>
      </c>
      <c r="H152" s="15">
        <f t="shared" si="53"/>
        <v>74532</v>
      </c>
      <c r="I152" s="15">
        <f t="shared" si="48"/>
        <v>158497</v>
      </c>
      <c r="J152" s="15">
        <f t="shared" si="52"/>
        <v>32818</v>
      </c>
      <c r="K152" s="15">
        <f t="shared" si="52"/>
        <v>-14556</v>
      </c>
      <c r="L152" s="15">
        <f t="shared" si="49"/>
        <v>-174188</v>
      </c>
      <c r="M152" s="15">
        <f t="shared" si="49"/>
        <v>-69539</v>
      </c>
      <c r="N152" s="15">
        <f t="shared" si="49"/>
        <v>-4857</v>
      </c>
      <c r="O152" s="15">
        <f t="shared" si="49"/>
        <v>50774</v>
      </c>
      <c r="P152" s="15">
        <f t="shared" si="50"/>
        <v>-29925</v>
      </c>
      <c r="Q152" s="1"/>
    </row>
    <row r="153" spans="1:17" x14ac:dyDescent="0.25">
      <c r="A153" s="2">
        <f t="shared" si="54"/>
        <v>153</v>
      </c>
      <c r="B153" s="1" t="s">
        <v>57</v>
      </c>
      <c r="C153" s="15">
        <f t="shared" si="51"/>
        <v>333070</v>
      </c>
      <c r="D153" s="15">
        <f t="shared" si="51"/>
        <v>702787</v>
      </c>
      <c r="E153" s="15">
        <f t="shared" si="53"/>
        <v>740620</v>
      </c>
      <c r="F153" s="15">
        <f t="shared" si="53"/>
        <v>777747</v>
      </c>
      <c r="G153" s="15">
        <f t="shared" si="53"/>
        <v>619465</v>
      </c>
      <c r="H153" s="15">
        <f t="shared" si="53"/>
        <v>350651</v>
      </c>
      <c r="I153" s="15">
        <f t="shared" si="48"/>
        <v>587390</v>
      </c>
      <c r="J153" s="15">
        <f t="shared" si="52"/>
        <v>69602</v>
      </c>
      <c r="K153" s="15">
        <f t="shared" si="52"/>
        <v>-312425</v>
      </c>
      <c r="L153" s="15">
        <f t="shared" si="49"/>
        <v>-348355</v>
      </c>
      <c r="M153" s="15">
        <f t="shared" si="49"/>
        <v>-404389</v>
      </c>
      <c r="N153" s="15">
        <f t="shared" si="49"/>
        <v>-217271</v>
      </c>
      <c r="O153" s="15">
        <f t="shared" si="49"/>
        <v>34716</v>
      </c>
      <c r="P153" s="15">
        <f t="shared" si="50"/>
        <v>-196354</v>
      </c>
      <c r="Q153" s="1"/>
    </row>
    <row r="154" spans="1:17" x14ac:dyDescent="0.25">
      <c r="A154" s="2">
        <f t="shared" si="54"/>
        <v>154</v>
      </c>
      <c r="B154" s="1" t="s">
        <v>58</v>
      </c>
      <c r="C154" s="15">
        <f t="shared" si="51"/>
        <v>914919</v>
      </c>
      <c r="D154" s="15">
        <f t="shared" si="51"/>
        <v>1281976</v>
      </c>
      <c r="E154" s="15">
        <f t="shared" si="53"/>
        <v>1075608</v>
      </c>
      <c r="F154" s="15">
        <f t="shared" si="53"/>
        <v>911237</v>
      </c>
      <c r="G154" s="15">
        <f t="shared" si="53"/>
        <v>713166</v>
      </c>
      <c r="H154" s="15">
        <f t="shared" si="53"/>
        <v>348337</v>
      </c>
      <c r="I154" s="15">
        <f t="shared" si="48"/>
        <v>874207</v>
      </c>
      <c r="J154" s="15">
        <f t="shared" si="52"/>
        <v>233619</v>
      </c>
      <c r="K154" s="15">
        <f t="shared" si="52"/>
        <v>-234053</v>
      </c>
      <c r="L154" s="15">
        <f t="shared" si="49"/>
        <v>30405</v>
      </c>
      <c r="M154" s="15">
        <f t="shared" si="49"/>
        <v>210352</v>
      </c>
      <c r="N154" s="15">
        <f t="shared" si="49"/>
        <v>476712</v>
      </c>
      <c r="O154" s="15">
        <f t="shared" si="49"/>
        <v>834703</v>
      </c>
      <c r="P154" s="15">
        <f t="shared" si="50"/>
        <v>258623</v>
      </c>
      <c r="Q154" s="1"/>
    </row>
    <row r="155" spans="1:17" x14ac:dyDescent="0.25">
      <c r="A155" s="2">
        <f t="shared" si="54"/>
        <v>155</v>
      </c>
      <c r="B155" s="1" t="s">
        <v>59</v>
      </c>
      <c r="C155" s="15">
        <f t="shared" si="51"/>
        <v>368846</v>
      </c>
      <c r="D155" s="15">
        <f t="shared" si="51"/>
        <v>652211</v>
      </c>
      <c r="E155" s="15">
        <f t="shared" si="53"/>
        <v>744481</v>
      </c>
      <c r="F155" s="15">
        <f t="shared" si="53"/>
        <v>910122</v>
      </c>
      <c r="G155" s="15">
        <f t="shared" si="53"/>
        <v>630204</v>
      </c>
      <c r="H155" s="15">
        <f t="shared" si="53"/>
        <v>379979</v>
      </c>
      <c r="I155" s="15">
        <f t="shared" si="48"/>
        <v>614307</v>
      </c>
      <c r="J155" s="15">
        <f t="shared" si="52"/>
        <v>218842</v>
      </c>
      <c r="K155" s="15">
        <f t="shared" si="52"/>
        <v>-74540</v>
      </c>
      <c r="L155" s="15">
        <f t="shared" si="49"/>
        <v>-151811</v>
      </c>
      <c r="M155" s="15">
        <f t="shared" si="49"/>
        <v>-328544</v>
      </c>
      <c r="N155" s="15">
        <f t="shared" si="49"/>
        <v>5329</v>
      </c>
      <c r="O155" s="15">
        <f t="shared" si="49"/>
        <v>243548</v>
      </c>
      <c r="P155" s="15">
        <f t="shared" si="50"/>
        <v>-14529</v>
      </c>
      <c r="Q155" s="1"/>
    </row>
    <row r="156" spans="1:17" x14ac:dyDescent="0.25">
      <c r="A156" s="2">
        <f t="shared" si="54"/>
        <v>156</v>
      </c>
      <c r="B156" s="1" t="s">
        <v>60</v>
      </c>
      <c r="C156" s="15">
        <f t="shared" si="51"/>
        <v>263755</v>
      </c>
      <c r="D156" s="15">
        <f t="shared" si="51"/>
        <v>397491</v>
      </c>
      <c r="E156" s="15">
        <f t="shared" si="53"/>
        <v>323743</v>
      </c>
      <c r="F156" s="15">
        <f t="shared" si="53"/>
        <v>355128</v>
      </c>
      <c r="G156" s="15">
        <f t="shared" si="53"/>
        <v>182860</v>
      </c>
      <c r="H156" s="15">
        <f t="shared" si="53"/>
        <v>112879</v>
      </c>
      <c r="I156" s="15">
        <f t="shared" si="48"/>
        <v>272643</v>
      </c>
      <c r="J156" s="15">
        <f t="shared" si="52"/>
        <v>-17948</v>
      </c>
      <c r="K156" s="15">
        <f t="shared" si="52"/>
        <v>-152825</v>
      </c>
      <c r="L156" s="15">
        <f t="shared" si="49"/>
        <v>-70214</v>
      </c>
      <c r="M156" s="15">
        <f t="shared" si="49"/>
        <v>-109286</v>
      </c>
      <c r="N156" s="15">
        <f t="shared" si="49"/>
        <v>74844</v>
      </c>
      <c r="O156" s="15">
        <f t="shared" si="49"/>
        <v>140504</v>
      </c>
      <c r="P156" s="15">
        <f t="shared" si="50"/>
        <v>-22488</v>
      </c>
      <c r="Q156" s="1"/>
    </row>
    <row r="157" spans="1:17" x14ac:dyDescent="0.25">
      <c r="A157" s="2">
        <f t="shared" si="54"/>
        <v>157</v>
      </c>
      <c r="B157" s="1" t="s">
        <v>61</v>
      </c>
      <c r="C157" s="15">
        <f t="shared" si="51"/>
        <v>808208</v>
      </c>
      <c r="D157" s="15">
        <f t="shared" si="51"/>
        <v>1498526</v>
      </c>
      <c r="E157" s="15">
        <f t="shared" si="53"/>
        <v>2093233</v>
      </c>
      <c r="F157" s="15">
        <f t="shared" si="53"/>
        <v>2355973</v>
      </c>
      <c r="G157" s="15">
        <f t="shared" si="53"/>
        <v>1231175</v>
      </c>
      <c r="H157" s="15">
        <f t="shared" si="53"/>
        <v>766958</v>
      </c>
      <c r="I157" s="15">
        <f t="shared" si="48"/>
        <v>1459012</v>
      </c>
      <c r="J157" s="15">
        <f t="shared" si="52"/>
        <v>-133418</v>
      </c>
      <c r="K157" s="15">
        <f t="shared" si="52"/>
        <v>-850110</v>
      </c>
      <c r="L157" s="15">
        <f t="shared" si="49"/>
        <v>-1438143</v>
      </c>
      <c r="M157" s="15">
        <f t="shared" si="49"/>
        <v>-1730121</v>
      </c>
      <c r="N157" s="15">
        <f t="shared" si="49"/>
        <v>-553984</v>
      </c>
      <c r="O157" s="15">
        <f t="shared" si="49"/>
        <v>-116460</v>
      </c>
      <c r="P157" s="15">
        <f t="shared" si="50"/>
        <v>-803706</v>
      </c>
      <c r="Q157" s="1"/>
    </row>
    <row r="158" spans="1:17" x14ac:dyDescent="0.25">
      <c r="A158" s="2">
        <f t="shared" si="54"/>
        <v>158</v>
      </c>
      <c r="B158" s="1" t="s">
        <v>62</v>
      </c>
      <c r="C158" s="12">
        <f t="shared" si="51"/>
        <v>186761</v>
      </c>
      <c r="D158" s="12">
        <f t="shared" si="51"/>
        <v>282657</v>
      </c>
      <c r="E158" s="12">
        <f t="shared" si="53"/>
        <v>588348</v>
      </c>
      <c r="F158" s="12">
        <f t="shared" si="53"/>
        <v>322671</v>
      </c>
      <c r="G158" s="12">
        <f t="shared" si="53"/>
        <v>245029</v>
      </c>
      <c r="H158" s="12">
        <f t="shared" si="53"/>
        <v>145622</v>
      </c>
      <c r="I158" s="12">
        <f t="shared" si="48"/>
        <v>295181</v>
      </c>
      <c r="J158" s="12">
        <f t="shared" si="52"/>
        <v>59945</v>
      </c>
      <c r="K158" s="12">
        <f t="shared" si="52"/>
        <v>-47519</v>
      </c>
      <c r="L158" s="12">
        <f t="shared" si="49"/>
        <v>-349636</v>
      </c>
      <c r="M158" s="12">
        <f t="shared" si="49"/>
        <v>-93882</v>
      </c>
      <c r="N158" s="12">
        <f t="shared" si="49"/>
        <v>3291</v>
      </c>
      <c r="O158" s="12">
        <f t="shared" si="49"/>
        <v>94169</v>
      </c>
      <c r="P158" s="12">
        <f t="shared" si="50"/>
        <v>-55605</v>
      </c>
      <c r="Q158" s="16"/>
    </row>
    <row r="159" spans="1:17" x14ac:dyDescent="0.25">
      <c r="A159" s="2">
        <f t="shared" si="54"/>
        <v>159</v>
      </c>
      <c r="C159" s="1"/>
      <c r="D159" s="1"/>
      <c r="E159" s="1"/>
      <c r="F159" s="1"/>
      <c r="G159" s="1"/>
      <c r="H159" s="1"/>
      <c r="I159" s="1"/>
      <c r="J159" s="8"/>
      <c r="K159" s="8"/>
      <c r="L159" s="8"/>
      <c r="M159" s="8"/>
      <c r="N159" s="8"/>
      <c r="O159" s="8"/>
      <c r="P159" s="8"/>
      <c r="Q159" s="1"/>
    </row>
    <row r="160" spans="1:17" ht="15.75" thickBot="1" x14ac:dyDescent="0.3">
      <c r="A160" s="2">
        <f t="shared" ref="A160:A215" si="55">A159+1</f>
        <v>160</v>
      </c>
      <c r="B160" s="1" t="s">
        <v>63</v>
      </c>
      <c r="C160" s="11">
        <f>SUM(C143:C158)</f>
        <v>5581295</v>
      </c>
      <c r="D160" s="11">
        <f t="shared" ref="D160:P160" si="56">SUM(D143:D158)</f>
        <v>9369138</v>
      </c>
      <c r="E160" s="11">
        <f t="shared" si="56"/>
        <v>10776382</v>
      </c>
      <c r="F160" s="11">
        <f t="shared" si="56"/>
        <v>10417852</v>
      </c>
      <c r="G160" s="11">
        <f t="shared" si="56"/>
        <v>7132642</v>
      </c>
      <c r="H160" s="11">
        <f t="shared" si="56"/>
        <v>3707617</v>
      </c>
      <c r="I160" s="11">
        <f t="shared" si="56"/>
        <v>7830822</v>
      </c>
      <c r="J160" s="11">
        <f t="shared" si="56"/>
        <v>690202</v>
      </c>
      <c r="K160" s="11">
        <f t="shared" si="56"/>
        <v>-3374212</v>
      </c>
      <c r="L160" s="11">
        <f t="shared" si="56"/>
        <v>-4668658</v>
      </c>
      <c r="M160" s="11">
        <f t="shared" si="56"/>
        <v>-4487293</v>
      </c>
      <c r="N160" s="11">
        <f t="shared" si="56"/>
        <v>-757313</v>
      </c>
      <c r="O160" s="11">
        <f t="shared" si="56"/>
        <v>2479541</v>
      </c>
      <c r="P160" s="11">
        <f t="shared" si="56"/>
        <v>-1686289</v>
      </c>
      <c r="Q160" s="1"/>
    </row>
    <row r="161" spans="1:18" ht="15.75" thickTop="1" x14ac:dyDescent="0.25">
      <c r="A161" s="2">
        <f t="shared" si="55"/>
        <v>161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x14ac:dyDescent="0.25">
      <c r="A162" s="2">
        <f t="shared" si="55"/>
        <v>162</v>
      </c>
      <c r="B162" s="47" t="s">
        <v>121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x14ac:dyDescent="0.25">
      <c r="A163" s="2">
        <f t="shared" si="55"/>
        <v>163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5.75" thickBot="1" x14ac:dyDescent="0.3">
      <c r="A164" s="2">
        <f t="shared" si="55"/>
        <v>164</v>
      </c>
      <c r="B164" s="5" t="s">
        <v>46</v>
      </c>
      <c r="C164" s="25" t="s">
        <v>74</v>
      </c>
      <c r="D164" s="25" t="s">
        <v>75</v>
      </c>
      <c r="E164" s="25" t="s">
        <v>76</v>
      </c>
      <c r="F164" s="25" t="s">
        <v>77</v>
      </c>
      <c r="G164" s="25" t="s">
        <v>78</v>
      </c>
      <c r="H164" s="25" t="s">
        <v>79</v>
      </c>
      <c r="I164" s="5" t="s">
        <v>105</v>
      </c>
      <c r="J164" s="1"/>
      <c r="K164" s="1"/>
      <c r="L164" s="1"/>
      <c r="M164" s="1"/>
      <c r="N164" s="1"/>
      <c r="O164" s="1"/>
      <c r="P164" s="1"/>
      <c r="Q164" s="1"/>
      <c r="R164" s="1"/>
    </row>
    <row r="165" spans="1:18" x14ac:dyDescent="0.25">
      <c r="A165" s="2">
        <f t="shared" si="55"/>
        <v>165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x14ac:dyDescent="0.25">
      <c r="A166" s="2">
        <f t="shared" si="55"/>
        <v>166</v>
      </c>
      <c r="B166" s="1" t="s">
        <v>47</v>
      </c>
      <c r="C166" s="36">
        <f>ROUND(C143/C23,6)</f>
        <v>4.0000000000000002E-4</v>
      </c>
      <c r="D166" s="69">
        <f t="shared" ref="D166:H166" si="57">ROUND(D143/D23,6)</f>
        <v>7.9799999999999999E-4</v>
      </c>
      <c r="E166" s="69">
        <f t="shared" si="57"/>
        <v>7.5100000000000004E-4</v>
      </c>
      <c r="F166" s="69">
        <f t="shared" si="57"/>
        <v>5.5500000000000005E-4</v>
      </c>
      <c r="G166" s="36">
        <f t="shared" si="57"/>
        <v>2.6200000000000003E-4</v>
      </c>
      <c r="H166" s="36">
        <f t="shared" si="57"/>
        <v>9.2999999999999997E-5</v>
      </c>
      <c r="I166" s="36">
        <f>ROUND(I143/I23,6)</f>
        <v>4.7699999999999999E-4</v>
      </c>
      <c r="J166" s="1"/>
      <c r="K166" s="68" t="s">
        <v>122</v>
      </c>
      <c r="L166" s="68"/>
      <c r="M166" s="68"/>
      <c r="N166" s="68"/>
      <c r="O166" s="68"/>
      <c r="P166" s="1"/>
      <c r="Q166" s="1"/>
      <c r="R166" s="1"/>
    </row>
    <row r="167" spans="1:18" x14ac:dyDescent="0.25">
      <c r="A167" s="2">
        <f t="shared" si="55"/>
        <v>167</v>
      </c>
      <c r="B167" s="1" t="s">
        <v>48</v>
      </c>
      <c r="C167" s="69">
        <f t="shared" ref="C167:I167" si="58">ROUND(C144/C24,6)</f>
        <v>7.2599999999999997E-4</v>
      </c>
      <c r="D167" s="69">
        <f t="shared" si="58"/>
        <v>1.158E-3</v>
      </c>
      <c r="E167" s="69">
        <f t="shared" si="58"/>
        <v>1.189E-3</v>
      </c>
      <c r="F167" s="69">
        <f t="shared" si="58"/>
        <v>1.0120000000000001E-3</v>
      </c>
      <c r="G167" s="69">
        <f t="shared" si="58"/>
        <v>7.6599999999999997E-4</v>
      </c>
      <c r="H167" s="36">
        <f t="shared" si="58"/>
        <v>4.1199999999999999E-4</v>
      </c>
      <c r="I167" s="69">
        <f t="shared" si="58"/>
        <v>8.7299999999999997E-4</v>
      </c>
      <c r="J167" s="1"/>
      <c r="K167" s="1"/>
      <c r="L167" s="1"/>
      <c r="M167" s="1"/>
      <c r="N167" s="1"/>
      <c r="O167" s="1"/>
      <c r="P167" s="1"/>
      <c r="Q167" s="1"/>
      <c r="R167" s="1"/>
    </row>
    <row r="168" spans="1:18" x14ac:dyDescent="0.25">
      <c r="A168" s="2">
        <f t="shared" si="55"/>
        <v>168</v>
      </c>
      <c r="B168" s="1" t="s">
        <v>49</v>
      </c>
      <c r="C168" s="36">
        <f t="shared" ref="C168:I168" si="59">ROUND(C145/C25,6)</f>
        <v>2.8299999999999999E-4</v>
      </c>
      <c r="D168" s="69">
        <f t="shared" si="59"/>
        <v>5.4500000000000002E-4</v>
      </c>
      <c r="E168" s="69">
        <f t="shared" si="59"/>
        <v>8.8400000000000002E-4</v>
      </c>
      <c r="F168" s="69">
        <f t="shared" si="59"/>
        <v>7.5500000000000003E-4</v>
      </c>
      <c r="G168" s="36">
        <f t="shared" si="59"/>
        <v>3.9199999999999999E-4</v>
      </c>
      <c r="H168" s="36">
        <f t="shared" si="59"/>
        <v>2.02E-4</v>
      </c>
      <c r="I168" s="69">
        <f t="shared" si="59"/>
        <v>5.0600000000000005E-4</v>
      </c>
      <c r="J168" s="1"/>
      <c r="K168" s="1"/>
      <c r="L168" s="1"/>
      <c r="M168" s="1"/>
      <c r="N168" s="1"/>
      <c r="O168" s="1"/>
      <c r="P168" s="1"/>
      <c r="Q168" s="1"/>
      <c r="R168" s="1"/>
    </row>
    <row r="169" spans="1:18" x14ac:dyDescent="0.25">
      <c r="A169" s="2">
        <f t="shared" si="55"/>
        <v>169</v>
      </c>
      <c r="B169" s="1" t="s">
        <v>50</v>
      </c>
      <c r="C169" s="36">
        <f t="shared" ref="C169:I169" si="60">ROUND(C146/C26,6)</f>
        <v>2.5700000000000001E-4</v>
      </c>
      <c r="D169" s="36">
        <f t="shared" si="60"/>
        <v>4.3800000000000002E-4</v>
      </c>
      <c r="E169" s="69">
        <f t="shared" si="60"/>
        <v>5.1400000000000003E-4</v>
      </c>
      <c r="F169" s="69">
        <f t="shared" si="60"/>
        <v>5.9299999999999999E-4</v>
      </c>
      <c r="G169" s="36">
        <f t="shared" si="60"/>
        <v>4.7199999999999998E-4</v>
      </c>
      <c r="H169" s="36">
        <f t="shared" si="60"/>
        <v>3.3700000000000001E-4</v>
      </c>
      <c r="I169" s="36">
        <f t="shared" si="60"/>
        <v>4.3199999999999998E-4</v>
      </c>
      <c r="J169" s="1"/>
      <c r="K169" s="1"/>
      <c r="L169" s="1"/>
      <c r="M169" s="1"/>
      <c r="N169" s="1"/>
      <c r="O169" s="1"/>
      <c r="P169" s="1"/>
      <c r="Q169" s="1"/>
      <c r="R169" s="1"/>
    </row>
    <row r="170" spans="1:18" x14ac:dyDescent="0.25">
      <c r="A170" s="2">
        <f t="shared" si="55"/>
        <v>170</v>
      </c>
      <c r="B170" s="1" t="s">
        <v>51</v>
      </c>
      <c r="C170" s="69">
        <f t="shared" ref="C170:I170" si="61">ROUND(C147/C27,6)</f>
        <v>6.8300000000000001E-4</v>
      </c>
      <c r="D170" s="69">
        <f t="shared" si="61"/>
        <v>9.0700000000000004E-4</v>
      </c>
      <c r="E170" s="69">
        <f t="shared" si="61"/>
        <v>7.7099999999999998E-4</v>
      </c>
      <c r="F170" s="69">
        <f t="shared" si="61"/>
        <v>6.2299999999999996E-4</v>
      </c>
      <c r="G170" s="69">
        <f t="shared" si="61"/>
        <v>5.0500000000000002E-4</v>
      </c>
      <c r="H170" s="36">
        <f t="shared" si="61"/>
        <v>1.83E-4</v>
      </c>
      <c r="I170" s="69">
        <f t="shared" si="61"/>
        <v>6.1399999999999996E-4</v>
      </c>
      <c r="J170" s="1"/>
      <c r="K170" s="1"/>
      <c r="L170" s="1"/>
      <c r="M170" s="1"/>
      <c r="N170" s="1"/>
      <c r="O170" s="1"/>
      <c r="P170" s="1"/>
      <c r="Q170" s="1"/>
      <c r="R170" s="1"/>
    </row>
    <row r="171" spans="1:18" x14ac:dyDescent="0.25">
      <c r="A171" s="2">
        <f t="shared" si="55"/>
        <v>171</v>
      </c>
      <c r="B171" s="1" t="s">
        <v>52</v>
      </c>
      <c r="C171" s="36">
        <f t="shared" ref="C171:I171" si="62">ROUND(C148/C28,6)</f>
        <v>5.5000000000000002E-5</v>
      </c>
      <c r="D171" s="36">
        <f t="shared" si="62"/>
        <v>2.5300000000000002E-4</v>
      </c>
      <c r="E171" s="36">
        <f t="shared" si="62"/>
        <v>3.0200000000000002E-4</v>
      </c>
      <c r="F171" s="36">
        <f t="shared" si="62"/>
        <v>2.42E-4</v>
      </c>
      <c r="G171" s="36">
        <f t="shared" si="62"/>
        <v>2.43E-4</v>
      </c>
      <c r="H171" s="36">
        <f t="shared" si="62"/>
        <v>1.84E-4</v>
      </c>
      <c r="I171" s="36">
        <f t="shared" si="62"/>
        <v>2.12E-4</v>
      </c>
      <c r="J171" s="1"/>
      <c r="K171" s="1"/>
      <c r="L171" s="1"/>
      <c r="M171" s="1"/>
      <c r="N171" s="1"/>
      <c r="O171" s="1"/>
      <c r="P171" s="1"/>
      <c r="Q171" s="1"/>
      <c r="R171" s="1"/>
    </row>
    <row r="172" spans="1:18" x14ac:dyDescent="0.25">
      <c r="A172" s="2">
        <f t="shared" si="55"/>
        <v>172</v>
      </c>
      <c r="B172" s="1" t="s">
        <v>53</v>
      </c>
      <c r="C172" s="36">
        <f t="shared" ref="C172:I172" si="63">ROUND(C149/C29,6)</f>
        <v>4.6799999999999999E-4</v>
      </c>
      <c r="D172" s="69">
        <f t="shared" si="63"/>
        <v>7.9100000000000004E-4</v>
      </c>
      <c r="E172" s="69">
        <f t="shared" si="63"/>
        <v>9.2699999999999998E-4</v>
      </c>
      <c r="F172" s="69">
        <f t="shared" si="63"/>
        <v>6.9099999999999999E-4</v>
      </c>
      <c r="G172" s="36">
        <f t="shared" si="63"/>
        <v>3.59E-4</v>
      </c>
      <c r="H172" s="36">
        <f t="shared" si="63"/>
        <v>2.31E-4</v>
      </c>
      <c r="I172" s="69">
        <f t="shared" si="63"/>
        <v>5.7600000000000001E-4</v>
      </c>
      <c r="J172" s="1"/>
      <c r="K172" s="1"/>
      <c r="L172" s="1"/>
      <c r="M172" s="1"/>
      <c r="N172" s="1"/>
      <c r="O172" s="1"/>
      <c r="P172" s="1"/>
      <c r="Q172" s="1"/>
      <c r="R172" s="1"/>
    </row>
    <row r="173" spans="1:18" x14ac:dyDescent="0.25">
      <c r="A173" s="2">
        <f t="shared" si="55"/>
        <v>173</v>
      </c>
      <c r="B173" s="1" t="s">
        <v>54</v>
      </c>
      <c r="C173" s="69">
        <f t="shared" ref="C173:I173" si="64">ROUND(C150/C30,6)</f>
        <v>6.0599999999999998E-4</v>
      </c>
      <c r="D173" s="69">
        <f t="shared" si="64"/>
        <v>9.1399999999999999E-4</v>
      </c>
      <c r="E173" s="69">
        <f t="shared" si="64"/>
        <v>1.003E-3</v>
      </c>
      <c r="F173" s="69">
        <f t="shared" si="64"/>
        <v>1.0560000000000001E-3</v>
      </c>
      <c r="G173" s="69">
        <f t="shared" si="64"/>
        <v>7.1599999999999995E-4</v>
      </c>
      <c r="H173" s="69">
        <f t="shared" si="64"/>
        <v>5.1900000000000004E-4</v>
      </c>
      <c r="I173" s="69">
        <f t="shared" si="64"/>
        <v>7.9799999999999999E-4</v>
      </c>
      <c r="J173" s="1"/>
      <c r="K173" s="1"/>
      <c r="L173" s="1"/>
      <c r="M173" s="1"/>
      <c r="N173" s="1"/>
      <c r="O173" s="1"/>
      <c r="P173" s="1"/>
      <c r="Q173" s="1"/>
      <c r="R173" s="1"/>
    </row>
    <row r="174" spans="1:18" x14ac:dyDescent="0.25">
      <c r="A174" s="2">
        <f t="shared" si="55"/>
        <v>174</v>
      </c>
      <c r="B174" s="1" t="s">
        <v>55</v>
      </c>
      <c r="C174" s="36">
        <f t="shared" ref="C174:I174" si="65">ROUND(C151/C31,6)</f>
        <v>3.97E-4</v>
      </c>
      <c r="D174" s="69">
        <f t="shared" si="65"/>
        <v>9.3999999999999997E-4</v>
      </c>
      <c r="E174" s="69">
        <f t="shared" si="65"/>
        <v>1.147E-3</v>
      </c>
      <c r="F174" s="69">
        <f t="shared" si="65"/>
        <v>1.552E-3</v>
      </c>
      <c r="G174" s="69">
        <f t="shared" si="65"/>
        <v>8.92E-4</v>
      </c>
      <c r="H174" s="36">
        <f t="shared" si="65"/>
        <v>1.35E-4</v>
      </c>
      <c r="I174" s="69">
        <f t="shared" si="65"/>
        <v>8.3299999999999997E-4</v>
      </c>
      <c r="J174" s="1"/>
      <c r="K174" s="1"/>
      <c r="L174" s="1"/>
      <c r="M174" s="1"/>
      <c r="N174" s="1"/>
      <c r="O174" s="1"/>
      <c r="P174" s="1"/>
      <c r="Q174" s="1"/>
      <c r="R174" s="1"/>
    </row>
    <row r="175" spans="1:18" x14ac:dyDescent="0.25">
      <c r="A175" s="2">
        <f t="shared" si="55"/>
        <v>175</v>
      </c>
      <c r="B175" s="1" t="s">
        <v>56</v>
      </c>
      <c r="C175" s="36">
        <f t="shared" ref="C175:I175" si="66">ROUND(C152/C32,6)</f>
        <v>3.7300000000000001E-4</v>
      </c>
      <c r="D175" s="69">
        <f t="shared" si="66"/>
        <v>5.4600000000000004E-4</v>
      </c>
      <c r="E175" s="69">
        <f t="shared" si="66"/>
        <v>1.155E-3</v>
      </c>
      <c r="F175" s="69">
        <f t="shared" si="66"/>
        <v>7.7300000000000003E-4</v>
      </c>
      <c r="G175" s="69">
        <f t="shared" si="66"/>
        <v>5.0900000000000001E-4</v>
      </c>
      <c r="H175" s="36">
        <f t="shared" si="66"/>
        <v>2.92E-4</v>
      </c>
      <c r="I175" s="69">
        <f t="shared" si="66"/>
        <v>6.0499999999999996E-4</v>
      </c>
      <c r="J175" s="1"/>
      <c r="K175" s="1"/>
      <c r="L175" s="1"/>
      <c r="M175" s="1"/>
      <c r="N175" s="1"/>
      <c r="O175" s="1"/>
      <c r="P175" s="1"/>
      <c r="Q175" s="1"/>
      <c r="R175" s="1"/>
    </row>
    <row r="176" spans="1:18" x14ac:dyDescent="0.25">
      <c r="A176" s="2">
        <f t="shared" si="55"/>
        <v>176</v>
      </c>
      <c r="B176" s="1" t="s">
        <v>57</v>
      </c>
      <c r="C176" s="36">
        <f t="shared" ref="C176:I176" si="67">ROUND(C153/C33,6)</f>
        <v>4.06E-4</v>
      </c>
      <c r="D176" s="69">
        <f t="shared" si="67"/>
        <v>8.8400000000000002E-4</v>
      </c>
      <c r="E176" s="69">
        <f t="shared" si="67"/>
        <v>9.2699999999999998E-4</v>
      </c>
      <c r="F176" s="69">
        <f t="shared" si="67"/>
        <v>1.023E-3</v>
      </c>
      <c r="G176" s="69">
        <f t="shared" si="67"/>
        <v>7.5600000000000005E-4</v>
      </c>
      <c r="H176" s="36">
        <f t="shared" si="67"/>
        <v>4.4700000000000002E-4</v>
      </c>
      <c r="I176" s="69">
        <f t="shared" si="67"/>
        <v>7.3800000000000005E-4</v>
      </c>
      <c r="J176" s="1"/>
      <c r="K176" s="1"/>
      <c r="L176" s="1"/>
      <c r="M176" s="1"/>
      <c r="N176" s="1"/>
      <c r="O176" s="1"/>
      <c r="P176" s="1"/>
      <c r="Q176" s="1"/>
      <c r="R176" s="1"/>
    </row>
    <row r="177" spans="1:18" x14ac:dyDescent="0.25">
      <c r="A177" s="2">
        <f t="shared" si="55"/>
        <v>177</v>
      </c>
      <c r="B177" s="1" t="s">
        <v>58</v>
      </c>
      <c r="C177" s="36">
        <f t="shared" ref="C177:I177" si="68">ROUND(C154/C34,6)</f>
        <v>3.9100000000000002E-4</v>
      </c>
      <c r="D177" s="69">
        <f t="shared" si="68"/>
        <v>6.0099999999999997E-4</v>
      </c>
      <c r="E177" s="36">
        <f t="shared" si="68"/>
        <v>4.7800000000000002E-4</v>
      </c>
      <c r="F177" s="36">
        <f t="shared" si="68"/>
        <v>3.9899999999999999E-4</v>
      </c>
      <c r="G177" s="36">
        <f t="shared" si="68"/>
        <v>2.9399999999999999E-4</v>
      </c>
      <c r="H177" s="36">
        <f t="shared" si="68"/>
        <v>1.45E-4</v>
      </c>
      <c r="I177" s="36">
        <f t="shared" si="68"/>
        <v>3.79E-4</v>
      </c>
      <c r="J177" s="1"/>
      <c r="K177" s="1"/>
      <c r="L177" s="1"/>
      <c r="M177" s="1"/>
      <c r="N177" s="1"/>
      <c r="O177" s="1"/>
      <c r="P177" s="1"/>
      <c r="Q177" s="1"/>
      <c r="R177" s="1"/>
    </row>
    <row r="178" spans="1:18" x14ac:dyDescent="0.25">
      <c r="A178" s="2">
        <f t="shared" si="55"/>
        <v>178</v>
      </c>
      <c r="B178" s="1" t="s">
        <v>59</v>
      </c>
      <c r="C178" s="36">
        <f t="shared" ref="C178:I178" si="69">ROUND(C155/C35,6)</f>
        <v>3.0800000000000001E-4</v>
      </c>
      <c r="D178" s="69">
        <f t="shared" si="69"/>
        <v>5.5400000000000002E-4</v>
      </c>
      <c r="E178" s="69">
        <f t="shared" si="69"/>
        <v>6.1700000000000004E-4</v>
      </c>
      <c r="F178" s="69">
        <f t="shared" si="69"/>
        <v>7.6800000000000002E-4</v>
      </c>
      <c r="G178" s="36">
        <f t="shared" si="69"/>
        <v>4.8700000000000002E-4</v>
      </c>
      <c r="H178" s="36">
        <f t="shared" si="69"/>
        <v>2.99E-4</v>
      </c>
      <c r="I178" s="69">
        <f t="shared" si="69"/>
        <v>5.0299999999999997E-4</v>
      </c>
      <c r="J178" s="1"/>
      <c r="K178" s="1"/>
      <c r="L178" s="1"/>
      <c r="M178" s="1"/>
      <c r="N178" s="1"/>
      <c r="O178" s="1"/>
      <c r="P178" s="1"/>
      <c r="Q178" s="1"/>
      <c r="R178" s="1"/>
    </row>
    <row r="179" spans="1:18" x14ac:dyDescent="0.25">
      <c r="A179" s="2">
        <f t="shared" si="55"/>
        <v>179</v>
      </c>
      <c r="B179" s="1" t="s">
        <v>60</v>
      </c>
      <c r="C179" s="69">
        <f t="shared" ref="C179:I179" si="70">ROUND(C156/C36,6)</f>
        <v>5.2700000000000002E-4</v>
      </c>
      <c r="D179" s="69">
        <f t="shared" si="70"/>
        <v>7.9799999999999999E-4</v>
      </c>
      <c r="E179" s="69">
        <f t="shared" si="70"/>
        <v>6.2699999999999995E-4</v>
      </c>
      <c r="F179" s="69">
        <f t="shared" si="70"/>
        <v>7.0899999999999999E-4</v>
      </c>
      <c r="G179" s="36">
        <f t="shared" si="70"/>
        <v>3.48E-4</v>
      </c>
      <c r="H179" s="36">
        <f t="shared" si="70"/>
        <v>2.1900000000000001E-4</v>
      </c>
      <c r="I179" s="69">
        <f t="shared" si="70"/>
        <v>5.3499999999999999E-4</v>
      </c>
      <c r="J179" s="1"/>
      <c r="K179" s="1"/>
      <c r="L179" s="1"/>
      <c r="M179" s="1"/>
      <c r="N179" s="1"/>
      <c r="O179" s="1"/>
      <c r="P179" s="1"/>
      <c r="Q179" s="1"/>
      <c r="R179" s="1"/>
    </row>
    <row r="180" spans="1:18" x14ac:dyDescent="0.25">
      <c r="A180" s="2">
        <f t="shared" si="55"/>
        <v>180</v>
      </c>
      <c r="B180" s="1" t="s">
        <v>61</v>
      </c>
      <c r="C180" s="69">
        <f t="shared" ref="C180:I180" si="71">ROUND(C157/C37,6)</f>
        <v>5.8799999999999998E-4</v>
      </c>
      <c r="D180" s="69">
        <f t="shared" si="71"/>
        <v>1.1349999999999999E-3</v>
      </c>
      <c r="E180" s="69">
        <f t="shared" si="71"/>
        <v>1.5690000000000001E-3</v>
      </c>
      <c r="F180" s="69">
        <f t="shared" si="71"/>
        <v>1.848E-3</v>
      </c>
      <c r="G180" s="69">
        <f t="shared" si="71"/>
        <v>8.9300000000000002E-4</v>
      </c>
      <c r="H180" s="69">
        <f t="shared" si="71"/>
        <v>5.7899999999999998E-4</v>
      </c>
      <c r="I180" s="69">
        <f t="shared" si="71"/>
        <v>1.093E-3</v>
      </c>
      <c r="J180" s="1"/>
      <c r="K180" s="1"/>
      <c r="L180" s="1"/>
      <c r="M180" s="1"/>
      <c r="N180" s="1"/>
      <c r="O180" s="1"/>
      <c r="P180" s="1"/>
      <c r="Q180" s="1"/>
      <c r="R180" s="1"/>
    </row>
    <row r="181" spans="1:18" x14ac:dyDescent="0.25">
      <c r="A181" s="2">
        <f t="shared" si="55"/>
        <v>181</v>
      </c>
      <c r="B181" s="1" t="s">
        <v>62</v>
      </c>
      <c r="C181" s="45">
        <f t="shared" ref="C181:I183" si="72">ROUND(C158/C38,6)</f>
        <v>3.7199999999999999E-4</v>
      </c>
      <c r="D181" s="70">
        <f t="shared" si="72"/>
        <v>5.9000000000000003E-4</v>
      </c>
      <c r="E181" s="70">
        <f t="shared" si="72"/>
        <v>1.2099999999999999E-3</v>
      </c>
      <c r="F181" s="70">
        <f t="shared" si="72"/>
        <v>6.9200000000000002E-4</v>
      </c>
      <c r="G181" s="45">
        <f t="shared" si="72"/>
        <v>4.84E-4</v>
      </c>
      <c r="H181" s="45">
        <f t="shared" si="72"/>
        <v>2.9799999999999998E-4</v>
      </c>
      <c r="I181" s="70">
        <f t="shared" si="72"/>
        <v>6.0499999999999996E-4</v>
      </c>
      <c r="J181" s="1"/>
      <c r="K181" s="1"/>
      <c r="L181" s="1"/>
      <c r="M181" s="1"/>
      <c r="N181" s="1"/>
      <c r="O181" s="1"/>
      <c r="P181" s="1"/>
      <c r="Q181" s="1"/>
      <c r="R181" s="1"/>
    </row>
    <row r="182" spans="1:18" x14ac:dyDescent="0.25">
      <c r="A182" s="2">
        <f t="shared" si="55"/>
        <v>182</v>
      </c>
      <c r="C182" s="36"/>
      <c r="D182" s="36"/>
      <c r="E182" s="36"/>
      <c r="F182" s="36"/>
      <c r="G182" s="36"/>
      <c r="H182" s="36"/>
      <c r="I182" s="36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5.75" thickBot="1" x14ac:dyDescent="0.3">
      <c r="A183" s="2">
        <f t="shared" si="55"/>
        <v>183</v>
      </c>
      <c r="B183" s="1" t="s">
        <v>63</v>
      </c>
      <c r="C183" s="46">
        <f>ROUND(C160/C40,6)</f>
        <v>4.37E-4</v>
      </c>
      <c r="D183" s="46">
        <f t="shared" si="72"/>
        <v>7.67E-4</v>
      </c>
      <c r="E183" s="46">
        <f t="shared" si="72"/>
        <v>8.6600000000000002E-4</v>
      </c>
      <c r="F183" s="46">
        <f t="shared" si="72"/>
        <v>8.6300000000000005E-4</v>
      </c>
      <c r="G183" s="46">
        <f t="shared" si="72"/>
        <v>5.4900000000000001E-4</v>
      </c>
      <c r="H183" s="46">
        <f t="shared" si="72"/>
        <v>2.9399999999999999E-4</v>
      </c>
      <c r="I183" s="46">
        <f t="shared" si="72"/>
        <v>6.2600000000000004E-4</v>
      </c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5.75" thickTop="1" x14ac:dyDescent="0.25">
      <c r="A184" s="2">
        <f t="shared" si="55"/>
        <v>184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x14ac:dyDescent="0.25">
      <c r="A185" s="2">
        <f t="shared" si="55"/>
        <v>185</v>
      </c>
      <c r="B185" s="47" t="s">
        <v>118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x14ac:dyDescent="0.25">
      <c r="A186" s="2">
        <f t="shared" si="55"/>
        <v>186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x14ac:dyDescent="0.25">
      <c r="A187" s="2">
        <f t="shared" si="55"/>
        <v>187</v>
      </c>
      <c r="B187" s="1"/>
      <c r="C187" s="57">
        <v>2014</v>
      </c>
      <c r="D187" s="58"/>
      <c r="E187" s="57">
        <v>2015</v>
      </c>
      <c r="F187" s="58"/>
      <c r="G187" s="57">
        <v>2016</v>
      </c>
      <c r="H187" s="58"/>
      <c r="I187" s="57">
        <v>2017</v>
      </c>
      <c r="J187" s="58"/>
      <c r="K187" s="57">
        <v>2018</v>
      </c>
      <c r="L187" s="58"/>
      <c r="M187" s="57">
        <v>2019</v>
      </c>
      <c r="N187" s="58"/>
      <c r="O187" s="57" t="s">
        <v>105</v>
      </c>
      <c r="P187" s="58"/>
      <c r="Q187" s="1"/>
      <c r="R187" s="1"/>
    </row>
    <row r="188" spans="1:18" ht="15.75" thickBot="1" x14ac:dyDescent="0.3">
      <c r="A188" s="2">
        <f t="shared" si="55"/>
        <v>188</v>
      </c>
      <c r="B188" s="5" t="s">
        <v>46</v>
      </c>
      <c r="C188" s="5" t="s">
        <v>119</v>
      </c>
      <c r="D188" s="5" t="s">
        <v>120</v>
      </c>
      <c r="E188" s="5" t="s">
        <v>119</v>
      </c>
      <c r="F188" s="5" t="s">
        <v>120</v>
      </c>
      <c r="G188" s="5" t="s">
        <v>119</v>
      </c>
      <c r="H188" s="5" t="s">
        <v>120</v>
      </c>
      <c r="I188" s="5" t="s">
        <v>119</v>
      </c>
      <c r="J188" s="5" t="s">
        <v>120</v>
      </c>
      <c r="K188" s="5" t="s">
        <v>119</v>
      </c>
      <c r="L188" s="5" t="s">
        <v>120</v>
      </c>
      <c r="M188" s="5" t="s">
        <v>119</v>
      </c>
      <c r="N188" s="5" t="s">
        <v>120</v>
      </c>
      <c r="O188" s="5" t="s">
        <v>119</v>
      </c>
      <c r="P188" s="5" t="s">
        <v>120</v>
      </c>
      <c r="R188" s="1"/>
    </row>
    <row r="189" spans="1:18" x14ac:dyDescent="0.25">
      <c r="A189" s="2">
        <f t="shared" si="55"/>
        <v>189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x14ac:dyDescent="0.25">
      <c r="A190" s="2">
        <f t="shared" si="55"/>
        <v>190</v>
      </c>
      <c r="B190" s="39" t="s">
        <v>47</v>
      </c>
      <c r="C190" s="40">
        <f t="shared" ref="C190:C205" si="73">J46</f>
        <v>2.0279999999999999E-2</v>
      </c>
      <c r="D190" s="40">
        <f t="shared" ref="D190:D205" si="74">ROUND(C143/C$160,5)</f>
        <v>1.856E-2</v>
      </c>
      <c r="E190" s="40">
        <f t="shared" ref="E190:E205" si="75">K46</f>
        <v>1.9769999999999999E-2</v>
      </c>
      <c r="F190" s="40">
        <f t="shared" ref="F190:F205" si="76">ROUND(D143/D$160,5)</f>
        <v>2.0549999999999999E-2</v>
      </c>
      <c r="G190" s="40">
        <f t="shared" ref="G190:G205" si="77">L46</f>
        <v>1.8939999999999999E-2</v>
      </c>
      <c r="H190" s="40">
        <f t="shared" ref="H190:H205" si="78">ROUND(E143/E$160,5)</f>
        <v>1.6420000000000001E-2</v>
      </c>
      <c r="I190" s="40">
        <f t="shared" ref="I190:I205" si="79">M46</f>
        <v>1.8259999999999998E-2</v>
      </c>
      <c r="J190" s="40">
        <f t="shared" ref="J190:J205" si="80">ROUND(F143/F$160,5)</f>
        <v>1.174E-2</v>
      </c>
      <c r="K190" s="40">
        <f t="shared" ref="K190:K205" si="81">N46</f>
        <v>1.84E-2</v>
      </c>
      <c r="L190" s="40">
        <f t="shared" ref="L190:L205" si="82">ROUND(G143/G$160,5)</f>
        <v>8.7600000000000004E-3</v>
      </c>
      <c r="M190" s="40">
        <f t="shared" ref="M190:M205" si="83">O46</f>
        <v>1.806E-2</v>
      </c>
      <c r="N190" s="40">
        <f t="shared" ref="N190:N205" si="84">ROUND(H143/H$160,5)</f>
        <v>5.7000000000000002E-3</v>
      </c>
      <c r="O190" s="32">
        <f t="shared" ref="O190:O205" si="85">P46</f>
        <v>1.8950000000000002E-2</v>
      </c>
      <c r="P190" s="32">
        <f t="shared" ref="P190:P205" si="86">ROUND(I143/I$160,5)</f>
        <v>1.4449999999999999E-2</v>
      </c>
      <c r="Q190" s="48" t="s">
        <v>123</v>
      </c>
      <c r="R190" s="1"/>
    </row>
    <row r="191" spans="1:18" x14ac:dyDescent="0.25">
      <c r="A191" s="2">
        <f t="shared" si="55"/>
        <v>191</v>
      </c>
      <c r="B191" s="39" t="s">
        <v>48</v>
      </c>
      <c r="C191" s="41">
        <f t="shared" si="73"/>
        <v>0.10947999999999999</v>
      </c>
      <c r="D191" s="41">
        <f t="shared" si="74"/>
        <v>0.18181</v>
      </c>
      <c r="E191" s="41">
        <f t="shared" si="75"/>
        <v>0.11137</v>
      </c>
      <c r="F191" s="41">
        <f t="shared" si="76"/>
        <v>0.16803000000000001</v>
      </c>
      <c r="G191" s="41">
        <f t="shared" si="77"/>
        <v>0.11123</v>
      </c>
      <c r="H191" s="41">
        <f t="shared" si="78"/>
        <v>0.15261</v>
      </c>
      <c r="I191" s="41">
        <f t="shared" si="79"/>
        <v>0.11076</v>
      </c>
      <c r="J191" s="41">
        <f t="shared" si="80"/>
        <v>0.12994</v>
      </c>
      <c r="K191" s="41">
        <f t="shared" si="81"/>
        <v>0.11126999999999999</v>
      </c>
      <c r="L191" s="41">
        <f t="shared" si="82"/>
        <v>0.15507000000000001</v>
      </c>
      <c r="M191" s="41">
        <f t="shared" si="83"/>
        <v>0.11101999999999999</v>
      </c>
      <c r="N191" s="41">
        <f t="shared" si="84"/>
        <v>0.15556</v>
      </c>
      <c r="O191" s="41">
        <f t="shared" si="85"/>
        <v>0.11085</v>
      </c>
      <c r="P191" s="41">
        <f t="shared" si="86"/>
        <v>0.15473000000000001</v>
      </c>
      <c r="Q191" s="1"/>
      <c r="R191" s="1"/>
    </row>
    <row r="192" spans="1:18" x14ac:dyDescent="0.25">
      <c r="A192" s="2">
        <f t="shared" si="55"/>
        <v>192</v>
      </c>
      <c r="B192" s="39" t="s">
        <v>49</v>
      </c>
      <c r="C192" s="41">
        <f t="shared" si="73"/>
        <v>3.6360000000000003E-2</v>
      </c>
      <c r="D192" s="41">
        <f t="shared" si="74"/>
        <v>2.351E-2</v>
      </c>
      <c r="E192" s="41">
        <f t="shared" si="75"/>
        <v>3.6600000000000001E-2</v>
      </c>
      <c r="F192" s="41">
        <f t="shared" si="76"/>
        <v>2.6009999999999998E-2</v>
      </c>
      <c r="G192" s="41">
        <f t="shared" si="77"/>
        <v>3.6080000000000001E-2</v>
      </c>
      <c r="H192" s="41">
        <f t="shared" si="78"/>
        <v>3.6819999999999999E-2</v>
      </c>
      <c r="I192" s="41">
        <f t="shared" si="79"/>
        <v>3.5430000000000003E-2</v>
      </c>
      <c r="J192" s="41">
        <f t="shared" si="80"/>
        <v>3.1019999999999999E-2</v>
      </c>
      <c r="K192" s="41">
        <f t="shared" si="81"/>
        <v>3.61E-2</v>
      </c>
      <c r="L192" s="41">
        <f t="shared" si="82"/>
        <v>2.5780000000000001E-2</v>
      </c>
      <c r="M192" s="41">
        <f t="shared" si="83"/>
        <v>3.5749999999999997E-2</v>
      </c>
      <c r="N192" s="41">
        <f t="shared" si="84"/>
        <v>2.46E-2</v>
      </c>
      <c r="O192" s="49">
        <f t="shared" si="85"/>
        <v>3.6060000000000002E-2</v>
      </c>
      <c r="P192" s="49">
        <f t="shared" si="86"/>
        <v>2.9159999999999998E-2</v>
      </c>
      <c r="Q192" s="1"/>
      <c r="R192" s="1"/>
    </row>
    <row r="193" spans="1:19" x14ac:dyDescent="0.25">
      <c r="A193" s="2">
        <f t="shared" si="55"/>
        <v>193</v>
      </c>
      <c r="B193" s="39" t="s">
        <v>50</v>
      </c>
      <c r="C193" s="41">
        <f t="shared" si="73"/>
        <v>3.9E-2</v>
      </c>
      <c r="D193" s="41">
        <f t="shared" si="74"/>
        <v>2.2970000000000001E-2</v>
      </c>
      <c r="E193" s="41">
        <f t="shared" si="75"/>
        <v>3.8730000000000001E-2</v>
      </c>
      <c r="F193" s="41">
        <f t="shared" si="76"/>
        <v>2.2089999999999999E-2</v>
      </c>
      <c r="G193" s="41">
        <f t="shared" si="77"/>
        <v>3.7249999999999998E-2</v>
      </c>
      <c r="H193" s="41">
        <f t="shared" si="78"/>
        <v>2.2089999999999999E-2</v>
      </c>
      <c r="I193" s="41">
        <f t="shared" si="79"/>
        <v>3.61E-2</v>
      </c>
      <c r="J193" s="41">
        <f t="shared" si="80"/>
        <v>2.4799999999999999E-2</v>
      </c>
      <c r="K193" s="41">
        <f t="shared" si="81"/>
        <v>3.6240000000000001E-2</v>
      </c>
      <c r="L193" s="41">
        <f t="shared" si="82"/>
        <v>3.1140000000000001E-2</v>
      </c>
      <c r="M193" s="53">
        <f t="shared" si="83"/>
        <v>3.5119999999999998E-2</v>
      </c>
      <c r="N193" s="41">
        <f t="shared" si="84"/>
        <v>4.0250000000000001E-2</v>
      </c>
      <c r="O193" s="52">
        <f t="shared" si="85"/>
        <v>3.7069999999999999E-2</v>
      </c>
      <c r="P193" s="52">
        <f t="shared" si="86"/>
        <v>2.5600000000000001E-2</v>
      </c>
      <c r="Q193" s="51" t="s">
        <v>124</v>
      </c>
      <c r="R193" s="1"/>
    </row>
    <row r="194" spans="1:19" x14ac:dyDescent="0.25">
      <c r="A194" s="2">
        <f t="shared" si="55"/>
        <v>194</v>
      </c>
      <c r="B194" s="39" t="s">
        <v>51</v>
      </c>
      <c r="C194" s="41">
        <f t="shared" si="73"/>
        <v>4.2680000000000003E-2</v>
      </c>
      <c r="D194" s="41">
        <f t="shared" si="74"/>
        <v>6.6669999999999993E-2</v>
      </c>
      <c r="E194" s="41">
        <f t="shared" si="75"/>
        <v>4.3740000000000001E-2</v>
      </c>
      <c r="F194" s="41">
        <f t="shared" si="76"/>
        <v>5.1700000000000003E-2</v>
      </c>
      <c r="G194" s="41">
        <f t="shared" si="77"/>
        <v>4.3159999999999997E-2</v>
      </c>
      <c r="H194" s="41">
        <f t="shared" si="78"/>
        <v>3.841E-2</v>
      </c>
      <c r="I194" s="41">
        <f t="shared" si="79"/>
        <v>4.1840000000000002E-2</v>
      </c>
      <c r="J194" s="41">
        <f t="shared" si="80"/>
        <v>3.023E-2</v>
      </c>
      <c r="K194" s="41">
        <f t="shared" si="81"/>
        <v>4.2020000000000002E-2</v>
      </c>
      <c r="L194" s="41">
        <f t="shared" si="82"/>
        <v>3.8600000000000002E-2</v>
      </c>
      <c r="M194" s="41">
        <f t="shared" si="83"/>
        <v>4.122E-2</v>
      </c>
      <c r="N194" s="41">
        <f t="shared" si="84"/>
        <v>2.5669999999999998E-2</v>
      </c>
      <c r="O194" s="49">
        <f t="shared" si="85"/>
        <v>4.2439999999999999E-2</v>
      </c>
      <c r="P194" s="49">
        <f t="shared" si="86"/>
        <v>4.163E-2</v>
      </c>
      <c r="Q194" s="1"/>
      <c r="R194" s="1"/>
    </row>
    <row r="195" spans="1:19" x14ac:dyDescent="0.25">
      <c r="A195" s="2">
        <f t="shared" si="55"/>
        <v>195</v>
      </c>
      <c r="B195" s="39" t="s">
        <v>52</v>
      </c>
      <c r="C195" s="41">
        <f t="shared" si="73"/>
        <v>6.8519999999999998E-2</v>
      </c>
      <c r="D195" s="41">
        <f t="shared" si="74"/>
        <v>8.5699999999999995E-3</v>
      </c>
      <c r="E195" s="41">
        <f t="shared" si="75"/>
        <v>6.9089999999999999E-2</v>
      </c>
      <c r="F195" s="41">
        <f t="shared" si="76"/>
        <v>2.2759999999999999E-2</v>
      </c>
      <c r="G195" s="41">
        <f t="shared" si="77"/>
        <v>6.8290000000000003E-2</v>
      </c>
      <c r="H195" s="41">
        <f t="shared" si="78"/>
        <v>2.3779999999999999E-2</v>
      </c>
      <c r="I195" s="41">
        <f t="shared" si="79"/>
        <v>7.0010000000000003E-2</v>
      </c>
      <c r="J195" s="41">
        <f t="shared" si="80"/>
        <v>1.968E-2</v>
      </c>
      <c r="K195" s="41">
        <f t="shared" si="81"/>
        <v>6.6699999999999995E-2</v>
      </c>
      <c r="L195" s="41">
        <f t="shared" si="82"/>
        <v>2.946E-2</v>
      </c>
      <c r="M195" s="41">
        <f t="shared" si="83"/>
        <v>6.6170000000000007E-2</v>
      </c>
      <c r="N195" s="41">
        <f t="shared" si="84"/>
        <v>4.1489999999999999E-2</v>
      </c>
      <c r="O195" s="41">
        <f t="shared" si="85"/>
        <v>6.8099999999999994E-2</v>
      </c>
      <c r="P195" s="41">
        <f t="shared" si="86"/>
        <v>2.3120000000000002E-2</v>
      </c>
      <c r="Q195" s="1"/>
      <c r="R195" s="1"/>
      <c r="S195" s="20"/>
    </row>
    <row r="196" spans="1:19" x14ac:dyDescent="0.25">
      <c r="A196" s="2">
        <f t="shared" si="55"/>
        <v>196</v>
      </c>
      <c r="B196" s="39" t="s">
        <v>53</v>
      </c>
      <c r="C196" s="41">
        <f t="shared" si="73"/>
        <v>2.1149999999999999E-2</v>
      </c>
      <c r="D196" s="41">
        <f t="shared" si="74"/>
        <v>2.264E-2</v>
      </c>
      <c r="E196" s="41">
        <f t="shared" si="75"/>
        <v>2.155E-2</v>
      </c>
      <c r="F196" s="41">
        <f t="shared" si="76"/>
        <v>2.222E-2</v>
      </c>
      <c r="G196" s="41">
        <f t="shared" si="77"/>
        <v>2.1059999999999999E-2</v>
      </c>
      <c r="H196" s="41">
        <f t="shared" si="78"/>
        <v>2.2540000000000001E-2</v>
      </c>
      <c r="I196" s="41">
        <f t="shared" si="79"/>
        <v>2.077E-2</v>
      </c>
      <c r="J196" s="41">
        <f t="shared" si="80"/>
        <v>1.6629999999999999E-2</v>
      </c>
      <c r="K196" s="41">
        <f t="shared" si="81"/>
        <v>2.0820000000000002E-2</v>
      </c>
      <c r="L196" s="41">
        <f t="shared" si="82"/>
        <v>1.3610000000000001E-2</v>
      </c>
      <c r="M196" s="41">
        <f t="shared" si="83"/>
        <v>2.0619999999999999E-2</v>
      </c>
      <c r="N196" s="41">
        <f t="shared" si="84"/>
        <v>1.6160000000000001E-2</v>
      </c>
      <c r="O196" s="49">
        <f t="shared" si="85"/>
        <v>2.0990000000000002E-2</v>
      </c>
      <c r="P196" s="49">
        <f t="shared" si="86"/>
        <v>1.932E-2</v>
      </c>
      <c r="Q196" s="1"/>
      <c r="R196" s="1"/>
    </row>
    <row r="197" spans="1:19" x14ac:dyDescent="0.25">
      <c r="A197" s="2">
        <f t="shared" si="55"/>
        <v>197</v>
      </c>
      <c r="B197" s="39" t="s">
        <v>54</v>
      </c>
      <c r="C197" s="41">
        <f t="shared" si="73"/>
        <v>3.8159999999999999E-2</v>
      </c>
      <c r="D197" s="41">
        <f t="shared" si="74"/>
        <v>5.2900000000000003E-2</v>
      </c>
      <c r="E197" s="41">
        <f t="shared" si="75"/>
        <v>3.8530000000000002E-2</v>
      </c>
      <c r="F197" s="41">
        <f t="shared" si="76"/>
        <v>4.5909999999999999E-2</v>
      </c>
      <c r="G197" s="41">
        <f t="shared" si="77"/>
        <v>3.8920000000000003E-2</v>
      </c>
      <c r="H197" s="41">
        <f t="shared" si="78"/>
        <v>4.5060000000000003E-2</v>
      </c>
      <c r="I197" s="41">
        <f t="shared" si="79"/>
        <v>3.8559999999999997E-2</v>
      </c>
      <c r="J197" s="41">
        <f t="shared" si="80"/>
        <v>4.7199999999999999E-2</v>
      </c>
      <c r="K197" s="41">
        <f t="shared" si="81"/>
        <v>3.934E-2</v>
      </c>
      <c r="L197" s="41">
        <f t="shared" si="82"/>
        <v>5.1270000000000003E-2</v>
      </c>
      <c r="M197" s="41">
        <f t="shared" si="83"/>
        <v>3.9230000000000001E-2</v>
      </c>
      <c r="N197" s="41">
        <f t="shared" si="84"/>
        <v>6.9150000000000003E-2</v>
      </c>
      <c r="O197" s="52">
        <f t="shared" si="85"/>
        <v>3.8800000000000001E-2</v>
      </c>
      <c r="P197" s="52">
        <f t="shared" si="86"/>
        <v>4.9480000000000003E-2</v>
      </c>
      <c r="Q197" s="1"/>
      <c r="R197" s="1"/>
    </row>
    <row r="198" spans="1:19" x14ac:dyDescent="0.25">
      <c r="A198" s="2">
        <f t="shared" si="55"/>
        <v>198</v>
      </c>
      <c r="B198" s="39" t="s">
        <v>55</v>
      </c>
      <c r="C198" s="41">
        <f t="shared" si="73"/>
        <v>7.5459999999999999E-2</v>
      </c>
      <c r="D198" s="41">
        <f t="shared" si="74"/>
        <v>6.8629999999999997E-2</v>
      </c>
      <c r="E198" s="41">
        <f t="shared" si="75"/>
        <v>7.4639999999999998E-2</v>
      </c>
      <c r="F198" s="41">
        <f t="shared" si="76"/>
        <v>9.1420000000000001E-2</v>
      </c>
      <c r="G198" s="41">
        <f t="shared" si="77"/>
        <v>7.3770000000000002E-2</v>
      </c>
      <c r="H198" s="41">
        <f t="shared" si="78"/>
        <v>9.7640000000000005E-2</v>
      </c>
      <c r="I198" s="41">
        <f t="shared" si="79"/>
        <v>7.2120000000000004E-2</v>
      </c>
      <c r="J198" s="41">
        <f t="shared" si="80"/>
        <v>0.12975</v>
      </c>
      <c r="K198" s="41">
        <f t="shared" si="81"/>
        <v>7.3590000000000003E-2</v>
      </c>
      <c r="L198" s="41">
        <f t="shared" si="82"/>
        <v>0.11949</v>
      </c>
      <c r="M198" s="41">
        <f t="shared" si="83"/>
        <v>7.3440000000000005E-2</v>
      </c>
      <c r="N198" s="41">
        <f t="shared" si="84"/>
        <v>3.372E-2</v>
      </c>
      <c r="O198" s="41">
        <f t="shared" si="85"/>
        <v>7.3849999999999999E-2</v>
      </c>
      <c r="P198" s="41">
        <f t="shared" si="86"/>
        <v>9.8350000000000007E-2</v>
      </c>
      <c r="Q198" s="1"/>
      <c r="R198" s="1"/>
      <c r="S198" s="20"/>
    </row>
    <row r="199" spans="1:19" x14ac:dyDescent="0.25">
      <c r="A199" s="2">
        <f t="shared" si="55"/>
        <v>199</v>
      </c>
      <c r="B199" s="39" t="s">
        <v>56</v>
      </c>
      <c r="C199" s="41">
        <f t="shared" si="73"/>
        <v>2.172E-2</v>
      </c>
      <c r="D199" s="41">
        <f t="shared" si="74"/>
        <v>1.8530000000000001E-2</v>
      </c>
      <c r="E199" s="41">
        <f t="shared" si="75"/>
        <v>2.1499999999999998E-2</v>
      </c>
      <c r="F199" s="41">
        <f t="shared" si="76"/>
        <v>1.5310000000000001E-2</v>
      </c>
      <c r="G199" s="41">
        <f t="shared" si="77"/>
        <v>2.1100000000000001E-2</v>
      </c>
      <c r="H199" s="41">
        <f t="shared" si="78"/>
        <v>2.8119999999999999E-2</v>
      </c>
      <c r="I199" s="41">
        <f t="shared" si="79"/>
        <v>2.0449999999999999E-2</v>
      </c>
      <c r="J199" s="41">
        <f t="shared" si="80"/>
        <v>1.8319999999999999E-2</v>
      </c>
      <c r="K199" s="41">
        <f t="shared" si="81"/>
        <v>2.052E-2</v>
      </c>
      <c r="L199" s="41">
        <f t="shared" si="82"/>
        <v>1.9019999999999999E-2</v>
      </c>
      <c r="M199" s="41">
        <f t="shared" si="83"/>
        <v>2.0250000000000001E-2</v>
      </c>
      <c r="N199" s="41">
        <f t="shared" si="84"/>
        <v>2.01E-2</v>
      </c>
      <c r="O199" s="49">
        <f t="shared" si="85"/>
        <v>2.0920000000000001E-2</v>
      </c>
      <c r="P199" s="49">
        <f t="shared" si="86"/>
        <v>2.0240000000000001E-2</v>
      </c>
      <c r="Q199" s="1"/>
      <c r="R199" s="1"/>
    </row>
    <row r="200" spans="1:19" x14ac:dyDescent="0.25">
      <c r="A200" s="2">
        <f t="shared" si="55"/>
        <v>200</v>
      </c>
      <c r="B200" s="39" t="s">
        <v>57</v>
      </c>
      <c r="C200" s="41">
        <f t="shared" si="73"/>
        <v>6.4210000000000003E-2</v>
      </c>
      <c r="D200" s="41">
        <f t="shared" si="74"/>
        <v>5.9679999999999997E-2</v>
      </c>
      <c r="E200" s="41">
        <f t="shared" si="75"/>
        <v>6.5119999999999997E-2</v>
      </c>
      <c r="F200" s="41">
        <f t="shared" si="76"/>
        <v>7.5009999999999993E-2</v>
      </c>
      <c r="G200" s="41">
        <f t="shared" si="77"/>
        <v>6.4219999999999999E-2</v>
      </c>
      <c r="H200" s="41">
        <f t="shared" si="78"/>
        <v>6.8729999999999999E-2</v>
      </c>
      <c r="I200" s="41">
        <f t="shared" si="79"/>
        <v>6.2950000000000006E-2</v>
      </c>
      <c r="J200" s="41">
        <f t="shared" si="80"/>
        <v>7.4660000000000004E-2</v>
      </c>
      <c r="K200" s="41">
        <f t="shared" si="81"/>
        <v>6.3089999999999993E-2</v>
      </c>
      <c r="L200" s="41">
        <f t="shared" si="82"/>
        <v>8.6849999999999997E-2</v>
      </c>
      <c r="M200" s="41">
        <f t="shared" si="83"/>
        <v>6.2280000000000002E-2</v>
      </c>
      <c r="N200" s="41">
        <f t="shared" si="84"/>
        <v>9.4579999999999997E-2</v>
      </c>
      <c r="O200" s="52">
        <f t="shared" si="85"/>
        <v>6.3640000000000002E-2</v>
      </c>
      <c r="P200" s="52">
        <f t="shared" si="86"/>
        <v>7.5009999999999993E-2</v>
      </c>
      <c r="Q200" s="1"/>
      <c r="R200" s="1"/>
    </row>
    <row r="201" spans="1:19" x14ac:dyDescent="0.25">
      <c r="A201" s="2">
        <f t="shared" si="55"/>
        <v>201</v>
      </c>
      <c r="B201" s="39" t="s">
        <v>58</v>
      </c>
      <c r="C201" s="41">
        <f t="shared" si="73"/>
        <v>0.18314</v>
      </c>
      <c r="D201" s="41">
        <f t="shared" si="74"/>
        <v>0.16392999999999999</v>
      </c>
      <c r="E201" s="41">
        <f t="shared" si="75"/>
        <v>0.17480000000000001</v>
      </c>
      <c r="F201" s="41">
        <f t="shared" si="76"/>
        <v>0.13683000000000001</v>
      </c>
      <c r="G201" s="41">
        <f t="shared" si="77"/>
        <v>0.18107999999999999</v>
      </c>
      <c r="H201" s="41">
        <f t="shared" si="78"/>
        <v>9.9809999999999996E-2</v>
      </c>
      <c r="I201" s="41">
        <f t="shared" si="79"/>
        <v>0.18912000000000001</v>
      </c>
      <c r="J201" s="41">
        <f t="shared" si="80"/>
        <v>8.7470000000000006E-2</v>
      </c>
      <c r="K201" s="41">
        <f t="shared" si="81"/>
        <v>0.18664</v>
      </c>
      <c r="L201" s="41">
        <f t="shared" si="82"/>
        <v>9.9989999999999996E-2</v>
      </c>
      <c r="M201" s="41">
        <f t="shared" si="83"/>
        <v>0.19120999999999999</v>
      </c>
      <c r="N201" s="41">
        <f t="shared" si="84"/>
        <v>9.3950000000000006E-2</v>
      </c>
      <c r="O201" s="41">
        <f t="shared" si="85"/>
        <v>0.18436</v>
      </c>
      <c r="P201" s="41">
        <f t="shared" si="86"/>
        <v>0.11164</v>
      </c>
      <c r="Q201" s="1"/>
      <c r="R201" s="1"/>
    </row>
    <row r="202" spans="1:19" x14ac:dyDescent="0.25">
      <c r="A202" s="2">
        <f t="shared" si="55"/>
        <v>202</v>
      </c>
      <c r="B202" s="39" t="s">
        <v>59</v>
      </c>
      <c r="C202" s="41">
        <f t="shared" si="73"/>
        <v>9.3710000000000002E-2</v>
      </c>
      <c r="D202" s="41">
        <f t="shared" si="74"/>
        <v>6.6089999999999996E-2</v>
      </c>
      <c r="E202" s="41">
        <f t="shared" si="75"/>
        <v>9.6360000000000001E-2</v>
      </c>
      <c r="F202" s="41">
        <f t="shared" si="76"/>
        <v>6.9610000000000005E-2</v>
      </c>
      <c r="G202" s="41">
        <f t="shared" si="77"/>
        <v>9.7040000000000001E-2</v>
      </c>
      <c r="H202" s="41">
        <f t="shared" si="78"/>
        <v>6.9080000000000003E-2</v>
      </c>
      <c r="I202" s="41">
        <f t="shared" si="79"/>
        <v>9.8059999999999994E-2</v>
      </c>
      <c r="J202" s="41">
        <f t="shared" si="80"/>
        <v>8.7359999999999993E-2</v>
      </c>
      <c r="K202" s="41">
        <f t="shared" si="81"/>
        <v>9.9690000000000001E-2</v>
      </c>
      <c r="L202" s="41">
        <f t="shared" si="82"/>
        <v>8.8349999999999998E-2</v>
      </c>
      <c r="M202" s="41">
        <f t="shared" si="83"/>
        <v>0.10077999999999999</v>
      </c>
      <c r="N202" s="41">
        <f t="shared" si="84"/>
        <v>0.10249</v>
      </c>
      <c r="O202" s="41">
        <f t="shared" si="85"/>
        <v>9.7610000000000002E-2</v>
      </c>
      <c r="P202" s="41">
        <f t="shared" si="86"/>
        <v>7.8450000000000006E-2</v>
      </c>
      <c r="Q202" s="1"/>
      <c r="R202" s="1"/>
    </row>
    <row r="203" spans="1:19" x14ac:dyDescent="0.25">
      <c r="A203" s="2">
        <f t="shared" si="55"/>
        <v>203</v>
      </c>
      <c r="B203" s="39" t="s">
        <v>60</v>
      </c>
      <c r="C203" s="41">
        <f t="shared" si="73"/>
        <v>3.9190000000000003E-2</v>
      </c>
      <c r="D203" s="41">
        <f t="shared" si="74"/>
        <v>4.7260000000000003E-2</v>
      </c>
      <c r="E203" s="41">
        <f t="shared" si="75"/>
        <v>4.0809999999999999E-2</v>
      </c>
      <c r="F203" s="41">
        <f t="shared" si="76"/>
        <v>4.2430000000000002E-2</v>
      </c>
      <c r="G203" s="41">
        <f t="shared" si="77"/>
        <v>4.1509999999999998E-2</v>
      </c>
      <c r="H203" s="41">
        <f t="shared" si="78"/>
        <v>3.0040000000000001E-2</v>
      </c>
      <c r="I203" s="41">
        <f t="shared" si="79"/>
        <v>4.1450000000000001E-2</v>
      </c>
      <c r="J203" s="41">
        <f t="shared" si="80"/>
        <v>3.4090000000000002E-2</v>
      </c>
      <c r="K203" s="41">
        <f t="shared" si="81"/>
        <v>4.0419999999999998E-2</v>
      </c>
      <c r="L203" s="41">
        <f t="shared" si="82"/>
        <v>2.564E-2</v>
      </c>
      <c r="M203" s="41">
        <f t="shared" si="83"/>
        <v>4.095E-2</v>
      </c>
      <c r="N203" s="41">
        <f t="shared" si="84"/>
        <v>3.0450000000000001E-2</v>
      </c>
      <c r="O203" s="49">
        <f t="shared" si="85"/>
        <v>4.0710000000000003E-2</v>
      </c>
      <c r="P203" s="49">
        <f t="shared" si="86"/>
        <v>3.4819999999999997E-2</v>
      </c>
      <c r="Q203" s="1"/>
      <c r="R203" s="1"/>
    </row>
    <row r="204" spans="1:19" x14ac:dyDescent="0.25">
      <c r="A204" s="2">
        <f t="shared" si="55"/>
        <v>204</v>
      </c>
      <c r="B204" s="39" t="s">
        <v>61</v>
      </c>
      <c r="C204" s="41">
        <f t="shared" si="73"/>
        <v>0.1076</v>
      </c>
      <c r="D204" s="41">
        <f t="shared" si="74"/>
        <v>0.14480999999999999</v>
      </c>
      <c r="E204" s="41">
        <f t="shared" si="75"/>
        <v>0.10816000000000001</v>
      </c>
      <c r="F204" s="41">
        <f t="shared" si="76"/>
        <v>0.15994</v>
      </c>
      <c r="G204" s="41">
        <f t="shared" si="77"/>
        <v>0.10725999999999999</v>
      </c>
      <c r="H204" s="41">
        <f t="shared" si="78"/>
        <v>0.19424</v>
      </c>
      <c r="I204" s="41">
        <f t="shared" si="79"/>
        <v>0.10553</v>
      </c>
      <c r="J204" s="41">
        <f t="shared" si="80"/>
        <v>0.22614999999999999</v>
      </c>
      <c r="K204" s="41">
        <f t="shared" si="81"/>
        <v>0.10621999999999999</v>
      </c>
      <c r="L204" s="41">
        <f t="shared" si="82"/>
        <v>0.17261000000000001</v>
      </c>
      <c r="M204" s="41">
        <f t="shared" si="83"/>
        <v>0.10514</v>
      </c>
      <c r="N204" s="41">
        <f t="shared" si="84"/>
        <v>0.20685999999999999</v>
      </c>
      <c r="O204" s="41">
        <f t="shared" si="85"/>
        <v>0.10664999999999999</v>
      </c>
      <c r="P204" s="41">
        <f t="shared" si="86"/>
        <v>0.18632000000000001</v>
      </c>
      <c r="Q204" s="1"/>
      <c r="R204" s="1"/>
    </row>
    <row r="205" spans="1:19" x14ac:dyDescent="0.25">
      <c r="A205" s="2">
        <f t="shared" si="55"/>
        <v>205</v>
      </c>
      <c r="B205" s="39" t="s">
        <v>62</v>
      </c>
      <c r="C205" s="42">
        <f t="shared" si="73"/>
        <v>3.934E-2</v>
      </c>
      <c r="D205" s="42">
        <f t="shared" si="74"/>
        <v>3.3459999999999997E-2</v>
      </c>
      <c r="E205" s="42">
        <f t="shared" si="75"/>
        <v>3.9219999999999998E-2</v>
      </c>
      <c r="F205" s="42">
        <f t="shared" si="76"/>
        <v>3.0169999999999999E-2</v>
      </c>
      <c r="G205" s="42">
        <f t="shared" si="77"/>
        <v>3.9079999999999997E-2</v>
      </c>
      <c r="H205" s="42">
        <f t="shared" si="78"/>
        <v>5.4600000000000003E-2</v>
      </c>
      <c r="I205" s="42">
        <f t="shared" si="79"/>
        <v>3.8580000000000003E-2</v>
      </c>
      <c r="J205" s="42">
        <f t="shared" si="80"/>
        <v>3.0970000000000001E-2</v>
      </c>
      <c r="K205" s="42">
        <f t="shared" si="81"/>
        <v>3.8949999999999999E-2</v>
      </c>
      <c r="L205" s="42">
        <f t="shared" si="82"/>
        <v>3.4349999999999999E-2</v>
      </c>
      <c r="M205" s="42">
        <f t="shared" si="83"/>
        <v>3.8760000000000003E-2</v>
      </c>
      <c r="N205" s="42">
        <f t="shared" si="84"/>
        <v>3.9280000000000002E-2</v>
      </c>
      <c r="O205" s="50">
        <f t="shared" si="85"/>
        <v>3.8989999999999997E-2</v>
      </c>
      <c r="P205" s="50">
        <f t="shared" si="86"/>
        <v>3.7690000000000001E-2</v>
      </c>
      <c r="Q205" s="1"/>
      <c r="R205" s="1"/>
    </row>
    <row r="206" spans="1:19" x14ac:dyDescent="0.25">
      <c r="A206" s="2">
        <f t="shared" si="55"/>
        <v>206</v>
      </c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1"/>
      <c r="R206" s="1"/>
    </row>
    <row r="207" spans="1:19" ht="15.75" thickBot="1" x14ac:dyDescent="0.3">
      <c r="A207" s="2">
        <f t="shared" si="55"/>
        <v>207</v>
      </c>
      <c r="B207" s="39" t="s">
        <v>63</v>
      </c>
      <c r="C207" s="44">
        <f>SUM(C190:C205)</f>
        <v>1</v>
      </c>
      <c r="D207" s="44">
        <f t="shared" ref="D207:P207" si="87">SUM(D190:D205)</f>
        <v>1.0000199999999999</v>
      </c>
      <c r="E207" s="44">
        <f t="shared" si="87"/>
        <v>0.99999000000000016</v>
      </c>
      <c r="F207" s="44">
        <f t="shared" si="87"/>
        <v>0.99998999999999993</v>
      </c>
      <c r="G207" s="44">
        <f t="shared" si="87"/>
        <v>0.99999000000000016</v>
      </c>
      <c r="H207" s="44">
        <f t="shared" si="87"/>
        <v>0.99998999999999982</v>
      </c>
      <c r="I207" s="44">
        <f t="shared" si="87"/>
        <v>0.99998999999999993</v>
      </c>
      <c r="J207" s="44">
        <f t="shared" si="87"/>
        <v>1.0000100000000001</v>
      </c>
      <c r="K207" s="44">
        <f t="shared" si="87"/>
        <v>1.0000099999999998</v>
      </c>
      <c r="L207" s="44">
        <f t="shared" si="87"/>
        <v>0.99999000000000005</v>
      </c>
      <c r="M207" s="44">
        <f t="shared" si="87"/>
        <v>1</v>
      </c>
      <c r="N207" s="44">
        <f t="shared" si="87"/>
        <v>1.0000099999999998</v>
      </c>
      <c r="O207" s="44">
        <f t="shared" si="87"/>
        <v>0.99998999999999993</v>
      </c>
      <c r="P207" s="44">
        <f t="shared" si="87"/>
        <v>1.0000100000000001</v>
      </c>
      <c r="Q207" s="1"/>
      <c r="R207" s="1"/>
    </row>
    <row r="208" spans="1:19" ht="15.75" thickTop="1" x14ac:dyDescent="0.25">
      <c r="A208" s="2">
        <f t="shared" si="55"/>
        <v>208</v>
      </c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1"/>
      <c r="R208" s="1"/>
    </row>
    <row r="209" spans="1:16" x14ac:dyDescent="0.25">
      <c r="A209" s="2">
        <f t="shared" si="55"/>
        <v>209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x14ac:dyDescent="0.25">
      <c r="A210" s="2">
        <f t="shared" si="55"/>
        <v>210</v>
      </c>
      <c r="B210" s="1" t="s">
        <v>125</v>
      </c>
      <c r="C210" s="1" t="s">
        <v>127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x14ac:dyDescent="0.25">
      <c r="A211" s="2">
        <f t="shared" si="55"/>
        <v>211</v>
      </c>
      <c r="B211" s="1" t="s">
        <v>126</v>
      </c>
      <c r="C211" s="1" t="s">
        <v>128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x14ac:dyDescent="0.25">
      <c r="A212" s="2">
        <f t="shared" si="55"/>
        <v>212</v>
      </c>
      <c r="B212" s="1"/>
      <c r="C212" s="1" t="s">
        <v>130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x14ac:dyDescent="0.25">
      <c r="A213" s="2">
        <f t="shared" si="55"/>
        <v>213</v>
      </c>
      <c r="B213" s="1"/>
      <c r="C213" s="1" t="s">
        <v>129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x14ac:dyDescent="0.25">
      <c r="A214" s="2">
        <f t="shared" si="55"/>
        <v>214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x14ac:dyDescent="0.25">
      <c r="A215" s="2">
        <f t="shared" si="55"/>
        <v>215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</sheetData>
  <sortState ref="B234:I249">
    <sortCondition descending="1" ref="I234:I249"/>
  </sortState>
  <mergeCells count="7">
    <mergeCell ref="O187:P187"/>
    <mergeCell ref="C187:D187"/>
    <mergeCell ref="E187:F187"/>
    <mergeCell ref="G187:H187"/>
    <mergeCell ref="I187:J187"/>
    <mergeCell ref="K187:L187"/>
    <mergeCell ref="M187:N187"/>
  </mergeCells>
  <pageMargins left="0.7" right="0.7" top="0.75" bottom="0.75" header="0.3" footer="0.3"/>
  <pageSetup orientation="portrait" r:id="rId1"/>
  <ignoredErrors>
    <ignoredError sqref="C21:H21 J21:O21 C72:H72 C44:P44 J72:O72 C95:P95 C118:H118 C141:I141 J141:O141 C164:H16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zoomScale="80" zoomScaleNormal="80" workbookViewId="0">
      <selection activeCell="B2" sqref="B2"/>
    </sheetView>
  </sheetViews>
  <sheetFormatPr defaultColWidth="15.7109375" defaultRowHeight="15" x14ac:dyDescent="0.25"/>
  <cols>
    <col min="1" max="1" width="4.7109375" customWidth="1"/>
    <col min="2" max="2" width="20.7109375" customWidth="1"/>
  </cols>
  <sheetData>
    <row r="1" spans="1:28" x14ac:dyDescent="0.25">
      <c r="A1" s="2">
        <v>1</v>
      </c>
      <c r="B1" s="54" t="str">
        <f>Analysis!B1</f>
        <v>PSC DR2 Response 21.xlsx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8" x14ac:dyDescent="0.25">
      <c r="A2" s="2">
        <f>A1+1</f>
        <v>2</v>
      </c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8" x14ac:dyDescent="0.25">
      <c r="A3" s="2">
        <f t="shared" ref="A3:A56" si="0">A2+1</f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8" ht="15.75" thickBot="1" x14ac:dyDescent="0.3">
      <c r="A4" s="2">
        <f t="shared" si="0"/>
        <v>4</v>
      </c>
      <c r="B4" s="1"/>
      <c r="C4" s="66" t="s">
        <v>1</v>
      </c>
      <c r="D4" s="66"/>
      <c r="E4" s="66"/>
      <c r="F4" s="66"/>
      <c r="G4" s="66"/>
      <c r="H4" s="66"/>
      <c r="I4" s="66"/>
      <c r="J4" s="66"/>
      <c r="K4" s="66"/>
      <c r="L4" s="1"/>
      <c r="M4" s="1"/>
      <c r="N4" s="1"/>
      <c r="O4" s="1"/>
      <c r="P4" s="1"/>
      <c r="Q4" s="67" t="s">
        <v>45</v>
      </c>
      <c r="R4" s="67"/>
      <c r="S4" s="67"/>
      <c r="T4" s="67"/>
      <c r="U4" s="67"/>
      <c r="V4" s="67"/>
      <c r="W4" s="67"/>
      <c r="X4" s="67"/>
      <c r="Y4" s="1"/>
      <c r="Z4" s="1"/>
      <c r="AA4" s="1"/>
    </row>
    <row r="5" spans="1:28" x14ac:dyDescent="0.25">
      <c r="A5" s="2">
        <f t="shared" si="0"/>
        <v>5</v>
      </c>
      <c r="B5" s="1"/>
      <c r="C5" s="3" t="s">
        <v>2</v>
      </c>
      <c r="D5" s="60" t="s">
        <v>18</v>
      </c>
      <c r="E5" s="61"/>
      <c r="F5" s="61"/>
      <c r="G5" s="61"/>
      <c r="H5" s="61"/>
      <c r="I5" s="61"/>
      <c r="J5" s="62"/>
      <c r="K5" s="1"/>
      <c r="L5" s="63" t="s">
        <v>28</v>
      </c>
      <c r="M5" s="64"/>
      <c r="N5" s="64"/>
      <c r="O5" s="64"/>
      <c r="P5" s="65"/>
      <c r="Q5" s="60" t="s">
        <v>44</v>
      </c>
      <c r="R5" s="61"/>
      <c r="S5" s="62"/>
      <c r="T5" s="60" t="s">
        <v>43</v>
      </c>
      <c r="U5" s="61"/>
      <c r="V5" s="61"/>
      <c r="W5" s="62"/>
      <c r="X5" s="1"/>
      <c r="Y5" s="1"/>
      <c r="Z5" s="1"/>
      <c r="AA5" s="1"/>
    </row>
    <row r="6" spans="1:28" x14ac:dyDescent="0.25">
      <c r="A6" s="2">
        <f t="shared" si="0"/>
        <v>6</v>
      </c>
      <c r="B6" s="13">
        <v>2014</v>
      </c>
      <c r="C6" s="4" t="s">
        <v>9</v>
      </c>
      <c r="D6" s="4"/>
      <c r="E6" s="4"/>
      <c r="F6" s="4" t="s">
        <v>6</v>
      </c>
      <c r="G6" s="4" t="s">
        <v>11</v>
      </c>
      <c r="H6" s="4" t="s">
        <v>14</v>
      </c>
      <c r="I6" s="4" t="s">
        <v>9</v>
      </c>
      <c r="J6" s="4"/>
      <c r="K6" s="4" t="s">
        <v>29</v>
      </c>
      <c r="L6" s="4"/>
      <c r="M6" s="4"/>
      <c r="N6" s="4"/>
      <c r="O6" s="4" t="s">
        <v>25</v>
      </c>
      <c r="P6" s="4" t="s">
        <v>16</v>
      </c>
      <c r="Q6" s="4" t="s">
        <v>31</v>
      </c>
      <c r="R6" s="4"/>
      <c r="S6" s="4" t="s">
        <v>2</v>
      </c>
      <c r="T6" s="4"/>
      <c r="U6" s="4"/>
      <c r="V6" s="4" t="s">
        <v>39</v>
      </c>
      <c r="W6" s="4" t="s">
        <v>17</v>
      </c>
      <c r="X6" s="4" t="s">
        <v>29</v>
      </c>
      <c r="Y6" s="1"/>
      <c r="Z6" s="57" t="s">
        <v>71</v>
      </c>
      <c r="AA6" s="59"/>
      <c r="AB6" s="58"/>
    </row>
    <row r="7" spans="1:28" x14ac:dyDescent="0.25">
      <c r="A7" s="2">
        <f t="shared" si="0"/>
        <v>7</v>
      </c>
      <c r="B7" s="4"/>
      <c r="C7" s="4" t="s">
        <v>10</v>
      </c>
      <c r="D7" s="4"/>
      <c r="E7" s="4"/>
      <c r="F7" s="4" t="s">
        <v>7</v>
      </c>
      <c r="G7" s="4" t="s">
        <v>12</v>
      </c>
      <c r="H7" s="4" t="s">
        <v>15</v>
      </c>
      <c r="I7" s="4" t="s">
        <v>10</v>
      </c>
      <c r="J7" s="4" t="s">
        <v>16</v>
      </c>
      <c r="K7" s="4" t="s">
        <v>19</v>
      </c>
      <c r="L7" s="4" t="s">
        <v>21</v>
      </c>
      <c r="M7" s="4" t="s">
        <v>15</v>
      </c>
      <c r="N7" s="4" t="s">
        <v>24</v>
      </c>
      <c r="O7" s="4" t="s">
        <v>26</v>
      </c>
      <c r="P7" s="4" t="s">
        <v>30</v>
      </c>
      <c r="Q7" s="4" t="s">
        <v>32</v>
      </c>
      <c r="R7" s="4" t="s">
        <v>34</v>
      </c>
      <c r="S7" s="4" t="s">
        <v>42</v>
      </c>
      <c r="T7" s="4" t="s">
        <v>36</v>
      </c>
      <c r="U7" s="4" t="s">
        <v>6</v>
      </c>
      <c r="V7" s="4" t="s">
        <v>40</v>
      </c>
      <c r="W7" s="4" t="s">
        <v>42</v>
      </c>
      <c r="X7" s="4" t="s">
        <v>42</v>
      </c>
      <c r="Y7" s="4" t="s">
        <v>70</v>
      </c>
      <c r="Z7" s="17" t="s">
        <v>70</v>
      </c>
      <c r="AA7" s="17" t="s">
        <v>72</v>
      </c>
      <c r="AB7" s="18" t="s">
        <v>42</v>
      </c>
    </row>
    <row r="8" spans="1:28" ht="15.75" thickBot="1" x14ac:dyDescent="0.3">
      <c r="A8" s="2">
        <f t="shared" si="0"/>
        <v>8</v>
      </c>
      <c r="B8" s="5" t="s">
        <v>46</v>
      </c>
      <c r="C8" s="5" t="s">
        <v>3</v>
      </c>
      <c r="D8" s="5" t="s">
        <v>4</v>
      </c>
      <c r="E8" s="5" t="s">
        <v>5</v>
      </c>
      <c r="F8" s="5" t="s">
        <v>8</v>
      </c>
      <c r="G8" s="5" t="s">
        <v>13</v>
      </c>
      <c r="H8" s="5" t="s">
        <v>8</v>
      </c>
      <c r="I8" s="5" t="s">
        <v>3</v>
      </c>
      <c r="J8" s="5" t="s">
        <v>17</v>
      </c>
      <c r="K8" s="5" t="s">
        <v>20</v>
      </c>
      <c r="L8" s="5" t="s">
        <v>22</v>
      </c>
      <c r="M8" s="5" t="s">
        <v>23</v>
      </c>
      <c r="N8" s="5" t="s">
        <v>22</v>
      </c>
      <c r="O8" s="5" t="s">
        <v>27</v>
      </c>
      <c r="P8" s="5" t="s">
        <v>20</v>
      </c>
      <c r="Q8" s="5" t="s">
        <v>33</v>
      </c>
      <c r="R8" s="5" t="s">
        <v>35</v>
      </c>
      <c r="S8" s="5" t="s">
        <v>20</v>
      </c>
      <c r="T8" s="5" t="s">
        <v>37</v>
      </c>
      <c r="U8" s="5" t="s">
        <v>38</v>
      </c>
      <c r="V8" s="5" t="s">
        <v>41</v>
      </c>
      <c r="W8" s="5" t="s">
        <v>20</v>
      </c>
      <c r="X8" s="5" t="s">
        <v>20</v>
      </c>
      <c r="Y8" s="5" t="s">
        <v>63</v>
      </c>
      <c r="Z8" s="5" t="s">
        <v>63</v>
      </c>
      <c r="AA8" s="5" t="s">
        <v>20</v>
      </c>
      <c r="AB8" s="19" t="s">
        <v>20</v>
      </c>
    </row>
    <row r="9" spans="1:28" x14ac:dyDescent="0.25">
      <c r="A9" s="2">
        <f t="shared" si="0"/>
        <v>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8" x14ac:dyDescent="0.25">
      <c r="A10" s="2">
        <f t="shared" si="0"/>
        <v>10</v>
      </c>
      <c r="B10" s="6" t="s">
        <v>66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8" x14ac:dyDescent="0.25">
      <c r="A11" s="2">
        <f t="shared" si="0"/>
        <v>11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8" x14ac:dyDescent="0.25">
      <c r="A12" s="2">
        <f t="shared" si="0"/>
        <v>12</v>
      </c>
      <c r="B12" s="1" t="s">
        <v>47</v>
      </c>
      <c r="C12" s="2">
        <v>0</v>
      </c>
      <c r="D12" s="2">
        <v>5</v>
      </c>
      <c r="E12" s="2">
        <v>0</v>
      </c>
      <c r="F12" s="2">
        <v>0</v>
      </c>
      <c r="G12" s="2">
        <v>23</v>
      </c>
      <c r="H12" s="2">
        <v>0</v>
      </c>
      <c r="I12" s="2">
        <v>98</v>
      </c>
      <c r="J12" s="2">
        <f>SUM(D12:I12)</f>
        <v>126</v>
      </c>
      <c r="K12" s="2">
        <f>C12+J12</f>
        <v>126</v>
      </c>
      <c r="L12" s="2">
        <v>4000</v>
      </c>
      <c r="M12" s="2">
        <v>0</v>
      </c>
      <c r="N12" s="2">
        <v>0</v>
      </c>
      <c r="O12" s="2">
        <v>0</v>
      </c>
      <c r="P12" s="2">
        <f>SUM(L12:O12)</f>
        <v>4000</v>
      </c>
      <c r="Q12" s="2">
        <v>2</v>
      </c>
      <c r="R12" s="2">
        <v>0</v>
      </c>
      <c r="S12" s="2">
        <f>Q12+R12</f>
        <v>2</v>
      </c>
      <c r="T12" s="2">
        <v>0</v>
      </c>
      <c r="U12" s="2">
        <v>0</v>
      </c>
      <c r="V12" s="2">
        <v>3</v>
      </c>
      <c r="W12" s="2">
        <f>T12+U12+V12</f>
        <v>3</v>
      </c>
      <c r="X12" s="2">
        <f>S12+W12</f>
        <v>5</v>
      </c>
      <c r="Y12" s="2">
        <f>K12+P12+X12</f>
        <v>4131</v>
      </c>
      <c r="Z12" s="1"/>
      <c r="AA12" s="1"/>
    </row>
    <row r="13" spans="1:28" x14ac:dyDescent="0.25">
      <c r="A13" s="2">
        <f t="shared" si="0"/>
        <v>13</v>
      </c>
      <c r="B13" s="1" t="s">
        <v>48</v>
      </c>
      <c r="C13" s="2">
        <v>0</v>
      </c>
      <c r="D13" s="2">
        <v>79</v>
      </c>
      <c r="E13" s="2">
        <v>0</v>
      </c>
      <c r="F13" s="2">
        <v>0</v>
      </c>
      <c r="G13" s="2">
        <v>30</v>
      </c>
      <c r="H13" s="2">
        <v>126</v>
      </c>
      <c r="I13" s="2">
        <v>1048</v>
      </c>
      <c r="J13" s="2">
        <f t="shared" ref="J13:J27" si="1">SUM(D13:I13)</f>
        <v>1283</v>
      </c>
      <c r="K13" s="2">
        <f t="shared" ref="K13:K27" si="2">C13+J13</f>
        <v>1283</v>
      </c>
      <c r="L13" s="2">
        <v>4000</v>
      </c>
      <c r="M13" s="2">
        <v>0</v>
      </c>
      <c r="N13" s="2">
        <v>0</v>
      </c>
      <c r="O13" s="2">
        <v>0</v>
      </c>
      <c r="P13" s="2">
        <f t="shared" ref="P13:P27" si="3">SUM(L13:O13)</f>
        <v>4000</v>
      </c>
      <c r="Q13" s="2">
        <v>4</v>
      </c>
      <c r="R13" s="2">
        <v>1</v>
      </c>
      <c r="S13" s="2">
        <f t="shared" ref="S13:S27" si="4">Q13+R13</f>
        <v>5</v>
      </c>
      <c r="T13" s="2">
        <v>0</v>
      </c>
      <c r="U13" s="2">
        <v>0</v>
      </c>
      <c r="V13" s="2">
        <v>48</v>
      </c>
      <c r="W13" s="2">
        <f t="shared" ref="W13:W27" si="5">T13+U13+V13</f>
        <v>48</v>
      </c>
      <c r="X13" s="2">
        <f t="shared" ref="X13:X27" si="6">S13+W13</f>
        <v>53</v>
      </c>
      <c r="Y13" s="14">
        <f t="shared" ref="Y13:Y27" si="7">K13+P13+X13</f>
        <v>5336</v>
      </c>
      <c r="Z13" s="1"/>
      <c r="AA13" s="1"/>
    </row>
    <row r="14" spans="1:28" x14ac:dyDescent="0.25">
      <c r="A14" s="2">
        <f t="shared" si="0"/>
        <v>14</v>
      </c>
      <c r="B14" s="1" t="s">
        <v>49</v>
      </c>
      <c r="C14" s="2">
        <v>0</v>
      </c>
      <c r="D14" s="2">
        <v>18</v>
      </c>
      <c r="E14" s="2">
        <v>0</v>
      </c>
      <c r="F14" s="2">
        <v>0</v>
      </c>
      <c r="G14" s="2">
        <v>23</v>
      </c>
      <c r="H14" s="2">
        <v>4</v>
      </c>
      <c r="I14" s="2">
        <v>93</v>
      </c>
      <c r="J14" s="2">
        <f t="shared" si="1"/>
        <v>138</v>
      </c>
      <c r="K14" s="2">
        <f t="shared" si="2"/>
        <v>138</v>
      </c>
      <c r="L14" s="2">
        <v>3600</v>
      </c>
      <c r="M14" s="2">
        <v>0</v>
      </c>
      <c r="N14" s="2">
        <v>0</v>
      </c>
      <c r="O14" s="2">
        <v>0</v>
      </c>
      <c r="P14" s="2">
        <f t="shared" si="3"/>
        <v>3600</v>
      </c>
      <c r="Q14" s="2">
        <v>2</v>
      </c>
      <c r="R14" s="2">
        <v>0</v>
      </c>
      <c r="S14" s="2">
        <f t="shared" si="4"/>
        <v>2</v>
      </c>
      <c r="T14" s="2">
        <v>0</v>
      </c>
      <c r="U14" s="2">
        <v>0</v>
      </c>
      <c r="V14" s="2">
        <v>0</v>
      </c>
      <c r="W14" s="2">
        <f t="shared" si="5"/>
        <v>0</v>
      </c>
      <c r="X14" s="2">
        <f t="shared" si="6"/>
        <v>2</v>
      </c>
      <c r="Y14" s="14">
        <f t="shared" si="7"/>
        <v>3740</v>
      </c>
      <c r="Z14" s="1"/>
      <c r="AA14" s="1"/>
    </row>
    <row r="15" spans="1:28" x14ac:dyDescent="0.25">
      <c r="A15" s="2">
        <f t="shared" si="0"/>
        <v>15</v>
      </c>
      <c r="B15" s="1" t="s">
        <v>50</v>
      </c>
      <c r="C15" s="2">
        <v>0</v>
      </c>
      <c r="D15" s="2">
        <v>12</v>
      </c>
      <c r="E15" s="2">
        <v>0</v>
      </c>
      <c r="F15" s="2">
        <v>0</v>
      </c>
      <c r="G15" s="2">
        <v>15</v>
      </c>
      <c r="H15" s="2">
        <f>2+1</f>
        <v>3</v>
      </c>
      <c r="I15" s="2">
        <v>339</v>
      </c>
      <c r="J15" s="2">
        <f t="shared" si="1"/>
        <v>369</v>
      </c>
      <c r="K15" s="2">
        <f t="shared" si="2"/>
        <v>369</v>
      </c>
      <c r="L15" s="2">
        <v>0</v>
      </c>
      <c r="M15" s="2">
        <v>0</v>
      </c>
      <c r="N15" s="2">
        <v>0</v>
      </c>
      <c r="O15" s="2">
        <v>0</v>
      </c>
      <c r="P15" s="2">
        <f t="shared" si="3"/>
        <v>0</v>
      </c>
      <c r="Q15" s="2">
        <v>1</v>
      </c>
      <c r="R15" s="2">
        <v>0</v>
      </c>
      <c r="S15" s="2">
        <f t="shared" si="4"/>
        <v>1</v>
      </c>
      <c r="T15" s="2">
        <v>0</v>
      </c>
      <c r="U15" s="2">
        <v>0</v>
      </c>
      <c r="V15" s="2">
        <v>0</v>
      </c>
      <c r="W15" s="2">
        <f t="shared" si="5"/>
        <v>0</v>
      </c>
      <c r="X15" s="2">
        <f t="shared" si="6"/>
        <v>1</v>
      </c>
      <c r="Y15" s="14">
        <f t="shared" si="7"/>
        <v>370</v>
      </c>
      <c r="Z15" s="1"/>
      <c r="AA15" s="1"/>
    </row>
    <row r="16" spans="1:28" x14ac:dyDescent="0.25">
      <c r="A16" s="2">
        <f t="shared" si="0"/>
        <v>16</v>
      </c>
      <c r="B16" s="1" t="s">
        <v>51</v>
      </c>
      <c r="C16" s="2">
        <v>0</v>
      </c>
      <c r="D16" s="2">
        <f>54+1+1</f>
        <v>56</v>
      </c>
      <c r="E16" s="2">
        <v>0</v>
      </c>
      <c r="F16" s="2">
        <v>0</v>
      </c>
      <c r="G16" s="2">
        <v>8</v>
      </c>
      <c r="H16" s="2">
        <v>1</v>
      </c>
      <c r="I16" s="2">
        <v>269</v>
      </c>
      <c r="J16" s="2">
        <f t="shared" si="1"/>
        <v>334</v>
      </c>
      <c r="K16" s="2">
        <f t="shared" si="2"/>
        <v>334</v>
      </c>
      <c r="L16" s="2">
        <v>200</v>
      </c>
      <c r="M16" s="2">
        <v>0</v>
      </c>
      <c r="N16" s="2">
        <v>0</v>
      </c>
      <c r="O16" s="2">
        <v>0</v>
      </c>
      <c r="P16" s="2">
        <f t="shared" si="3"/>
        <v>200</v>
      </c>
      <c r="Q16" s="2">
        <v>3</v>
      </c>
      <c r="R16" s="2">
        <v>0</v>
      </c>
      <c r="S16" s="2">
        <f t="shared" si="4"/>
        <v>3</v>
      </c>
      <c r="T16" s="2">
        <v>0</v>
      </c>
      <c r="U16" s="2">
        <v>0</v>
      </c>
      <c r="V16" s="2">
        <v>130</v>
      </c>
      <c r="W16" s="2">
        <f t="shared" si="5"/>
        <v>130</v>
      </c>
      <c r="X16" s="2">
        <f t="shared" si="6"/>
        <v>133</v>
      </c>
      <c r="Y16" s="14">
        <f t="shared" si="7"/>
        <v>667</v>
      </c>
      <c r="Z16" s="1"/>
      <c r="AA16" s="1"/>
    </row>
    <row r="17" spans="1:27" x14ac:dyDescent="0.25">
      <c r="A17" s="2">
        <f t="shared" si="0"/>
        <v>17</v>
      </c>
      <c r="B17" s="1" t="s">
        <v>52</v>
      </c>
      <c r="C17" s="2">
        <v>0</v>
      </c>
      <c r="D17" s="2">
        <v>5</v>
      </c>
      <c r="E17" s="2">
        <v>0</v>
      </c>
      <c r="F17" s="2">
        <v>0</v>
      </c>
      <c r="G17" s="2">
        <v>17</v>
      </c>
      <c r="H17" s="2">
        <f>2+1</f>
        <v>3</v>
      </c>
      <c r="I17" s="2">
        <v>52</v>
      </c>
      <c r="J17" s="2">
        <f t="shared" si="1"/>
        <v>77</v>
      </c>
      <c r="K17" s="2">
        <f t="shared" si="2"/>
        <v>77</v>
      </c>
      <c r="L17" s="2">
        <v>4030</v>
      </c>
      <c r="M17" s="2">
        <v>0</v>
      </c>
      <c r="N17" s="2">
        <v>1</v>
      </c>
      <c r="O17" s="2">
        <v>0</v>
      </c>
      <c r="P17" s="2">
        <f t="shared" si="3"/>
        <v>4031</v>
      </c>
      <c r="Q17" s="2">
        <v>1</v>
      </c>
      <c r="R17" s="2">
        <v>0</v>
      </c>
      <c r="S17" s="2">
        <f t="shared" si="4"/>
        <v>1</v>
      </c>
      <c r="T17" s="2">
        <v>0</v>
      </c>
      <c r="U17" s="2">
        <v>0</v>
      </c>
      <c r="V17" s="2">
        <v>0</v>
      </c>
      <c r="W17" s="2">
        <f t="shared" si="5"/>
        <v>0</v>
      </c>
      <c r="X17" s="2">
        <f t="shared" si="6"/>
        <v>1</v>
      </c>
      <c r="Y17" s="14">
        <f t="shared" si="7"/>
        <v>4109</v>
      </c>
      <c r="Z17" s="1"/>
      <c r="AA17" s="1"/>
    </row>
    <row r="18" spans="1:27" x14ac:dyDescent="0.25">
      <c r="A18" s="2">
        <f t="shared" si="0"/>
        <v>18</v>
      </c>
      <c r="B18" s="1" t="s">
        <v>53</v>
      </c>
      <c r="C18" s="2">
        <v>0</v>
      </c>
      <c r="D18" s="2">
        <v>14</v>
      </c>
      <c r="E18" s="2">
        <v>0</v>
      </c>
      <c r="F18" s="2">
        <v>0</v>
      </c>
      <c r="G18" s="2">
        <v>14</v>
      </c>
      <c r="H18" s="2">
        <v>3</v>
      </c>
      <c r="I18" s="2">
        <v>204</v>
      </c>
      <c r="J18" s="2">
        <f t="shared" si="1"/>
        <v>235</v>
      </c>
      <c r="K18" s="2">
        <f t="shared" si="2"/>
        <v>235</v>
      </c>
      <c r="L18" s="2">
        <v>2500</v>
      </c>
      <c r="M18" s="2">
        <v>0</v>
      </c>
      <c r="N18" s="2">
        <v>1</v>
      </c>
      <c r="O18" s="2">
        <v>0</v>
      </c>
      <c r="P18" s="2">
        <f t="shared" si="3"/>
        <v>2501</v>
      </c>
      <c r="Q18" s="2">
        <v>3</v>
      </c>
      <c r="R18" s="2">
        <v>0</v>
      </c>
      <c r="S18" s="2">
        <f t="shared" si="4"/>
        <v>3</v>
      </c>
      <c r="T18" s="2">
        <v>0</v>
      </c>
      <c r="U18" s="2">
        <v>0</v>
      </c>
      <c r="V18" s="2">
        <v>5</v>
      </c>
      <c r="W18" s="2">
        <f t="shared" si="5"/>
        <v>5</v>
      </c>
      <c r="X18" s="2">
        <f t="shared" si="6"/>
        <v>8</v>
      </c>
      <c r="Y18" s="14">
        <f t="shared" si="7"/>
        <v>2744</v>
      </c>
      <c r="Z18" s="1"/>
      <c r="AA18" s="1"/>
    </row>
    <row r="19" spans="1:27" x14ac:dyDescent="0.25">
      <c r="A19" s="2">
        <f t="shared" si="0"/>
        <v>19</v>
      </c>
      <c r="B19" s="1" t="s">
        <v>54</v>
      </c>
      <c r="C19" s="2">
        <v>0</v>
      </c>
      <c r="D19" s="2">
        <v>37</v>
      </c>
      <c r="E19" s="2">
        <v>0</v>
      </c>
      <c r="F19" s="2">
        <v>0</v>
      </c>
      <c r="G19" s="2">
        <v>17</v>
      </c>
      <c r="H19" s="2">
        <f>3+2</f>
        <v>5</v>
      </c>
      <c r="I19" s="2">
        <v>406</v>
      </c>
      <c r="J19" s="2">
        <f t="shared" si="1"/>
        <v>465</v>
      </c>
      <c r="K19" s="2">
        <f t="shared" si="2"/>
        <v>465</v>
      </c>
      <c r="L19" s="2">
        <v>6000</v>
      </c>
      <c r="M19" s="2">
        <v>0</v>
      </c>
      <c r="N19" s="2">
        <v>1</v>
      </c>
      <c r="O19" s="2">
        <v>0</v>
      </c>
      <c r="P19" s="2">
        <f t="shared" si="3"/>
        <v>6001</v>
      </c>
      <c r="Q19" s="2">
        <v>4</v>
      </c>
      <c r="R19" s="2">
        <v>0</v>
      </c>
      <c r="S19" s="2">
        <f t="shared" si="4"/>
        <v>4</v>
      </c>
      <c r="T19" s="2">
        <v>0</v>
      </c>
      <c r="U19" s="2">
        <v>0</v>
      </c>
      <c r="V19" s="2">
        <v>2</v>
      </c>
      <c r="W19" s="2">
        <f t="shared" si="5"/>
        <v>2</v>
      </c>
      <c r="X19" s="2">
        <f t="shared" si="6"/>
        <v>6</v>
      </c>
      <c r="Y19" s="14">
        <f t="shared" si="7"/>
        <v>6472</v>
      </c>
      <c r="Z19" s="1"/>
      <c r="AA19" s="1"/>
    </row>
    <row r="20" spans="1:27" x14ac:dyDescent="0.25">
      <c r="A20" s="2">
        <f t="shared" si="0"/>
        <v>20</v>
      </c>
      <c r="B20" s="1" t="s">
        <v>55</v>
      </c>
      <c r="C20" s="2">
        <v>0</v>
      </c>
      <c r="D20" s="2">
        <f>96+4</f>
        <v>100</v>
      </c>
      <c r="E20" s="2">
        <v>0</v>
      </c>
      <c r="F20" s="2">
        <v>0</v>
      </c>
      <c r="G20" s="2">
        <v>98</v>
      </c>
      <c r="H20" s="2">
        <f>10+19</f>
        <v>29</v>
      </c>
      <c r="I20" s="2">
        <v>82</v>
      </c>
      <c r="J20" s="2">
        <f t="shared" si="1"/>
        <v>309</v>
      </c>
      <c r="K20" s="2">
        <f t="shared" si="2"/>
        <v>309</v>
      </c>
      <c r="L20" s="2">
        <v>9450</v>
      </c>
      <c r="M20" s="2">
        <v>0</v>
      </c>
      <c r="N20" s="2">
        <v>0</v>
      </c>
      <c r="O20" s="2">
        <v>0</v>
      </c>
      <c r="P20" s="2">
        <f t="shared" si="3"/>
        <v>9450</v>
      </c>
      <c r="Q20" s="2">
        <v>1</v>
      </c>
      <c r="R20" s="2">
        <v>0</v>
      </c>
      <c r="S20" s="2">
        <f t="shared" si="4"/>
        <v>1</v>
      </c>
      <c r="T20" s="2">
        <v>0</v>
      </c>
      <c r="U20" s="2">
        <v>0</v>
      </c>
      <c r="V20" s="2">
        <v>36</v>
      </c>
      <c r="W20" s="2">
        <f t="shared" si="5"/>
        <v>36</v>
      </c>
      <c r="X20" s="2">
        <f t="shared" si="6"/>
        <v>37</v>
      </c>
      <c r="Y20" s="14">
        <f t="shared" si="7"/>
        <v>9796</v>
      </c>
      <c r="Z20" s="1"/>
      <c r="AA20" s="1"/>
    </row>
    <row r="21" spans="1:27" x14ac:dyDescent="0.25">
      <c r="A21" s="2">
        <f t="shared" si="0"/>
        <v>21</v>
      </c>
      <c r="B21" s="1" t="s">
        <v>56</v>
      </c>
      <c r="C21" s="2">
        <v>0</v>
      </c>
      <c r="D21" s="2">
        <v>3</v>
      </c>
      <c r="E21" s="2">
        <v>0</v>
      </c>
      <c r="F21" s="2">
        <v>0</v>
      </c>
      <c r="G21" s="2">
        <v>3</v>
      </c>
      <c r="H21" s="2">
        <v>1</v>
      </c>
      <c r="I21" s="2">
        <v>14</v>
      </c>
      <c r="J21" s="2">
        <f t="shared" si="1"/>
        <v>21</v>
      </c>
      <c r="K21" s="2">
        <f t="shared" si="2"/>
        <v>21</v>
      </c>
      <c r="L21" s="2">
        <v>0</v>
      </c>
      <c r="M21" s="2">
        <v>0</v>
      </c>
      <c r="N21" s="2">
        <v>0</v>
      </c>
      <c r="O21" s="2">
        <v>0</v>
      </c>
      <c r="P21" s="2">
        <f t="shared" si="3"/>
        <v>0</v>
      </c>
      <c r="Q21" s="2">
        <v>7</v>
      </c>
      <c r="R21" s="2">
        <v>0</v>
      </c>
      <c r="S21" s="2">
        <f t="shared" si="4"/>
        <v>7</v>
      </c>
      <c r="T21" s="2">
        <v>0</v>
      </c>
      <c r="U21" s="2">
        <v>0</v>
      </c>
      <c r="V21" s="2">
        <v>0</v>
      </c>
      <c r="W21" s="2">
        <f t="shared" si="5"/>
        <v>0</v>
      </c>
      <c r="X21" s="2">
        <f t="shared" si="6"/>
        <v>7</v>
      </c>
      <c r="Y21" s="14">
        <f t="shared" si="7"/>
        <v>28</v>
      </c>
      <c r="Z21" s="1"/>
      <c r="AA21" s="1"/>
    </row>
    <row r="22" spans="1:27" x14ac:dyDescent="0.25">
      <c r="A22" s="2">
        <f t="shared" si="0"/>
        <v>22</v>
      </c>
      <c r="B22" s="1" t="s">
        <v>57</v>
      </c>
      <c r="C22" s="2">
        <v>0</v>
      </c>
      <c r="D22" s="2">
        <v>76</v>
      </c>
      <c r="E22" s="2">
        <v>0</v>
      </c>
      <c r="F22" s="2">
        <v>0</v>
      </c>
      <c r="G22" s="2">
        <v>28</v>
      </c>
      <c r="H22" s="2">
        <v>28</v>
      </c>
      <c r="I22" s="2">
        <v>649</v>
      </c>
      <c r="J22" s="2">
        <f t="shared" si="1"/>
        <v>781</v>
      </c>
      <c r="K22" s="2">
        <f t="shared" si="2"/>
        <v>781</v>
      </c>
      <c r="L22" s="2">
        <v>3700</v>
      </c>
      <c r="M22" s="2">
        <v>0</v>
      </c>
      <c r="N22" s="2">
        <v>1</v>
      </c>
      <c r="O22" s="2">
        <v>0</v>
      </c>
      <c r="P22" s="2">
        <f t="shared" si="3"/>
        <v>3701</v>
      </c>
      <c r="Q22" s="2">
        <v>2</v>
      </c>
      <c r="R22" s="2">
        <v>0</v>
      </c>
      <c r="S22" s="2">
        <f t="shared" si="4"/>
        <v>2</v>
      </c>
      <c r="T22" s="2">
        <v>0</v>
      </c>
      <c r="U22" s="2">
        <f>1+1+1</f>
        <v>3</v>
      </c>
      <c r="V22" s="2">
        <v>0</v>
      </c>
      <c r="W22" s="2">
        <f t="shared" si="5"/>
        <v>3</v>
      </c>
      <c r="X22" s="2">
        <f t="shared" si="6"/>
        <v>5</v>
      </c>
      <c r="Y22" s="14">
        <f t="shared" si="7"/>
        <v>4487</v>
      </c>
      <c r="Z22" s="1"/>
      <c r="AA22" s="1"/>
    </row>
    <row r="23" spans="1:27" x14ac:dyDescent="0.25">
      <c r="A23" s="2">
        <f t="shared" si="0"/>
        <v>23</v>
      </c>
      <c r="B23" s="1" t="s">
        <v>58</v>
      </c>
      <c r="C23" s="2">
        <v>0</v>
      </c>
      <c r="D23" s="2">
        <v>87</v>
      </c>
      <c r="E23" s="2">
        <v>0</v>
      </c>
      <c r="F23" s="2">
        <v>0</v>
      </c>
      <c r="G23" s="2">
        <v>90</v>
      </c>
      <c r="H23" s="2">
        <f>54+15</f>
        <v>69</v>
      </c>
      <c r="I23" s="2">
        <v>1009</v>
      </c>
      <c r="J23" s="2">
        <f t="shared" si="1"/>
        <v>1255</v>
      </c>
      <c r="K23" s="2">
        <f t="shared" si="2"/>
        <v>1255</v>
      </c>
      <c r="L23" s="2">
        <v>2400</v>
      </c>
      <c r="M23" s="2">
        <v>0</v>
      </c>
      <c r="N23" s="2">
        <v>1</v>
      </c>
      <c r="O23" s="2">
        <v>0</v>
      </c>
      <c r="P23" s="2">
        <f t="shared" si="3"/>
        <v>2401</v>
      </c>
      <c r="Q23" s="2">
        <v>10</v>
      </c>
      <c r="R23" s="2">
        <v>0</v>
      </c>
      <c r="S23" s="2">
        <f t="shared" si="4"/>
        <v>10</v>
      </c>
      <c r="T23" s="2">
        <v>0</v>
      </c>
      <c r="U23" s="2">
        <v>0</v>
      </c>
      <c r="V23" s="2">
        <v>1</v>
      </c>
      <c r="W23" s="2">
        <f t="shared" si="5"/>
        <v>1</v>
      </c>
      <c r="X23" s="2">
        <f t="shared" si="6"/>
        <v>11</v>
      </c>
      <c r="Y23" s="14">
        <f t="shared" si="7"/>
        <v>3667</v>
      </c>
      <c r="Z23" s="1"/>
      <c r="AA23" s="1"/>
    </row>
    <row r="24" spans="1:27" x14ac:dyDescent="0.25">
      <c r="A24" s="2">
        <f t="shared" si="0"/>
        <v>24</v>
      </c>
      <c r="B24" s="1" t="s">
        <v>59</v>
      </c>
      <c r="C24" s="2">
        <v>0</v>
      </c>
      <c r="D24" s="2">
        <v>51</v>
      </c>
      <c r="E24" s="2">
        <v>0</v>
      </c>
      <c r="F24" s="2">
        <v>0</v>
      </c>
      <c r="G24" s="2">
        <v>48</v>
      </c>
      <c r="H24" s="2">
        <f>2+4</f>
        <v>6</v>
      </c>
      <c r="I24" s="2">
        <v>514</v>
      </c>
      <c r="J24" s="2">
        <f t="shared" si="1"/>
        <v>619</v>
      </c>
      <c r="K24" s="2">
        <f t="shared" si="2"/>
        <v>619</v>
      </c>
      <c r="L24" s="2">
        <v>7680</v>
      </c>
      <c r="M24" s="2">
        <v>0</v>
      </c>
      <c r="N24" s="2">
        <v>0</v>
      </c>
      <c r="O24" s="2">
        <v>0</v>
      </c>
      <c r="P24" s="2">
        <f t="shared" si="3"/>
        <v>7680</v>
      </c>
      <c r="Q24" s="2">
        <v>7</v>
      </c>
      <c r="R24" s="2">
        <v>0</v>
      </c>
      <c r="S24" s="2">
        <f t="shared" si="4"/>
        <v>7</v>
      </c>
      <c r="T24" s="2">
        <v>0</v>
      </c>
      <c r="U24" s="2">
        <v>0</v>
      </c>
      <c r="V24" s="2">
        <v>0</v>
      </c>
      <c r="W24" s="2">
        <f t="shared" si="5"/>
        <v>0</v>
      </c>
      <c r="X24" s="2">
        <f t="shared" si="6"/>
        <v>7</v>
      </c>
      <c r="Y24" s="14">
        <f t="shared" si="7"/>
        <v>8306</v>
      </c>
      <c r="Z24" s="1"/>
      <c r="AA24" s="1"/>
    </row>
    <row r="25" spans="1:27" x14ac:dyDescent="0.25">
      <c r="A25" s="2">
        <f t="shared" si="0"/>
        <v>25</v>
      </c>
      <c r="B25" s="1" t="s">
        <v>60</v>
      </c>
      <c r="C25" s="2">
        <v>0</v>
      </c>
      <c r="D25" s="2">
        <f>15+1</f>
        <v>16</v>
      </c>
      <c r="E25" s="2">
        <v>0</v>
      </c>
      <c r="F25" s="2">
        <v>0</v>
      </c>
      <c r="G25" s="2">
        <v>21</v>
      </c>
      <c r="H25" s="2">
        <f>9+1</f>
        <v>10</v>
      </c>
      <c r="I25" s="2">
        <v>179</v>
      </c>
      <c r="J25" s="2">
        <f t="shared" si="1"/>
        <v>226</v>
      </c>
      <c r="K25" s="2">
        <f t="shared" si="2"/>
        <v>226</v>
      </c>
      <c r="L25" s="2">
        <v>1000</v>
      </c>
      <c r="M25" s="2">
        <v>0</v>
      </c>
      <c r="N25" s="2">
        <v>0</v>
      </c>
      <c r="O25" s="2">
        <v>0</v>
      </c>
      <c r="P25" s="2">
        <f t="shared" si="3"/>
        <v>1000</v>
      </c>
      <c r="Q25" s="2">
        <v>5</v>
      </c>
      <c r="R25" s="2">
        <v>0</v>
      </c>
      <c r="S25" s="2">
        <f t="shared" si="4"/>
        <v>5</v>
      </c>
      <c r="T25" s="2">
        <v>0</v>
      </c>
      <c r="U25" s="2">
        <v>0</v>
      </c>
      <c r="V25" s="2">
        <v>0</v>
      </c>
      <c r="W25" s="2">
        <f t="shared" si="5"/>
        <v>0</v>
      </c>
      <c r="X25" s="2">
        <f t="shared" si="6"/>
        <v>5</v>
      </c>
      <c r="Y25" s="14">
        <f t="shared" si="7"/>
        <v>1231</v>
      </c>
      <c r="Z25" s="1"/>
      <c r="AA25" s="1"/>
    </row>
    <row r="26" spans="1:27" x14ac:dyDescent="0.25">
      <c r="A26" s="2">
        <f t="shared" si="0"/>
        <v>26</v>
      </c>
      <c r="B26" s="1" t="s">
        <v>61</v>
      </c>
      <c r="C26" s="2">
        <v>0</v>
      </c>
      <c r="D26" s="2">
        <v>189</v>
      </c>
      <c r="E26" s="2">
        <v>0</v>
      </c>
      <c r="F26" s="2">
        <v>0</v>
      </c>
      <c r="G26" s="2">
        <v>114</v>
      </c>
      <c r="H26" s="2">
        <f>32+22</f>
        <v>54</v>
      </c>
      <c r="I26" s="2">
        <v>1382</v>
      </c>
      <c r="J26" s="2">
        <f t="shared" si="1"/>
        <v>1739</v>
      </c>
      <c r="K26" s="2">
        <f t="shared" si="2"/>
        <v>1739</v>
      </c>
      <c r="L26" s="2">
        <v>8550</v>
      </c>
      <c r="M26" s="2">
        <v>0</v>
      </c>
      <c r="N26" s="2">
        <v>1</v>
      </c>
      <c r="O26" s="2">
        <v>0</v>
      </c>
      <c r="P26" s="2">
        <f t="shared" si="3"/>
        <v>8551</v>
      </c>
      <c r="Q26" s="2">
        <v>3</v>
      </c>
      <c r="R26" s="2">
        <v>0</v>
      </c>
      <c r="S26" s="2">
        <f t="shared" si="4"/>
        <v>3</v>
      </c>
      <c r="T26" s="2">
        <v>0</v>
      </c>
      <c r="U26" s="2">
        <v>0</v>
      </c>
      <c r="V26" s="2">
        <v>13</v>
      </c>
      <c r="W26" s="2">
        <f t="shared" si="5"/>
        <v>13</v>
      </c>
      <c r="X26" s="2">
        <f t="shared" si="6"/>
        <v>16</v>
      </c>
      <c r="Y26" s="14">
        <f t="shared" si="7"/>
        <v>10306</v>
      </c>
      <c r="Z26" s="1"/>
      <c r="AA26" s="1"/>
    </row>
    <row r="27" spans="1:27" x14ac:dyDescent="0.25">
      <c r="A27" s="2">
        <f t="shared" si="0"/>
        <v>27</v>
      </c>
      <c r="B27" s="1" t="s">
        <v>62</v>
      </c>
      <c r="C27" s="9">
        <v>0</v>
      </c>
      <c r="D27" s="9">
        <f>37+1+1</f>
        <v>39</v>
      </c>
      <c r="E27" s="9">
        <v>0</v>
      </c>
      <c r="F27" s="9">
        <v>0</v>
      </c>
      <c r="G27" s="9">
        <v>24</v>
      </c>
      <c r="H27" s="9">
        <f>1+3</f>
        <v>4</v>
      </c>
      <c r="I27" s="9">
        <v>31</v>
      </c>
      <c r="J27" s="9">
        <f t="shared" si="1"/>
        <v>98</v>
      </c>
      <c r="K27" s="9">
        <f t="shared" si="2"/>
        <v>98</v>
      </c>
      <c r="L27" s="9">
        <v>1580</v>
      </c>
      <c r="M27" s="9">
        <v>0</v>
      </c>
      <c r="N27" s="9">
        <v>0</v>
      </c>
      <c r="O27" s="9">
        <v>0</v>
      </c>
      <c r="P27" s="9">
        <f t="shared" si="3"/>
        <v>1580</v>
      </c>
      <c r="Q27" s="9">
        <v>5</v>
      </c>
      <c r="R27" s="9">
        <v>0</v>
      </c>
      <c r="S27" s="9">
        <f t="shared" si="4"/>
        <v>5</v>
      </c>
      <c r="T27" s="9">
        <v>0</v>
      </c>
      <c r="U27" s="9">
        <v>0</v>
      </c>
      <c r="V27" s="9">
        <v>0</v>
      </c>
      <c r="W27" s="9">
        <f t="shared" si="5"/>
        <v>0</v>
      </c>
      <c r="X27" s="9">
        <f t="shared" si="6"/>
        <v>5</v>
      </c>
      <c r="Y27" s="9">
        <f t="shared" si="7"/>
        <v>1683</v>
      </c>
      <c r="Z27" s="1"/>
      <c r="AA27" s="1"/>
    </row>
    <row r="28" spans="1:27" x14ac:dyDescent="0.25">
      <c r="A28" s="2">
        <f t="shared" si="0"/>
        <v>28</v>
      </c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"/>
      <c r="Z28" s="1"/>
      <c r="AA28" s="1"/>
    </row>
    <row r="29" spans="1:27" ht="15.75" thickBot="1" x14ac:dyDescent="0.3">
      <c r="A29" s="2">
        <f t="shared" si="0"/>
        <v>29</v>
      </c>
      <c r="B29" s="1" t="s">
        <v>63</v>
      </c>
      <c r="C29" s="10">
        <f>SUM(C12:C27)</f>
        <v>0</v>
      </c>
      <c r="D29" s="10">
        <f t="shared" ref="D29:Y29" si="8">SUM(D12:D27)</f>
        <v>787</v>
      </c>
      <c r="E29" s="10">
        <f t="shared" si="8"/>
        <v>0</v>
      </c>
      <c r="F29" s="10">
        <f t="shared" si="8"/>
        <v>0</v>
      </c>
      <c r="G29" s="10">
        <f t="shared" si="8"/>
        <v>573</v>
      </c>
      <c r="H29" s="10">
        <f t="shared" si="8"/>
        <v>346</v>
      </c>
      <c r="I29" s="10">
        <f t="shared" si="8"/>
        <v>6369</v>
      </c>
      <c r="J29" s="10">
        <f t="shared" si="8"/>
        <v>8075</v>
      </c>
      <c r="K29" s="10">
        <f t="shared" si="8"/>
        <v>8075</v>
      </c>
      <c r="L29" s="10">
        <f t="shared" si="8"/>
        <v>58690</v>
      </c>
      <c r="M29" s="10">
        <f t="shared" si="8"/>
        <v>0</v>
      </c>
      <c r="N29" s="10">
        <f t="shared" si="8"/>
        <v>6</v>
      </c>
      <c r="O29" s="10">
        <f t="shared" si="8"/>
        <v>0</v>
      </c>
      <c r="P29" s="10">
        <f t="shared" si="8"/>
        <v>58696</v>
      </c>
      <c r="Q29" s="10">
        <f t="shared" si="8"/>
        <v>60</v>
      </c>
      <c r="R29" s="10">
        <f t="shared" si="8"/>
        <v>1</v>
      </c>
      <c r="S29" s="10">
        <f t="shared" si="8"/>
        <v>61</v>
      </c>
      <c r="T29" s="10">
        <f t="shared" si="8"/>
        <v>0</v>
      </c>
      <c r="U29" s="10">
        <f t="shared" si="8"/>
        <v>3</v>
      </c>
      <c r="V29" s="10">
        <f t="shared" si="8"/>
        <v>238</v>
      </c>
      <c r="W29" s="10">
        <f t="shared" si="8"/>
        <v>241</v>
      </c>
      <c r="X29" s="10">
        <f t="shared" si="8"/>
        <v>302</v>
      </c>
      <c r="Y29" s="10">
        <f t="shared" si="8"/>
        <v>67073</v>
      </c>
      <c r="Z29" s="1"/>
      <c r="AA29" s="1"/>
    </row>
    <row r="30" spans="1:27" ht="15.75" thickTop="1" x14ac:dyDescent="0.25">
      <c r="A30" s="2">
        <f t="shared" si="0"/>
        <v>30</v>
      </c>
      <c r="B30" s="7" t="s">
        <v>65</v>
      </c>
      <c r="C30" s="1" t="s">
        <v>67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5">
      <c r="A31" s="2">
        <f t="shared" si="0"/>
        <v>31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5">
      <c r="A32" s="2">
        <f t="shared" si="0"/>
        <v>32</v>
      </c>
      <c r="B32" s="6" t="s">
        <v>64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8" x14ac:dyDescent="0.25">
      <c r="A33" s="2">
        <f t="shared" si="0"/>
        <v>33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8" x14ac:dyDescent="0.25">
      <c r="A34" s="2">
        <f t="shared" si="0"/>
        <v>34</v>
      </c>
      <c r="B34" s="1" t="s">
        <v>69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3051500</v>
      </c>
      <c r="J34" s="8">
        <f>SUM(D34:I34)</f>
        <v>3051500</v>
      </c>
      <c r="K34" s="8">
        <f>C34+J34</f>
        <v>3051500</v>
      </c>
      <c r="L34" s="8">
        <v>0</v>
      </c>
      <c r="M34" s="8">
        <v>0</v>
      </c>
      <c r="N34" s="8">
        <v>0</v>
      </c>
      <c r="O34" s="8">
        <v>0</v>
      </c>
      <c r="P34" s="8">
        <f>SUM(L34:O34)</f>
        <v>0</v>
      </c>
      <c r="Q34" s="8">
        <v>0</v>
      </c>
      <c r="R34" s="8">
        <v>0</v>
      </c>
      <c r="S34" s="8">
        <f>Q34+R34</f>
        <v>0</v>
      </c>
      <c r="T34" s="8">
        <v>0</v>
      </c>
      <c r="U34" s="8">
        <v>0</v>
      </c>
      <c r="V34" s="8">
        <v>0</v>
      </c>
      <c r="W34" s="8">
        <f>T34+U34+V34</f>
        <v>0</v>
      </c>
      <c r="X34" s="8">
        <f>S34+W34</f>
        <v>0</v>
      </c>
      <c r="Y34" s="8">
        <f>K34+P34+X34</f>
        <v>3051500</v>
      </c>
      <c r="Z34" s="20">
        <f>ROUND(Y34/Y$52,5)</f>
        <v>0.54674</v>
      </c>
      <c r="AA34" s="20">
        <f>ROUND((K34+P34)/(K$52+P$52),5)</f>
        <v>0.61231999999999998</v>
      </c>
      <c r="AB34" s="20">
        <f>ROUND(X34/X$52,5)</f>
        <v>0</v>
      </c>
    </row>
    <row r="35" spans="1:28" x14ac:dyDescent="0.25">
      <c r="A35" s="2">
        <f t="shared" si="0"/>
        <v>35</v>
      </c>
      <c r="B35" s="1" t="s">
        <v>47</v>
      </c>
      <c r="C35" s="8">
        <v>0</v>
      </c>
      <c r="D35" s="8">
        <v>2170</v>
      </c>
      <c r="E35" s="8">
        <v>0</v>
      </c>
      <c r="F35" s="8">
        <v>0</v>
      </c>
      <c r="G35" s="8">
        <v>37452</v>
      </c>
      <c r="H35" s="8">
        <v>0</v>
      </c>
      <c r="I35" s="8">
        <v>0</v>
      </c>
      <c r="J35" s="8">
        <f>SUM(D35:I35)</f>
        <v>39622</v>
      </c>
      <c r="K35" s="8">
        <f>C35+J35</f>
        <v>39622</v>
      </c>
      <c r="L35" s="8">
        <v>3600</v>
      </c>
      <c r="M35" s="8">
        <v>0</v>
      </c>
      <c r="N35" s="8">
        <v>0</v>
      </c>
      <c r="O35" s="8">
        <v>0</v>
      </c>
      <c r="P35" s="8">
        <f>SUM(L35:O35)</f>
        <v>3600</v>
      </c>
      <c r="Q35" s="8">
        <v>3649</v>
      </c>
      <c r="R35" s="8">
        <v>0</v>
      </c>
      <c r="S35" s="8">
        <f>Q35+R35</f>
        <v>3649</v>
      </c>
      <c r="T35" s="8">
        <v>0</v>
      </c>
      <c r="U35" s="8">
        <v>0</v>
      </c>
      <c r="V35" s="8">
        <v>2000</v>
      </c>
      <c r="W35" s="8">
        <f>T35+U35+V35</f>
        <v>2000</v>
      </c>
      <c r="X35" s="8">
        <f>S35+W35</f>
        <v>5649</v>
      </c>
      <c r="Y35" s="15">
        <f t="shared" ref="Y35:Y50" si="9">K35+P35+X35</f>
        <v>48871</v>
      </c>
      <c r="Z35" s="22">
        <f t="shared" ref="Z35:Z50" si="10">ROUND(Y35/Y$52,5)</f>
        <v>8.7600000000000004E-3</v>
      </c>
      <c r="AA35" s="22">
        <f t="shared" ref="AA35:AA50" si="11">ROUND((K35+P35)/(K$52+P$52),5)</f>
        <v>8.6700000000000006E-3</v>
      </c>
      <c r="AB35" s="22">
        <f t="shared" ref="AB35:AB50" si="12">ROUND(X35/X$52,5)</f>
        <v>9.4500000000000001E-3</v>
      </c>
    </row>
    <row r="36" spans="1:28" x14ac:dyDescent="0.25">
      <c r="A36" s="2">
        <f t="shared" si="0"/>
        <v>36</v>
      </c>
      <c r="B36" s="1" t="s">
        <v>48</v>
      </c>
      <c r="C36" s="8">
        <v>0</v>
      </c>
      <c r="D36" s="8">
        <v>45895</v>
      </c>
      <c r="E36" s="8">
        <v>0</v>
      </c>
      <c r="F36" s="8">
        <v>0</v>
      </c>
      <c r="G36" s="8">
        <v>52036</v>
      </c>
      <c r="H36" s="8">
        <v>166560</v>
      </c>
      <c r="I36" s="8">
        <v>0</v>
      </c>
      <c r="J36" s="8">
        <f t="shared" ref="J36:J50" si="13">SUM(D36:I36)</f>
        <v>264491</v>
      </c>
      <c r="K36" s="8">
        <f t="shared" ref="K36:K50" si="14">C36+J36</f>
        <v>264491</v>
      </c>
      <c r="L36" s="8">
        <v>3600</v>
      </c>
      <c r="M36" s="8">
        <v>0</v>
      </c>
      <c r="N36" s="8">
        <v>0</v>
      </c>
      <c r="O36" s="8">
        <v>0</v>
      </c>
      <c r="P36" s="8">
        <f t="shared" ref="P36:P50" si="15">SUM(L36:O36)</f>
        <v>3600</v>
      </c>
      <c r="Q36" s="8">
        <v>8230</v>
      </c>
      <c r="R36" s="8">
        <v>6120</v>
      </c>
      <c r="S36" s="8">
        <f t="shared" ref="S36:S50" si="16">Q36+R36</f>
        <v>14350</v>
      </c>
      <c r="T36" s="8">
        <v>0</v>
      </c>
      <c r="U36" s="8">
        <v>0</v>
      </c>
      <c r="V36" s="8">
        <v>25750</v>
      </c>
      <c r="W36" s="8">
        <f t="shared" ref="W36:W50" si="17">T36+U36+V36</f>
        <v>25750</v>
      </c>
      <c r="X36" s="8">
        <f t="shared" ref="X36:X50" si="18">S36+W36</f>
        <v>40100</v>
      </c>
      <c r="Y36" s="15">
        <f t="shared" si="9"/>
        <v>308191</v>
      </c>
      <c r="Z36" s="22">
        <f t="shared" si="10"/>
        <v>5.5219999999999998E-2</v>
      </c>
      <c r="AA36" s="22">
        <f t="shared" si="11"/>
        <v>5.3800000000000001E-2</v>
      </c>
      <c r="AB36" s="22">
        <f t="shared" si="12"/>
        <v>6.7080000000000001E-2</v>
      </c>
    </row>
    <row r="37" spans="1:28" x14ac:dyDescent="0.25">
      <c r="A37" s="2">
        <f t="shared" si="0"/>
        <v>37</v>
      </c>
      <c r="B37" s="1" t="s">
        <v>49</v>
      </c>
      <c r="C37" s="8">
        <v>0</v>
      </c>
      <c r="D37" s="8">
        <v>11107</v>
      </c>
      <c r="E37" s="8">
        <v>0</v>
      </c>
      <c r="F37" s="8">
        <v>0</v>
      </c>
      <c r="G37" s="8">
        <v>36613</v>
      </c>
      <c r="H37" s="8">
        <v>5460</v>
      </c>
      <c r="I37" s="8">
        <v>0</v>
      </c>
      <c r="J37" s="8">
        <f t="shared" si="13"/>
        <v>53180</v>
      </c>
      <c r="K37" s="8">
        <f t="shared" si="14"/>
        <v>53180</v>
      </c>
      <c r="L37" s="8">
        <v>3240</v>
      </c>
      <c r="M37" s="8">
        <v>0</v>
      </c>
      <c r="N37" s="8">
        <v>0</v>
      </c>
      <c r="O37" s="8">
        <v>0</v>
      </c>
      <c r="P37" s="8">
        <f t="shared" si="15"/>
        <v>3240</v>
      </c>
      <c r="Q37" s="8">
        <v>21853</v>
      </c>
      <c r="R37" s="8">
        <v>0</v>
      </c>
      <c r="S37" s="8">
        <f t="shared" si="16"/>
        <v>21853</v>
      </c>
      <c r="T37" s="8">
        <v>0</v>
      </c>
      <c r="U37" s="8">
        <v>0</v>
      </c>
      <c r="V37" s="8">
        <v>0</v>
      </c>
      <c r="W37" s="8">
        <f t="shared" si="17"/>
        <v>0</v>
      </c>
      <c r="X37" s="8">
        <f t="shared" si="18"/>
        <v>21853</v>
      </c>
      <c r="Y37" s="15">
        <f t="shared" si="9"/>
        <v>78273</v>
      </c>
      <c r="Z37" s="22">
        <f t="shared" si="10"/>
        <v>1.4019999999999999E-2</v>
      </c>
      <c r="AA37" s="22">
        <f t="shared" si="11"/>
        <v>1.132E-2</v>
      </c>
      <c r="AB37" s="22">
        <f t="shared" si="12"/>
        <v>3.6560000000000002E-2</v>
      </c>
    </row>
    <row r="38" spans="1:28" x14ac:dyDescent="0.25">
      <c r="A38" s="2">
        <f t="shared" si="0"/>
        <v>38</v>
      </c>
      <c r="B38" s="1" t="s">
        <v>50</v>
      </c>
      <c r="C38" s="8">
        <v>0</v>
      </c>
      <c r="D38" s="8">
        <v>8550</v>
      </c>
      <c r="E38" s="8">
        <v>0</v>
      </c>
      <c r="F38" s="8">
        <v>0</v>
      </c>
      <c r="G38" s="8">
        <v>21131</v>
      </c>
      <c r="H38" s="8">
        <f>2800+1260</f>
        <v>4060</v>
      </c>
      <c r="I38" s="8">
        <v>0</v>
      </c>
      <c r="J38" s="8">
        <f t="shared" si="13"/>
        <v>33741</v>
      </c>
      <c r="K38" s="8">
        <f t="shared" si="14"/>
        <v>33741</v>
      </c>
      <c r="L38" s="8">
        <v>0</v>
      </c>
      <c r="M38" s="8">
        <v>0</v>
      </c>
      <c r="N38" s="8">
        <v>0</v>
      </c>
      <c r="O38" s="8">
        <v>0</v>
      </c>
      <c r="P38" s="8">
        <f t="shared" si="15"/>
        <v>0</v>
      </c>
      <c r="Q38" s="8">
        <v>3001</v>
      </c>
      <c r="R38" s="8">
        <v>0</v>
      </c>
      <c r="S38" s="8">
        <f t="shared" si="16"/>
        <v>3001</v>
      </c>
      <c r="T38" s="8">
        <v>0</v>
      </c>
      <c r="U38" s="8">
        <v>0</v>
      </c>
      <c r="V38" s="8">
        <v>0</v>
      </c>
      <c r="W38" s="8">
        <f t="shared" si="17"/>
        <v>0</v>
      </c>
      <c r="X38" s="8">
        <f t="shared" si="18"/>
        <v>3001</v>
      </c>
      <c r="Y38" s="15">
        <f t="shared" si="9"/>
        <v>36742</v>
      </c>
      <c r="Z38" s="22">
        <f t="shared" si="10"/>
        <v>6.5799999999999999E-3</v>
      </c>
      <c r="AA38" s="22">
        <f t="shared" si="11"/>
        <v>6.77E-3</v>
      </c>
      <c r="AB38" s="22">
        <f t="shared" si="12"/>
        <v>5.0200000000000002E-3</v>
      </c>
    </row>
    <row r="39" spans="1:28" x14ac:dyDescent="0.25">
      <c r="A39" s="2">
        <f t="shared" si="0"/>
        <v>39</v>
      </c>
      <c r="B39" s="1" t="s">
        <v>51</v>
      </c>
      <c r="C39" s="8">
        <v>0</v>
      </c>
      <c r="D39" s="8">
        <f>66497+2085+2625</f>
        <v>71207</v>
      </c>
      <c r="E39" s="8">
        <v>0</v>
      </c>
      <c r="F39" s="8">
        <v>0</v>
      </c>
      <c r="G39" s="8">
        <v>14549</v>
      </c>
      <c r="H39" s="8">
        <v>1400</v>
      </c>
      <c r="I39" s="8">
        <v>0</v>
      </c>
      <c r="J39" s="8">
        <f t="shared" si="13"/>
        <v>87156</v>
      </c>
      <c r="K39" s="8">
        <f t="shared" si="14"/>
        <v>87156</v>
      </c>
      <c r="L39" s="8">
        <v>180</v>
      </c>
      <c r="M39" s="8">
        <v>0</v>
      </c>
      <c r="N39" s="8">
        <v>0</v>
      </c>
      <c r="O39" s="8">
        <v>0</v>
      </c>
      <c r="P39" s="8">
        <f t="shared" si="15"/>
        <v>180</v>
      </c>
      <c r="Q39" s="8">
        <v>36562</v>
      </c>
      <c r="R39" s="8">
        <v>0</v>
      </c>
      <c r="S39" s="8">
        <f t="shared" si="16"/>
        <v>36562</v>
      </c>
      <c r="T39" s="8">
        <v>0</v>
      </c>
      <c r="U39" s="8">
        <v>0</v>
      </c>
      <c r="V39" s="8">
        <v>47000</v>
      </c>
      <c r="W39" s="8">
        <f t="shared" si="17"/>
        <v>47000</v>
      </c>
      <c r="X39" s="8">
        <f t="shared" si="18"/>
        <v>83562</v>
      </c>
      <c r="Y39" s="15">
        <f t="shared" si="9"/>
        <v>170898</v>
      </c>
      <c r="Z39" s="22">
        <f t="shared" si="10"/>
        <v>3.0620000000000001E-2</v>
      </c>
      <c r="AA39" s="22">
        <f t="shared" si="11"/>
        <v>1.753E-2</v>
      </c>
      <c r="AB39" s="22">
        <f t="shared" si="12"/>
        <v>0.13977999999999999</v>
      </c>
    </row>
    <row r="40" spans="1:28" x14ac:dyDescent="0.25">
      <c r="A40" s="2">
        <f t="shared" si="0"/>
        <v>40</v>
      </c>
      <c r="B40" s="1" t="s">
        <v>52</v>
      </c>
      <c r="C40" s="8">
        <v>0</v>
      </c>
      <c r="D40" s="8">
        <v>4289</v>
      </c>
      <c r="E40" s="8">
        <v>0</v>
      </c>
      <c r="F40" s="8">
        <v>0</v>
      </c>
      <c r="G40" s="8">
        <v>32041</v>
      </c>
      <c r="H40" s="8">
        <f>2800+1400</f>
        <v>4200</v>
      </c>
      <c r="I40" s="8">
        <v>0</v>
      </c>
      <c r="J40" s="8">
        <f t="shared" si="13"/>
        <v>40530</v>
      </c>
      <c r="K40" s="8">
        <f t="shared" si="14"/>
        <v>40530</v>
      </c>
      <c r="L40" s="8">
        <v>3627</v>
      </c>
      <c r="M40" s="8">
        <v>0</v>
      </c>
      <c r="N40" s="8">
        <v>0</v>
      </c>
      <c r="O40" s="8">
        <v>0</v>
      </c>
      <c r="P40" s="8">
        <f t="shared" si="15"/>
        <v>3627</v>
      </c>
      <c r="Q40" s="8">
        <v>1361</v>
      </c>
      <c r="R40" s="8">
        <v>0</v>
      </c>
      <c r="S40" s="8">
        <f t="shared" si="16"/>
        <v>1361</v>
      </c>
      <c r="T40" s="8">
        <v>0</v>
      </c>
      <c r="U40" s="8">
        <v>0</v>
      </c>
      <c r="V40" s="8">
        <v>0</v>
      </c>
      <c r="W40" s="8">
        <f t="shared" si="17"/>
        <v>0</v>
      </c>
      <c r="X40" s="8">
        <f t="shared" si="18"/>
        <v>1361</v>
      </c>
      <c r="Y40" s="15">
        <f t="shared" si="9"/>
        <v>45518</v>
      </c>
      <c r="Z40" s="22">
        <f t="shared" si="10"/>
        <v>8.1600000000000006E-3</v>
      </c>
      <c r="AA40" s="22">
        <f t="shared" si="11"/>
        <v>8.8599999999999998E-3</v>
      </c>
      <c r="AB40" s="22">
        <f t="shared" si="12"/>
        <v>2.2799999999999999E-3</v>
      </c>
    </row>
    <row r="41" spans="1:28" x14ac:dyDescent="0.25">
      <c r="A41" s="2">
        <f t="shared" si="0"/>
        <v>41</v>
      </c>
      <c r="B41" s="1" t="s">
        <v>53</v>
      </c>
      <c r="C41" s="8">
        <v>0</v>
      </c>
      <c r="D41" s="8">
        <v>9728</v>
      </c>
      <c r="E41" s="8">
        <v>0</v>
      </c>
      <c r="F41" s="8">
        <v>0</v>
      </c>
      <c r="G41" s="8">
        <v>19249</v>
      </c>
      <c r="H41" s="8">
        <v>3920</v>
      </c>
      <c r="I41" s="8">
        <v>0</v>
      </c>
      <c r="J41" s="8">
        <f t="shared" si="13"/>
        <v>32897</v>
      </c>
      <c r="K41" s="8">
        <f t="shared" si="14"/>
        <v>32897</v>
      </c>
      <c r="L41" s="8">
        <v>2250</v>
      </c>
      <c r="M41" s="8">
        <v>0</v>
      </c>
      <c r="N41" s="8">
        <v>0</v>
      </c>
      <c r="O41" s="8">
        <v>0</v>
      </c>
      <c r="P41" s="8">
        <f t="shared" si="15"/>
        <v>2250</v>
      </c>
      <c r="Q41" s="8">
        <v>16614</v>
      </c>
      <c r="R41" s="8">
        <v>0</v>
      </c>
      <c r="S41" s="8">
        <f t="shared" si="16"/>
        <v>16614</v>
      </c>
      <c r="T41" s="8">
        <v>0</v>
      </c>
      <c r="U41" s="8">
        <v>0</v>
      </c>
      <c r="V41" s="8">
        <v>2500</v>
      </c>
      <c r="W41" s="8">
        <f t="shared" si="17"/>
        <v>2500</v>
      </c>
      <c r="X41" s="8">
        <f t="shared" si="18"/>
        <v>19114</v>
      </c>
      <c r="Y41" s="15">
        <f t="shared" si="9"/>
        <v>54261</v>
      </c>
      <c r="Z41" s="22">
        <f t="shared" si="10"/>
        <v>9.7199999999999995E-3</v>
      </c>
      <c r="AA41" s="22">
        <f t="shared" si="11"/>
        <v>7.0499999999999998E-3</v>
      </c>
      <c r="AB41" s="22">
        <f t="shared" si="12"/>
        <v>3.1969999999999998E-2</v>
      </c>
    </row>
    <row r="42" spans="1:28" x14ac:dyDescent="0.25">
      <c r="A42" s="2">
        <f t="shared" si="0"/>
        <v>42</v>
      </c>
      <c r="B42" s="1" t="s">
        <v>54</v>
      </c>
      <c r="C42" s="8">
        <v>0</v>
      </c>
      <c r="D42" s="8">
        <v>26296</v>
      </c>
      <c r="E42" s="8">
        <v>0</v>
      </c>
      <c r="F42" s="8">
        <v>0</v>
      </c>
      <c r="G42" s="8">
        <v>28520</v>
      </c>
      <c r="H42" s="8">
        <f>4200+2800</f>
        <v>7000</v>
      </c>
      <c r="I42" s="8">
        <v>0</v>
      </c>
      <c r="J42" s="8">
        <f t="shared" si="13"/>
        <v>61816</v>
      </c>
      <c r="K42" s="8">
        <f t="shared" si="14"/>
        <v>61816</v>
      </c>
      <c r="L42" s="8">
        <v>5400</v>
      </c>
      <c r="M42" s="8">
        <v>0</v>
      </c>
      <c r="N42" s="8">
        <v>0</v>
      </c>
      <c r="O42" s="8">
        <v>0</v>
      </c>
      <c r="P42" s="8">
        <f t="shared" si="15"/>
        <v>5400</v>
      </c>
      <c r="Q42" s="8">
        <v>16246</v>
      </c>
      <c r="R42" s="8">
        <v>0</v>
      </c>
      <c r="S42" s="8">
        <f t="shared" si="16"/>
        <v>16246</v>
      </c>
      <c r="T42" s="8">
        <v>0</v>
      </c>
      <c r="U42" s="8">
        <v>0</v>
      </c>
      <c r="V42" s="8">
        <v>1000</v>
      </c>
      <c r="W42" s="8">
        <f t="shared" si="17"/>
        <v>1000</v>
      </c>
      <c r="X42" s="8">
        <f t="shared" si="18"/>
        <v>17246</v>
      </c>
      <c r="Y42" s="15">
        <f t="shared" si="9"/>
        <v>84462</v>
      </c>
      <c r="Z42" s="22">
        <f t="shared" si="10"/>
        <v>1.5129999999999999E-2</v>
      </c>
      <c r="AA42" s="22">
        <f t="shared" si="11"/>
        <v>1.349E-2</v>
      </c>
      <c r="AB42" s="22">
        <f t="shared" si="12"/>
        <v>2.8850000000000001E-2</v>
      </c>
    </row>
    <row r="43" spans="1:28" x14ac:dyDescent="0.25">
      <c r="A43" s="2">
        <f t="shared" si="0"/>
        <v>43</v>
      </c>
      <c r="B43" s="1" t="s">
        <v>55</v>
      </c>
      <c r="C43" s="8">
        <v>0</v>
      </c>
      <c r="D43" s="8">
        <f>63203+2440</f>
        <v>65643</v>
      </c>
      <c r="E43" s="8">
        <v>0</v>
      </c>
      <c r="F43" s="8">
        <v>0</v>
      </c>
      <c r="G43" s="8">
        <v>171303</v>
      </c>
      <c r="H43" s="8">
        <f>13720+21260</f>
        <v>34980</v>
      </c>
      <c r="I43" s="8">
        <v>0</v>
      </c>
      <c r="J43" s="8">
        <f t="shared" si="13"/>
        <v>271926</v>
      </c>
      <c r="K43" s="8">
        <f t="shared" si="14"/>
        <v>271926</v>
      </c>
      <c r="L43" s="8">
        <v>8505</v>
      </c>
      <c r="M43" s="8">
        <v>0</v>
      </c>
      <c r="N43" s="8">
        <v>0</v>
      </c>
      <c r="O43" s="8">
        <v>0</v>
      </c>
      <c r="P43" s="8">
        <f t="shared" si="15"/>
        <v>8505</v>
      </c>
      <c r="Q43" s="8">
        <v>15193</v>
      </c>
      <c r="R43" s="8">
        <v>0</v>
      </c>
      <c r="S43" s="8">
        <f t="shared" si="16"/>
        <v>15193</v>
      </c>
      <c r="T43" s="8">
        <v>0</v>
      </c>
      <c r="U43" s="8">
        <v>0</v>
      </c>
      <c r="V43" s="8">
        <v>21000</v>
      </c>
      <c r="W43" s="8">
        <f t="shared" si="17"/>
        <v>21000</v>
      </c>
      <c r="X43" s="8">
        <f t="shared" si="18"/>
        <v>36193</v>
      </c>
      <c r="Y43" s="15">
        <f t="shared" si="9"/>
        <v>316624</v>
      </c>
      <c r="Z43" s="22">
        <f t="shared" si="10"/>
        <v>5.6730000000000003E-2</v>
      </c>
      <c r="AA43" s="22">
        <f t="shared" si="11"/>
        <v>5.6270000000000001E-2</v>
      </c>
      <c r="AB43" s="22">
        <f t="shared" si="12"/>
        <v>6.0539999999999997E-2</v>
      </c>
    </row>
    <row r="44" spans="1:28" x14ac:dyDescent="0.25">
      <c r="A44" s="2">
        <f t="shared" si="0"/>
        <v>44</v>
      </c>
      <c r="B44" s="1" t="s">
        <v>56</v>
      </c>
      <c r="C44" s="8">
        <v>0</v>
      </c>
      <c r="D44" s="8">
        <v>1905</v>
      </c>
      <c r="E44" s="8">
        <v>0</v>
      </c>
      <c r="F44" s="8">
        <v>0</v>
      </c>
      <c r="G44" s="8">
        <v>5275</v>
      </c>
      <c r="H44" s="8">
        <v>1260</v>
      </c>
      <c r="I44" s="8">
        <v>0</v>
      </c>
      <c r="J44" s="8">
        <f t="shared" si="13"/>
        <v>8440</v>
      </c>
      <c r="K44" s="8">
        <f t="shared" si="14"/>
        <v>8440</v>
      </c>
      <c r="L44" s="8">
        <v>0</v>
      </c>
      <c r="M44" s="8">
        <v>0</v>
      </c>
      <c r="N44" s="8">
        <v>0</v>
      </c>
      <c r="O44" s="8">
        <v>0</v>
      </c>
      <c r="P44" s="8">
        <f t="shared" si="15"/>
        <v>0</v>
      </c>
      <c r="Q44" s="8">
        <v>59081</v>
      </c>
      <c r="R44" s="8">
        <v>0</v>
      </c>
      <c r="S44" s="8">
        <f t="shared" si="16"/>
        <v>59081</v>
      </c>
      <c r="T44" s="8">
        <v>0</v>
      </c>
      <c r="U44" s="8">
        <v>0</v>
      </c>
      <c r="V44" s="8">
        <v>0</v>
      </c>
      <c r="W44" s="8">
        <f t="shared" si="17"/>
        <v>0</v>
      </c>
      <c r="X44" s="8">
        <f t="shared" si="18"/>
        <v>59081</v>
      </c>
      <c r="Y44" s="15">
        <f t="shared" si="9"/>
        <v>67521</v>
      </c>
      <c r="Z44" s="22">
        <f t="shared" si="10"/>
        <v>1.21E-2</v>
      </c>
      <c r="AA44" s="22">
        <f t="shared" si="11"/>
        <v>1.6900000000000001E-3</v>
      </c>
      <c r="AB44" s="22">
        <f t="shared" si="12"/>
        <v>9.8830000000000001E-2</v>
      </c>
    </row>
    <row r="45" spans="1:28" x14ac:dyDescent="0.25">
      <c r="A45" s="2">
        <f t="shared" si="0"/>
        <v>45</v>
      </c>
      <c r="B45" s="1" t="s">
        <v>57</v>
      </c>
      <c r="C45" s="8">
        <v>0</v>
      </c>
      <c r="D45" s="8">
        <v>33643</v>
      </c>
      <c r="E45" s="8">
        <v>0</v>
      </c>
      <c r="F45" s="8">
        <v>0</v>
      </c>
      <c r="G45" s="8">
        <v>46542</v>
      </c>
      <c r="H45" s="8">
        <v>34610</v>
      </c>
      <c r="I45" s="8">
        <v>0</v>
      </c>
      <c r="J45" s="8">
        <f t="shared" si="13"/>
        <v>114795</v>
      </c>
      <c r="K45" s="8">
        <f t="shared" si="14"/>
        <v>114795</v>
      </c>
      <c r="L45" s="8">
        <v>3330</v>
      </c>
      <c r="M45" s="8">
        <v>0</v>
      </c>
      <c r="N45" s="8">
        <v>0</v>
      </c>
      <c r="O45" s="8">
        <v>0</v>
      </c>
      <c r="P45" s="8">
        <f t="shared" si="15"/>
        <v>3330</v>
      </c>
      <c r="Q45" s="8">
        <v>10521</v>
      </c>
      <c r="R45" s="8">
        <v>0</v>
      </c>
      <c r="S45" s="8">
        <f t="shared" si="16"/>
        <v>10521</v>
      </c>
      <c r="T45" s="8">
        <v>0</v>
      </c>
      <c r="U45" s="8">
        <f>675+130+60</f>
        <v>865</v>
      </c>
      <c r="V45" s="8">
        <v>0</v>
      </c>
      <c r="W45" s="8">
        <f t="shared" si="17"/>
        <v>865</v>
      </c>
      <c r="X45" s="8">
        <f t="shared" si="18"/>
        <v>11386</v>
      </c>
      <c r="Y45" s="15">
        <f t="shared" si="9"/>
        <v>129511</v>
      </c>
      <c r="Z45" s="22">
        <f t="shared" si="10"/>
        <v>2.3199999999999998E-2</v>
      </c>
      <c r="AA45" s="22">
        <f t="shared" si="11"/>
        <v>2.3699999999999999E-2</v>
      </c>
      <c r="AB45" s="22">
        <f t="shared" si="12"/>
        <v>1.9050000000000001E-2</v>
      </c>
    </row>
    <row r="46" spans="1:28" x14ac:dyDescent="0.25">
      <c r="A46" s="2">
        <f t="shared" si="0"/>
        <v>46</v>
      </c>
      <c r="B46" s="1" t="s">
        <v>58</v>
      </c>
      <c r="C46" s="8">
        <v>0</v>
      </c>
      <c r="D46" s="8">
        <v>23478</v>
      </c>
      <c r="E46" s="8">
        <v>0</v>
      </c>
      <c r="F46" s="8">
        <v>0</v>
      </c>
      <c r="G46" s="8">
        <v>139854</v>
      </c>
      <c r="H46" s="8">
        <f>71560+11820</f>
        <v>83380</v>
      </c>
      <c r="I46" s="8">
        <v>0</v>
      </c>
      <c r="J46" s="8">
        <f t="shared" si="13"/>
        <v>246712</v>
      </c>
      <c r="K46" s="8">
        <f t="shared" si="14"/>
        <v>246712</v>
      </c>
      <c r="L46" s="8">
        <v>2160</v>
      </c>
      <c r="M46" s="8">
        <v>0</v>
      </c>
      <c r="N46" s="8">
        <v>0</v>
      </c>
      <c r="O46" s="8">
        <v>0</v>
      </c>
      <c r="P46" s="8">
        <f t="shared" si="15"/>
        <v>2160</v>
      </c>
      <c r="Q46" s="8">
        <v>82083</v>
      </c>
      <c r="R46" s="8">
        <v>0</v>
      </c>
      <c r="S46" s="8">
        <f t="shared" si="16"/>
        <v>82083</v>
      </c>
      <c r="T46" s="8">
        <v>0</v>
      </c>
      <c r="U46" s="8">
        <v>0</v>
      </c>
      <c r="V46" s="8">
        <v>500</v>
      </c>
      <c r="W46" s="8">
        <f t="shared" si="17"/>
        <v>500</v>
      </c>
      <c r="X46" s="8">
        <f t="shared" si="18"/>
        <v>82583</v>
      </c>
      <c r="Y46" s="15">
        <f t="shared" si="9"/>
        <v>331455</v>
      </c>
      <c r="Z46" s="22">
        <f t="shared" si="10"/>
        <v>5.9389999999999998E-2</v>
      </c>
      <c r="AA46" s="22">
        <f t="shared" si="11"/>
        <v>4.9939999999999998E-2</v>
      </c>
      <c r="AB46" s="22">
        <f t="shared" si="12"/>
        <v>0.13814000000000001</v>
      </c>
    </row>
    <row r="47" spans="1:28" x14ac:dyDescent="0.25">
      <c r="A47" s="2">
        <f t="shared" si="0"/>
        <v>47</v>
      </c>
      <c r="B47" s="1" t="s">
        <v>59</v>
      </c>
      <c r="C47" s="8">
        <v>0</v>
      </c>
      <c r="D47" s="8">
        <v>26060</v>
      </c>
      <c r="E47" s="8">
        <v>0</v>
      </c>
      <c r="F47" s="8">
        <v>0</v>
      </c>
      <c r="G47" s="8">
        <v>76503</v>
      </c>
      <c r="H47" s="8">
        <f>2660+5600</f>
        <v>8260</v>
      </c>
      <c r="I47" s="8">
        <v>0</v>
      </c>
      <c r="J47" s="8">
        <f t="shared" si="13"/>
        <v>110823</v>
      </c>
      <c r="K47" s="8">
        <f t="shared" si="14"/>
        <v>110823</v>
      </c>
      <c r="L47" s="8">
        <v>6912</v>
      </c>
      <c r="M47" s="8">
        <v>0</v>
      </c>
      <c r="N47" s="8">
        <v>0</v>
      </c>
      <c r="O47" s="8">
        <v>0</v>
      </c>
      <c r="P47" s="8">
        <f t="shared" si="15"/>
        <v>6912</v>
      </c>
      <c r="Q47" s="8">
        <v>18165</v>
      </c>
      <c r="R47" s="8">
        <v>0</v>
      </c>
      <c r="S47" s="8">
        <f t="shared" si="16"/>
        <v>18165</v>
      </c>
      <c r="T47" s="8">
        <v>0</v>
      </c>
      <c r="U47" s="8">
        <v>0</v>
      </c>
      <c r="V47" s="8">
        <v>0</v>
      </c>
      <c r="W47" s="8">
        <f t="shared" si="17"/>
        <v>0</v>
      </c>
      <c r="X47" s="8">
        <f t="shared" si="18"/>
        <v>18165</v>
      </c>
      <c r="Y47" s="15">
        <f t="shared" si="9"/>
        <v>135900</v>
      </c>
      <c r="Z47" s="22">
        <f t="shared" si="10"/>
        <v>2.435E-2</v>
      </c>
      <c r="AA47" s="22">
        <f t="shared" si="11"/>
        <v>2.3619999999999999E-2</v>
      </c>
      <c r="AB47" s="22">
        <f t="shared" si="12"/>
        <v>3.039E-2</v>
      </c>
    </row>
    <row r="48" spans="1:28" x14ac:dyDescent="0.25">
      <c r="A48" s="2">
        <f t="shared" si="0"/>
        <v>48</v>
      </c>
      <c r="B48" s="1" t="s">
        <v>60</v>
      </c>
      <c r="C48" s="8">
        <v>0</v>
      </c>
      <c r="D48" s="8">
        <f>10308+2625</f>
        <v>12933</v>
      </c>
      <c r="E48" s="8">
        <v>0</v>
      </c>
      <c r="F48" s="8">
        <v>0</v>
      </c>
      <c r="G48" s="8">
        <v>34282</v>
      </c>
      <c r="H48" s="8">
        <f>11620+1400</f>
        <v>13020</v>
      </c>
      <c r="I48" s="8">
        <v>0</v>
      </c>
      <c r="J48" s="8">
        <f t="shared" si="13"/>
        <v>60235</v>
      </c>
      <c r="K48" s="8">
        <f t="shared" si="14"/>
        <v>60235</v>
      </c>
      <c r="L48" s="8">
        <v>900</v>
      </c>
      <c r="M48" s="8">
        <v>0</v>
      </c>
      <c r="N48" s="8">
        <v>0</v>
      </c>
      <c r="O48" s="8">
        <v>0</v>
      </c>
      <c r="P48" s="8">
        <f t="shared" si="15"/>
        <v>900</v>
      </c>
      <c r="Q48" s="8">
        <v>61880</v>
      </c>
      <c r="R48" s="8">
        <v>0</v>
      </c>
      <c r="S48" s="8">
        <f t="shared" si="16"/>
        <v>61880</v>
      </c>
      <c r="T48" s="8">
        <v>0</v>
      </c>
      <c r="U48" s="8">
        <v>0</v>
      </c>
      <c r="V48" s="8">
        <v>0</v>
      </c>
      <c r="W48" s="8">
        <f t="shared" si="17"/>
        <v>0</v>
      </c>
      <c r="X48" s="8">
        <f t="shared" si="18"/>
        <v>61880</v>
      </c>
      <c r="Y48" s="15">
        <f t="shared" si="9"/>
        <v>123015</v>
      </c>
      <c r="Z48" s="22">
        <f t="shared" si="10"/>
        <v>2.2040000000000001E-2</v>
      </c>
      <c r="AA48" s="22">
        <f t="shared" si="11"/>
        <v>1.227E-2</v>
      </c>
      <c r="AB48" s="22">
        <f t="shared" si="12"/>
        <v>0.10351</v>
      </c>
    </row>
    <row r="49" spans="1:28" x14ac:dyDescent="0.25">
      <c r="A49" s="2">
        <f t="shared" si="0"/>
        <v>49</v>
      </c>
      <c r="B49" s="1" t="s">
        <v>61</v>
      </c>
      <c r="C49" s="8">
        <v>0</v>
      </c>
      <c r="D49" s="8">
        <v>131959</v>
      </c>
      <c r="E49" s="8">
        <v>0</v>
      </c>
      <c r="F49" s="8">
        <v>0</v>
      </c>
      <c r="G49" s="8">
        <v>187254</v>
      </c>
      <c r="H49" s="8">
        <f>42480+25830</f>
        <v>68310</v>
      </c>
      <c r="I49" s="8">
        <v>0</v>
      </c>
      <c r="J49" s="8">
        <f t="shared" si="13"/>
        <v>387523</v>
      </c>
      <c r="K49" s="8">
        <f t="shared" si="14"/>
        <v>387523</v>
      </c>
      <c r="L49" s="8">
        <v>7695</v>
      </c>
      <c r="M49" s="8">
        <v>0</v>
      </c>
      <c r="N49" s="8">
        <v>0</v>
      </c>
      <c r="O49" s="8">
        <v>0</v>
      </c>
      <c r="P49" s="8">
        <f t="shared" si="15"/>
        <v>7695</v>
      </c>
      <c r="Q49" s="8">
        <v>27951</v>
      </c>
      <c r="R49" s="8">
        <v>0</v>
      </c>
      <c r="S49" s="8">
        <f t="shared" si="16"/>
        <v>27951</v>
      </c>
      <c r="T49" s="8">
        <v>0</v>
      </c>
      <c r="U49" s="8">
        <v>0</v>
      </c>
      <c r="V49" s="8">
        <v>6500</v>
      </c>
      <c r="W49" s="8">
        <f t="shared" si="17"/>
        <v>6500</v>
      </c>
      <c r="X49" s="8">
        <f t="shared" si="18"/>
        <v>34451</v>
      </c>
      <c r="Y49" s="15">
        <f t="shared" si="9"/>
        <v>429669</v>
      </c>
      <c r="Z49" s="22">
        <f t="shared" si="10"/>
        <v>7.6980000000000007E-2</v>
      </c>
      <c r="AA49" s="22">
        <f t="shared" si="11"/>
        <v>7.9310000000000005E-2</v>
      </c>
      <c r="AB49" s="22">
        <f t="shared" si="12"/>
        <v>5.7630000000000001E-2</v>
      </c>
    </row>
    <row r="50" spans="1:28" x14ac:dyDescent="0.25">
      <c r="A50" s="2">
        <f t="shared" si="0"/>
        <v>50</v>
      </c>
      <c r="B50" s="1" t="s">
        <v>62</v>
      </c>
      <c r="C50" s="12">
        <v>0</v>
      </c>
      <c r="D50" s="12">
        <f>22418+2085+2625</f>
        <v>27128</v>
      </c>
      <c r="E50" s="12">
        <v>0</v>
      </c>
      <c r="F50" s="12">
        <v>0</v>
      </c>
      <c r="G50" s="12">
        <v>35228</v>
      </c>
      <c r="H50" s="12">
        <f>1400+1530</f>
        <v>2930</v>
      </c>
      <c r="I50" s="12">
        <v>0</v>
      </c>
      <c r="J50" s="12">
        <f t="shared" si="13"/>
        <v>65286</v>
      </c>
      <c r="K50" s="12">
        <f t="shared" si="14"/>
        <v>65286</v>
      </c>
      <c r="L50" s="12">
        <v>1422</v>
      </c>
      <c r="M50" s="12">
        <v>0</v>
      </c>
      <c r="N50" s="12">
        <v>0</v>
      </c>
      <c r="O50" s="12">
        <v>0</v>
      </c>
      <c r="P50" s="12">
        <f t="shared" si="15"/>
        <v>1422</v>
      </c>
      <c r="Q50" s="12">
        <v>102175</v>
      </c>
      <c r="R50" s="12">
        <v>0</v>
      </c>
      <c r="S50" s="12">
        <f t="shared" si="16"/>
        <v>102175</v>
      </c>
      <c r="T50" s="12">
        <v>0</v>
      </c>
      <c r="U50" s="12">
        <v>0</v>
      </c>
      <c r="V50" s="12">
        <v>0</v>
      </c>
      <c r="W50" s="12">
        <f t="shared" si="17"/>
        <v>0</v>
      </c>
      <c r="X50" s="12">
        <f t="shared" si="18"/>
        <v>102175</v>
      </c>
      <c r="Y50" s="12">
        <f t="shared" si="9"/>
        <v>168883</v>
      </c>
      <c r="Z50" s="23">
        <f t="shared" si="10"/>
        <v>3.0259999999999999E-2</v>
      </c>
      <c r="AA50" s="23">
        <f t="shared" si="11"/>
        <v>1.3390000000000001E-2</v>
      </c>
      <c r="AB50" s="23">
        <f t="shared" si="12"/>
        <v>0.17091999999999999</v>
      </c>
    </row>
    <row r="51" spans="1:28" x14ac:dyDescent="0.25">
      <c r="A51" s="2">
        <f t="shared" si="0"/>
        <v>51</v>
      </c>
      <c r="B51" s="1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1"/>
      <c r="Z51" s="20"/>
      <c r="AA51" s="20"/>
      <c r="AB51" s="21"/>
    </row>
    <row r="52" spans="1:28" ht="15.75" thickBot="1" x14ac:dyDescent="0.3">
      <c r="A52" s="2">
        <f t="shared" si="0"/>
        <v>52</v>
      </c>
      <c r="B52" s="1" t="s">
        <v>63</v>
      </c>
      <c r="C52" s="11">
        <f>SUM(C34:C50)</f>
        <v>0</v>
      </c>
      <c r="D52" s="11">
        <f t="shared" ref="D52:Y52" si="19">SUM(D34:D50)</f>
        <v>501991</v>
      </c>
      <c r="E52" s="11">
        <f t="shared" si="19"/>
        <v>0</v>
      </c>
      <c r="F52" s="11">
        <f t="shared" si="19"/>
        <v>0</v>
      </c>
      <c r="G52" s="11">
        <f t="shared" si="19"/>
        <v>937832</v>
      </c>
      <c r="H52" s="11">
        <f t="shared" si="19"/>
        <v>439350</v>
      </c>
      <c r="I52" s="11">
        <f t="shared" si="19"/>
        <v>3051500</v>
      </c>
      <c r="J52" s="11">
        <f t="shared" si="19"/>
        <v>4930673</v>
      </c>
      <c r="K52" s="11">
        <f t="shared" si="19"/>
        <v>4930673</v>
      </c>
      <c r="L52" s="11">
        <f t="shared" si="19"/>
        <v>52821</v>
      </c>
      <c r="M52" s="11">
        <f t="shared" si="19"/>
        <v>0</v>
      </c>
      <c r="N52" s="11">
        <f t="shared" si="19"/>
        <v>0</v>
      </c>
      <c r="O52" s="11">
        <f t="shared" si="19"/>
        <v>0</v>
      </c>
      <c r="P52" s="11">
        <f t="shared" si="19"/>
        <v>52821</v>
      </c>
      <c r="Q52" s="11">
        <f t="shared" si="19"/>
        <v>484565</v>
      </c>
      <c r="R52" s="11">
        <f t="shared" si="19"/>
        <v>6120</v>
      </c>
      <c r="S52" s="11">
        <f t="shared" si="19"/>
        <v>490685</v>
      </c>
      <c r="T52" s="11">
        <f t="shared" si="19"/>
        <v>0</v>
      </c>
      <c r="U52" s="11">
        <f t="shared" si="19"/>
        <v>865</v>
      </c>
      <c r="V52" s="11">
        <f t="shared" si="19"/>
        <v>106250</v>
      </c>
      <c r="W52" s="11">
        <f t="shared" si="19"/>
        <v>107115</v>
      </c>
      <c r="X52" s="11">
        <f t="shared" si="19"/>
        <v>597800</v>
      </c>
      <c r="Y52" s="11">
        <f t="shared" si="19"/>
        <v>5581294</v>
      </c>
      <c r="Z52" s="24">
        <f>SUM(Z34:Z50)</f>
        <v>1</v>
      </c>
      <c r="AA52" s="24">
        <f t="shared" ref="AA52:AB52" si="20">SUM(AA34:AA50)</f>
        <v>0.99999999999999989</v>
      </c>
      <c r="AB52" s="24">
        <f t="shared" si="20"/>
        <v>0.99999999999999989</v>
      </c>
    </row>
    <row r="53" spans="1:28" ht="15.75" thickTop="1" x14ac:dyDescent="0.25">
      <c r="A53" s="2">
        <f t="shared" si="0"/>
        <v>53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8" x14ac:dyDescent="0.25">
      <c r="A54" s="2">
        <f t="shared" si="0"/>
        <v>54</v>
      </c>
      <c r="B54" s="7" t="s">
        <v>65</v>
      </c>
      <c r="C54" s="1" t="s">
        <v>68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8" x14ac:dyDescent="0.25">
      <c r="A55" s="2">
        <f t="shared" si="0"/>
        <v>55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8" x14ac:dyDescent="0.25">
      <c r="A56" s="2">
        <f t="shared" si="0"/>
        <v>56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</sheetData>
  <mergeCells count="7">
    <mergeCell ref="Z6:AB6"/>
    <mergeCell ref="D5:J5"/>
    <mergeCell ref="L5:P5"/>
    <mergeCell ref="C4:K4"/>
    <mergeCell ref="Q5:S5"/>
    <mergeCell ref="T5:W5"/>
    <mergeCell ref="Q4:X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zoomScale="80" zoomScaleNormal="80" workbookViewId="0">
      <selection activeCell="B2" sqref="B2"/>
    </sheetView>
  </sheetViews>
  <sheetFormatPr defaultColWidth="15.7109375" defaultRowHeight="15" x14ac:dyDescent="0.25"/>
  <cols>
    <col min="1" max="1" width="4.7109375" customWidth="1"/>
    <col min="2" max="2" width="20.7109375" customWidth="1"/>
  </cols>
  <sheetData>
    <row r="1" spans="1:28" x14ac:dyDescent="0.25">
      <c r="A1" s="2">
        <v>1</v>
      </c>
      <c r="B1" s="54" t="str">
        <f>Analysis!B1</f>
        <v>PSC DR2 Response 21.xlsx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x14ac:dyDescent="0.25">
      <c r="A2" s="2">
        <f>A1+1</f>
        <v>2</v>
      </c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8" x14ac:dyDescent="0.25">
      <c r="A3" s="2">
        <f t="shared" ref="A3:A56" si="0">A2+1</f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8" ht="15.75" thickBot="1" x14ac:dyDescent="0.3">
      <c r="A4" s="2">
        <f t="shared" si="0"/>
        <v>4</v>
      </c>
      <c r="B4" s="1"/>
      <c r="C4" s="66" t="s">
        <v>1</v>
      </c>
      <c r="D4" s="66"/>
      <c r="E4" s="66"/>
      <c r="F4" s="66"/>
      <c r="G4" s="66"/>
      <c r="H4" s="66"/>
      <c r="I4" s="66"/>
      <c r="J4" s="66"/>
      <c r="K4" s="66"/>
      <c r="L4" s="1"/>
      <c r="M4" s="1"/>
      <c r="N4" s="1"/>
      <c r="O4" s="1"/>
      <c r="P4" s="1"/>
      <c r="Q4" s="67" t="s">
        <v>45</v>
      </c>
      <c r="R4" s="67"/>
      <c r="S4" s="67"/>
      <c r="T4" s="67"/>
      <c r="U4" s="67"/>
      <c r="V4" s="67"/>
      <c r="W4" s="67"/>
      <c r="X4" s="67"/>
      <c r="Y4" s="1"/>
      <c r="Z4" s="1"/>
    </row>
    <row r="5" spans="1:28" x14ac:dyDescent="0.25">
      <c r="A5" s="2">
        <f t="shared" si="0"/>
        <v>5</v>
      </c>
      <c r="B5" s="1"/>
      <c r="C5" s="3" t="s">
        <v>2</v>
      </c>
      <c r="D5" s="60" t="s">
        <v>18</v>
      </c>
      <c r="E5" s="61"/>
      <c r="F5" s="61"/>
      <c r="G5" s="61"/>
      <c r="H5" s="61"/>
      <c r="I5" s="61"/>
      <c r="J5" s="62"/>
      <c r="K5" s="1"/>
      <c r="L5" s="63" t="s">
        <v>28</v>
      </c>
      <c r="M5" s="64"/>
      <c r="N5" s="64"/>
      <c r="O5" s="64"/>
      <c r="P5" s="65"/>
      <c r="Q5" s="60" t="s">
        <v>44</v>
      </c>
      <c r="R5" s="61"/>
      <c r="S5" s="62"/>
      <c r="T5" s="60" t="s">
        <v>43</v>
      </c>
      <c r="U5" s="61"/>
      <c r="V5" s="61"/>
      <c r="W5" s="62"/>
      <c r="X5" s="1"/>
      <c r="Y5" s="1"/>
      <c r="Z5" s="1"/>
    </row>
    <row r="6" spans="1:28" x14ac:dyDescent="0.25">
      <c r="A6" s="2">
        <f t="shared" si="0"/>
        <v>6</v>
      </c>
      <c r="B6" s="13">
        <v>2015</v>
      </c>
      <c r="C6" s="4" t="s">
        <v>9</v>
      </c>
      <c r="D6" s="4"/>
      <c r="E6" s="4"/>
      <c r="F6" s="4" t="s">
        <v>6</v>
      </c>
      <c r="G6" s="4" t="s">
        <v>11</v>
      </c>
      <c r="H6" s="4" t="s">
        <v>14</v>
      </c>
      <c r="I6" s="4" t="s">
        <v>9</v>
      </c>
      <c r="J6" s="4"/>
      <c r="K6" s="4" t="s">
        <v>29</v>
      </c>
      <c r="L6" s="4"/>
      <c r="M6" s="4"/>
      <c r="N6" s="4"/>
      <c r="O6" s="4" t="s">
        <v>25</v>
      </c>
      <c r="P6" s="4" t="s">
        <v>16</v>
      </c>
      <c r="Q6" s="4" t="s">
        <v>31</v>
      </c>
      <c r="R6" s="4"/>
      <c r="S6" s="4" t="s">
        <v>2</v>
      </c>
      <c r="T6" s="4"/>
      <c r="U6" s="4"/>
      <c r="V6" s="4" t="s">
        <v>39</v>
      </c>
      <c r="W6" s="4" t="s">
        <v>17</v>
      </c>
      <c r="X6" s="4" t="s">
        <v>29</v>
      </c>
      <c r="Y6" s="1"/>
      <c r="Z6" s="57" t="s">
        <v>71</v>
      </c>
      <c r="AA6" s="59"/>
      <c r="AB6" s="58"/>
    </row>
    <row r="7" spans="1:28" x14ac:dyDescent="0.25">
      <c r="A7" s="2">
        <f t="shared" si="0"/>
        <v>7</v>
      </c>
      <c r="B7" s="4"/>
      <c r="C7" s="4" t="s">
        <v>10</v>
      </c>
      <c r="D7" s="4"/>
      <c r="E7" s="4"/>
      <c r="F7" s="4" t="s">
        <v>7</v>
      </c>
      <c r="G7" s="4" t="s">
        <v>12</v>
      </c>
      <c r="H7" s="4" t="s">
        <v>15</v>
      </c>
      <c r="I7" s="4" t="s">
        <v>10</v>
      </c>
      <c r="J7" s="4" t="s">
        <v>16</v>
      </c>
      <c r="K7" s="4" t="s">
        <v>19</v>
      </c>
      <c r="L7" s="4" t="s">
        <v>21</v>
      </c>
      <c r="M7" s="4" t="s">
        <v>15</v>
      </c>
      <c r="N7" s="4" t="s">
        <v>24</v>
      </c>
      <c r="O7" s="4" t="s">
        <v>26</v>
      </c>
      <c r="P7" s="4" t="s">
        <v>30</v>
      </c>
      <c r="Q7" s="4" t="s">
        <v>32</v>
      </c>
      <c r="R7" s="4" t="s">
        <v>34</v>
      </c>
      <c r="S7" s="4" t="s">
        <v>42</v>
      </c>
      <c r="T7" s="4" t="s">
        <v>36</v>
      </c>
      <c r="U7" s="4" t="s">
        <v>6</v>
      </c>
      <c r="V7" s="4" t="s">
        <v>40</v>
      </c>
      <c r="W7" s="4" t="s">
        <v>42</v>
      </c>
      <c r="X7" s="4" t="s">
        <v>42</v>
      </c>
      <c r="Y7" s="4" t="s">
        <v>70</v>
      </c>
      <c r="Z7" s="17" t="s">
        <v>70</v>
      </c>
      <c r="AA7" s="17" t="s">
        <v>72</v>
      </c>
      <c r="AB7" s="18" t="s">
        <v>42</v>
      </c>
    </row>
    <row r="8" spans="1:28" ht="15.75" thickBot="1" x14ac:dyDescent="0.3">
      <c r="A8" s="2">
        <f t="shared" si="0"/>
        <v>8</v>
      </c>
      <c r="B8" s="5" t="s">
        <v>46</v>
      </c>
      <c r="C8" s="5" t="s">
        <v>3</v>
      </c>
      <c r="D8" s="5" t="s">
        <v>4</v>
      </c>
      <c r="E8" s="5" t="s">
        <v>5</v>
      </c>
      <c r="F8" s="5" t="s">
        <v>8</v>
      </c>
      <c r="G8" s="5" t="s">
        <v>13</v>
      </c>
      <c r="H8" s="5" t="s">
        <v>8</v>
      </c>
      <c r="I8" s="5" t="s">
        <v>3</v>
      </c>
      <c r="J8" s="5" t="s">
        <v>17</v>
      </c>
      <c r="K8" s="5" t="s">
        <v>20</v>
      </c>
      <c r="L8" s="5" t="s">
        <v>22</v>
      </c>
      <c r="M8" s="5" t="s">
        <v>23</v>
      </c>
      <c r="N8" s="5" t="s">
        <v>22</v>
      </c>
      <c r="O8" s="5" t="s">
        <v>27</v>
      </c>
      <c r="P8" s="5" t="s">
        <v>20</v>
      </c>
      <c r="Q8" s="5" t="s">
        <v>33</v>
      </c>
      <c r="R8" s="5" t="s">
        <v>35</v>
      </c>
      <c r="S8" s="5" t="s">
        <v>20</v>
      </c>
      <c r="T8" s="5" t="s">
        <v>37</v>
      </c>
      <c r="U8" s="5" t="s">
        <v>38</v>
      </c>
      <c r="V8" s="5" t="s">
        <v>41</v>
      </c>
      <c r="W8" s="5" t="s">
        <v>20</v>
      </c>
      <c r="X8" s="5" t="s">
        <v>20</v>
      </c>
      <c r="Y8" s="5" t="s">
        <v>63</v>
      </c>
      <c r="Z8" s="5" t="s">
        <v>63</v>
      </c>
      <c r="AA8" s="5" t="s">
        <v>20</v>
      </c>
      <c r="AB8" s="19" t="s">
        <v>20</v>
      </c>
    </row>
    <row r="9" spans="1:28" x14ac:dyDescent="0.25">
      <c r="A9" s="2">
        <f t="shared" si="0"/>
        <v>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8" x14ac:dyDescent="0.25">
      <c r="A10" s="2">
        <f t="shared" si="0"/>
        <v>10</v>
      </c>
      <c r="B10" s="6" t="s">
        <v>66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8" x14ac:dyDescent="0.25">
      <c r="A11" s="2">
        <f t="shared" si="0"/>
        <v>11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8" x14ac:dyDescent="0.25">
      <c r="A12" s="2">
        <f t="shared" si="0"/>
        <v>12</v>
      </c>
      <c r="B12" s="1" t="s">
        <v>47</v>
      </c>
      <c r="C12" s="2">
        <v>0</v>
      </c>
      <c r="D12" s="2">
        <v>7</v>
      </c>
      <c r="E12" s="2">
        <v>0</v>
      </c>
      <c r="F12" s="2">
        <v>0</v>
      </c>
      <c r="G12" s="2">
        <v>30</v>
      </c>
      <c r="H12" s="2">
        <v>0</v>
      </c>
      <c r="I12" s="2">
        <v>58</v>
      </c>
      <c r="J12" s="2">
        <f>SUM(D12:I12)</f>
        <v>95</v>
      </c>
      <c r="K12" s="2">
        <f>C12+J12</f>
        <v>95</v>
      </c>
      <c r="L12" s="2">
        <v>3750</v>
      </c>
      <c r="M12" s="2">
        <f>4+12</f>
        <v>16</v>
      </c>
      <c r="N12" s="2">
        <v>25</v>
      </c>
      <c r="O12" s="2">
        <v>0</v>
      </c>
      <c r="P12" s="2">
        <f>SUM(L12:O12)</f>
        <v>3791</v>
      </c>
      <c r="Q12" s="2">
        <v>5</v>
      </c>
      <c r="R12" s="2">
        <v>0</v>
      </c>
      <c r="S12" s="2">
        <f>Q12+R12</f>
        <v>5</v>
      </c>
      <c r="T12" s="2">
        <f>9+27</f>
        <v>36</v>
      </c>
      <c r="U12" s="2">
        <f>19+2+30+19+9+40</f>
        <v>119</v>
      </c>
      <c r="V12" s="2">
        <v>0</v>
      </c>
      <c r="W12" s="2">
        <f>T12+U12+V12</f>
        <v>155</v>
      </c>
      <c r="X12" s="2">
        <f>S12+W12</f>
        <v>160</v>
      </c>
      <c r="Y12" s="2">
        <f>K12+P12+X12</f>
        <v>4046</v>
      </c>
      <c r="Z12" s="1"/>
      <c r="AA12" s="1"/>
    </row>
    <row r="13" spans="1:28" x14ac:dyDescent="0.25">
      <c r="A13" s="2">
        <f t="shared" si="0"/>
        <v>13</v>
      </c>
      <c r="B13" s="1" t="s">
        <v>48</v>
      </c>
      <c r="C13" s="2">
        <v>0</v>
      </c>
      <c r="D13" s="2">
        <f>281+1</f>
        <v>282</v>
      </c>
      <c r="E13" s="2">
        <v>0</v>
      </c>
      <c r="F13" s="2">
        <v>1</v>
      </c>
      <c r="G13" s="2">
        <v>53</v>
      </c>
      <c r="H13" s="2">
        <f>143+1</f>
        <v>144</v>
      </c>
      <c r="I13" s="2">
        <v>475</v>
      </c>
      <c r="J13" s="2">
        <f t="shared" ref="J13:J27" si="1">SUM(D13:I13)</f>
        <v>955</v>
      </c>
      <c r="K13" s="2">
        <f t="shared" ref="K13:K27" si="2">C13+J13</f>
        <v>955</v>
      </c>
      <c r="L13" s="2">
        <v>3696</v>
      </c>
      <c r="M13" s="2">
        <f>2+144+3</f>
        <v>149</v>
      </c>
      <c r="N13" s="2">
        <v>205</v>
      </c>
      <c r="O13" s="2">
        <v>0</v>
      </c>
      <c r="P13" s="2">
        <f t="shared" ref="P13:P27" si="3">SUM(L13:O13)</f>
        <v>4050</v>
      </c>
      <c r="Q13" s="2">
        <v>5</v>
      </c>
      <c r="R13" s="2">
        <v>0</v>
      </c>
      <c r="S13" s="2">
        <f t="shared" ref="S13:S27" si="4">Q13+R13</f>
        <v>5</v>
      </c>
      <c r="T13" s="2">
        <f>52+143</f>
        <v>195</v>
      </c>
      <c r="U13" s="2">
        <f>117+25+223+369+16+12+319</f>
        <v>1081</v>
      </c>
      <c r="V13" s="2">
        <v>77</v>
      </c>
      <c r="W13" s="2">
        <f t="shared" ref="W13:W27" si="5">T13+U13+V13</f>
        <v>1353</v>
      </c>
      <c r="X13" s="2">
        <f t="shared" ref="X13:X27" si="6">S13+W13</f>
        <v>1358</v>
      </c>
      <c r="Y13" s="14">
        <f t="shared" ref="Y13:Y27" si="7">K13+P13+X13</f>
        <v>6363</v>
      </c>
      <c r="Z13" s="1"/>
      <c r="AA13" s="1"/>
    </row>
    <row r="14" spans="1:28" x14ac:dyDescent="0.25">
      <c r="A14" s="2">
        <f t="shared" si="0"/>
        <v>14</v>
      </c>
      <c r="B14" s="1" t="s">
        <v>49</v>
      </c>
      <c r="C14" s="2">
        <v>0</v>
      </c>
      <c r="D14" s="2">
        <v>15</v>
      </c>
      <c r="E14" s="2">
        <v>0</v>
      </c>
      <c r="F14" s="2">
        <v>0</v>
      </c>
      <c r="G14" s="2">
        <v>16</v>
      </c>
      <c r="H14" s="2">
        <f>7+3</f>
        <v>10</v>
      </c>
      <c r="I14" s="2">
        <v>67</v>
      </c>
      <c r="J14" s="2">
        <f t="shared" si="1"/>
        <v>108</v>
      </c>
      <c r="K14" s="2">
        <f t="shared" si="2"/>
        <v>108</v>
      </c>
      <c r="L14" s="2">
        <v>3600</v>
      </c>
      <c r="M14" s="2">
        <f>2+49</f>
        <v>51</v>
      </c>
      <c r="N14" s="2">
        <v>53</v>
      </c>
      <c r="O14" s="2">
        <v>0</v>
      </c>
      <c r="P14" s="2">
        <f t="shared" si="3"/>
        <v>3704</v>
      </c>
      <c r="Q14" s="2">
        <v>6</v>
      </c>
      <c r="R14" s="2">
        <v>0</v>
      </c>
      <c r="S14" s="2">
        <f t="shared" si="4"/>
        <v>6</v>
      </c>
      <c r="T14" s="2">
        <f>12+41</f>
        <v>53</v>
      </c>
      <c r="U14" s="2">
        <f>30+3+30+38+8+3+55</f>
        <v>167</v>
      </c>
      <c r="V14" s="2">
        <v>0</v>
      </c>
      <c r="W14" s="2">
        <f t="shared" si="5"/>
        <v>220</v>
      </c>
      <c r="X14" s="2">
        <f t="shared" si="6"/>
        <v>226</v>
      </c>
      <c r="Y14" s="14">
        <f t="shared" si="7"/>
        <v>4038</v>
      </c>
      <c r="Z14" s="1"/>
      <c r="AA14" s="1"/>
    </row>
    <row r="15" spans="1:28" x14ac:dyDescent="0.25">
      <c r="A15" s="2">
        <f t="shared" si="0"/>
        <v>15</v>
      </c>
      <c r="B15" s="1" t="s">
        <v>50</v>
      </c>
      <c r="C15" s="2">
        <v>0</v>
      </c>
      <c r="D15" s="2">
        <v>18</v>
      </c>
      <c r="E15" s="2">
        <v>0</v>
      </c>
      <c r="F15" s="2">
        <v>1</v>
      </c>
      <c r="G15" s="2">
        <v>11</v>
      </c>
      <c r="H15" s="2">
        <v>0</v>
      </c>
      <c r="I15" s="2">
        <v>156</v>
      </c>
      <c r="J15" s="2">
        <f t="shared" si="1"/>
        <v>186</v>
      </c>
      <c r="K15" s="2">
        <f t="shared" si="2"/>
        <v>186</v>
      </c>
      <c r="L15" s="2">
        <v>0</v>
      </c>
      <c r="M15" s="2">
        <v>45</v>
      </c>
      <c r="N15" s="2">
        <v>60</v>
      </c>
      <c r="O15" s="2">
        <v>0</v>
      </c>
      <c r="P15" s="2">
        <f t="shared" si="3"/>
        <v>105</v>
      </c>
      <c r="Q15" s="2">
        <v>4</v>
      </c>
      <c r="R15" s="2">
        <v>0</v>
      </c>
      <c r="S15" s="2">
        <f t="shared" si="4"/>
        <v>4</v>
      </c>
      <c r="T15" s="2">
        <f>5+13</f>
        <v>18</v>
      </c>
      <c r="U15" s="2">
        <f>15+1+8+11+2+1+20</f>
        <v>58</v>
      </c>
      <c r="V15" s="2">
        <v>0</v>
      </c>
      <c r="W15" s="2">
        <f t="shared" si="5"/>
        <v>76</v>
      </c>
      <c r="X15" s="2">
        <f t="shared" si="6"/>
        <v>80</v>
      </c>
      <c r="Y15" s="14">
        <f t="shared" si="7"/>
        <v>371</v>
      </c>
      <c r="Z15" s="1"/>
      <c r="AA15" s="1"/>
    </row>
    <row r="16" spans="1:28" x14ac:dyDescent="0.25">
      <c r="A16" s="2">
        <f t="shared" si="0"/>
        <v>16</v>
      </c>
      <c r="B16" s="1" t="s">
        <v>51</v>
      </c>
      <c r="C16" s="2">
        <v>0</v>
      </c>
      <c r="D16" s="2">
        <v>53</v>
      </c>
      <c r="E16" s="2">
        <v>1</v>
      </c>
      <c r="F16" s="2">
        <v>1</v>
      </c>
      <c r="G16" s="2">
        <v>14</v>
      </c>
      <c r="H16" s="2">
        <v>1</v>
      </c>
      <c r="I16" s="2">
        <v>114</v>
      </c>
      <c r="J16" s="2">
        <f t="shared" si="1"/>
        <v>184</v>
      </c>
      <c r="K16" s="2">
        <f t="shared" si="2"/>
        <v>184</v>
      </c>
      <c r="L16" s="2">
        <v>200</v>
      </c>
      <c r="M16" s="2">
        <f>4+63</f>
        <v>67</v>
      </c>
      <c r="N16" s="2">
        <v>83</v>
      </c>
      <c r="O16" s="2">
        <v>0</v>
      </c>
      <c r="P16" s="2">
        <f t="shared" si="3"/>
        <v>350</v>
      </c>
      <c r="Q16" s="2">
        <v>4</v>
      </c>
      <c r="R16" s="2">
        <v>0</v>
      </c>
      <c r="S16" s="2">
        <f t="shared" si="4"/>
        <v>4</v>
      </c>
      <c r="T16" s="2">
        <f>3+11</f>
        <v>14</v>
      </c>
      <c r="U16" s="2">
        <f>13+4+46+60+6+4+74</f>
        <v>207</v>
      </c>
      <c r="V16" s="2">
        <v>136</v>
      </c>
      <c r="W16" s="2">
        <f t="shared" si="5"/>
        <v>357</v>
      </c>
      <c r="X16" s="2">
        <f t="shared" si="6"/>
        <v>361</v>
      </c>
      <c r="Y16" s="14">
        <f t="shared" si="7"/>
        <v>895</v>
      </c>
      <c r="Z16" s="1"/>
      <c r="AA16" s="1"/>
    </row>
    <row r="17" spans="1:27" x14ac:dyDescent="0.25">
      <c r="A17" s="2">
        <f t="shared" si="0"/>
        <v>17</v>
      </c>
      <c r="B17" s="1" t="s">
        <v>52</v>
      </c>
      <c r="C17" s="2">
        <v>0</v>
      </c>
      <c r="D17" s="2">
        <v>15</v>
      </c>
      <c r="E17" s="2">
        <v>0</v>
      </c>
      <c r="F17" s="2">
        <v>0</v>
      </c>
      <c r="G17" s="2">
        <v>22</v>
      </c>
      <c r="H17" s="2">
        <f>10+6</f>
        <v>16</v>
      </c>
      <c r="I17" s="2">
        <v>752</v>
      </c>
      <c r="J17" s="2">
        <f t="shared" si="1"/>
        <v>805</v>
      </c>
      <c r="K17" s="2">
        <f t="shared" si="2"/>
        <v>805</v>
      </c>
      <c r="L17" s="2">
        <v>1276</v>
      </c>
      <c r="M17" s="2">
        <v>49</v>
      </c>
      <c r="N17" s="2">
        <v>59</v>
      </c>
      <c r="O17" s="2">
        <v>0</v>
      </c>
      <c r="P17" s="2">
        <f t="shared" si="3"/>
        <v>1384</v>
      </c>
      <c r="Q17" s="2">
        <v>4</v>
      </c>
      <c r="R17" s="2">
        <v>0</v>
      </c>
      <c r="S17" s="2">
        <f t="shared" si="4"/>
        <v>4</v>
      </c>
      <c r="T17" s="2">
        <f>15+52</f>
        <v>67</v>
      </c>
      <c r="U17" s="2">
        <f>30+1+44+50+7+8+68</f>
        <v>208</v>
      </c>
      <c r="V17" s="2">
        <v>0</v>
      </c>
      <c r="W17" s="2">
        <f t="shared" si="5"/>
        <v>275</v>
      </c>
      <c r="X17" s="2">
        <f t="shared" si="6"/>
        <v>279</v>
      </c>
      <c r="Y17" s="14">
        <f t="shared" si="7"/>
        <v>2468</v>
      </c>
      <c r="Z17" s="1"/>
      <c r="AA17" s="1"/>
    </row>
    <row r="18" spans="1:27" x14ac:dyDescent="0.25">
      <c r="A18" s="2">
        <f t="shared" si="0"/>
        <v>18</v>
      </c>
      <c r="B18" s="1" t="s">
        <v>53</v>
      </c>
      <c r="C18" s="2">
        <v>0</v>
      </c>
      <c r="D18" s="2">
        <v>28</v>
      </c>
      <c r="E18" s="2">
        <v>0</v>
      </c>
      <c r="F18" s="2">
        <v>1</v>
      </c>
      <c r="G18" s="2">
        <v>28</v>
      </c>
      <c r="H18" s="2">
        <f>1+2</f>
        <v>3</v>
      </c>
      <c r="I18" s="2">
        <v>36</v>
      </c>
      <c r="J18" s="2">
        <f t="shared" si="1"/>
        <v>96</v>
      </c>
      <c r="K18" s="2">
        <f t="shared" si="2"/>
        <v>96</v>
      </c>
      <c r="L18" s="2">
        <v>0</v>
      </c>
      <c r="M18" s="2">
        <f>1+218</f>
        <v>219</v>
      </c>
      <c r="N18" s="2">
        <v>334</v>
      </c>
      <c r="O18" s="2">
        <v>0</v>
      </c>
      <c r="P18" s="2">
        <f t="shared" si="3"/>
        <v>553</v>
      </c>
      <c r="Q18" s="2">
        <v>0</v>
      </c>
      <c r="R18" s="2">
        <v>0</v>
      </c>
      <c r="S18" s="2">
        <f t="shared" si="4"/>
        <v>0</v>
      </c>
      <c r="T18" s="2">
        <f>9+20</f>
        <v>29</v>
      </c>
      <c r="U18" s="2">
        <f>16+2+31+27+8+1+43</f>
        <v>128</v>
      </c>
      <c r="V18" s="2">
        <v>9</v>
      </c>
      <c r="W18" s="2">
        <f t="shared" si="5"/>
        <v>166</v>
      </c>
      <c r="X18" s="2">
        <f t="shared" si="6"/>
        <v>166</v>
      </c>
      <c r="Y18" s="14">
        <f t="shared" si="7"/>
        <v>815</v>
      </c>
      <c r="Z18" s="1"/>
      <c r="AA18" s="1"/>
    </row>
    <row r="19" spans="1:27" x14ac:dyDescent="0.25">
      <c r="A19" s="2">
        <f t="shared" si="0"/>
        <v>19</v>
      </c>
      <c r="B19" s="1" t="s">
        <v>54</v>
      </c>
      <c r="C19" s="2">
        <v>0</v>
      </c>
      <c r="D19" s="2">
        <v>37</v>
      </c>
      <c r="E19" s="2">
        <v>0</v>
      </c>
      <c r="F19" s="2">
        <v>0</v>
      </c>
      <c r="G19" s="2">
        <v>15</v>
      </c>
      <c r="H19" s="2">
        <v>4</v>
      </c>
      <c r="I19" s="2">
        <v>192</v>
      </c>
      <c r="J19" s="2">
        <f t="shared" si="1"/>
        <v>248</v>
      </c>
      <c r="K19" s="2">
        <f t="shared" si="2"/>
        <v>248</v>
      </c>
      <c r="L19" s="2">
        <v>8500</v>
      </c>
      <c r="M19" s="2">
        <v>76</v>
      </c>
      <c r="N19" s="2">
        <f>1+140</f>
        <v>141</v>
      </c>
      <c r="O19" s="2">
        <v>0</v>
      </c>
      <c r="P19" s="2">
        <f t="shared" si="3"/>
        <v>8717</v>
      </c>
      <c r="Q19" s="2">
        <v>5</v>
      </c>
      <c r="R19" s="2">
        <v>0</v>
      </c>
      <c r="S19" s="2">
        <f t="shared" si="4"/>
        <v>5</v>
      </c>
      <c r="T19" s="2">
        <f>18+48</f>
        <v>66</v>
      </c>
      <c r="U19" s="2">
        <f>55+3+94+99+23+2+144</f>
        <v>420</v>
      </c>
      <c r="V19" s="2">
        <v>5</v>
      </c>
      <c r="W19" s="2">
        <f t="shared" si="5"/>
        <v>491</v>
      </c>
      <c r="X19" s="2">
        <f t="shared" si="6"/>
        <v>496</v>
      </c>
      <c r="Y19" s="14">
        <f t="shared" si="7"/>
        <v>9461</v>
      </c>
      <c r="Z19" s="1"/>
      <c r="AA19" s="1"/>
    </row>
    <row r="20" spans="1:27" x14ac:dyDescent="0.25">
      <c r="A20" s="2">
        <f t="shared" si="0"/>
        <v>20</v>
      </c>
      <c r="B20" s="1" t="s">
        <v>55</v>
      </c>
      <c r="C20" s="2">
        <v>0</v>
      </c>
      <c r="D20" s="2">
        <v>124</v>
      </c>
      <c r="E20" s="2">
        <v>0</v>
      </c>
      <c r="F20" s="2">
        <v>0</v>
      </c>
      <c r="G20" s="2">
        <v>158</v>
      </c>
      <c r="H20" s="2">
        <f>7+21</f>
        <v>28</v>
      </c>
      <c r="I20" s="2">
        <v>201</v>
      </c>
      <c r="J20" s="2">
        <f t="shared" si="1"/>
        <v>511</v>
      </c>
      <c r="K20" s="2">
        <f t="shared" si="2"/>
        <v>511</v>
      </c>
      <c r="L20" s="2">
        <v>9750</v>
      </c>
      <c r="M20" s="2">
        <f>2+432</f>
        <v>434</v>
      </c>
      <c r="N20" s="2">
        <v>530</v>
      </c>
      <c r="O20" s="2">
        <v>0</v>
      </c>
      <c r="P20" s="2">
        <f t="shared" si="3"/>
        <v>10714</v>
      </c>
      <c r="Q20" s="2">
        <v>7</v>
      </c>
      <c r="R20" s="2">
        <v>0</v>
      </c>
      <c r="S20" s="2">
        <f t="shared" si="4"/>
        <v>7</v>
      </c>
      <c r="T20" s="2">
        <f>42+119</f>
        <v>161</v>
      </c>
      <c r="U20" s="2">
        <f>41+3+127+119+20+17+180</f>
        <v>507</v>
      </c>
      <c r="V20" s="2">
        <v>22</v>
      </c>
      <c r="W20" s="2">
        <f t="shared" si="5"/>
        <v>690</v>
      </c>
      <c r="X20" s="2">
        <f t="shared" si="6"/>
        <v>697</v>
      </c>
      <c r="Y20" s="14">
        <f t="shared" si="7"/>
        <v>11922</v>
      </c>
      <c r="Z20" s="1"/>
      <c r="AA20" s="1"/>
    </row>
    <row r="21" spans="1:27" x14ac:dyDescent="0.25">
      <c r="A21" s="2">
        <f t="shared" si="0"/>
        <v>21</v>
      </c>
      <c r="B21" s="1" t="s">
        <v>56</v>
      </c>
      <c r="C21" s="2">
        <v>0</v>
      </c>
      <c r="D21" s="2">
        <v>3</v>
      </c>
      <c r="E21" s="2">
        <v>0</v>
      </c>
      <c r="F21" s="2">
        <v>0</v>
      </c>
      <c r="G21" s="2">
        <v>25</v>
      </c>
      <c r="H21" s="2">
        <v>0</v>
      </c>
      <c r="I21" s="2">
        <v>204</v>
      </c>
      <c r="J21" s="2">
        <f t="shared" si="1"/>
        <v>232</v>
      </c>
      <c r="K21" s="2">
        <f t="shared" si="2"/>
        <v>232</v>
      </c>
      <c r="L21" s="2">
        <v>3000</v>
      </c>
      <c r="M21" s="2">
        <v>23</v>
      </c>
      <c r="N21" s="2">
        <v>22</v>
      </c>
      <c r="O21" s="2">
        <v>0</v>
      </c>
      <c r="P21" s="2">
        <f t="shared" si="3"/>
        <v>3045</v>
      </c>
      <c r="Q21" s="2">
        <v>6</v>
      </c>
      <c r="R21" s="2">
        <v>0</v>
      </c>
      <c r="S21" s="2">
        <f t="shared" si="4"/>
        <v>6</v>
      </c>
      <c r="T21" s="2">
        <v>6</v>
      </c>
      <c r="U21" s="2">
        <f>1+21+11+8+34</f>
        <v>75</v>
      </c>
      <c r="V21" s="2">
        <v>0</v>
      </c>
      <c r="W21" s="2">
        <f t="shared" si="5"/>
        <v>81</v>
      </c>
      <c r="X21" s="2">
        <f t="shared" si="6"/>
        <v>87</v>
      </c>
      <c r="Y21" s="14">
        <f t="shared" si="7"/>
        <v>3364</v>
      </c>
      <c r="Z21" s="1"/>
      <c r="AA21" s="1"/>
    </row>
    <row r="22" spans="1:27" x14ac:dyDescent="0.25">
      <c r="A22" s="2">
        <f t="shared" si="0"/>
        <v>22</v>
      </c>
      <c r="B22" s="1" t="s">
        <v>57</v>
      </c>
      <c r="C22" s="2">
        <v>0</v>
      </c>
      <c r="D22" s="2">
        <f>92+1</f>
        <v>93</v>
      </c>
      <c r="E22" s="2">
        <v>0</v>
      </c>
      <c r="F22" s="2">
        <v>1</v>
      </c>
      <c r="G22" s="2">
        <v>42</v>
      </c>
      <c r="H22" s="2">
        <f>1+30</f>
        <v>31</v>
      </c>
      <c r="I22" s="2">
        <v>117</v>
      </c>
      <c r="J22" s="2">
        <f t="shared" si="1"/>
        <v>284</v>
      </c>
      <c r="K22" s="2">
        <f t="shared" si="2"/>
        <v>284</v>
      </c>
      <c r="L22" s="2">
        <v>4000</v>
      </c>
      <c r="M22" s="2">
        <f>8+107</f>
        <v>115</v>
      </c>
      <c r="N22" s="2">
        <f>1300+134</f>
        <v>1434</v>
      </c>
      <c r="O22" s="2">
        <v>0</v>
      </c>
      <c r="P22" s="2">
        <f t="shared" si="3"/>
        <v>5549</v>
      </c>
      <c r="Q22" s="2">
        <v>3</v>
      </c>
      <c r="R22" s="2">
        <v>0</v>
      </c>
      <c r="S22" s="2">
        <f t="shared" si="4"/>
        <v>3</v>
      </c>
      <c r="T22" s="2">
        <f>61+128</f>
        <v>189</v>
      </c>
      <c r="U22" s="2">
        <f>135+14+186+173+20+9+206</f>
        <v>743</v>
      </c>
      <c r="V22" s="2">
        <v>0</v>
      </c>
      <c r="W22" s="2">
        <f t="shared" si="5"/>
        <v>932</v>
      </c>
      <c r="X22" s="2">
        <f t="shared" si="6"/>
        <v>935</v>
      </c>
      <c r="Y22" s="14">
        <f t="shared" si="7"/>
        <v>6768</v>
      </c>
      <c r="Z22" s="1"/>
      <c r="AA22" s="1"/>
    </row>
    <row r="23" spans="1:27" x14ac:dyDescent="0.25">
      <c r="A23" s="2">
        <f t="shared" si="0"/>
        <v>23</v>
      </c>
      <c r="B23" s="1" t="s">
        <v>58</v>
      </c>
      <c r="C23" s="2">
        <v>0</v>
      </c>
      <c r="D23" s="2">
        <f>102+1</f>
        <v>103</v>
      </c>
      <c r="E23" s="2">
        <v>0</v>
      </c>
      <c r="F23" s="2">
        <v>1</v>
      </c>
      <c r="G23" s="2">
        <v>107</v>
      </c>
      <c r="H23" s="2">
        <f>127+7</f>
        <v>134</v>
      </c>
      <c r="I23" s="2">
        <v>229</v>
      </c>
      <c r="J23" s="2">
        <f t="shared" si="1"/>
        <v>574</v>
      </c>
      <c r="K23" s="2">
        <f t="shared" si="2"/>
        <v>574</v>
      </c>
      <c r="L23" s="2">
        <v>1000</v>
      </c>
      <c r="M23" s="2">
        <v>1698</v>
      </c>
      <c r="N23" s="2">
        <v>2137</v>
      </c>
      <c r="O23" s="2">
        <v>0</v>
      </c>
      <c r="P23" s="2">
        <f t="shared" si="3"/>
        <v>4835</v>
      </c>
      <c r="Q23" s="2">
        <v>23</v>
      </c>
      <c r="R23" s="2">
        <v>0</v>
      </c>
      <c r="S23" s="2">
        <f t="shared" si="4"/>
        <v>23</v>
      </c>
      <c r="T23" s="2">
        <f>22+98</f>
        <v>120</v>
      </c>
      <c r="U23" s="2">
        <f>65+60+209+219+22+16+214</f>
        <v>805</v>
      </c>
      <c r="V23" s="2">
        <v>0</v>
      </c>
      <c r="W23" s="2">
        <f t="shared" si="5"/>
        <v>925</v>
      </c>
      <c r="X23" s="2">
        <f t="shared" si="6"/>
        <v>948</v>
      </c>
      <c r="Y23" s="14">
        <f t="shared" si="7"/>
        <v>6357</v>
      </c>
      <c r="Z23" s="1"/>
      <c r="AA23" s="1"/>
    </row>
    <row r="24" spans="1:27" x14ac:dyDescent="0.25">
      <c r="A24" s="2">
        <f t="shared" si="0"/>
        <v>24</v>
      </c>
      <c r="B24" s="1" t="s">
        <v>59</v>
      </c>
      <c r="C24" s="2">
        <v>0</v>
      </c>
      <c r="D24" s="2">
        <v>47</v>
      </c>
      <c r="E24" s="2">
        <v>0</v>
      </c>
      <c r="F24" s="2">
        <v>0</v>
      </c>
      <c r="G24" s="2">
        <v>50</v>
      </c>
      <c r="H24" s="2">
        <f>1+6</f>
        <v>7</v>
      </c>
      <c r="I24" s="2">
        <v>535</v>
      </c>
      <c r="J24" s="2">
        <f t="shared" si="1"/>
        <v>639</v>
      </c>
      <c r="K24" s="2">
        <f t="shared" si="2"/>
        <v>639</v>
      </c>
      <c r="L24" s="2">
        <v>7680</v>
      </c>
      <c r="M24" s="2">
        <f>14+45</f>
        <v>59</v>
      </c>
      <c r="N24" s="2">
        <v>116</v>
      </c>
      <c r="O24" s="2">
        <v>0</v>
      </c>
      <c r="P24" s="2">
        <f t="shared" si="3"/>
        <v>7855</v>
      </c>
      <c r="Q24" s="2">
        <v>12</v>
      </c>
      <c r="R24" s="2">
        <v>0</v>
      </c>
      <c r="S24" s="2">
        <f t="shared" si="4"/>
        <v>12</v>
      </c>
      <c r="T24" s="2">
        <f>33+132</f>
        <v>165</v>
      </c>
      <c r="U24" s="2">
        <f>51+10+161+191+26+8+264</f>
        <v>711</v>
      </c>
      <c r="V24" s="2">
        <v>0</v>
      </c>
      <c r="W24" s="2">
        <f t="shared" si="5"/>
        <v>876</v>
      </c>
      <c r="X24" s="2">
        <f t="shared" si="6"/>
        <v>888</v>
      </c>
      <c r="Y24" s="14">
        <f t="shared" si="7"/>
        <v>9382</v>
      </c>
      <c r="Z24" s="1"/>
      <c r="AA24" s="1"/>
    </row>
    <row r="25" spans="1:27" x14ac:dyDescent="0.25">
      <c r="A25" s="2">
        <f t="shared" si="0"/>
        <v>25</v>
      </c>
      <c r="B25" s="1" t="s">
        <v>60</v>
      </c>
      <c r="C25" s="2">
        <v>0</v>
      </c>
      <c r="D25" s="2">
        <f>23+1</f>
        <v>24</v>
      </c>
      <c r="E25" s="2">
        <v>0</v>
      </c>
      <c r="F25" s="2">
        <v>1</v>
      </c>
      <c r="G25" s="2">
        <v>22</v>
      </c>
      <c r="H25" s="2">
        <f>4+9</f>
        <v>13</v>
      </c>
      <c r="I25" s="2">
        <v>108</v>
      </c>
      <c r="J25" s="2">
        <f t="shared" si="1"/>
        <v>168</v>
      </c>
      <c r="K25" s="2">
        <f t="shared" si="2"/>
        <v>168</v>
      </c>
      <c r="L25" s="2">
        <v>2000</v>
      </c>
      <c r="M25" s="2">
        <f>24+338+13</f>
        <v>375</v>
      </c>
      <c r="N25" s="2">
        <v>434</v>
      </c>
      <c r="O25" s="2">
        <v>0</v>
      </c>
      <c r="P25" s="2">
        <f t="shared" si="3"/>
        <v>2809</v>
      </c>
      <c r="Q25" s="2">
        <v>3</v>
      </c>
      <c r="R25" s="2">
        <v>0</v>
      </c>
      <c r="S25" s="2">
        <f t="shared" si="4"/>
        <v>3</v>
      </c>
      <c r="T25" s="2">
        <f>14+53</f>
        <v>67</v>
      </c>
      <c r="U25" s="2">
        <f>48+6+76+87+12+6+98</f>
        <v>333</v>
      </c>
      <c r="V25" s="2">
        <v>0</v>
      </c>
      <c r="W25" s="2">
        <f t="shared" si="5"/>
        <v>400</v>
      </c>
      <c r="X25" s="2">
        <f t="shared" si="6"/>
        <v>403</v>
      </c>
      <c r="Y25" s="14">
        <f t="shared" si="7"/>
        <v>3380</v>
      </c>
      <c r="Z25" s="1"/>
      <c r="AA25" s="1"/>
    </row>
    <row r="26" spans="1:27" x14ac:dyDescent="0.25">
      <c r="A26" s="2">
        <f t="shared" si="0"/>
        <v>26</v>
      </c>
      <c r="B26" s="1" t="s">
        <v>61</v>
      </c>
      <c r="C26" s="2">
        <v>0</v>
      </c>
      <c r="D26" s="2">
        <v>219</v>
      </c>
      <c r="E26" s="2">
        <v>0</v>
      </c>
      <c r="F26" s="2">
        <v>2</v>
      </c>
      <c r="G26" s="2">
        <v>176</v>
      </c>
      <c r="H26" s="2">
        <f>22+16</f>
        <v>38</v>
      </c>
      <c r="I26" s="2">
        <v>405</v>
      </c>
      <c r="J26" s="2">
        <f t="shared" si="1"/>
        <v>840</v>
      </c>
      <c r="K26" s="2">
        <f t="shared" si="2"/>
        <v>840</v>
      </c>
      <c r="L26" s="2">
        <v>10000</v>
      </c>
      <c r="M26" s="2">
        <v>188</v>
      </c>
      <c r="N26" s="2">
        <v>274</v>
      </c>
      <c r="O26" s="2">
        <v>0</v>
      </c>
      <c r="P26" s="2">
        <f t="shared" si="3"/>
        <v>10462</v>
      </c>
      <c r="Q26" s="2">
        <v>13</v>
      </c>
      <c r="R26" s="2">
        <v>1</v>
      </c>
      <c r="S26" s="2">
        <f t="shared" si="4"/>
        <v>14</v>
      </c>
      <c r="T26" s="2">
        <f>28+53</f>
        <v>81</v>
      </c>
      <c r="U26" s="2">
        <f>177+153+180+37+20+217</f>
        <v>784</v>
      </c>
      <c r="V26" s="2">
        <v>10</v>
      </c>
      <c r="W26" s="2">
        <f t="shared" si="5"/>
        <v>875</v>
      </c>
      <c r="X26" s="2">
        <f t="shared" si="6"/>
        <v>889</v>
      </c>
      <c r="Y26" s="14">
        <f t="shared" si="7"/>
        <v>12191</v>
      </c>
      <c r="Z26" s="1"/>
      <c r="AA26" s="1"/>
    </row>
    <row r="27" spans="1:27" x14ac:dyDescent="0.25">
      <c r="A27" s="2">
        <f t="shared" si="0"/>
        <v>27</v>
      </c>
      <c r="B27" s="1" t="s">
        <v>62</v>
      </c>
      <c r="C27" s="9">
        <v>0</v>
      </c>
      <c r="D27" s="9">
        <v>24</v>
      </c>
      <c r="E27" s="9">
        <v>0</v>
      </c>
      <c r="F27" s="9">
        <v>1</v>
      </c>
      <c r="G27" s="9">
        <v>36</v>
      </c>
      <c r="H27" s="9">
        <v>4</v>
      </c>
      <c r="I27" s="9">
        <v>231</v>
      </c>
      <c r="J27" s="9">
        <f t="shared" si="1"/>
        <v>296</v>
      </c>
      <c r="K27" s="9">
        <f t="shared" si="2"/>
        <v>296</v>
      </c>
      <c r="L27" s="9">
        <v>1500</v>
      </c>
      <c r="M27" s="9">
        <v>0</v>
      </c>
      <c r="N27" s="9">
        <v>0</v>
      </c>
      <c r="O27" s="9">
        <v>0</v>
      </c>
      <c r="P27" s="9">
        <f t="shared" si="3"/>
        <v>1500</v>
      </c>
      <c r="Q27" s="9">
        <v>2</v>
      </c>
      <c r="R27" s="9">
        <v>0</v>
      </c>
      <c r="S27" s="9">
        <f t="shared" si="4"/>
        <v>2</v>
      </c>
      <c r="T27" s="9">
        <f>8+14</f>
        <v>22</v>
      </c>
      <c r="U27" s="9">
        <f>27+3+61+49+10+4+67</f>
        <v>221</v>
      </c>
      <c r="V27" s="9">
        <v>0</v>
      </c>
      <c r="W27" s="9">
        <f t="shared" si="5"/>
        <v>243</v>
      </c>
      <c r="X27" s="9">
        <f t="shared" si="6"/>
        <v>245</v>
      </c>
      <c r="Y27" s="9">
        <f t="shared" si="7"/>
        <v>2041</v>
      </c>
      <c r="Z27" s="1"/>
      <c r="AA27" s="1"/>
    </row>
    <row r="28" spans="1:27" x14ac:dyDescent="0.25">
      <c r="A28" s="2">
        <f t="shared" si="0"/>
        <v>28</v>
      </c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"/>
      <c r="Z28" s="1"/>
      <c r="AA28" s="1"/>
    </row>
    <row r="29" spans="1:27" ht="15.75" thickBot="1" x14ac:dyDescent="0.3">
      <c r="A29" s="2">
        <f t="shared" si="0"/>
        <v>29</v>
      </c>
      <c r="B29" s="1" t="s">
        <v>63</v>
      </c>
      <c r="C29" s="10">
        <f>SUM(C12:C27)</f>
        <v>0</v>
      </c>
      <c r="D29" s="10">
        <f t="shared" ref="D29:Y29" si="8">SUM(D12:D27)</f>
        <v>1092</v>
      </c>
      <c r="E29" s="10">
        <f t="shared" si="8"/>
        <v>1</v>
      </c>
      <c r="F29" s="10">
        <f t="shared" si="8"/>
        <v>10</v>
      </c>
      <c r="G29" s="10">
        <f t="shared" si="8"/>
        <v>805</v>
      </c>
      <c r="H29" s="10">
        <f t="shared" si="8"/>
        <v>433</v>
      </c>
      <c r="I29" s="10">
        <f t="shared" si="8"/>
        <v>3880</v>
      </c>
      <c r="J29" s="10">
        <f t="shared" si="8"/>
        <v>6221</v>
      </c>
      <c r="K29" s="10">
        <f t="shared" si="8"/>
        <v>6221</v>
      </c>
      <c r="L29" s="10">
        <f t="shared" si="8"/>
        <v>59952</v>
      </c>
      <c r="M29" s="10">
        <f t="shared" si="8"/>
        <v>3564</v>
      </c>
      <c r="N29" s="10">
        <f t="shared" si="8"/>
        <v>5907</v>
      </c>
      <c r="O29" s="10">
        <f t="shared" si="8"/>
        <v>0</v>
      </c>
      <c r="P29" s="10">
        <f t="shared" si="8"/>
        <v>69423</v>
      </c>
      <c r="Q29" s="10">
        <f t="shared" si="8"/>
        <v>102</v>
      </c>
      <c r="R29" s="10">
        <f t="shared" si="8"/>
        <v>1</v>
      </c>
      <c r="S29" s="10">
        <f t="shared" si="8"/>
        <v>103</v>
      </c>
      <c r="T29" s="10">
        <f t="shared" si="8"/>
        <v>1289</v>
      </c>
      <c r="U29" s="10">
        <f t="shared" si="8"/>
        <v>6567</v>
      </c>
      <c r="V29" s="10">
        <f t="shared" si="8"/>
        <v>259</v>
      </c>
      <c r="W29" s="10">
        <f t="shared" si="8"/>
        <v>8115</v>
      </c>
      <c r="X29" s="10">
        <f t="shared" si="8"/>
        <v>8218</v>
      </c>
      <c r="Y29" s="10">
        <f t="shared" si="8"/>
        <v>83862</v>
      </c>
      <c r="Z29" s="1"/>
      <c r="AA29" s="1"/>
    </row>
    <row r="30" spans="1:27" ht="15.75" thickTop="1" x14ac:dyDescent="0.25">
      <c r="A30" s="2">
        <f t="shared" si="0"/>
        <v>30</v>
      </c>
      <c r="B30" s="7" t="s">
        <v>65</v>
      </c>
      <c r="C30" s="1" t="s">
        <v>67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5">
      <c r="A31" s="2">
        <f t="shared" si="0"/>
        <v>31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5">
      <c r="A32" s="2">
        <f t="shared" si="0"/>
        <v>32</v>
      </c>
      <c r="B32" s="6" t="s">
        <v>64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8" x14ac:dyDescent="0.25">
      <c r="A33" s="2">
        <f t="shared" si="0"/>
        <v>33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8" x14ac:dyDescent="0.25">
      <c r="A34" s="2">
        <f t="shared" si="0"/>
        <v>34</v>
      </c>
      <c r="B34" s="1" t="s">
        <v>69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2466644</v>
      </c>
      <c r="J34" s="8">
        <f>SUM(D34:I34)</f>
        <v>2466644</v>
      </c>
      <c r="K34" s="8">
        <f>C34+J34</f>
        <v>2466644</v>
      </c>
      <c r="L34" s="8">
        <v>0</v>
      </c>
      <c r="M34" s="8">
        <v>0</v>
      </c>
      <c r="N34" s="8">
        <v>0</v>
      </c>
      <c r="O34" s="8">
        <v>1325639</v>
      </c>
      <c r="P34" s="8">
        <f>SUM(L34:O34)</f>
        <v>1325639</v>
      </c>
      <c r="Q34" s="8">
        <v>0</v>
      </c>
      <c r="R34" s="8">
        <v>0</v>
      </c>
      <c r="S34" s="8">
        <f>Q34+R34</f>
        <v>0</v>
      </c>
      <c r="T34" s="8">
        <v>0</v>
      </c>
      <c r="U34" s="8">
        <v>0</v>
      </c>
      <c r="V34" s="8">
        <v>0</v>
      </c>
      <c r="W34" s="8">
        <f>T34+U34+V34</f>
        <v>0</v>
      </c>
      <c r="X34" s="8">
        <f>S34+W34</f>
        <v>0</v>
      </c>
      <c r="Y34" s="8">
        <f>K34+P34+X34</f>
        <v>3792283</v>
      </c>
      <c r="Z34" s="20">
        <f>ROUND(Y34/Y$52,5)</f>
        <v>0.40476000000000001</v>
      </c>
      <c r="AA34" s="20">
        <f>ROUND((K34+P34)/(K$52+P$52),5)</f>
        <v>0.55720000000000003</v>
      </c>
      <c r="AB34" s="20">
        <f>ROUND(X34/X$52,5)</f>
        <v>0</v>
      </c>
    </row>
    <row r="35" spans="1:28" x14ac:dyDescent="0.25">
      <c r="A35" s="2">
        <f t="shared" si="0"/>
        <v>35</v>
      </c>
      <c r="B35" s="1" t="s">
        <v>47</v>
      </c>
      <c r="C35" s="8">
        <v>0</v>
      </c>
      <c r="D35" s="8">
        <v>4659</v>
      </c>
      <c r="E35" s="8">
        <v>0</v>
      </c>
      <c r="F35" s="8">
        <v>0</v>
      </c>
      <c r="G35" s="8">
        <v>56518</v>
      </c>
      <c r="H35" s="8">
        <v>0</v>
      </c>
      <c r="I35" s="8">
        <v>0</v>
      </c>
      <c r="J35" s="8">
        <f>SUM(D35:I35)</f>
        <v>61177</v>
      </c>
      <c r="K35" s="8">
        <f>C35+J35</f>
        <v>61177</v>
      </c>
      <c r="L35" s="8">
        <v>3375</v>
      </c>
      <c r="M35" s="8">
        <v>0</v>
      </c>
      <c r="N35" s="8">
        <v>0</v>
      </c>
      <c r="O35" s="8">
        <v>0</v>
      </c>
      <c r="P35" s="8">
        <f>SUM(L35:O35)</f>
        <v>3375</v>
      </c>
      <c r="Q35" s="8">
        <v>22529</v>
      </c>
      <c r="R35" s="8">
        <v>0</v>
      </c>
      <c r="S35" s="8">
        <f>Q35+R35</f>
        <v>22529</v>
      </c>
      <c r="T35" s="8">
        <f>1778+6239</f>
        <v>8017</v>
      </c>
      <c r="U35" s="8">
        <f>14850+800+3870+1155+545+4610</f>
        <v>25830</v>
      </c>
      <c r="V35" s="8">
        <v>0</v>
      </c>
      <c r="W35" s="8">
        <f>T35+U35+V35</f>
        <v>33847</v>
      </c>
      <c r="X35" s="8">
        <f>S35+W35</f>
        <v>56376</v>
      </c>
      <c r="Y35" s="8">
        <f>K35+P35+X35</f>
        <v>120928</v>
      </c>
      <c r="Z35" s="22">
        <f t="shared" ref="Z35:Z50" si="9">ROUND(Y35/Y$52,5)</f>
        <v>1.291E-2</v>
      </c>
      <c r="AA35" s="22">
        <f t="shared" ref="AA35:AA50" si="10">ROUND((K35+P35)/(K$52+P$52),5)</f>
        <v>9.4800000000000006E-3</v>
      </c>
      <c r="AB35" s="22">
        <f t="shared" ref="AB35:AB50" si="11">ROUND(X35/X$52,5)</f>
        <v>2.1989999999999999E-2</v>
      </c>
    </row>
    <row r="36" spans="1:28" x14ac:dyDescent="0.25">
      <c r="A36" s="2">
        <f t="shared" si="0"/>
        <v>36</v>
      </c>
      <c r="B36" s="1" t="s">
        <v>48</v>
      </c>
      <c r="C36" s="8">
        <v>0</v>
      </c>
      <c r="D36" s="8">
        <f>162016+2625</f>
        <v>164641</v>
      </c>
      <c r="E36" s="8">
        <v>0</v>
      </c>
      <c r="F36" s="8">
        <v>4300</v>
      </c>
      <c r="G36" s="8">
        <v>102687</v>
      </c>
      <c r="H36" s="8">
        <f>200200+1400</f>
        <v>201600</v>
      </c>
      <c r="I36" s="8">
        <v>0</v>
      </c>
      <c r="J36" s="8">
        <f t="shared" ref="J36:J50" si="12">SUM(D36:I36)</f>
        <v>473228</v>
      </c>
      <c r="K36" s="8">
        <f t="shared" ref="K36:K50" si="13">C36+J36</f>
        <v>473228</v>
      </c>
      <c r="L36" s="8">
        <v>3326</v>
      </c>
      <c r="M36" s="8">
        <v>0</v>
      </c>
      <c r="N36" s="8">
        <v>0</v>
      </c>
      <c r="O36" s="8">
        <v>0</v>
      </c>
      <c r="P36" s="8">
        <f t="shared" ref="P36:P50" si="14">SUM(L36:O36)</f>
        <v>3326</v>
      </c>
      <c r="Q36" s="8">
        <v>61338</v>
      </c>
      <c r="R36" s="8">
        <v>0</v>
      </c>
      <c r="S36" s="8">
        <f t="shared" ref="S36:S50" si="15">Q36+R36</f>
        <v>61338</v>
      </c>
      <c r="T36" s="8">
        <f>10665+34210</f>
        <v>44875</v>
      </c>
      <c r="U36" s="8">
        <f>92965+10810+29405+23220+940+7815+35800</f>
        <v>200955</v>
      </c>
      <c r="V36" s="8">
        <v>38500</v>
      </c>
      <c r="W36" s="8">
        <f t="shared" ref="W36:W50" si="16">T36+U36+V36</f>
        <v>284330</v>
      </c>
      <c r="X36" s="8">
        <f t="shared" ref="X36:X50" si="17">S36+W36</f>
        <v>345668</v>
      </c>
      <c r="Y36" s="15">
        <f t="shared" ref="Y36:Y50" si="18">K36+P36+X36</f>
        <v>822222</v>
      </c>
      <c r="Z36" s="22">
        <f t="shared" si="9"/>
        <v>8.7760000000000005E-2</v>
      </c>
      <c r="AA36" s="22">
        <f t="shared" si="10"/>
        <v>7.0019999999999999E-2</v>
      </c>
      <c r="AB36" s="22">
        <f t="shared" si="11"/>
        <v>0.13486000000000001</v>
      </c>
    </row>
    <row r="37" spans="1:28" x14ac:dyDescent="0.25">
      <c r="A37" s="2">
        <f t="shared" si="0"/>
        <v>37</v>
      </c>
      <c r="B37" s="1" t="s">
        <v>49</v>
      </c>
      <c r="C37" s="8">
        <v>0</v>
      </c>
      <c r="D37" s="8">
        <v>8473</v>
      </c>
      <c r="E37" s="8">
        <v>0</v>
      </c>
      <c r="F37" s="8">
        <v>0</v>
      </c>
      <c r="G37" s="8">
        <v>32944</v>
      </c>
      <c r="H37" s="8">
        <f>9800+4200</f>
        <v>14000</v>
      </c>
      <c r="I37" s="8">
        <v>0</v>
      </c>
      <c r="J37" s="8">
        <f t="shared" si="12"/>
        <v>55417</v>
      </c>
      <c r="K37" s="8">
        <f t="shared" si="13"/>
        <v>55417</v>
      </c>
      <c r="L37" s="8">
        <v>3240</v>
      </c>
      <c r="M37" s="8">
        <v>0</v>
      </c>
      <c r="N37" s="8">
        <v>0</v>
      </c>
      <c r="O37" s="8">
        <v>0</v>
      </c>
      <c r="P37" s="8">
        <f t="shared" si="14"/>
        <v>3240</v>
      </c>
      <c r="Q37" s="8">
        <v>50321</v>
      </c>
      <c r="R37" s="8">
        <v>0</v>
      </c>
      <c r="S37" s="8">
        <f t="shared" si="15"/>
        <v>50321</v>
      </c>
      <c r="T37" s="8">
        <f>1878+9585</f>
        <v>11463</v>
      </c>
      <c r="U37" s="8">
        <f>21610+1200+3840+2480+480+2055+6175</f>
        <v>37840</v>
      </c>
      <c r="V37" s="8">
        <v>0</v>
      </c>
      <c r="W37" s="8">
        <f t="shared" si="16"/>
        <v>49303</v>
      </c>
      <c r="X37" s="8">
        <f t="shared" si="17"/>
        <v>99624</v>
      </c>
      <c r="Y37" s="15">
        <f t="shared" si="18"/>
        <v>158281</v>
      </c>
      <c r="Z37" s="22">
        <f t="shared" si="9"/>
        <v>1.6889999999999999E-2</v>
      </c>
      <c r="AA37" s="22">
        <f t="shared" si="10"/>
        <v>8.6199999999999992E-3</v>
      </c>
      <c r="AB37" s="22">
        <f t="shared" si="11"/>
        <v>3.8870000000000002E-2</v>
      </c>
    </row>
    <row r="38" spans="1:28" x14ac:dyDescent="0.25">
      <c r="A38" s="2">
        <f t="shared" si="0"/>
        <v>38</v>
      </c>
      <c r="B38" s="1" t="s">
        <v>50</v>
      </c>
      <c r="C38" s="8">
        <v>0</v>
      </c>
      <c r="D38" s="8">
        <v>13106</v>
      </c>
      <c r="E38" s="8">
        <v>0</v>
      </c>
      <c r="F38" s="8">
        <v>4300</v>
      </c>
      <c r="G38" s="8">
        <v>21195</v>
      </c>
      <c r="H38" s="8">
        <v>0</v>
      </c>
      <c r="I38" s="8">
        <v>0</v>
      </c>
      <c r="J38" s="8">
        <f t="shared" si="12"/>
        <v>38601</v>
      </c>
      <c r="K38" s="8">
        <f t="shared" si="13"/>
        <v>38601</v>
      </c>
      <c r="L38" s="8">
        <v>0</v>
      </c>
      <c r="M38" s="8">
        <v>0</v>
      </c>
      <c r="N38" s="8">
        <v>0</v>
      </c>
      <c r="O38" s="8">
        <v>0</v>
      </c>
      <c r="P38" s="8">
        <f t="shared" si="14"/>
        <v>0</v>
      </c>
      <c r="Q38" s="8">
        <v>47274</v>
      </c>
      <c r="R38" s="8">
        <v>0</v>
      </c>
      <c r="S38" s="8">
        <f t="shared" si="15"/>
        <v>47274</v>
      </c>
      <c r="T38" s="8">
        <f>773+3266</f>
        <v>4039</v>
      </c>
      <c r="U38" s="8">
        <f>10800+400+985+590+120+685+2425</f>
        <v>16005</v>
      </c>
      <c r="V38" s="8">
        <v>0</v>
      </c>
      <c r="W38" s="8">
        <f t="shared" si="16"/>
        <v>20044</v>
      </c>
      <c r="X38" s="8">
        <f t="shared" si="17"/>
        <v>67318</v>
      </c>
      <c r="Y38" s="15">
        <f t="shared" si="18"/>
        <v>105919</v>
      </c>
      <c r="Z38" s="22">
        <f t="shared" si="9"/>
        <v>1.1310000000000001E-2</v>
      </c>
      <c r="AA38" s="22">
        <f t="shared" si="10"/>
        <v>5.6699999999999997E-3</v>
      </c>
      <c r="AB38" s="22">
        <f t="shared" si="11"/>
        <v>2.6259999999999999E-2</v>
      </c>
    </row>
    <row r="39" spans="1:28" x14ac:dyDescent="0.25">
      <c r="A39" s="2">
        <f t="shared" si="0"/>
        <v>39</v>
      </c>
      <c r="B39" s="1" t="s">
        <v>51</v>
      </c>
      <c r="C39" s="8">
        <v>0</v>
      </c>
      <c r="D39" s="8">
        <v>71969</v>
      </c>
      <c r="E39" s="8">
        <v>1700</v>
      </c>
      <c r="F39" s="8">
        <v>4300</v>
      </c>
      <c r="G39" s="8">
        <v>29334</v>
      </c>
      <c r="H39" s="8">
        <v>1400</v>
      </c>
      <c r="I39" s="8">
        <v>0</v>
      </c>
      <c r="J39" s="8">
        <f t="shared" si="12"/>
        <v>108703</v>
      </c>
      <c r="K39" s="8">
        <f t="shared" si="13"/>
        <v>108703</v>
      </c>
      <c r="L39" s="8">
        <v>0</v>
      </c>
      <c r="M39" s="8">
        <v>0</v>
      </c>
      <c r="N39" s="8">
        <v>0</v>
      </c>
      <c r="O39" s="8">
        <v>0</v>
      </c>
      <c r="P39" s="8">
        <f t="shared" si="14"/>
        <v>0</v>
      </c>
      <c r="Q39" s="8">
        <v>28735</v>
      </c>
      <c r="R39" s="8">
        <v>0</v>
      </c>
      <c r="S39" s="8">
        <f t="shared" si="15"/>
        <v>28735</v>
      </c>
      <c r="T39" s="8">
        <f>665+2433</f>
        <v>3098</v>
      </c>
      <c r="U39" s="8">
        <f>9450+1600+5960+3715+360+2740+8530</f>
        <v>32355</v>
      </c>
      <c r="V39" s="8">
        <v>68000</v>
      </c>
      <c r="W39" s="8">
        <f t="shared" si="16"/>
        <v>103453</v>
      </c>
      <c r="X39" s="8">
        <f t="shared" si="17"/>
        <v>132188</v>
      </c>
      <c r="Y39" s="15">
        <f t="shared" si="18"/>
        <v>240891</v>
      </c>
      <c r="Z39" s="22">
        <f t="shared" si="9"/>
        <v>2.571E-2</v>
      </c>
      <c r="AA39" s="22">
        <f t="shared" si="10"/>
        <v>1.5970000000000002E-2</v>
      </c>
      <c r="AB39" s="22">
        <f t="shared" si="11"/>
        <v>5.1569999999999998E-2</v>
      </c>
    </row>
    <row r="40" spans="1:28" x14ac:dyDescent="0.25">
      <c r="A40" s="2">
        <f t="shared" si="0"/>
        <v>40</v>
      </c>
      <c r="B40" s="1" t="s">
        <v>52</v>
      </c>
      <c r="C40" s="8">
        <v>0</v>
      </c>
      <c r="D40" s="8">
        <v>12099</v>
      </c>
      <c r="E40" s="8">
        <v>0</v>
      </c>
      <c r="F40" s="8">
        <v>0</v>
      </c>
      <c r="G40" s="8">
        <v>44038</v>
      </c>
      <c r="H40" s="8">
        <f>14000+8400</f>
        <v>22400</v>
      </c>
      <c r="I40" s="8">
        <v>0</v>
      </c>
      <c r="J40" s="8">
        <f t="shared" si="12"/>
        <v>78537</v>
      </c>
      <c r="K40" s="8">
        <f t="shared" si="13"/>
        <v>78537</v>
      </c>
      <c r="L40" s="8">
        <v>1148</v>
      </c>
      <c r="M40" s="8">
        <v>0</v>
      </c>
      <c r="N40" s="8">
        <v>0</v>
      </c>
      <c r="O40" s="8">
        <v>0</v>
      </c>
      <c r="P40" s="8">
        <f t="shared" si="14"/>
        <v>1148</v>
      </c>
      <c r="Q40" s="8">
        <v>13674</v>
      </c>
      <c r="R40" s="8">
        <v>0</v>
      </c>
      <c r="S40" s="8">
        <f t="shared" si="15"/>
        <v>13674</v>
      </c>
      <c r="T40" s="8">
        <f>3368+11785</f>
        <v>15153</v>
      </c>
      <c r="U40" s="8">
        <f>19205+400+5495+2980+435+3170+12195</f>
        <v>43880</v>
      </c>
      <c r="V40" s="8">
        <v>0</v>
      </c>
      <c r="W40" s="8">
        <f t="shared" si="16"/>
        <v>59033</v>
      </c>
      <c r="X40" s="8">
        <f t="shared" si="17"/>
        <v>72707</v>
      </c>
      <c r="Y40" s="15">
        <f t="shared" si="18"/>
        <v>152392</v>
      </c>
      <c r="Z40" s="22">
        <f t="shared" si="9"/>
        <v>1.627E-2</v>
      </c>
      <c r="AA40" s="22">
        <f t="shared" si="10"/>
        <v>1.171E-2</v>
      </c>
      <c r="AB40" s="22">
        <f t="shared" si="11"/>
        <v>2.8369999999999999E-2</v>
      </c>
    </row>
    <row r="41" spans="1:28" x14ac:dyDescent="0.25">
      <c r="A41" s="2">
        <f t="shared" si="0"/>
        <v>41</v>
      </c>
      <c r="B41" s="1" t="s">
        <v>53</v>
      </c>
      <c r="C41" s="8">
        <v>0</v>
      </c>
      <c r="D41" s="8">
        <v>20451</v>
      </c>
      <c r="E41" s="8">
        <v>0</v>
      </c>
      <c r="F41" s="8">
        <v>4300</v>
      </c>
      <c r="G41" s="8">
        <v>54900</v>
      </c>
      <c r="H41" s="8">
        <f>1400+2800</f>
        <v>4200</v>
      </c>
      <c r="I41" s="8">
        <v>0</v>
      </c>
      <c r="J41" s="8">
        <f t="shared" si="12"/>
        <v>83851</v>
      </c>
      <c r="K41" s="8">
        <f t="shared" si="13"/>
        <v>83851</v>
      </c>
      <c r="L41" s="8">
        <v>0</v>
      </c>
      <c r="M41" s="8">
        <v>0</v>
      </c>
      <c r="N41" s="8">
        <v>0</v>
      </c>
      <c r="O41" s="8">
        <v>0</v>
      </c>
      <c r="P41" s="8">
        <f t="shared" si="14"/>
        <v>0</v>
      </c>
      <c r="Q41" s="8">
        <v>0</v>
      </c>
      <c r="R41" s="8">
        <v>0</v>
      </c>
      <c r="S41" s="8">
        <f t="shared" si="15"/>
        <v>0</v>
      </c>
      <c r="T41" s="8">
        <f>1818+4952</f>
        <v>6770</v>
      </c>
      <c r="U41" s="8">
        <f>11475+800+4130+1680+470+685+4795</f>
        <v>24035</v>
      </c>
      <c r="V41" s="8">
        <v>4500</v>
      </c>
      <c r="W41" s="8">
        <f t="shared" si="16"/>
        <v>35305</v>
      </c>
      <c r="X41" s="8">
        <f t="shared" si="17"/>
        <v>35305</v>
      </c>
      <c r="Y41" s="15">
        <f t="shared" si="18"/>
        <v>119156</v>
      </c>
      <c r="Z41" s="22">
        <f t="shared" si="9"/>
        <v>1.272E-2</v>
      </c>
      <c r="AA41" s="22">
        <f t="shared" si="10"/>
        <v>1.2319999999999999E-2</v>
      </c>
      <c r="AB41" s="22">
        <f t="shared" si="11"/>
        <v>1.3769999999999999E-2</v>
      </c>
    </row>
    <row r="42" spans="1:28" x14ac:dyDescent="0.25">
      <c r="A42" s="2">
        <f t="shared" si="0"/>
        <v>42</v>
      </c>
      <c r="B42" s="1" t="s">
        <v>54</v>
      </c>
      <c r="C42" s="8">
        <v>0</v>
      </c>
      <c r="D42" s="8">
        <v>25297</v>
      </c>
      <c r="E42" s="8">
        <v>0</v>
      </c>
      <c r="F42" s="8">
        <v>0</v>
      </c>
      <c r="G42" s="8">
        <v>29271</v>
      </c>
      <c r="H42" s="8">
        <v>5600</v>
      </c>
      <c r="I42" s="8">
        <v>0</v>
      </c>
      <c r="J42" s="8">
        <f t="shared" si="12"/>
        <v>60168</v>
      </c>
      <c r="K42" s="8">
        <f t="shared" si="13"/>
        <v>60168</v>
      </c>
      <c r="L42" s="8">
        <v>7650</v>
      </c>
      <c r="M42" s="8">
        <v>0</v>
      </c>
      <c r="N42" s="8">
        <v>0</v>
      </c>
      <c r="O42" s="8">
        <v>0</v>
      </c>
      <c r="P42" s="8">
        <f t="shared" si="14"/>
        <v>7650</v>
      </c>
      <c r="Q42" s="8">
        <v>49733</v>
      </c>
      <c r="R42" s="8">
        <v>0</v>
      </c>
      <c r="S42" s="8">
        <f t="shared" si="15"/>
        <v>49733</v>
      </c>
      <c r="T42" s="8">
        <f>3605+10962</f>
        <v>14567</v>
      </c>
      <c r="U42" s="8">
        <f>39875+1200+11810+6015+1455+1370+16770</f>
        <v>78495</v>
      </c>
      <c r="V42" s="8">
        <v>2500</v>
      </c>
      <c r="W42" s="8">
        <f t="shared" si="16"/>
        <v>95562</v>
      </c>
      <c r="X42" s="8">
        <f t="shared" si="17"/>
        <v>145295</v>
      </c>
      <c r="Y42" s="15">
        <f t="shared" si="18"/>
        <v>213113</v>
      </c>
      <c r="Z42" s="22">
        <f t="shared" si="9"/>
        <v>2.2749999999999999E-2</v>
      </c>
      <c r="AA42" s="22">
        <f t="shared" si="10"/>
        <v>9.9600000000000001E-3</v>
      </c>
      <c r="AB42" s="22">
        <f t="shared" si="11"/>
        <v>5.6689999999999997E-2</v>
      </c>
    </row>
    <row r="43" spans="1:28" x14ac:dyDescent="0.25">
      <c r="A43" s="2">
        <f t="shared" si="0"/>
        <v>43</v>
      </c>
      <c r="B43" s="1" t="s">
        <v>55</v>
      </c>
      <c r="C43" s="8">
        <v>0</v>
      </c>
      <c r="D43" s="8">
        <v>81681</v>
      </c>
      <c r="E43" s="8">
        <v>0</v>
      </c>
      <c r="F43" s="8">
        <v>0</v>
      </c>
      <c r="G43" s="8">
        <v>321814</v>
      </c>
      <c r="H43" s="8">
        <f>9800+29400</f>
        <v>39200</v>
      </c>
      <c r="I43" s="8">
        <v>0</v>
      </c>
      <c r="J43" s="8">
        <f t="shared" si="12"/>
        <v>442695</v>
      </c>
      <c r="K43" s="8">
        <f t="shared" si="13"/>
        <v>442695</v>
      </c>
      <c r="L43" s="8">
        <v>8775</v>
      </c>
      <c r="M43" s="8">
        <v>0</v>
      </c>
      <c r="N43" s="8">
        <v>0</v>
      </c>
      <c r="O43" s="8">
        <v>0</v>
      </c>
      <c r="P43" s="8">
        <f t="shared" si="14"/>
        <v>8775</v>
      </c>
      <c r="Q43" s="8">
        <v>45393</v>
      </c>
      <c r="R43" s="8">
        <v>0</v>
      </c>
      <c r="S43" s="8">
        <f t="shared" si="15"/>
        <v>45393</v>
      </c>
      <c r="T43" s="8">
        <f>9130+28681</f>
        <v>37811</v>
      </c>
      <c r="U43" s="8">
        <f>29680+1610+15960+7580+1270+7080+23005</f>
        <v>86185</v>
      </c>
      <c r="V43" s="8">
        <v>14000</v>
      </c>
      <c r="W43" s="8">
        <f t="shared" si="16"/>
        <v>137996</v>
      </c>
      <c r="X43" s="8">
        <f t="shared" si="17"/>
        <v>183389</v>
      </c>
      <c r="Y43" s="15">
        <f t="shared" si="18"/>
        <v>634859</v>
      </c>
      <c r="Z43" s="22">
        <f t="shared" si="9"/>
        <v>6.7760000000000001E-2</v>
      </c>
      <c r="AA43" s="22">
        <f t="shared" si="10"/>
        <v>6.633E-2</v>
      </c>
      <c r="AB43" s="22">
        <f t="shared" si="11"/>
        <v>7.1550000000000002E-2</v>
      </c>
    </row>
    <row r="44" spans="1:28" x14ac:dyDescent="0.25">
      <c r="A44" s="2">
        <f t="shared" si="0"/>
        <v>44</v>
      </c>
      <c r="B44" s="1" t="s">
        <v>56</v>
      </c>
      <c r="C44" s="8">
        <v>0</v>
      </c>
      <c r="D44" s="8">
        <v>2309</v>
      </c>
      <c r="E44" s="8">
        <v>0</v>
      </c>
      <c r="F44" s="8">
        <v>0</v>
      </c>
      <c r="G44" s="8">
        <v>50402</v>
      </c>
      <c r="H44" s="8">
        <v>0</v>
      </c>
      <c r="I44" s="8">
        <v>0</v>
      </c>
      <c r="J44" s="8">
        <f t="shared" si="12"/>
        <v>52711</v>
      </c>
      <c r="K44" s="8">
        <f t="shared" si="13"/>
        <v>52711</v>
      </c>
      <c r="L44" s="8">
        <v>2700</v>
      </c>
      <c r="M44" s="8">
        <v>0</v>
      </c>
      <c r="N44" s="8">
        <v>0</v>
      </c>
      <c r="O44" s="8">
        <v>0</v>
      </c>
      <c r="P44" s="8">
        <f t="shared" si="14"/>
        <v>2700</v>
      </c>
      <c r="Q44" s="8">
        <v>11428</v>
      </c>
      <c r="R44" s="8">
        <v>0</v>
      </c>
      <c r="S44" s="8">
        <f t="shared" si="15"/>
        <v>11428</v>
      </c>
      <c r="T44" s="8">
        <v>1326</v>
      </c>
      <c r="U44" s="8">
        <f>675+2745+650+495+3890</f>
        <v>8455</v>
      </c>
      <c r="V44" s="8">
        <v>0</v>
      </c>
      <c r="W44" s="8">
        <f t="shared" si="16"/>
        <v>9781</v>
      </c>
      <c r="X44" s="8">
        <f t="shared" si="17"/>
        <v>21209</v>
      </c>
      <c r="Y44" s="15">
        <f t="shared" si="18"/>
        <v>76620</v>
      </c>
      <c r="Z44" s="22">
        <f t="shared" si="9"/>
        <v>8.1799999999999998E-3</v>
      </c>
      <c r="AA44" s="22">
        <f t="shared" si="10"/>
        <v>8.1399999999999997E-3</v>
      </c>
      <c r="AB44" s="22">
        <f t="shared" si="11"/>
        <v>8.2699999999999996E-3</v>
      </c>
    </row>
    <row r="45" spans="1:28" x14ac:dyDescent="0.25">
      <c r="A45" s="2">
        <f t="shared" si="0"/>
        <v>45</v>
      </c>
      <c r="B45" s="1" t="s">
        <v>57</v>
      </c>
      <c r="C45" s="8">
        <v>0</v>
      </c>
      <c r="D45" s="8">
        <f>49836+2625</f>
        <v>52461</v>
      </c>
      <c r="E45" s="8">
        <v>0</v>
      </c>
      <c r="F45" s="8">
        <v>4300</v>
      </c>
      <c r="G45" s="8">
        <v>86411</v>
      </c>
      <c r="H45" s="8">
        <f>1400+42000</f>
        <v>43400</v>
      </c>
      <c r="I45" s="8">
        <v>0</v>
      </c>
      <c r="J45" s="8">
        <f t="shared" si="12"/>
        <v>186572</v>
      </c>
      <c r="K45" s="8">
        <f t="shared" si="13"/>
        <v>186572</v>
      </c>
      <c r="L45" s="8">
        <v>3600</v>
      </c>
      <c r="M45" s="8">
        <v>0</v>
      </c>
      <c r="N45" s="8">
        <v>1170</v>
      </c>
      <c r="O45" s="8">
        <v>0</v>
      </c>
      <c r="P45" s="8">
        <f t="shared" si="14"/>
        <v>4770</v>
      </c>
      <c r="Q45" s="8">
        <v>49995</v>
      </c>
      <c r="R45" s="8">
        <v>0</v>
      </c>
      <c r="S45" s="8">
        <f t="shared" si="15"/>
        <v>49995</v>
      </c>
      <c r="T45" s="8">
        <f>12757+28751</f>
        <v>41508</v>
      </c>
      <c r="U45" s="8">
        <f>97560+6260+24630+10065+1140+4240+39080</f>
        <v>182975</v>
      </c>
      <c r="V45" s="8">
        <v>0</v>
      </c>
      <c r="W45" s="8">
        <f t="shared" si="16"/>
        <v>224483</v>
      </c>
      <c r="X45" s="8">
        <f t="shared" si="17"/>
        <v>274478</v>
      </c>
      <c r="Y45" s="15">
        <f t="shared" si="18"/>
        <v>465820</v>
      </c>
      <c r="Z45" s="22">
        <f t="shared" si="9"/>
        <v>4.972E-2</v>
      </c>
      <c r="AA45" s="22">
        <f t="shared" si="10"/>
        <v>2.811E-2</v>
      </c>
      <c r="AB45" s="22">
        <f t="shared" si="11"/>
        <v>0.10707999999999999</v>
      </c>
    </row>
    <row r="46" spans="1:28" x14ac:dyDescent="0.25">
      <c r="A46" s="2">
        <f t="shared" si="0"/>
        <v>46</v>
      </c>
      <c r="B46" s="1" t="s">
        <v>58</v>
      </c>
      <c r="C46" s="8">
        <v>0</v>
      </c>
      <c r="D46" s="8">
        <f>30350+2085</f>
        <v>32435</v>
      </c>
      <c r="E46" s="8">
        <v>0</v>
      </c>
      <c r="F46" s="8">
        <v>4300</v>
      </c>
      <c r="G46" s="8">
        <v>181321</v>
      </c>
      <c r="H46" s="8">
        <f>177800+9800</f>
        <v>187600</v>
      </c>
      <c r="I46" s="8">
        <v>0</v>
      </c>
      <c r="J46" s="8">
        <f t="shared" si="12"/>
        <v>405656</v>
      </c>
      <c r="K46" s="8">
        <f t="shared" si="13"/>
        <v>405656</v>
      </c>
      <c r="L46" s="8">
        <v>900</v>
      </c>
      <c r="M46" s="8">
        <v>0</v>
      </c>
      <c r="N46" s="8">
        <v>0</v>
      </c>
      <c r="O46" s="8">
        <v>0</v>
      </c>
      <c r="P46" s="8">
        <f t="shared" si="14"/>
        <v>900</v>
      </c>
      <c r="Q46" s="8">
        <v>172172</v>
      </c>
      <c r="R46" s="8">
        <v>0</v>
      </c>
      <c r="S46" s="8">
        <f t="shared" si="15"/>
        <v>172172</v>
      </c>
      <c r="T46" s="8">
        <f>4441+23156</f>
        <v>27597</v>
      </c>
      <c r="U46" s="8">
        <f>44000+23800+26020+13085+1280+10275+27350</f>
        <v>145810</v>
      </c>
      <c r="V46" s="8">
        <v>0</v>
      </c>
      <c r="W46" s="8">
        <f t="shared" si="16"/>
        <v>173407</v>
      </c>
      <c r="X46" s="8">
        <f t="shared" si="17"/>
        <v>345579</v>
      </c>
      <c r="Y46" s="15">
        <f t="shared" si="18"/>
        <v>752135</v>
      </c>
      <c r="Z46" s="22">
        <f t="shared" si="9"/>
        <v>8.0280000000000004E-2</v>
      </c>
      <c r="AA46" s="22">
        <f t="shared" si="10"/>
        <v>5.9740000000000001E-2</v>
      </c>
      <c r="AB46" s="22">
        <f t="shared" si="11"/>
        <v>0.13482</v>
      </c>
    </row>
    <row r="47" spans="1:28" x14ac:dyDescent="0.25">
      <c r="A47" s="2">
        <f t="shared" si="0"/>
        <v>47</v>
      </c>
      <c r="B47" s="1" t="s">
        <v>59</v>
      </c>
      <c r="C47" s="8">
        <v>0</v>
      </c>
      <c r="D47" s="8">
        <v>26774</v>
      </c>
      <c r="E47" s="8">
        <v>0</v>
      </c>
      <c r="F47" s="8">
        <v>0</v>
      </c>
      <c r="G47" s="8">
        <v>106549</v>
      </c>
      <c r="H47" s="8">
        <f>1400+8400</f>
        <v>9800</v>
      </c>
      <c r="I47" s="8">
        <v>0</v>
      </c>
      <c r="J47" s="8">
        <f t="shared" si="12"/>
        <v>143123</v>
      </c>
      <c r="K47" s="8">
        <f t="shared" si="13"/>
        <v>143123</v>
      </c>
      <c r="L47" s="8">
        <v>6912</v>
      </c>
      <c r="M47" s="8">
        <v>0</v>
      </c>
      <c r="N47" s="8">
        <v>0</v>
      </c>
      <c r="O47" s="8">
        <v>0</v>
      </c>
      <c r="P47" s="8">
        <f t="shared" si="14"/>
        <v>6912</v>
      </c>
      <c r="Q47" s="8">
        <v>79986</v>
      </c>
      <c r="R47" s="8">
        <v>0</v>
      </c>
      <c r="S47" s="8">
        <f t="shared" si="15"/>
        <v>79986</v>
      </c>
      <c r="T47" s="8">
        <f>6238+31217</f>
        <v>37455</v>
      </c>
      <c r="U47" s="8">
        <f>34495+4000+20480+12115+1640+4710+31450</f>
        <v>108890</v>
      </c>
      <c r="V47" s="8">
        <v>0</v>
      </c>
      <c r="W47" s="8">
        <f t="shared" si="16"/>
        <v>146345</v>
      </c>
      <c r="X47" s="8">
        <f t="shared" si="17"/>
        <v>226331</v>
      </c>
      <c r="Y47" s="15">
        <f t="shared" si="18"/>
        <v>376366</v>
      </c>
      <c r="Z47" s="22">
        <f t="shared" si="9"/>
        <v>4.0169999999999997E-2</v>
      </c>
      <c r="AA47" s="22">
        <f t="shared" si="10"/>
        <v>2.2040000000000001E-2</v>
      </c>
      <c r="AB47" s="22">
        <f t="shared" si="11"/>
        <v>8.8300000000000003E-2</v>
      </c>
    </row>
    <row r="48" spans="1:28" x14ac:dyDescent="0.25">
      <c r="A48" s="2">
        <f t="shared" si="0"/>
        <v>48</v>
      </c>
      <c r="B48" s="1" t="s">
        <v>60</v>
      </c>
      <c r="C48" s="8">
        <v>0</v>
      </c>
      <c r="D48" s="8">
        <f>16342+2085</f>
        <v>18427</v>
      </c>
      <c r="E48" s="8">
        <v>0</v>
      </c>
      <c r="F48" s="8">
        <v>4300</v>
      </c>
      <c r="G48" s="8">
        <v>44038</v>
      </c>
      <c r="H48" s="8">
        <f>5600+12600</f>
        <v>18200</v>
      </c>
      <c r="I48" s="8">
        <v>0</v>
      </c>
      <c r="J48" s="8">
        <f t="shared" si="12"/>
        <v>84965</v>
      </c>
      <c r="K48" s="8">
        <f t="shared" si="13"/>
        <v>84965</v>
      </c>
      <c r="L48" s="8">
        <v>1800</v>
      </c>
      <c r="M48" s="8">
        <v>0</v>
      </c>
      <c r="N48" s="8">
        <v>0</v>
      </c>
      <c r="O48" s="8">
        <v>0</v>
      </c>
      <c r="P48" s="8">
        <f t="shared" si="14"/>
        <v>1800</v>
      </c>
      <c r="Q48" s="8">
        <v>51359</v>
      </c>
      <c r="R48" s="8">
        <v>0</v>
      </c>
      <c r="S48" s="8">
        <f t="shared" si="15"/>
        <v>51359</v>
      </c>
      <c r="T48" s="8">
        <f>3113+12521</f>
        <v>15634</v>
      </c>
      <c r="U48" s="8">
        <f>34790+2400+9265+5620+765+3725+11460</f>
        <v>68025</v>
      </c>
      <c r="V48" s="8">
        <v>0</v>
      </c>
      <c r="W48" s="8">
        <f t="shared" si="16"/>
        <v>83659</v>
      </c>
      <c r="X48" s="8">
        <f t="shared" si="17"/>
        <v>135018</v>
      </c>
      <c r="Y48" s="15">
        <f t="shared" si="18"/>
        <v>221783</v>
      </c>
      <c r="Z48" s="22">
        <f t="shared" si="9"/>
        <v>2.367E-2</v>
      </c>
      <c r="AA48" s="22">
        <f t="shared" si="10"/>
        <v>1.2749999999999999E-2</v>
      </c>
      <c r="AB48" s="22">
        <f t="shared" si="11"/>
        <v>5.2679999999999998E-2</v>
      </c>
    </row>
    <row r="49" spans="1:28" x14ac:dyDescent="0.25">
      <c r="A49" s="2">
        <f t="shared" si="0"/>
        <v>49</v>
      </c>
      <c r="B49" s="1" t="s">
        <v>61</v>
      </c>
      <c r="C49" s="8">
        <v>0</v>
      </c>
      <c r="D49" s="8">
        <v>162508</v>
      </c>
      <c r="E49" s="8">
        <v>0</v>
      </c>
      <c r="F49" s="8">
        <v>8600</v>
      </c>
      <c r="G49" s="8">
        <v>364601</v>
      </c>
      <c r="H49" s="8">
        <f>30800+22400</f>
        <v>53200</v>
      </c>
      <c r="I49" s="8">
        <v>0</v>
      </c>
      <c r="J49" s="8">
        <f t="shared" si="12"/>
        <v>588909</v>
      </c>
      <c r="K49" s="8">
        <f t="shared" si="13"/>
        <v>588909</v>
      </c>
      <c r="L49" s="8">
        <v>9000</v>
      </c>
      <c r="M49" s="8">
        <v>0</v>
      </c>
      <c r="N49" s="8">
        <v>0</v>
      </c>
      <c r="O49" s="8">
        <v>0</v>
      </c>
      <c r="P49" s="8">
        <f t="shared" si="14"/>
        <v>9000</v>
      </c>
      <c r="Q49" s="8">
        <v>111489</v>
      </c>
      <c r="R49" s="8">
        <v>15000</v>
      </c>
      <c r="S49" s="8">
        <f t="shared" si="15"/>
        <v>126489</v>
      </c>
      <c r="T49" s="8">
        <f>5596+12217</f>
        <v>17813</v>
      </c>
      <c r="U49" s="8">
        <f>132290+19605+10965+2185+9470+24625</f>
        <v>199140</v>
      </c>
      <c r="V49" s="8">
        <v>5000</v>
      </c>
      <c r="W49" s="8">
        <f t="shared" si="16"/>
        <v>221953</v>
      </c>
      <c r="X49" s="8">
        <f t="shared" si="17"/>
        <v>348442</v>
      </c>
      <c r="Y49" s="15">
        <f t="shared" si="18"/>
        <v>946351</v>
      </c>
      <c r="Z49" s="22">
        <f t="shared" si="9"/>
        <v>0.10101</v>
      </c>
      <c r="AA49" s="22">
        <f t="shared" si="10"/>
        <v>8.7849999999999998E-2</v>
      </c>
      <c r="AB49" s="22">
        <f t="shared" si="11"/>
        <v>0.13594000000000001</v>
      </c>
    </row>
    <row r="50" spans="1:28" x14ac:dyDescent="0.25">
      <c r="A50" s="2">
        <f t="shared" si="0"/>
        <v>50</v>
      </c>
      <c r="B50" s="1" t="s">
        <v>62</v>
      </c>
      <c r="C50" s="12">
        <v>0</v>
      </c>
      <c r="D50" s="12">
        <v>13742</v>
      </c>
      <c r="E50" s="12">
        <v>0</v>
      </c>
      <c r="F50" s="12">
        <v>4300</v>
      </c>
      <c r="G50" s="12">
        <v>70772</v>
      </c>
      <c r="H50" s="12">
        <v>5600</v>
      </c>
      <c r="I50" s="12">
        <v>0</v>
      </c>
      <c r="J50" s="12">
        <f t="shared" si="12"/>
        <v>94414</v>
      </c>
      <c r="K50" s="12">
        <f t="shared" si="13"/>
        <v>94414</v>
      </c>
      <c r="L50" s="12">
        <v>1350</v>
      </c>
      <c r="M50" s="12">
        <v>0</v>
      </c>
      <c r="N50" s="12">
        <v>0</v>
      </c>
      <c r="O50" s="12">
        <v>0</v>
      </c>
      <c r="P50" s="12">
        <f t="shared" si="14"/>
        <v>1350</v>
      </c>
      <c r="Q50" s="12">
        <v>28102</v>
      </c>
      <c r="R50" s="12">
        <v>0</v>
      </c>
      <c r="S50" s="12">
        <f t="shared" si="15"/>
        <v>28102</v>
      </c>
      <c r="T50" s="12">
        <f>1599+3228</f>
        <v>4827</v>
      </c>
      <c r="U50" s="12">
        <f>18290+1200+8345+3080+600+2370+7455</f>
        <v>41340</v>
      </c>
      <c r="V50" s="12">
        <v>0</v>
      </c>
      <c r="W50" s="12">
        <f t="shared" si="16"/>
        <v>46167</v>
      </c>
      <c r="X50" s="12">
        <f t="shared" si="17"/>
        <v>74269</v>
      </c>
      <c r="Y50" s="12">
        <f t="shared" si="18"/>
        <v>170033</v>
      </c>
      <c r="Z50" s="23">
        <f t="shared" si="9"/>
        <v>1.8149999999999999E-2</v>
      </c>
      <c r="AA50" s="23">
        <f t="shared" si="10"/>
        <v>1.4069999999999999E-2</v>
      </c>
      <c r="AB50" s="23">
        <f t="shared" si="11"/>
        <v>2.8979999999999999E-2</v>
      </c>
    </row>
    <row r="51" spans="1:28" x14ac:dyDescent="0.25">
      <c r="A51" s="2">
        <f t="shared" si="0"/>
        <v>51</v>
      </c>
      <c r="B51" s="1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15"/>
      <c r="Z51" s="20"/>
      <c r="AA51" s="20"/>
      <c r="AB51" s="21"/>
    </row>
    <row r="52" spans="1:28" ht="15.75" thickBot="1" x14ac:dyDescent="0.3">
      <c r="A52" s="2">
        <f t="shared" si="0"/>
        <v>52</v>
      </c>
      <c r="B52" s="1" t="s">
        <v>63</v>
      </c>
      <c r="C52" s="11">
        <f>SUM(C34:C50)</f>
        <v>0</v>
      </c>
      <c r="D52" s="11">
        <f t="shared" ref="D52:Y52" si="19">SUM(D34:D50)</f>
        <v>711032</v>
      </c>
      <c r="E52" s="11">
        <f t="shared" si="19"/>
        <v>1700</v>
      </c>
      <c r="F52" s="11">
        <f t="shared" si="19"/>
        <v>43000</v>
      </c>
      <c r="G52" s="11">
        <f t="shared" si="19"/>
        <v>1596795</v>
      </c>
      <c r="H52" s="11">
        <f t="shared" si="19"/>
        <v>606200</v>
      </c>
      <c r="I52" s="11">
        <f t="shared" si="19"/>
        <v>2466644</v>
      </c>
      <c r="J52" s="11">
        <f t="shared" si="19"/>
        <v>5425371</v>
      </c>
      <c r="K52" s="11">
        <f t="shared" si="19"/>
        <v>5425371</v>
      </c>
      <c r="L52" s="11">
        <f t="shared" si="19"/>
        <v>53776</v>
      </c>
      <c r="M52" s="11">
        <f t="shared" si="19"/>
        <v>0</v>
      </c>
      <c r="N52" s="11">
        <f t="shared" si="19"/>
        <v>1170</v>
      </c>
      <c r="O52" s="11">
        <f t="shared" si="19"/>
        <v>1325639</v>
      </c>
      <c r="P52" s="11">
        <f t="shared" si="19"/>
        <v>1380585</v>
      </c>
      <c r="Q52" s="11">
        <f t="shared" si="19"/>
        <v>823528</v>
      </c>
      <c r="R52" s="11">
        <f t="shared" si="19"/>
        <v>15000</v>
      </c>
      <c r="S52" s="11">
        <f t="shared" si="19"/>
        <v>838528</v>
      </c>
      <c r="T52" s="11">
        <f t="shared" si="19"/>
        <v>291953</v>
      </c>
      <c r="U52" s="11">
        <f t="shared" si="19"/>
        <v>1300215</v>
      </c>
      <c r="V52" s="11">
        <f t="shared" si="19"/>
        <v>132500</v>
      </c>
      <c r="W52" s="11">
        <f t="shared" si="19"/>
        <v>1724668</v>
      </c>
      <c r="X52" s="11">
        <f t="shared" si="19"/>
        <v>2563196</v>
      </c>
      <c r="Y52" s="11">
        <f t="shared" si="19"/>
        <v>9369152</v>
      </c>
      <c r="Z52" s="24">
        <f>SUM(Z34:Z50)</f>
        <v>1.0000200000000001</v>
      </c>
      <c r="AA52" s="24">
        <f t="shared" ref="AA52:AB52" si="20">SUM(AA34:AA50)</f>
        <v>0.99997999999999998</v>
      </c>
      <c r="AB52" s="24">
        <f t="shared" si="20"/>
        <v>1</v>
      </c>
    </row>
    <row r="53" spans="1:28" ht="15.75" thickTop="1" x14ac:dyDescent="0.25">
      <c r="A53" s="2">
        <f t="shared" si="0"/>
        <v>53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5"/>
      <c r="Z53" s="1"/>
      <c r="AA53" s="1"/>
    </row>
    <row r="54" spans="1:28" x14ac:dyDescent="0.25">
      <c r="A54" s="2">
        <f t="shared" si="0"/>
        <v>54</v>
      </c>
      <c r="B54" s="7" t="s">
        <v>65</v>
      </c>
      <c r="C54" s="1" t="s">
        <v>68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6"/>
      <c r="Z54" s="1"/>
    </row>
    <row r="55" spans="1:28" x14ac:dyDescent="0.25">
      <c r="A55" s="2">
        <f t="shared" si="0"/>
        <v>55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8" x14ac:dyDescent="0.25">
      <c r="A56" s="2">
        <f t="shared" si="0"/>
        <v>56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</sheetData>
  <mergeCells count="7">
    <mergeCell ref="Z6:AB6"/>
    <mergeCell ref="C4:K4"/>
    <mergeCell ref="Q4:X4"/>
    <mergeCell ref="D5:J5"/>
    <mergeCell ref="L5:P5"/>
    <mergeCell ref="Q5:S5"/>
    <mergeCell ref="T5:W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zoomScale="80" zoomScaleNormal="80" workbookViewId="0">
      <selection activeCell="B2" sqref="B2"/>
    </sheetView>
  </sheetViews>
  <sheetFormatPr defaultColWidth="15.7109375" defaultRowHeight="15" x14ac:dyDescent="0.25"/>
  <cols>
    <col min="1" max="1" width="4.5703125" customWidth="1"/>
    <col min="2" max="2" width="20.7109375" customWidth="1"/>
  </cols>
  <sheetData>
    <row r="1" spans="1:28" x14ac:dyDescent="0.25">
      <c r="A1" s="2">
        <v>1</v>
      </c>
      <c r="B1" s="54" t="str">
        <f>Analysis!B1</f>
        <v>PSC DR2 Response 21.xlsx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x14ac:dyDescent="0.25">
      <c r="A2" s="2">
        <f>A1+1</f>
        <v>2</v>
      </c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8" x14ac:dyDescent="0.25">
      <c r="A3" s="2">
        <f t="shared" ref="A3:A55" si="0">A2+1</f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8" ht="15.75" thickBot="1" x14ac:dyDescent="0.3">
      <c r="A4" s="2">
        <f t="shared" si="0"/>
        <v>4</v>
      </c>
      <c r="B4" s="1"/>
      <c r="C4" s="66" t="s">
        <v>1</v>
      </c>
      <c r="D4" s="66"/>
      <c r="E4" s="66"/>
      <c r="F4" s="66"/>
      <c r="G4" s="66"/>
      <c r="H4" s="66"/>
      <c r="I4" s="66"/>
      <c r="J4" s="66"/>
      <c r="K4" s="66"/>
      <c r="L4" s="1"/>
      <c r="M4" s="1"/>
      <c r="N4" s="1"/>
      <c r="O4" s="1"/>
      <c r="P4" s="1"/>
      <c r="Q4" s="67" t="s">
        <v>45</v>
      </c>
      <c r="R4" s="67"/>
      <c r="S4" s="67"/>
      <c r="T4" s="67"/>
      <c r="U4" s="67"/>
      <c r="V4" s="67"/>
      <c r="W4" s="67"/>
      <c r="X4" s="67"/>
      <c r="Y4" s="1"/>
      <c r="Z4" s="1"/>
    </row>
    <row r="5" spans="1:28" x14ac:dyDescent="0.25">
      <c r="A5" s="2">
        <f t="shared" si="0"/>
        <v>5</v>
      </c>
      <c r="B5" s="1"/>
      <c r="C5" s="3" t="s">
        <v>2</v>
      </c>
      <c r="D5" s="60" t="s">
        <v>18</v>
      </c>
      <c r="E5" s="61"/>
      <c r="F5" s="61"/>
      <c r="G5" s="61"/>
      <c r="H5" s="61"/>
      <c r="I5" s="61"/>
      <c r="J5" s="62"/>
      <c r="K5" s="1"/>
      <c r="L5" s="63" t="s">
        <v>28</v>
      </c>
      <c r="M5" s="64"/>
      <c r="N5" s="64"/>
      <c r="O5" s="64"/>
      <c r="P5" s="65"/>
      <c r="Q5" s="60" t="s">
        <v>44</v>
      </c>
      <c r="R5" s="61"/>
      <c r="S5" s="62"/>
      <c r="T5" s="60" t="s">
        <v>43</v>
      </c>
      <c r="U5" s="61"/>
      <c r="V5" s="61"/>
      <c r="W5" s="62"/>
      <c r="X5" s="1"/>
      <c r="Y5" s="1"/>
      <c r="Z5" s="1"/>
    </row>
    <row r="6" spans="1:28" x14ac:dyDescent="0.25">
      <c r="A6" s="2">
        <f t="shared" si="0"/>
        <v>6</v>
      </c>
      <c r="B6" s="13">
        <v>2016</v>
      </c>
      <c r="C6" s="4" t="s">
        <v>9</v>
      </c>
      <c r="D6" s="4"/>
      <c r="E6" s="4"/>
      <c r="F6" s="4" t="s">
        <v>6</v>
      </c>
      <c r="G6" s="4" t="s">
        <v>11</v>
      </c>
      <c r="H6" s="4" t="s">
        <v>14</v>
      </c>
      <c r="I6" s="4" t="s">
        <v>9</v>
      </c>
      <c r="J6" s="4"/>
      <c r="K6" s="4" t="s">
        <v>29</v>
      </c>
      <c r="L6" s="4"/>
      <c r="M6" s="4"/>
      <c r="N6" s="4"/>
      <c r="O6" s="4" t="s">
        <v>25</v>
      </c>
      <c r="P6" s="4" t="s">
        <v>16</v>
      </c>
      <c r="Q6" s="4" t="s">
        <v>31</v>
      </c>
      <c r="R6" s="4"/>
      <c r="S6" s="4" t="s">
        <v>2</v>
      </c>
      <c r="T6" s="4"/>
      <c r="U6" s="4"/>
      <c r="V6" s="4" t="s">
        <v>39</v>
      </c>
      <c r="W6" s="4" t="s">
        <v>17</v>
      </c>
      <c r="X6" s="4" t="s">
        <v>29</v>
      </c>
      <c r="Y6" s="1"/>
      <c r="Z6" s="57" t="s">
        <v>71</v>
      </c>
      <c r="AA6" s="59"/>
      <c r="AB6" s="58"/>
    </row>
    <row r="7" spans="1:28" x14ac:dyDescent="0.25">
      <c r="A7" s="2">
        <f t="shared" si="0"/>
        <v>7</v>
      </c>
      <c r="B7" s="4"/>
      <c r="C7" s="4" t="s">
        <v>10</v>
      </c>
      <c r="D7" s="4"/>
      <c r="E7" s="4"/>
      <c r="F7" s="4" t="s">
        <v>7</v>
      </c>
      <c r="G7" s="4" t="s">
        <v>12</v>
      </c>
      <c r="H7" s="4" t="s">
        <v>15</v>
      </c>
      <c r="I7" s="4" t="s">
        <v>10</v>
      </c>
      <c r="J7" s="4" t="s">
        <v>16</v>
      </c>
      <c r="K7" s="4" t="s">
        <v>19</v>
      </c>
      <c r="L7" s="4" t="s">
        <v>21</v>
      </c>
      <c r="M7" s="4" t="s">
        <v>15</v>
      </c>
      <c r="N7" s="4" t="s">
        <v>24</v>
      </c>
      <c r="O7" s="4" t="s">
        <v>26</v>
      </c>
      <c r="P7" s="4" t="s">
        <v>30</v>
      </c>
      <c r="Q7" s="4" t="s">
        <v>32</v>
      </c>
      <c r="R7" s="4" t="s">
        <v>34</v>
      </c>
      <c r="S7" s="4" t="s">
        <v>42</v>
      </c>
      <c r="T7" s="4" t="s">
        <v>36</v>
      </c>
      <c r="U7" s="4" t="s">
        <v>6</v>
      </c>
      <c r="V7" s="4" t="s">
        <v>40</v>
      </c>
      <c r="W7" s="4" t="s">
        <v>42</v>
      </c>
      <c r="X7" s="4" t="s">
        <v>42</v>
      </c>
      <c r="Y7" s="4" t="s">
        <v>70</v>
      </c>
      <c r="Z7" s="17" t="s">
        <v>70</v>
      </c>
      <c r="AA7" s="17" t="s">
        <v>72</v>
      </c>
      <c r="AB7" s="18" t="s">
        <v>42</v>
      </c>
    </row>
    <row r="8" spans="1:28" ht="15.75" thickBot="1" x14ac:dyDescent="0.3">
      <c r="A8" s="2">
        <f t="shared" si="0"/>
        <v>8</v>
      </c>
      <c r="B8" s="5" t="s">
        <v>46</v>
      </c>
      <c r="C8" s="5" t="s">
        <v>3</v>
      </c>
      <c r="D8" s="5" t="s">
        <v>4</v>
      </c>
      <c r="E8" s="5" t="s">
        <v>5</v>
      </c>
      <c r="F8" s="5" t="s">
        <v>8</v>
      </c>
      <c r="G8" s="5" t="s">
        <v>13</v>
      </c>
      <c r="H8" s="5" t="s">
        <v>8</v>
      </c>
      <c r="I8" s="5" t="s">
        <v>3</v>
      </c>
      <c r="J8" s="5" t="s">
        <v>17</v>
      </c>
      <c r="K8" s="5" t="s">
        <v>20</v>
      </c>
      <c r="L8" s="5" t="s">
        <v>22</v>
      </c>
      <c r="M8" s="5" t="s">
        <v>23</v>
      </c>
      <c r="N8" s="5" t="s">
        <v>22</v>
      </c>
      <c r="O8" s="5" t="s">
        <v>27</v>
      </c>
      <c r="P8" s="5" t="s">
        <v>20</v>
      </c>
      <c r="Q8" s="5" t="s">
        <v>33</v>
      </c>
      <c r="R8" s="5" t="s">
        <v>35</v>
      </c>
      <c r="S8" s="5" t="s">
        <v>20</v>
      </c>
      <c r="T8" s="5" t="s">
        <v>37</v>
      </c>
      <c r="U8" s="5" t="s">
        <v>38</v>
      </c>
      <c r="V8" s="5" t="s">
        <v>41</v>
      </c>
      <c r="W8" s="5" t="s">
        <v>20</v>
      </c>
      <c r="X8" s="5" t="s">
        <v>20</v>
      </c>
      <c r="Y8" s="5" t="s">
        <v>63</v>
      </c>
      <c r="Z8" s="5" t="s">
        <v>63</v>
      </c>
      <c r="AA8" s="5" t="s">
        <v>20</v>
      </c>
      <c r="AB8" s="19" t="s">
        <v>20</v>
      </c>
    </row>
    <row r="9" spans="1:28" x14ac:dyDescent="0.25">
      <c r="A9" s="2">
        <f t="shared" si="0"/>
        <v>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8" x14ac:dyDescent="0.25">
      <c r="A10" s="2">
        <f t="shared" si="0"/>
        <v>10</v>
      </c>
      <c r="B10" s="6" t="s">
        <v>66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8" x14ac:dyDescent="0.25">
      <c r="A11" s="2">
        <f t="shared" si="0"/>
        <v>11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8" x14ac:dyDescent="0.25">
      <c r="A12" s="2">
        <f t="shared" si="0"/>
        <v>12</v>
      </c>
      <c r="B12" s="1" t="s">
        <v>47</v>
      </c>
      <c r="C12" s="2">
        <v>0</v>
      </c>
      <c r="D12" s="2">
        <v>6</v>
      </c>
      <c r="E12" s="2">
        <v>0</v>
      </c>
      <c r="F12" s="2">
        <v>1</v>
      </c>
      <c r="G12" s="2">
        <v>31</v>
      </c>
      <c r="H12" s="2">
        <v>0</v>
      </c>
      <c r="I12" s="2">
        <v>12</v>
      </c>
      <c r="J12" s="2">
        <f>SUM(D12:I12)</f>
        <v>50</v>
      </c>
      <c r="K12" s="2">
        <f>C12+J12</f>
        <v>50</v>
      </c>
      <c r="L12" s="2">
        <v>0</v>
      </c>
      <c r="M12" s="2">
        <f>9+6</f>
        <v>15</v>
      </c>
      <c r="N12" s="2">
        <f>2400+11</f>
        <v>2411</v>
      </c>
      <c r="O12" s="2">
        <v>0</v>
      </c>
      <c r="P12" s="2">
        <f t="shared" ref="P12:P27" si="1">SUM(L12:O12)</f>
        <v>2426</v>
      </c>
      <c r="Q12" s="2">
        <v>4</v>
      </c>
      <c r="R12" s="2">
        <v>0</v>
      </c>
      <c r="S12" s="2">
        <f>Q12+R12</f>
        <v>4</v>
      </c>
      <c r="T12" s="2">
        <f>4+10</f>
        <v>14</v>
      </c>
      <c r="U12" s="2">
        <f>24+30+15+2+29</f>
        <v>100</v>
      </c>
      <c r="V12" s="2">
        <v>2</v>
      </c>
      <c r="W12" s="2">
        <f>T12+U12+V12</f>
        <v>116</v>
      </c>
      <c r="X12" s="2">
        <f>S12+W12</f>
        <v>120</v>
      </c>
      <c r="Y12" s="2">
        <f>K12+P12+X12</f>
        <v>2596</v>
      </c>
      <c r="Z12" s="1"/>
      <c r="AA12" s="1"/>
    </row>
    <row r="13" spans="1:28" x14ac:dyDescent="0.25">
      <c r="A13" s="2">
        <f t="shared" si="0"/>
        <v>13</v>
      </c>
      <c r="B13" s="1" t="s">
        <v>48</v>
      </c>
      <c r="C13" s="2">
        <v>0</v>
      </c>
      <c r="D13" s="2">
        <f>441+1+1</f>
        <v>443</v>
      </c>
      <c r="E13" s="2">
        <v>0</v>
      </c>
      <c r="F13" s="2">
        <v>0</v>
      </c>
      <c r="G13" s="2">
        <v>50</v>
      </c>
      <c r="H13" s="2">
        <f>246+1</f>
        <v>247</v>
      </c>
      <c r="I13" s="2">
        <v>429</v>
      </c>
      <c r="J13" s="2">
        <f t="shared" ref="J13:J27" si="2">SUM(D13:I13)</f>
        <v>1169</v>
      </c>
      <c r="K13" s="2">
        <f t="shared" ref="K13:K27" si="3">C13+J13</f>
        <v>1169</v>
      </c>
      <c r="L13" s="2">
        <v>5000</v>
      </c>
      <c r="M13" s="2">
        <f>171+12</f>
        <v>183</v>
      </c>
      <c r="N13" s="2">
        <f>204+131</f>
        <v>335</v>
      </c>
      <c r="O13" s="2">
        <v>0</v>
      </c>
      <c r="P13" s="2">
        <f t="shared" si="1"/>
        <v>5518</v>
      </c>
      <c r="Q13" s="2">
        <v>11</v>
      </c>
      <c r="R13" s="2">
        <v>0</v>
      </c>
      <c r="S13" s="2">
        <f t="shared" ref="S13:S27" si="4">Q13+R13</f>
        <v>11</v>
      </c>
      <c r="T13" s="2">
        <f>52+229</f>
        <v>281</v>
      </c>
      <c r="U13" s="2">
        <f>166+40+378+592+45+23+472</f>
        <v>1716</v>
      </c>
      <c r="V13" s="2">
        <v>75</v>
      </c>
      <c r="W13" s="2">
        <f t="shared" ref="W13:W27" si="5">T13+U13+V13</f>
        <v>2072</v>
      </c>
      <c r="X13" s="2">
        <f t="shared" ref="X13:X27" si="6">S13+W13</f>
        <v>2083</v>
      </c>
      <c r="Y13" s="14">
        <f t="shared" ref="Y13:Y27" si="7">K13+P13+X13</f>
        <v>8770</v>
      </c>
      <c r="Z13" s="1"/>
      <c r="AA13" s="1"/>
    </row>
    <row r="14" spans="1:28" x14ac:dyDescent="0.25">
      <c r="A14" s="2">
        <f t="shared" si="0"/>
        <v>14</v>
      </c>
      <c r="B14" s="1" t="s">
        <v>49</v>
      </c>
      <c r="C14" s="2">
        <v>0</v>
      </c>
      <c r="D14" s="2">
        <v>22</v>
      </c>
      <c r="E14" s="2">
        <v>0</v>
      </c>
      <c r="F14" s="2">
        <v>0</v>
      </c>
      <c r="G14" s="2">
        <v>14</v>
      </c>
      <c r="H14" s="2">
        <f>12+2</f>
        <v>14</v>
      </c>
      <c r="I14" s="2">
        <v>64</v>
      </c>
      <c r="J14" s="2">
        <f t="shared" si="2"/>
        <v>114</v>
      </c>
      <c r="K14" s="2">
        <f t="shared" si="3"/>
        <v>114</v>
      </c>
      <c r="L14" s="2">
        <v>6000</v>
      </c>
      <c r="M14" s="2">
        <f>78+1</f>
        <v>79</v>
      </c>
      <c r="N14" s="2">
        <v>36</v>
      </c>
      <c r="O14" s="2">
        <v>0</v>
      </c>
      <c r="P14" s="2">
        <f t="shared" si="1"/>
        <v>6115</v>
      </c>
      <c r="Q14" s="2">
        <v>18</v>
      </c>
      <c r="R14" s="2">
        <v>0</v>
      </c>
      <c r="S14" s="2">
        <f t="shared" si="4"/>
        <v>18</v>
      </c>
      <c r="T14" s="2">
        <f>11+55</f>
        <v>66</v>
      </c>
      <c r="U14" s="2">
        <f>44+2+99+93+8+5+121</f>
        <v>372</v>
      </c>
      <c r="V14" s="2">
        <v>0</v>
      </c>
      <c r="W14" s="2">
        <f t="shared" si="5"/>
        <v>438</v>
      </c>
      <c r="X14" s="2">
        <f t="shared" si="6"/>
        <v>456</v>
      </c>
      <c r="Y14" s="14">
        <f t="shared" si="7"/>
        <v>6685</v>
      </c>
      <c r="Z14" s="1"/>
      <c r="AA14" s="1"/>
    </row>
    <row r="15" spans="1:28" x14ac:dyDescent="0.25">
      <c r="A15" s="2">
        <f t="shared" si="0"/>
        <v>15</v>
      </c>
      <c r="B15" s="1" t="s">
        <v>50</v>
      </c>
      <c r="C15" s="2">
        <v>0</v>
      </c>
      <c r="D15" s="2">
        <v>23</v>
      </c>
      <c r="E15" s="2">
        <f>8+4</f>
        <v>12</v>
      </c>
      <c r="F15" s="2">
        <v>1</v>
      </c>
      <c r="G15" s="2">
        <v>17</v>
      </c>
      <c r="H15" s="2">
        <f>3+1</f>
        <v>4</v>
      </c>
      <c r="I15" s="2">
        <v>51</v>
      </c>
      <c r="J15" s="2">
        <f t="shared" si="2"/>
        <v>108</v>
      </c>
      <c r="K15" s="2">
        <f t="shared" si="3"/>
        <v>108</v>
      </c>
      <c r="L15" s="2">
        <v>4700</v>
      </c>
      <c r="M15" s="2">
        <v>90</v>
      </c>
      <c r="N15" s="2">
        <v>57</v>
      </c>
      <c r="O15" s="2">
        <v>0</v>
      </c>
      <c r="P15" s="2">
        <f t="shared" si="1"/>
        <v>4847</v>
      </c>
      <c r="Q15" s="2">
        <v>3</v>
      </c>
      <c r="R15" s="2">
        <v>0</v>
      </c>
      <c r="S15" s="2">
        <f t="shared" si="4"/>
        <v>3</v>
      </c>
      <c r="T15" s="2">
        <f>3+30</f>
        <v>33</v>
      </c>
      <c r="U15" s="2">
        <f>23+4+30+25+2+8+31</f>
        <v>123</v>
      </c>
      <c r="V15" s="2">
        <v>0</v>
      </c>
      <c r="W15" s="2">
        <f t="shared" si="5"/>
        <v>156</v>
      </c>
      <c r="X15" s="2">
        <f t="shared" si="6"/>
        <v>159</v>
      </c>
      <c r="Y15" s="14">
        <f t="shared" si="7"/>
        <v>5114</v>
      </c>
      <c r="Z15" s="1"/>
      <c r="AA15" s="1"/>
    </row>
    <row r="16" spans="1:28" x14ac:dyDescent="0.25">
      <c r="A16" s="2">
        <f t="shared" si="0"/>
        <v>16</v>
      </c>
      <c r="B16" s="1" t="s">
        <v>51</v>
      </c>
      <c r="C16" s="2">
        <v>0</v>
      </c>
      <c r="D16" s="2">
        <f>36+1</f>
        <v>37</v>
      </c>
      <c r="E16" s="2">
        <v>1</v>
      </c>
      <c r="F16" s="2">
        <v>1</v>
      </c>
      <c r="G16" s="2">
        <v>50</v>
      </c>
      <c r="H16" s="2">
        <f>1+1</f>
        <v>2</v>
      </c>
      <c r="I16" s="2">
        <v>109</v>
      </c>
      <c r="J16" s="2">
        <f t="shared" si="2"/>
        <v>200</v>
      </c>
      <c r="K16" s="2">
        <f t="shared" si="3"/>
        <v>200</v>
      </c>
      <c r="L16" s="2">
        <v>0</v>
      </c>
      <c r="M16" s="2">
        <f>11+78</f>
        <v>89</v>
      </c>
      <c r="N16" s="2">
        <f>500+95</f>
        <v>595</v>
      </c>
      <c r="O16" s="2">
        <v>0</v>
      </c>
      <c r="P16" s="2">
        <f t="shared" si="1"/>
        <v>684</v>
      </c>
      <c r="Q16" s="2">
        <v>4</v>
      </c>
      <c r="R16" s="2">
        <v>0</v>
      </c>
      <c r="S16" s="2">
        <f t="shared" si="4"/>
        <v>4</v>
      </c>
      <c r="T16" s="2">
        <f>13+36</f>
        <v>49</v>
      </c>
      <c r="U16" s="2">
        <f>19+7+64+71+9+3+76</f>
        <v>249</v>
      </c>
      <c r="V16" s="2">
        <v>69</v>
      </c>
      <c r="W16" s="2">
        <f t="shared" si="5"/>
        <v>367</v>
      </c>
      <c r="X16" s="2">
        <f t="shared" si="6"/>
        <v>371</v>
      </c>
      <c r="Y16" s="14">
        <f t="shared" si="7"/>
        <v>1255</v>
      </c>
      <c r="Z16" s="1"/>
      <c r="AA16" s="1"/>
    </row>
    <row r="17" spans="1:27" x14ac:dyDescent="0.25">
      <c r="A17" s="2">
        <f t="shared" si="0"/>
        <v>17</v>
      </c>
      <c r="B17" s="1" t="s">
        <v>52</v>
      </c>
      <c r="C17" s="2">
        <v>0</v>
      </c>
      <c r="D17" s="2">
        <v>16</v>
      </c>
      <c r="E17" s="2">
        <v>0</v>
      </c>
      <c r="F17" s="2">
        <v>2</v>
      </c>
      <c r="G17" s="2">
        <v>28</v>
      </c>
      <c r="H17" s="2">
        <v>9</v>
      </c>
      <c r="I17" s="2">
        <v>241</v>
      </c>
      <c r="J17" s="2">
        <f t="shared" si="2"/>
        <v>296</v>
      </c>
      <c r="K17" s="2">
        <f t="shared" si="3"/>
        <v>296</v>
      </c>
      <c r="L17" s="2">
        <v>0</v>
      </c>
      <c r="M17" s="2">
        <v>128</v>
      </c>
      <c r="N17" s="2">
        <v>143</v>
      </c>
      <c r="O17" s="2">
        <v>0</v>
      </c>
      <c r="P17" s="2">
        <f t="shared" si="1"/>
        <v>271</v>
      </c>
      <c r="Q17" s="2">
        <v>10</v>
      </c>
      <c r="R17" s="2">
        <v>0</v>
      </c>
      <c r="S17" s="2">
        <f t="shared" si="4"/>
        <v>10</v>
      </c>
      <c r="T17" s="2">
        <f>9+53</f>
        <v>62</v>
      </c>
      <c r="U17" s="2">
        <f>44+1+67+91+17+7+80</f>
        <v>307</v>
      </c>
      <c r="V17" s="2">
        <v>0</v>
      </c>
      <c r="W17" s="2">
        <f t="shared" si="5"/>
        <v>369</v>
      </c>
      <c r="X17" s="2">
        <f t="shared" si="6"/>
        <v>379</v>
      </c>
      <c r="Y17" s="14">
        <f t="shared" si="7"/>
        <v>946</v>
      </c>
      <c r="Z17" s="1"/>
      <c r="AA17" s="1"/>
    </row>
    <row r="18" spans="1:27" x14ac:dyDescent="0.25">
      <c r="A18" s="2">
        <f t="shared" si="0"/>
        <v>18</v>
      </c>
      <c r="B18" s="1" t="s">
        <v>53</v>
      </c>
      <c r="C18" s="2">
        <v>0</v>
      </c>
      <c r="D18" s="2">
        <v>24</v>
      </c>
      <c r="E18" s="2">
        <v>8</v>
      </c>
      <c r="F18" s="2">
        <v>2</v>
      </c>
      <c r="G18" s="2">
        <v>20</v>
      </c>
      <c r="H18" s="2">
        <v>0</v>
      </c>
      <c r="I18" s="2">
        <v>43</v>
      </c>
      <c r="J18" s="2">
        <f t="shared" si="2"/>
        <v>97</v>
      </c>
      <c r="K18" s="2">
        <f t="shared" si="3"/>
        <v>97</v>
      </c>
      <c r="L18" s="2">
        <v>6000</v>
      </c>
      <c r="M18" s="2">
        <v>45</v>
      </c>
      <c r="N18" s="2">
        <v>17</v>
      </c>
      <c r="O18" s="2">
        <v>0</v>
      </c>
      <c r="P18" s="2">
        <f t="shared" si="1"/>
        <v>6062</v>
      </c>
      <c r="Q18" s="2">
        <v>6</v>
      </c>
      <c r="R18" s="2">
        <v>0</v>
      </c>
      <c r="S18" s="2">
        <f t="shared" si="4"/>
        <v>6</v>
      </c>
      <c r="T18" s="2">
        <f>10+10</f>
        <v>20</v>
      </c>
      <c r="U18" s="2">
        <f>20+2+34+34+10+1+50</f>
        <v>151</v>
      </c>
      <c r="V18" s="2">
        <v>13</v>
      </c>
      <c r="W18" s="2">
        <f t="shared" si="5"/>
        <v>184</v>
      </c>
      <c r="X18" s="2">
        <f t="shared" si="6"/>
        <v>190</v>
      </c>
      <c r="Y18" s="14">
        <f t="shared" si="7"/>
        <v>6349</v>
      </c>
      <c r="Z18" s="1"/>
      <c r="AA18" s="1"/>
    </row>
    <row r="19" spans="1:27" x14ac:dyDescent="0.25">
      <c r="A19" s="2">
        <f t="shared" si="0"/>
        <v>19</v>
      </c>
      <c r="B19" s="1" t="s">
        <v>54</v>
      </c>
      <c r="C19" s="2">
        <v>0</v>
      </c>
      <c r="D19" s="2">
        <f>46+1</f>
        <v>47</v>
      </c>
      <c r="E19" s="2">
        <v>4</v>
      </c>
      <c r="F19" s="2">
        <v>3</v>
      </c>
      <c r="G19" s="2">
        <v>40</v>
      </c>
      <c r="H19" s="2">
        <f>7+4</f>
        <v>11</v>
      </c>
      <c r="I19" s="2">
        <v>72</v>
      </c>
      <c r="J19" s="2">
        <f t="shared" si="2"/>
        <v>177</v>
      </c>
      <c r="K19" s="2">
        <f t="shared" si="3"/>
        <v>177</v>
      </c>
      <c r="L19" s="2">
        <v>7000</v>
      </c>
      <c r="M19" s="2">
        <v>128</v>
      </c>
      <c r="N19" s="2">
        <v>125</v>
      </c>
      <c r="O19" s="2">
        <v>0</v>
      </c>
      <c r="P19" s="2">
        <f t="shared" si="1"/>
        <v>7253</v>
      </c>
      <c r="Q19" s="2">
        <v>10</v>
      </c>
      <c r="R19" s="2">
        <v>0</v>
      </c>
      <c r="S19" s="2">
        <f t="shared" si="4"/>
        <v>10</v>
      </c>
      <c r="T19" s="2">
        <f>9+64</f>
        <v>73</v>
      </c>
      <c r="U19" s="2">
        <f>65+10+199+176+35+7+239</f>
        <v>731</v>
      </c>
      <c r="V19" s="2">
        <v>0</v>
      </c>
      <c r="W19" s="2">
        <f t="shared" si="5"/>
        <v>804</v>
      </c>
      <c r="X19" s="2">
        <f t="shared" si="6"/>
        <v>814</v>
      </c>
      <c r="Y19" s="14">
        <f t="shared" si="7"/>
        <v>8244</v>
      </c>
      <c r="Z19" s="1"/>
      <c r="AA19" s="1"/>
    </row>
    <row r="20" spans="1:27" x14ac:dyDescent="0.25">
      <c r="A20" s="2">
        <f t="shared" si="0"/>
        <v>20</v>
      </c>
      <c r="B20" s="1" t="s">
        <v>55</v>
      </c>
      <c r="C20" s="2">
        <v>0</v>
      </c>
      <c r="D20" s="2">
        <v>99</v>
      </c>
      <c r="E20" s="2">
        <f>8+1</f>
        <v>9</v>
      </c>
      <c r="F20" s="2">
        <v>8</v>
      </c>
      <c r="G20" s="2">
        <v>210</v>
      </c>
      <c r="H20" s="2">
        <f>9+42</f>
        <v>51</v>
      </c>
      <c r="I20" s="2">
        <v>100</v>
      </c>
      <c r="J20" s="2">
        <f t="shared" si="2"/>
        <v>477</v>
      </c>
      <c r="K20" s="2">
        <f t="shared" si="3"/>
        <v>477</v>
      </c>
      <c r="L20" s="2">
        <v>5000</v>
      </c>
      <c r="M20" s="2">
        <v>328</v>
      </c>
      <c r="N20" s="2">
        <f>1161+221</f>
        <v>1382</v>
      </c>
      <c r="O20" s="2">
        <v>0</v>
      </c>
      <c r="P20" s="2">
        <f t="shared" si="1"/>
        <v>6710</v>
      </c>
      <c r="Q20" s="2">
        <v>16</v>
      </c>
      <c r="R20" s="2">
        <v>0</v>
      </c>
      <c r="S20" s="2">
        <f t="shared" si="4"/>
        <v>16</v>
      </c>
      <c r="T20" s="2">
        <f>36+128</f>
        <v>164</v>
      </c>
      <c r="U20" s="2">
        <f>52+3+195+200+31+25+233</f>
        <v>739</v>
      </c>
      <c r="V20" s="2">
        <v>8</v>
      </c>
      <c r="W20" s="2">
        <f t="shared" si="5"/>
        <v>911</v>
      </c>
      <c r="X20" s="2">
        <f t="shared" si="6"/>
        <v>927</v>
      </c>
      <c r="Y20" s="14">
        <f t="shared" si="7"/>
        <v>8114</v>
      </c>
      <c r="Z20" s="1"/>
      <c r="AA20" s="1"/>
    </row>
    <row r="21" spans="1:27" x14ac:dyDescent="0.25">
      <c r="A21" s="2">
        <f t="shared" si="0"/>
        <v>21</v>
      </c>
      <c r="B21" s="1" t="s">
        <v>56</v>
      </c>
      <c r="C21" s="2">
        <v>0</v>
      </c>
      <c r="D21" s="2">
        <v>5</v>
      </c>
      <c r="E21" s="2">
        <v>0</v>
      </c>
      <c r="F21" s="2">
        <v>1</v>
      </c>
      <c r="G21" s="2">
        <v>38</v>
      </c>
      <c r="H21" s="2">
        <v>1</v>
      </c>
      <c r="I21" s="2">
        <v>11</v>
      </c>
      <c r="J21" s="2">
        <f t="shared" si="2"/>
        <v>56</v>
      </c>
      <c r="K21" s="2">
        <f t="shared" si="3"/>
        <v>56</v>
      </c>
      <c r="L21" s="2">
        <v>5000</v>
      </c>
      <c r="M21" s="2">
        <v>20</v>
      </c>
      <c r="N21" s="2">
        <f>1002+10</f>
        <v>1012</v>
      </c>
      <c r="O21" s="2">
        <v>0</v>
      </c>
      <c r="P21" s="2">
        <f t="shared" si="1"/>
        <v>6032</v>
      </c>
      <c r="Q21" s="2">
        <v>16</v>
      </c>
      <c r="R21" s="2">
        <v>0</v>
      </c>
      <c r="S21" s="2">
        <f t="shared" si="4"/>
        <v>16</v>
      </c>
      <c r="T21" s="2">
        <f>2+14</f>
        <v>16</v>
      </c>
      <c r="U21" s="2">
        <f>12+46+26+8+50</f>
        <v>142</v>
      </c>
      <c r="V21" s="2">
        <v>0</v>
      </c>
      <c r="W21" s="2">
        <f t="shared" si="5"/>
        <v>158</v>
      </c>
      <c r="X21" s="2">
        <f t="shared" si="6"/>
        <v>174</v>
      </c>
      <c r="Y21" s="14">
        <f t="shared" si="7"/>
        <v>6262</v>
      </c>
      <c r="Z21" s="1"/>
      <c r="AA21" s="1"/>
    </row>
    <row r="22" spans="1:27" x14ac:dyDescent="0.25">
      <c r="A22" s="2">
        <f t="shared" si="0"/>
        <v>22</v>
      </c>
      <c r="B22" s="1" t="s">
        <v>57</v>
      </c>
      <c r="C22" s="2">
        <v>0</v>
      </c>
      <c r="D22" s="2">
        <v>72</v>
      </c>
      <c r="E22" s="2">
        <v>0</v>
      </c>
      <c r="F22" s="2">
        <v>0</v>
      </c>
      <c r="G22" s="2">
        <v>51</v>
      </c>
      <c r="H22" s="2">
        <v>38</v>
      </c>
      <c r="I22" s="2">
        <v>54</v>
      </c>
      <c r="J22" s="2">
        <f t="shared" si="2"/>
        <v>215</v>
      </c>
      <c r="K22" s="2">
        <f t="shared" si="3"/>
        <v>215</v>
      </c>
      <c r="L22" s="2">
        <v>3500</v>
      </c>
      <c r="M22" s="2">
        <f>142+4</f>
        <v>146</v>
      </c>
      <c r="N22" s="2">
        <v>77</v>
      </c>
      <c r="O22" s="2">
        <v>0</v>
      </c>
      <c r="P22" s="2">
        <f t="shared" si="1"/>
        <v>3723</v>
      </c>
      <c r="Q22" s="2">
        <v>21</v>
      </c>
      <c r="R22" s="2">
        <v>0</v>
      </c>
      <c r="S22" s="2">
        <f t="shared" si="4"/>
        <v>21</v>
      </c>
      <c r="T22" s="2">
        <f>56+141</f>
        <v>197</v>
      </c>
      <c r="U22" s="2">
        <f>175+11+230+212+40+20+274</f>
        <v>962</v>
      </c>
      <c r="V22" s="2">
        <v>0</v>
      </c>
      <c r="W22" s="2">
        <f t="shared" si="5"/>
        <v>1159</v>
      </c>
      <c r="X22" s="2">
        <f t="shared" si="6"/>
        <v>1180</v>
      </c>
      <c r="Y22" s="14">
        <f t="shared" si="7"/>
        <v>5118</v>
      </c>
      <c r="Z22" s="1"/>
      <c r="AA22" s="1"/>
    </row>
    <row r="23" spans="1:27" x14ac:dyDescent="0.25">
      <c r="A23" s="2">
        <f t="shared" si="0"/>
        <v>23</v>
      </c>
      <c r="B23" s="1" t="s">
        <v>58</v>
      </c>
      <c r="C23" s="2">
        <v>0</v>
      </c>
      <c r="D23" s="2">
        <v>26</v>
      </c>
      <c r="E23" s="2">
        <v>0</v>
      </c>
      <c r="F23" s="2">
        <v>6</v>
      </c>
      <c r="G23" s="2">
        <v>36</v>
      </c>
      <c r="H23" s="2">
        <f>65+6</f>
        <v>71</v>
      </c>
      <c r="I23" s="2">
        <v>202</v>
      </c>
      <c r="J23" s="2">
        <f t="shared" si="2"/>
        <v>341</v>
      </c>
      <c r="K23" s="2">
        <f t="shared" si="3"/>
        <v>341</v>
      </c>
      <c r="L23" s="2">
        <v>0</v>
      </c>
      <c r="M23" s="2">
        <v>177</v>
      </c>
      <c r="N23" s="2">
        <f>1104+197</f>
        <v>1301</v>
      </c>
      <c r="O23" s="2">
        <v>0</v>
      </c>
      <c r="P23" s="2">
        <f t="shared" si="1"/>
        <v>1478</v>
      </c>
      <c r="Q23" s="2">
        <v>24</v>
      </c>
      <c r="R23" s="2">
        <v>1</v>
      </c>
      <c r="S23" s="2">
        <f t="shared" si="4"/>
        <v>25</v>
      </c>
      <c r="T23" s="2">
        <f>33+100</f>
        <v>133</v>
      </c>
      <c r="U23" s="2">
        <f>107+203+294+402+24+24+422</f>
        <v>1476</v>
      </c>
      <c r="V23" s="2">
        <v>0</v>
      </c>
      <c r="W23" s="2">
        <f t="shared" si="5"/>
        <v>1609</v>
      </c>
      <c r="X23" s="2">
        <f t="shared" si="6"/>
        <v>1634</v>
      </c>
      <c r="Y23" s="14">
        <f t="shared" si="7"/>
        <v>3453</v>
      </c>
      <c r="Z23" s="1"/>
      <c r="AA23" s="1"/>
    </row>
    <row r="24" spans="1:27" x14ac:dyDescent="0.25">
      <c r="A24" s="2">
        <f t="shared" si="0"/>
        <v>24</v>
      </c>
      <c r="B24" s="1" t="s">
        <v>59</v>
      </c>
      <c r="C24" s="2">
        <v>0</v>
      </c>
      <c r="D24" s="2">
        <v>42</v>
      </c>
      <c r="E24" s="2">
        <v>0</v>
      </c>
      <c r="F24" s="2">
        <v>0</v>
      </c>
      <c r="G24" s="2">
        <v>39</v>
      </c>
      <c r="H24" s="2">
        <f>6+15</f>
        <v>21</v>
      </c>
      <c r="I24" s="2">
        <v>277</v>
      </c>
      <c r="J24" s="2">
        <f t="shared" si="2"/>
        <v>379</v>
      </c>
      <c r="K24" s="2">
        <f t="shared" si="3"/>
        <v>379</v>
      </c>
      <c r="L24" s="2">
        <v>7000</v>
      </c>
      <c r="M24" s="2">
        <f>38+37</f>
        <v>75</v>
      </c>
      <c r="N24" s="2">
        <v>61</v>
      </c>
      <c r="O24" s="2">
        <v>0</v>
      </c>
      <c r="P24" s="2">
        <f t="shared" si="1"/>
        <v>7136</v>
      </c>
      <c r="Q24" s="2">
        <v>12</v>
      </c>
      <c r="R24" s="2">
        <v>0</v>
      </c>
      <c r="S24" s="2">
        <f t="shared" si="4"/>
        <v>12</v>
      </c>
      <c r="T24" s="2">
        <f>55+202</f>
        <v>257</v>
      </c>
      <c r="U24" s="2">
        <f>98+27+499+555+87+30+600</f>
        <v>1896</v>
      </c>
      <c r="V24" s="2">
        <v>0</v>
      </c>
      <c r="W24" s="2">
        <f t="shared" si="5"/>
        <v>2153</v>
      </c>
      <c r="X24" s="2">
        <f t="shared" si="6"/>
        <v>2165</v>
      </c>
      <c r="Y24" s="14">
        <f t="shared" si="7"/>
        <v>9680</v>
      </c>
      <c r="Z24" s="1"/>
      <c r="AA24" s="1"/>
    </row>
    <row r="25" spans="1:27" x14ac:dyDescent="0.25">
      <c r="A25" s="2">
        <f t="shared" si="0"/>
        <v>25</v>
      </c>
      <c r="B25" s="1" t="s">
        <v>60</v>
      </c>
      <c r="C25" s="2">
        <v>0</v>
      </c>
      <c r="D25" s="2">
        <f>19+1</f>
        <v>20</v>
      </c>
      <c r="E25" s="2">
        <v>1</v>
      </c>
      <c r="F25" s="2">
        <v>1</v>
      </c>
      <c r="G25" s="2">
        <v>28</v>
      </c>
      <c r="H25" s="2">
        <f>9+7</f>
        <v>16</v>
      </c>
      <c r="I25" s="2">
        <v>61</v>
      </c>
      <c r="J25" s="2">
        <f t="shared" si="2"/>
        <v>127</v>
      </c>
      <c r="K25" s="2">
        <f t="shared" si="3"/>
        <v>127</v>
      </c>
      <c r="L25" s="2">
        <v>2000</v>
      </c>
      <c r="M25" s="2">
        <f>28+21</f>
        <v>49</v>
      </c>
      <c r="N25" s="2">
        <v>57</v>
      </c>
      <c r="O25" s="2">
        <v>0</v>
      </c>
      <c r="P25" s="2">
        <f t="shared" si="1"/>
        <v>2106</v>
      </c>
      <c r="Q25" s="2">
        <v>4</v>
      </c>
      <c r="R25" s="2">
        <v>0</v>
      </c>
      <c r="S25" s="2">
        <f t="shared" si="4"/>
        <v>4</v>
      </c>
      <c r="T25" s="2">
        <f>20+65</f>
        <v>85</v>
      </c>
      <c r="U25" s="2">
        <f>49+11+95+117+15+12+118</f>
        <v>417</v>
      </c>
      <c r="V25" s="2">
        <v>0</v>
      </c>
      <c r="W25" s="2">
        <f t="shared" si="5"/>
        <v>502</v>
      </c>
      <c r="X25" s="2">
        <f t="shared" si="6"/>
        <v>506</v>
      </c>
      <c r="Y25" s="14">
        <f t="shared" si="7"/>
        <v>2739</v>
      </c>
      <c r="Z25" s="1"/>
      <c r="AA25" s="1"/>
    </row>
    <row r="26" spans="1:27" x14ac:dyDescent="0.25">
      <c r="A26" s="2">
        <f t="shared" si="0"/>
        <v>26</v>
      </c>
      <c r="B26" s="1" t="s">
        <v>61</v>
      </c>
      <c r="C26" s="2">
        <v>0</v>
      </c>
      <c r="D26" s="2">
        <f>202+1</f>
        <v>203</v>
      </c>
      <c r="E26" s="2">
        <v>0</v>
      </c>
      <c r="F26" s="2">
        <v>13</v>
      </c>
      <c r="G26" s="2">
        <v>350</v>
      </c>
      <c r="H26" s="2">
        <f>14+14</f>
        <v>28</v>
      </c>
      <c r="I26" s="2">
        <v>268</v>
      </c>
      <c r="J26" s="2">
        <f t="shared" si="2"/>
        <v>862</v>
      </c>
      <c r="K26" s="2">
        <f t="shared" si="3"/>
        <v>862</v>
      </c>
      <c r="L26" s="2">
        <v>7000</v>
      </c>
      <c r="M26" s="2">
        <v>275</v>
      </c>
      <c r="N26" s="2">
        <v>269</v>
      </c>
      <c r="O26" s="2">
        <v>0</v>
      </c>
      <c r="P26" s="2">
        <f t="shared" si="1"/>
        <v>7544</v>
      </c>
      <c r="Q26" s="2">
        <v>23</v>
      </c>
      <c r="R26" s="2">
        <v>0</v>
      </c>
      <c r="S26" s="2">
        <f t="shared" si="4"/>
        <v>23</v>
      </c>
      <c r="T26" s="2">
        <f>23+99</f>
        <v>122</v>
      </c>
      <c r="U26" s="2">
        <f>160+2+202+243+52+32+305</f>
        <v>996</v>
      </c>
      <c r="V26" s="2">
        <v>7</v>
      </c>
      <c r="W26" s="2">
        <f t="shared" si="5"/>
        <v>1125</v>
      </c>
      <c r="X26" s="2">
        <f t="shared" si="6"/>
        <v>1148</v>
      </c>
      <c r="Y26" s="14">
        <f t="shared" si="7"/>
        <v>9554</v>
      </c>
      <c r="Z26" s="1"/>
      <c r="AA26" s="1"/>
    </row>
    <row r="27" spans="1:27" x14ac:dyDescent="0.25">
      <c r="A27" s="2">
        <f t="shared" si="0"/>
        <v>27</v>
      </c>
      <c r="B27" s="1" t="s">
        <v>62</v>
      </c>
      <c r="C27" s="9">
        <v>0</v>
      </c>
      <c r="D27" s="9">
        <v>38</v>
      </c>
      <c r="E27" s="9">
        <v>0</v>
      </c>
      <c r="F27" s="9">
        <v>9</v>
      </c>
      <c r="G27" s="9">
        <v>42</v>
      </c>
      <c r="H27" s="9">
        <v>1</v>
      </c>
      <c r="I27" s="9">
        <v>101</v>
      </c>
      <c r="J27" s="9">
        <f t="shared" si="2"/>
        <v>191</v>
      </c>
      <c r="K27" s="9">
        <f t="shared" si="3"/>
        <v>191</v>
      </c>
      <c r="L27" s="9">
        <v>0</v>
      </c>
      <c r="M27" s="9">
        <v>0</v>
      </c>
      <c r="N27" s="9">
        <v>0</v>
      </c>
      <c r="O27" s="9">
        <v>0</v>
      </c>
      <c r="P27" s="9">
        <f t="shared" si="1"/>
        <v>0</v>
      </c>
      <c r="Q27" s="9">
        <v>10</v>
      </c>
      <c r="R27" s="9">
        <v>0</v>
      </c>
      <c r="S27" s="9">
        <f t="shared" si="4"/>
        <v>10</v>
      </c>
      <c r="T27" s="9">
        <f>4+14</f>
        <v>18</v>
      </c>
      <c r="U27" s="9">
        <f>59+3+90+90+13+7+100</f>
        <v>362</v>
      </c>
      <c r="V27" s="9">
        <v>0</v>
      </c>
      <c r="W27" s="9">
        <f t="shared" si="5"/>
        <v>380</v>
      </c>
      <c r="X27" s="9">
        <f t="shared" si="6"/>
        <v>390</v>
      </c>
      <c r="Y27" s="9">
        <f t="shared" si="7"/>
        <v>581</v>
      </c>
      <c r="Z27" s="1"/>
      <c r="AA27" s="1"/>
    </row>
    <row r="28" spans="1:27" x14ac:dyDescent="0.25">
      <c r="A28" s="2">
        <f t="shared" si="0"/>
        <v>28</v>
      </c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"/>
      <c r="Z28" s="1"/>
      <c r="AA28" s="1"/>
    </row>
    <row r="29" spans="1:27" ht="15.75" thickBot="1" x14ac:dyDescent="0.3">
      <c r="A29" s="2">
        <f t="shared" si="0"/>
        <v>29</v>
      </c>
      <c r="B29" s="1" t="s">
        <v>63</v>
      </c>
      <c r="C29" s="10">
        <f>SUM(C12:C27)</f>
        <v>0</v>
      </c>
      <c r="D29" s="10">
        <f t="shared" ref="D29:Y29" si="8">SUM(D12:D27)</f>
        <v>1123</v>
      </c>
      <c r="E29" s="10">
        <f t="shared" si="8"/>
        <v>35</v>
      </c>
      <c r="F29" s="10">
        <f t="shared" si="8"/>
        <v>48</v>
      </c>
      <c r="G29" s="10">
        <f t="shared" si="8"/>
        <v>1044</v>
      </c>
      <c r="H29" s="10">
        <f t="shared" si="8"/>
        <v>514</v>
      </c>
      <c r="I29" s="10">
        <f t="shared" si="8"/>
        <v>2095</v>
      </c>
      <c r="J29" s="10">
        <f t="shared" si="8"/>
        <v>4859</v>
      </c>
      <c r="K29" s="10">
        <f t="shared" si="8"/>
        <v>4859</v>
      </c>
      <c r="L29" s="10">
        <f t="shared" si="8"/>
        <v>58200</v>
      </c>
      <c r="M29" s="10">
        <f t="shared" si="8"/>
        <v>1827</v>
      </c>
      <c r="N29" s="10">
        <f t="shared" si="8"/>
        <v>7878</v>
      </c>
      <c r="O29" s="10">
        <f t="shared" si="8"/>
        <v>0</v>
      </c>
      <c r="P29" s="10">
        <f t="shared" si="8"/>
        <v>67905</v>
      </c>
      <c r="Q29" s="10">
        <f t="shared" si="8"/>
        <v>192</v>
      </c>
      <c r="R29" s="10">
        <f t="shared" si="8"/>
        <v>1</v>
      </c>
      <c r="S29" s="10">
        <f t="shared" si="8"/>
        <v>193</v>
      </c>
      <c r="T29" s="10">
        <f t="shared" si="8"/>
        <v>1590</v>
      </c>
      <c r="U29" s="10">
        <f t="shared" si="8"/>
        <v>10739</v>
      </c>
      <c r="V29" s="10">
        <f t="shared" si="8"/>
        <v>174</v>
      </c>
      <c r="W29" s="10">
        <f t="shared" si="8"/>
        <v>12503</v>
      </c>
      <c r="X29" s="10">
        <f t="shared" si="8"/>
        <v>12696</v>
      </c>
      <c r="Y29" s="10">
        <f t="shared" si="8"/>
        <v>85460</v>
      </c>
      <c r="Z29" s="1"/>
      <c r="AA29" s="1"/>
    </row>
    <row r="30" spans="1:27" ht="15.75" thickTop="1" x14ac:dyDescent="0.25">
      <c r="A30" s="2">
        <f t="shared" si="0"/>
        <v>30</v>
      </c>
      <c r="B30" s="7" t="s">
        <v>65</v>
      </c>
      <c r="C30" s="1" t="s">
        <v>67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5">
      <c r="A31" s="2">
        <f t="shared" si="0"/>
        <v>31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5">
      <c r="A32" s="2">
        <f t="shared" si="0"/>
        <v>32</v>
      </c>
      <c r="B32" s="6" t="s">
        <v>64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8" x14ac:dyDescent="0.25">
      <c r="A33" s="2">
        <f t="shared" si="0"/>
        <v>33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8" x14ac:dyDescent="0.25">
      <c r="A34" s="2">
        <f t="shared" si="0"/>
        <v>34</v>
      </c>
      <c r="B34" s="1" t="s">
        <v>69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1174824</v>
      </c>
      <c r="J34" s="8">
        <f>SUM(D34:I34)</f>
        <v>1174824</v>
      </c>
      <c r="K34" s="8">
        <f>C34+J34</f>
        <v>1174824</v>
      </c>
      <c r="L34" s="8">
        <v>0</v>
      </c>
      <c r="M34" s="8">
        <v>0</v>
      </c>
      <c r="N34" s="8">
        <v>0</v>
      </c>
      <c r="O34" s="8">
        <v>1255049</v>
      </c>
      <c r="P34" s="8">
        <f>SUM(L34:O34)</f>
        <v>1255049</v>
      </c>
      <c r="Q34" s="8">
        <v>0</v>
      </c>
      <c r="R34" s="8">
        <v>0</v>
      </c>
      <c r="S34" s="8">
        <f>Q34+R34</f>
        <v>0</v>
      </c>
      <c r="T34" s="8">
        <v>0</v>
      </c>
      <c r="U34" s="8">
        <v>0</v>
      </c>
      <c r="V34" s="8">
        <v>0</v>
      </c>
      <c r="W34" s="8">
        <f>T34+U34+V34</f>
        <v>0</v>
      </c>
      <c r="X34" s="8">
        <f>S34+W34</f>
        <v>0</v>
      </c>
      <c r="Y34" s="8">
        <f>K34+P34+X34</f>
        <v>2429873</v>
      </c>
      <c r="Z34" s="20">
        <f>ROUND(Y34/Y$52,5)</f>
        <v>0.22548000000000001</v>
      </c>
      <c r="AA34" s="20">
        <f>ROUND((K34+P34)/(K$52+P$52),5)</f>
        <v>0.36542000000000002</v>
      </c>
      <c r="AB34" s="20">
        <f>ROUND(X34/X$52,5)</f>
        <v>0</v>
      </c>
    </row>
    <row r="35" spans="1:28" x14ac:dyDescent="0.25">
      <c r="A35" s="2">
        <f t="shared" si="0"/>
        <v>35</v>
      </c>
      <c r="B35" s="1" t="s">
        <v>47</v>
      </c>
      <c r="C35" s="8">
        <v>0</v>
      </c>
      <c r="D35" s="8">
        <v>4601</v>
      </c>
      <c r="E35" s="8">
        <v>0</v>
      </c>
      <c r="F35" s="8">
        <v>4300</v>
      </c>
      <c r="G35" s="8">
        <v>63784</v>
      </c>
      <c r="H35" s="8">
        <v>0</v>
      </c>
      <c r="I35" s="8">
        <v>0</v>
      </c>
      <c r="J35" s="8">
        <f>SUM(D35:I35)</f>
        <v>72685</v>
      </c>
      <c r="K35" s="8">
        <f>C35+J35</f>
        <v>72685</v>
      </c>
      <c r="L35" s="8">
        <v>0</v>
      </c>
      <c r="M35" s="8">
        <v>0</v>
      </c>
      <c r="N35" s="8">
        <f>2160+0</f>
        <v>2160</v>
      </c>
      <c r="O35" s="8">
        <v>0</v>
      </c>
      <c r="P35" s="8">
        <f>SUM(L35:O35)</f>
        <v>2160</v>
      </c>
      <c r="Q35" s="8">
        <v>22770</v>
      </c>
      <c r="R35" s="8">
        <v>0</v>
      </c>
      <c r="S35" s="8">
        <f>Q35+R35</f>
        <v>22770</v>
      </c>
      <c r="T35" s="8">
        <f>890+2226</f>
        <v>3116</v>
      </c>
      <c r="U35" s="8">
        <f>17550+3845+940+120+3350</f>
        <v>25805</v>
      </c>
      <c r="V35" s="8">
        <v>1000</v>
      </c>
      <c r="W35" s="8">
        <f>T35+U35+V35</f>
        <v>29921</v>
      </c>
      <c r="X35" s="8">
        <f>S35+W35</f>
        <v>52691</v>
      </c>
      <c r="Y35" s="8">
        <f>K35+P35+X35</f>
        <v>127536</v>
      </c>
      <c r="Z35" s="22">
        <f t="shared" ref="Z35:Z50" si="9">ROUND(Y35/Y$52,5)</f>
        <v>1.183E-2</v>
      </c>
      <c r="AA35" s="22">
        <f t="shared" ref="AA35:AA50" si="10">ROUND((K35+P35)/(K$52+P$52),5)</f>
        <v>1.1259999999999999E-2</v>
      </c>
      <c r="AB35" s="22">
        <f t="shared" ref="AB35:AB50" si="11">ROUND(X35/X$52,5)</f>
        <v>1.277E-2</v>
      </c>
    </row>
    <row r="36" spans="1:28" x14ac:dyDescent="0.25">
      <c r="A36" s="2">
        <f t="shared" si="0"/>
        <v>36</v>
      </c>
      <c r="B36" s="1" t="s">
        <v>48</v>
      </c>
      <c r="C36" s="8">
        <v>0</v>
      </c>
      <c r="D36" s="8">
        <f>200452+2085+2625</f>
        <v>205162</v>
      </c>
      <c r="E36" s="8">
        <v>0</v>
      </c>
      <c r="F36" s="8">
        <v>0</v>
      </c>
      <c r="G36" s="8">
        <v>108725</v>
      </c>
      <c r="H36" s="8">
        <f>344520+1400</f>
        <v>345920</v>
      </c>
      <c r="I36" s="8">
        <v>0</v>
      </c>
      <c r="J36" s="8">
        <f t="shared" ref="J36:J50" si="12">SUM(D36:I36)</f>
        <v>659807</v>
      </c>
      <c r="K36" s="8">
        <f t="shared" ref="K36:K50" si="13">C36+J36</f>
        <v>659807</v>
      </c>
      <c r="L36" s="8">
        <v>4500</v>
      </c>
      <c r="M36" s="8">
        <v>0</v>
      </c>
      <c r="N36" s="8">
        <v>184</v>
      </c>
      <c r="O36" s="8">
        <v>0</v>
      </c>
      <c r="P36" s="8">
        <f t="shared" ref="P36:P50" si="14">SUM(L36:O36)</f>
        <v>4684</v>
      </c>
      <c r="Q36" s="8">
        <v>99464</v>
      </c>
      <c r="R36" s="8">
        <v>0</v>
      </c>
      <c r="S36" s="8">
        <f t="shared" ref="S36:S50" si="15">Q36+R36</f>
        <v>99464</v>
      </c>
      <c r="T36" s="8">
        <f>10031+54026</f>
        <v>64057</v>
      </c>
      <c r="U36" s="8">
        <f>123735+17510+47675+38420+2600+11315+56875</f>
        <v>298130</v>
      </c>
      <c r="V36" s="8">
        <v>41000</v>
      </c>
      <c r="W36" s="8">
        <f t="shared" ref="W36:W50" si="16">T36+U36+V36</f>
        <v>403187</v>
      </c>
      <c r="X36" s="8">
        <f t="shared" ref="X36:X50" si="17">S36+W36</f>
        <v>502651</v>
      </c>
      <c r="Y36" s="15">
        <f t="shared" ref="Y36:Y50" si="18">K36+P36+X36</f>
        <v>1167142</v>
      </c>
      <c r="Z36" s="22">
        <f t="shared" si="9"/>
        <v>0.10831</v>
      </c>
      <c r="AA36" s="22">
        <f t="shared" si="10"/>
        <v>9.9930000000000005E-2</v>
      </c>
      <c r="AB36" s="22">
        <f t="shared" si="11"/>
        <v>0.12180000000000001</v>
      </c>
    </row>
    <row r="37" spans="1:28" x14ac:dyDescent="0.25">
      <c r="A37" s="2">
        <f t="shared" si="0"/>
        <v>37</v>
      </c>
      <c r="B37" s="1" t="s">
        <v>49</v>
      </c>
      <c r="C37" s="8">
        <v>0</v>
      </c>
      <c r="D37" s="8">
        <v>14580</v>
      </c>
      <c r="E37" s="8">
        <v>0</v>
      </c>
      <c r="F37" s="8">
        <v>0</v>
      </c>
      <c r="G37" s="8">
        <v>28430</v>
      </c>
      <c r="H37" s="8">
        <f>14880+2800</f>
        <v>17680</v>
      </c>
      <c r="I37" s="8">
        <v>0</v>
      </c>
      <c r="J37" s="8">
        <f t="shared" si="12"/>
        <v>60690</v>
      </c>
      <c r="K37" s="8">
        <f t="shared" si="13"/>
        <v>60690</v>
      </c>
      <c r="L37" s="8">
        <v>5400</v>
      </c>
      <c r="M37" s="8">
        <v>0</v>
      </c>
      <c r="N37" s="8">
        <v>0</v>
      </c>
      <c r="O37" s="8">
        <v>0</v>
      </c>
      <c r="P37" s="8">
        <f t="shared" si="14"/>
        <v>5400</v>
      </c>
      <c r="Q37" s="8">
        <v>189499</v>
      </c>
      <c r="R37" s="8">
        <v>0</v>
      </c>
      <c r="S37" s="8">
        <f t="shared" si="15"/>
        <v>189499</v>
      </c>
      <c r="T37" s="8">
        <f>1890+12819</f>
        <v>14709</v>
      </c>
      <c r="U37" s="8">
        <f>32480+800+12700+5885+480+2355+13605</f>
        <v>68305</v>
      </c>
      <c r="V37" s="8">
        <v>0</v>
      </c>
      <c r="W37" s="8">
        <f t="shared" si="16"/>
        <v>83014</v>
      </c>
      <c r="X37" s="8">
        <f t="shared" si="17"/>
        <v>272513</v>
      </c>
      <c r="Y37" s="15">
        <f t="shared" si="18"/>
        <v>338603</v>
      </c>
      <c r="Z37" s="22">
        <f t="shared" si="9"/>
        <v>3.1419999999999997E-2</v>
      </c>
      <c r="AA37" s="22">
        <f t="shared" si="10"/>
        <v>9.9399999999999992E-3</v>
      </c>
      <c r="AB37" s="22">
        <f t="shared" si="11"/>
        <v>6.6030000000000005E-2</v>
      </c>
    </row>
    <row r="38" spans="1:28" x14ac:dyDescent="0.25">
      <c r="A38" s="2">
        <f t="shared" si="0"/>
        <v>38</v>
      </c>
      <c r="B38" s="1" t="s">
        <v>50</v>
      </c>
      <c r="C38" s="8">
        <v>0</v>
      </c>
      <c r="D38" s="8">
        <v>12097</v>
      </c>
      <c r="E38" s="8">
        <f>21600+5800</f>
        <v>27400</v>
      </c>
      <c r="F38" s="8">
        <v>4300</v>
      </c>
      <c r="G38" s="8">
        <v>33097</v>
      </c>
      <c r="H38" s="8">
        <f>4200+1400</f>
        <v>5600</v>
      </c>
      <c r="I38" s="8">
        <v>0</v>
      </c>
      <c r="J38" s="8">
        <f t="shared" si="12"/>
        <v>82494</v>
      </c>
      <c r="K38" s="8">
        <f t="shared" si="13"/>
        <v>82494</v>
      </c>
      <c r="L38" s="8">
        <v>4230</v>
      </c>
      <c r="M38" s="8">
        <v>0</v>
      </c>
      <c r="N38" s="8">
        <v>0</v>
      </c>
      <c r="O38" s="8">
        <v>0</v>
      </c>
      <c r="P38" s="8">
        <f t="shared" si="14"/>
        <v>4230</v>
      </c>
      <c r="Q38" s="8">
        <v>46317</v>
      </c>
      <c r="R38" s="8">
        <v>0</v>
      </c>
      <c r="S38" s="8">
        <f t="shared" si="15"/>
        <v>46317</v>
      </c>
      <c r="T38" s="8">
        <f>495+6991</f>
        <v>7486</v>
      </c>
      <c r="U38" s="8">
        <f>15015+1600+3615+1485+120+5085+6925</f>
        <v>33845</v>
      </c>
      <c r="V38" s="8">
        <v>0</v>
      </c>
      <c r="W38" s="8">
        <f t="shared" si="16"/>
        <v>41331</v>
      </c>
      <c r="X38" s="8">
        <f t="shared" si="17"/>
        <v>87648</v>
      </c>
      <c r="Y38" s="15">
        <f t="shared" si="18"/>
        <v>174372</v>
      </c>
      <c r="Z38" s="22">
        <f t="shared" si="9"/>
        <v>1.618E-2</v>
      </c>
      <c r="AA38" s="22">
        <f t="shared" si="10"/>
        <v>1.304E-2</v>
      </c>
      <c r="AB38" s="22">
        <f t="shared" si="11"/>
        <v>2.1239999999999998E-2</v>
      </c>
    </row>
    <row r="39" spans="1:28" x14ac:dyDescent="0.25">
      <c r="A39" s="2">
        <f t="shared" si="0"/>
        <v>39</v>
      </c>
      <c r="B39" s="1" t="s">
        <v>51</v>
      </c>
      <c r="C39" s="8">
        <v>0</v>
      </c>
      <c r="D39" s="8">
        <f>32365+2625</f>
        <v>34990</v>
      </c>
      <c r="E39" s="8">
        <v>2700</v>
      </c>
      <c r="F39" s="8">
        <v>4300</v>
      </c>
      <c r="G39" s="8">
        <v>114095</v>
      </c>
      <c r="H39" s="8">
        <f>1400+1400</f>
        <v>2800</v>
      </c>
      <c r="I39" s="8">
        <v>0</v>
      </c>
      <c r="J39" s="8">
        <f t="shared" si="12"/>
        <v>158885</v>
      </c>
      <c r="K39" s="8">
        <f t="shared" si="13"/>
        <v>158885</v>
      </c>
      <c r="L39" s="8">
        <v>0</v>
      </c>
      <c r="M39" s="8">
        <v>0</v>
      </c>
      <c r="N39" s="8">
        <v>450</v>
      </c>
      <c r="O39" s="8">
        <v>0</v>
      </c>
      <c r="P39" s="8">
        <f t="shared" si="14"/>
        <v>450</v>
      </c>
      <c r="Q39" s="8">
        <v>43613</v>
      </c>
      <c r="R39" s="8">
        <v>0</v>
      </c>
      <c r="S39" s="8">
        <f t="shared" si="15"/>
        <v>43613</v>
      </c>
      <c r="T39" s="8">
        <f>2508+8417</f>
        <v>10925</v>
      </c>
      <c r="U39" s="8">
        <f>12925+2700+8545+4245+485+985+8810</f>
        <v>38695</v>
      </c>
      <c r="V39" s="8">
        <v>37000</v>
      </c>
      <c r="W39" s="8">
        <f t="shared" si="16"/>
        <v>86620</v>
      </c>
      <c r="X39" s="8">
        <f t="shared" si="17"/>
        <v>130233</v>
      </c>
      <c r="Y39" s="15">
        <f t="shared" si="18"/>
        <v>289568</v>
      </c>
      <c r="Z39" s="22">
        <f t="shared" si="9"/>
        <v>2.6870000000000002E-2</v>
      </c>
      <c r="AA39" s="22">
        <f t="shared" si="10"/>
        <v>2.3959999999999999E-2</v>
      </c>
      <c r="AB39" s="22">
        <f t="shared" si="11"/>
        <v>3.1559999999999998E-2</v>
      </c>
    </row>
    <row r="40" spans="1:28" x14ac:dyDescent="0.25">
      <c r="A40" s="2">
        <f t="shared" si="0"/>
        <v>40</v>
      </c>
      <c r="B40" s="1" t="s">
        <v>52</v>
      </c>
      <c r="C40" s="8">
        <v>0</v>
      </c>
      <c r="D40" s="8">
        <v>10388</v>
      </c>
      <c r="E40" s="8">
        <v>0</v>
      </c>
      <c r="F40" s="8">
        <v>8600</v>
      </c>
      <c r="G40" s="8">
        <v>55708</v>
      </c>
      <c r="H40" s="8">
        <v>12600</v>
      </c>
      <c r="I40" s="8">
        <v>0</v>
      </c>
      <c r="J40" s="8">
        <f t="shared" si="12"/>
        <v>87296</v>
      </c>
      <c r="K40" s="8">
        <f t="shared" si="13"/>
        <v>87296</v>
      </c>
      <c r="L40" s="8">
        <v>0</v>
      </c>
      <c r="M40" s="8">
        <v>0</v>
      </c>
      <c r="N40" s="8">
        <v>0</v>
      </c>
      <c r="O40" s="8">
        <v>0</v>
      </c>
      <c r="P40" s="8">
        <f t="shared" si="14"/>
        <v>0</v>
      </c>
      <c r="Q40" s="8">
        <v>27576</v>
      </c>
      <c r="R40" s="8">
        <v>0</v>
      </c>
      <c r="S40" s="8">
        <f t="shared" si="15"/>
        <v>27576</v>
      </c>
      <c r="T40" s="8">
        <f>1841+12427</f>
        <v>14268</v>
      </c>
      <c r="U40" s="8">
        <f>29495+400+8370+5920+1000+3040+9330</f>
        <v>57555</v>
      </c>
      <c r="V40" s="8">
        <v>0</v>
      </c>
      <c r="W40" s="8">
        <f t="shared" si="16"/>
        <v>71823</v>
      </c>
      <c r="X40" s="8">
        <f t="shared" si="17"/>
        <v>99399</v>
      </c>
      <c r="Y40" s="15">
        <f t="shared" si="18"/>
        <v>186695</v>
      </c>
      <c r="Z40" s="22">
        <f t="shared" si="9"/>
        <v>1.7319999999999999E-2</v>
      </c>
      <c r="AA40" s="22">
        <f t="shared" si="10"/>
        <v>1.3129999999999999E-2</v>
      </c>
      <c r="AB40" s="22">
        <f t="shared" si="11"/>
        <v>2.409E-2</v>
      </c>
    </row>
    <row r="41" spans="1:28" x14ac:dyDescent="0.25">
      <c r="A41" s="2">
        <f t="shared" si="0"/>
        <v>41</v>
      </c>
      <c r="B41" s="1" t="s">
        <v>53</v>
      </c>
      <c r="C41" s="8">
        <v>0</v>
      </c>
      <c r="D41" s="8">
        <v>19166</v>
      </c>
      <c r="E41" s="8">
        <v>21600</v>
      </c>
      <c r="F41" s="8">
        <v>8600</v>
      </c>
      <c r="G41" s="8">
        <v>39508</v>
      </c>
      <c r="H41" s="8">
        <v>0</v>
      </c>
      <c r="I41" s="8">
        <v>0</v>
      </c>
      <c r="J41" s="8">
        <f t="shared" si="12"/>
        <v>88874</v>
      </c>
      <c r="K41" s="8">
        <f t="shared" si="13"/>
        <v>88874</v>
      </c>
      <c r="L41" s="8">
        <v>5400</v>
      </c>
      <c r="M41" s="8">
        <v>0</v>
      </c>
      <c r="N41" s="8">
        <v>0</v>
      </c>
      <c r="O41" s="8">
        <v>0</v>
      </c>
      <c r="P41" s="8">
        <f t="shared" si="14"/>
        <v>5400</v>
      </c>
      <c r="Q41" s="8">
        <v>54932</v>
      </c>
      <c r="R41" s="8">
        <v>0</v>
      </c>
      <c r="S41" s="8">
        <f t="shared" si="15"/>
        <v>54932</v>
      </c>
      <c r="T41" s="8">
        <f>2235+2358</f>
        <v>4593</v>
      </c>
      <c r="U41" s="8">
        <f>13555+800+4780+1990+555+300+5640</f>
        <v>27620</v>
      </c>
      <c r="V41" s="8">
        <v>6500</v>
      </c>
      <c r="W41" s="8">
        <f t="shared" si="16"/>
        <v>38713</v>
      </c>
      <c r="X41" s="8">
        <f t="shared" si="17"/>
        <v>93645</v>
      </c>
      <c r="Y41" s="15">
        <f t="shared" si="18"/>
        <v>187919</v>
      </c>
      <c r="Z41" s="22">
        <f t="shared" si="9"/>
        <v>1.7440000000000001E-2</v>
      </c>
      <c r="AA41" s="22">
        <f t="shared" si="10"/>
        <v>1.418E-2</v>
      </c>
      <c r="AB41" s="22">
        <f t="shared" si="11"/>
        <v>2.2689999999999998E-2</v>
      </c>
    </row>
    <row r="42" spans="1:28" x14ac:dyDescent="0.25">
      <c r="A42" s="2">
        <f t="shared" si="0"/>
        <v>42</v>
      </c>
      <c r="B42" s="1" t="s">
        <v>54</v>
      </c>
      <c r="C42" s="8">
        <v>0</v>
      </c>
      <c r="D42" s="8">
        <f>28377+2625</f>
        <v>31002</v>
      </c>
      <c r="E42" s="8">
        <v>8800</v>
      </c>
      <c r="F42" s="8">
        <v>12900</v>
      </c>
      <c r="G42" s="8">
        <v>84825</v>
      </c>
      <c r="H42" s="8">
        <f>9800+5600</f>
        <v>15400</v>
      </c>
      <c r="I42" s="8">
        <v>0</v>
      </c>
      <c r="J42" s="8">
        <f t="shared" si="12"/>
        <v>152927</v>
      </c>
      <c r="K42" s="8">
        <f t="shared" si="13"/>
        <v>152927</v>
      </c>
      <c r="L42" s="8">
        <v>6300</v>
      </c>
      <c r="M42" s="8">
        <v>0</v>
      </c>
      <c r="N42" s="8">
        <v>0</v>
      </c>
      <c r="O42" s="8">
        <v>0</v>
      </c>
      <c r="P42" s="8">
        <f t="shared" si="14"/>
        <v>6300</v>
      </c>
      <c r="Q42" s="8">
        <v>57537</v>
      </c>
      <c r="R42" s="8">
        <v>0</v>
      </c>
      <c r="S42" s="8">
        <f t="shared" si="15"/>
        <v>57537</v>
      </c>
      <c r="T42" s="8">
        <f>1313+15544</f>
        <v>16857</v>
      </c>
      <c r="U42" s="8">
        <f>49365+4055+24430+11275+1930+3940+28385</f>
        <v>123380</v>
      </c>
      <c r="V42" s="8">
        <v>0</v>
      </c>
      <c r="W42" s="8">
        <f t="shared" si="16"/>
        <v>140237</v>
      </c>
      <c r="X42" s="8">
        <f t="shared" si="17"/>
        <v>197774</v>
      </c>
      <c r="Y42" s="15">
        <f t="shared" si="18"/>
        <v>357001</v>
      </c>
      <c r="Z42" s="22">
        <f t="shared" si="9"/>
        <v>3.313E-2</v>
      </c>
      <c r="AA42" s="22">
        <f t="shared" si="10"/>
        <v>2.3949999999999999E-2</v>
      </c>
      <c r="AB42" s="22">
        <f t="shared" si="11"/>
        <v>4.7919999999999997E-2</v>
      </c>
    </row>
    <row r="43" spans="1:28" x14ac:dyDescent="0.25">
      <c r="A43" s="2">
        <f t="shared" si="0"/>
        <v>43</v>
      </c>
      <c r="B43" s="1" t="s">
        <v>55</v>
      </c>
      <c r="C43" s="8">
        <v>0</v>
      </c>
      <c r="D43" s="8">
        <v>61720</v>
      </c>
      <c r="E43" s="8">
        <f>14844+1450</f>
        <v>16294</v>
      </c>
      <c r="F43" s="8">
        <v>34400</v>
      </c>
      <c r="G43" s="8">
        <v>441021</v>
      </c>
      <c r="H43" s="8">
        <f>12600+58800</f>
        <v>71400</v>
      </c>
      <c r="I43" s="8">
        <v>0</v>
      </c>
      <c r="J43" s="8">
        <f t="shared" si="12"/>
        <v>624835</v>
      </c>
      <c r="K43" s="8">
        <f t="shared" si="13"/>
        <v>624835</v>
      </c>
      <c r="L43" s="8">
        <v>4500</v>
      </c>
      <c r="M43" s="8">
        <v>0</v>
      </c>
      <c r="N43" s="8">
        <v>1045</v>
      </c>
      <c r="O43" s="8">
        <v>0</v>
      </c>
      <c r="P43" s="8">
        <f t="shared" si="14"/>
        <v>5545</v>
      </c>
      <c r="Q43" s="8">
        <v>86098</v>
      </c>
      <c r="R43" s="8">
        <v>0</v>
      </c>
      <c r="S43" s="8">
        <f t="shared" si="15"/>
        <v>86098</v>
      </c>
      <c r="T43" s="8">
        <f>7476+30383</f>
        <v>37859</v>
      </c>
      <c r="U43" s="8">
        <f>38395+1200+26580+12605+1900+11185+28290</f>
        <v>120155</v>
      </c>
      <c r="V43" s="8">
        <v>4500</v>
      </c>
      <c r="W43" s="8">
        <f t="shared" si="16"/>
        <v>162514</v>
      </c>
      <c r="X43" s="8">
        <f t="shared" si="17"/>
        <v>248612</v>
      </c>
      <c r="Y43" s="15">
        <f t="shared" si="18"/>
        <v>878992</v>
      </c>
      <c r="Z43" s="22">
        <f t="shared" si="9"/>
        <v>8.1570000000000004E-2</v>
      </c>
      <c r="AA43" s="22">
        <f t="shared" si="10"/>
        <v>9.4799999999999995E-2</v>
      </c>
      <c r="AB43" s="22">
        <f t="shared" si="11"/>
        <v>6.0240000000000002E-2</v>
      </c>
    </row>
    <row r="44" spans="1:28" x14ac:dyDescent="0.25">
      <c r="A44" s="2">
        <f t="shared" si="0"/>
        <v>44</v>
      </c>
      <c r="B44" s="1" t="s">
        <v>56</v>
      </c>
      <c r="C44" s="8">
        <v>0</v>
      </c>
      <c r="D44" s="8">
        <v>2714</v>
      </c>
      <c r="E44" s="8">
        <v>0</v>
      </c>
      <c r="F44" s="8">
        <v>4300</v>
      </c>
      <c r="G44" s="8">
        <v>74830</v>
      </c>
      <c r="H44" s="8">
        <v>1400</v>
      </c>
      <c r="I44" s="8">
        <v>0</v>
      </c>
      <c r="J44" s="8">
        <f t="shared" si="12"/>
        <v>83244</v>
      </c>
      <c r="K44" s="8">
        <f t="shared" si="13"/>
        <v>83244</v>
      </c>
      <c r="L44" s="8">
        <v>4500</v>
      </c>
      <c r="M44" s="8">
        <v>0</v>
      </c>
      <c r="N44" s="8">
        <v>902</v>
      </c>
      <c r="O44" s="8">
        <v>0</v>
      </c>
      <c r="P44" s="8">
        <f t="shared" si="14"/>
        <v>5402</v>
      </c>
      <c r="Q44" s="8">
        <v>151770</v>
      </c>
      <c r="R44" s="8">
        <v>0</v>
      </c>
      <c r="S44" s="8">
        <f t="shared" si="15"/>
        <v>151770</v>
      </c>
      <c r="T44" s="8">
        <f>273+3248</f>
        <v>3521</v>
      </c>
      <c r="U44" s="8">
        <f>9075+5885+1510+480+5910</f>
        <v>22860</v>
      </c>
      <c r="V44" s="8">
        <v>0</v>
      </c>
      <c r="W44" s="8">
        <f t="shared" si="16"/>
        <v>26381</v>
      </c>
      <c r="X44" s="8">
        <f t="shared" si="17"/>
        <v>178151</v>
      </c>
      <c r="Y44" s="15">
        <f t="shared" si="18"/>
        <v>266797</v>
      </c>
      <c r="Z44" s="22">
        <f t="shared" si="9"/>
        <v>2.4760000000000001E-2</v>
      </c>
      <c r="AA44" s="22">
        <f t="shared" si="10"/>
        <v>1.333E-2</v>
      </c>
      <c r="AB44" s="22">
        <f t="shared" si="11"/>
        <v>4.317E-2</v>
      </c>
    </row>
    <row r="45" spans="1:28" x14ac:dyDescent="0.25">
      <c r="A45" s="2">
        <f t="shared" si="0"/>
        <v>45</v>
      </c>
      <c r="B45" s="1" t="s">
        <v>57</v>
      </c>
      <c r="C45" s="8">
        <v>0</v>
      </c>
      <c r="D45" s="8">
        <v>37671</v>
      </c>
      <c r="E45" s="8">
        <v>0</v>
      </c>
      <c r="F45" s="8">
        <v>0</v>
      </c>
      <c r="G45" s="8">
        <v>110221</v>
      </c>
      <c r="H45" s="8">
        <v>53200</v>
      </c>
      <c r="I45" s="8">
        <v>0</v>
      </c>
      <c r="J45" s="8">
        <f t="shared" si="12"/>
        <v>201092</v>
      </c>
      <c r="K45" s="8">
        <f t="shared" si="13"/>
        <v>201092</v>
      </c>
      <c r="L45" s="8">
        <v>3150</v>
      </c>
      <c r="M45" s="8">
        <v>0</v>
      </c>
      <c r="N45" s="8">
        <v>0</v>
      </c>
      <c r="O45" s="8">
        <v>0</v>
      </c>
      <c r="P45" s="8">
        <f t="shared" si="14"/>
        <v>3150</v>
      </c>
      <c r="Q45" s="8">
        <v>115944</v>
      </c>
      <c r="R45" s="8">
        <v>0</v>
      </c>
      <c r="S45" s="8">
        <f t="shared" si="15"/>
        <v>115944</v>
      </c>
      <c r="T45" s="8">
        <f>11179+33691</f>
        <v>44870</v>
      </c>
      <c r="U45" s="8">
        <f>125815+4000+28630+13955+2305+9925+33365</f>
        <v>217995</v>
      </c>
      <c r="V45" s="8">
        <v>0</v>
      </c>
      <c r="W45" s="8">
        <f t="shared" si="16"/>
        <v>262865</v>
      </c>
      <c r="X45" s="8">
        <f t="shared" si="17"/>
        <v>378809</v>
      </c>
      <c r="Y45" s="15">
        <f t="shared" si="18"/>
        <v>583051</v>
      </c>
      <c r="Z45" s="22">
        <f t="shared" si="9"/>
        <v>5.4100000000000002E-2</v>
      </c>
      <c r="AA45" s="22">
        <f t="shared" si="10"/>
        <v>3.0720000000000001E-2</v>
      </c>
      <c r="AB45" s="22">
        <f t="shared" si="11"/>
        <v>9.1789999999999997E-2</v>
      </c>
    </row>
    <row r="46" spans="1:28" x14ac:dyDescent="0.25">
      <c r="A46" s="2">
        <f t="shared" si="0"/>
        <v>46</v>
      </c>
      <c r="B46" s="1" t="s">
        <v>58</v>
      </c>
      <c r="C46" s="8">
        <v>0</v>
      </c>
      <c r="D46" s="8">
        <v>13020</v>
      </c>
      <c r="E46" s="8">
        <v>0</v>
      </c>
      <c r="F46" s="8">
        <v>25800</v>
      </c>
      <c r="G46" s="8">
        <v>75517</v>
      </c>
      <c r="H46" s="8">
        <f>91000+8400</f>
        <v>99400</v>
      </c>
      <c r="I46" s="8">
        <v>0</v>
      </c>
      <c r="J46" s="8">
        <f t="shared" si="12"/>
        <v>213737</v>
      </c>
      <c r="K46" s="8">
        <f t="shared" si="13"/>
        <v>213737</v>
      </c>
      <c r="L46" s="8">
        <v>0</v>
      </c>
      <c r="M46" s="8">
        <v>0</v>
      </c>
      <c r="N46" s="8">
        <v>994</v>
      </c>
      <c r="O46" s="8">
        <v>0</v>
      </c>
      <c r="P46" s="8">
        <f t="shared" si="14"/>
        <v>994</v>
      </c>
      <c r="Q46" s="8">
        <v>219962</v>
      </c>
      <c r="R46" s="8">
        <v>3288</v>
      </c>
      <c r="S46" s="8">
        <f t="shared" si="15"/>
        <v>223250</v>
      </c>
      <c r="T46" s="8">
        <f>6152+24227</f>
        <v>30379</v>
      </c>
      <c r="U46" s="8">
        <f>72460+83775+36545+23065+1475+13315+49955</f>
        <v>280590</v>
      </c>
      <c r="V46" s="8">
        <v>0</v>
      </c>
      <c r="W46" s="8">
        <f t="shared" si="16"/>
        <v>310969</v>
      </c>
      <c r="X46" s="8">
        <f t="shared" si="17"/>
        <v>534219</v>
      </c>
      <c r="Y46" s="15">
        <f t="shared" si="18"/>
        <v>748950</v>
      </c>
      <c r="Z46" s="22">
        <f t="shared" si="9"/>
        <v>6.9500000000000006E-2</v>
      </c>
      <c r="AA46" s="22">
        <f t="shared" si="10"/>
        <v>3.2289999999999999E-2</v>
      </c>
      <c r="AB46" s="22">
        <f t="shared" si="11"/>
        <v>0.12945000000000001</v>
      </c>
    </row>
    <row r="47" spans="1:28" x14ac:dyDescent="0.25">
      <c r="A47" s="2">
        <f t="shared" si="0"/>
        <v>47</v>
      </c>
      <c r="B47" s="1" t="s">
        <v>59</v>
      </c>
      <c r="C47" s="8">
        <v>0</v>
      </c>
      <c r="D47" s="8">
        <v>22138</v>
      </c>
      <c r="E47" s="8">
        <v>0</v>
      </c>
      <c r="F47" s="8">
        <v>0</v>
      </c>
      <c r="G47" s="8">
        <v>81479</v>
      </c>
      <c r="H47" s="8">
        <f>8400+21000</f>
        <v>29400</v>
      </c>
      <c r="I47" s="8">
        <v>0</v>
      </c>
      <c r="J47" s="8">
        <f t="shared" si="12"/>
        <v>133017</v>
      </c>
      <c r="K47" s="8">
        <f t="shared" si="13"/>
        <v>133017</v>
      </c>
      <c r="L47" s="8">
        <v>6300</v>
      </c>
      <c r="M47" s="8">
        <v>0</v>
      </c>
      <c r="N47" s="8">
        <v>0</v>
      </c>
      <c r="O47" s="8">
        <v>0</v>
      </c>
      <c r="P47" s="8">
        <f t="shared" si="14"/>
        <v>6300</v>
      </c>
      <c r="Q47" s="8">
        <v>95458</v>
      </c>
      <c r="R47" s="8">
        <v>0</v>
      </c>
      <c r="S47" s="8">
        <f t="shared" si="15"/>
        <v>95458</v>
      </c>
      <c r="T47" s="8">
        <f>11965+45755</f>
        <v>57720</v>
      </c>
      <c r="U47" s="8">
        <f>69010+10800+63505+34465+5120+15285+70645</f>
        <v>268830</v>
      </c>
      <c r="V47" s="8">
        <v>0</v>
      </c>
      <c r="W47" s="8">
        <f t="shared" si="16"/>
        <v>326550</v>
      </c>
      <c r="X47" s="8">
        <f t="shared" si="17"/>
        <v>422008</v>
      </c>
      <c r="Y47" s="15">
        <f t="shared" si="18"/>
        <v>561325</v>
      </c>
      <c r="Z47" s="22">
        <f t="shared" si="9"/>
        <v>5.2089999999999997E-2</v>
      </c>
      <c r="AA47" s="22">
        <f t="shared" si="10"/>
        <v>2.095E-2</v>
      </c>
      <c r="AB47" s="22">
        <f t="shared" si="11"/>
        <v>0.10226</v>
      </c>
    </row>
    <row r="48" spans="1:28" x14ac:dyDescent="0.25">
      <c r="A48" s="2">
        <f t="shared" si="0"/>
        <v>48</v>
      </c>
      <c r="B48" s="1" t="s">
        <v>60</v>
      </c>
      <c r="C48" s="8">
        <v>0</v>
      </c>
      <c r="D48" s="8">
        <f>14717+2625</f>
        <v>17342</v>
      </c>
      <c r="E48" s="8">
        <v>2700</v>
      </c>
      <c r="F48" s="8">
        <v>4300</v>
      </c>
      <c r="G48" s="8">
        <v>60037</v>
      </c>
      <c r="H48" s="8">
        <f>12600+9800</f>
        <v>22400</v>
      </c>
      <c r="I48" s="8">
        <v>0</v>
      </c>
      <c r="J48" s="8">
        <f t="shared" si="12"/>
        <v>106779</v>
      </c>
      <c r="K48" s="8">
        <f t="shared" si="13"/>
        <v>106779</v>
      </c>
      <c r="L48" s="8">
        <v>1800</v>
      </c>
      <c r="M48" s="8">
        <v>0</v>
      </c>
      <c r="N48" s="8">
        <v>0</v>
      </c>
      <c r="O48" s="8">
        <v>0</v>
      </c>
      <c r="P48" s="8">
        <f t="shared" si="14"/>
        <v>1800</v>
      </c>
      <c r="Q48" s="8">
        <v>15542</v>
      </c>
      <c r="R48" s="8">
        <v>0</v>
      </c>
      <c r="S48" s="8">
        <f t="shared" si="15"/>
        <v>15542</v>
      </c>
      <c r="T48" s="8">
        <f>4116+15050</f>
        <v>19166</v>
      </c>
      <c r="U48" s="8">
        <f>34610+4800+12120+7500+710+5310+13660</f>
        <v>78710</v>
      </c>
      <c r="V48" s="8">
        <v>0</v>
      </c>
      <c r="W48" s="8">
        <f t="shared" si="16"/>
        <v>97876</v>
      </c>
      <c r="X48" s="8">
        <f t="shared" si="17"/>
        <v>113418</v>
      </c>
      <c r="Y48" s="15">
        <f t="shared" si="18"/>
        <v>221997</v>
      </c>
      <c r="Z48" s="22">
        <f t="shared" si="9"/>
        <v>2.06E-2</v>
      </c>
      <c r="AA48" s="22">
        <f t="shared" si="10"/>
        <v>1.6330000000000001E-2</v>
      </c>
      <c r="AB48" s="22">
        <f t="shared" si="11"/>
        <v>2.7480000000000001E-2</v>
      </c>
    </row>
    <row r="49" spans="1:28" x14ac:dyDescent="0.25">
      <c r="A49" s="2">
        <f t="shared" si="0"/>
        <v>49</v>
      </c>
      <c r="B49" s="1" t="s">
        <v>61</v>
      </c>
      <c r="C49" s="8">
        <v>0</v>
      </c>
      <c r="D49" s="8">
        <f>128332+2625</f>
        <v>130957</v>
      </c>
      <c r="E49" s="8">
        <v>0</v>
      </c>
      <c r="F49" s="8">
        <v>55900</v>
      </c>
      <c r="G49" s="8">
        <v>1055996</v>
      </c>
      <c r="H49" s="8">
        <f>19600+19600</f>
        <v>39200</v>
      </c>
      <c r="I49" s="8">
        <v>0</v>
      </c>
      <c r="J49" s="8">
        <f t="shared" si="12"/>
        <v>1282053</v>
      </c>
      <c r="K49" s="8">
        <f t="shared" si="13"/>
        <v>1282053</v>
      </c>
      <c r="L49" s="8">
        <v>6300</v>
      </c>
      <c r="M49" s="8">
        <v>0</v>
      </c>
      <c r="N49" s="8">
        <v>0</v>
      </c>
      <c r="O49" s="8">
        <v>0</v>
      </c>
      <c r="P49" s="8">
        <f t="shared" si="14"/>
        <v>6300</v>
      </c>
      <c r="Q49" s="8">
        <v>185276</v>
      </c>
      <c r="R49" s="8">
        <v>0</v>
      </c>
      <c r="S49" s="8">
        <f t="shared" si="15"/>
        <v>185276</v>
      </c>
      <c r="T49" s="8">
        <f>4266+23554</f>
        <v>27820</v>
      </c>
      <c r="U49" s="8">
        <f>121480+1185+26185+16290+3150+13535+35295</f>
        <v>217120</v>
      </c>
      <c r="V49" s="8">
        <v>3500</v>
      </c>
      <c r="W49" s="8">
        <f t="shared" si="16"/>
        <v>248440</v>
      </c>
      <c r="X49" s="8">
        <f t="shared" si="17"/>
        <v>433716</v>
      </c>
      <c r="Y49" s="15">
        <f t="shared" si="18"/>
        <v>1722069</v>
      </c>
      <c r="Z49" s="22">
        <f t="shared" si="9"/>
        <v>0.1598</v>
      </c>
      <c r="AA49" s="22">
        <f t="shared" si="10"/>
        <v>0.19375000000000001</v>
      </c>
      <c r="AB49" s="22">
        <f t="shared" si="11"/>
        <v>0.1051</v>
      </c>
    </row>
    <row r="50" spans="1:28" x14ac:dyDescent="0.25">
      <c r="A50" s="2">
        <f t="shared" si="0"/>
        <v>50</v>
      </c>
      <c r="B50" s="1" t="s">
        <v>62</v>
      </c>
      <c r="C50" s="12">
        <v>0</v>
      </c>
      <c r="D50" s="12">
        <v>25561</v>
      </c>
      <c r="E50" s="12">
        <v>0</v>
      </c>
      <c r="F50" s="12">
        <v>38700</v>
      </c>
      <c r="G50" s="12">
        <v>87515</v>
      </c>
      <c r="H50" s="12">
        <v>1400</v>
      </c>
      <c r="I50" s="12">
        <v>0</v>
      </c>
      <c r="J50" s="12">
        <f t="shared" si="12"/>
        <v>153176</v>
      </c>
      <c r="K50" s="12">
        <f t="shared" si="13"/>
        <v>153176</v>
      </c>
      <c r="L50" s="12">
        <v>0</v>
      </c>
      <c r="M50" s="12">
        <v>0</v>
      </c>
      <c r="N50" s="12">
        <v>0</v>
      </c>
      <c r="O50" s="12">
        <v>0</v>
      </c>
      <c r="P50" s="12">
        <f t="shared" si="14"/>
        <v>0</v>
      </c>
      <c r="Q50" s="12">
        <v>301130</v>
      </c>
      <c r="R50" s="12">
        <v>0</v>
      </c>
      <c r="S50" s="12">
        <f t="shared" si="15"/>
        <v>301130</v>
      </c>
      <c r="T50" s="12">
        <f>718+3652</f>
        <v>4370</v>
      </c>
      <c r="U50" s="12">
        <f>40800+1200+12340+5955+700+3340+11485</f>
        <v>75820</v>
      </c>
      <c r="V50" s="12">
        <v>0</v>
      </c>
      <c r="W50" s="12">
        <f t="shared" si="16"/>
        <v>80190</v>
      </c>
      <c r="X50" s="12">
        <f t="shared" si="17"/>
        <v>381320</v>
      </c>
      <c r="Y50" s="12">
        <f t="shared" si="18"/>
        <v>534496</v>
      </c>
      <c r="Z50" s="23">
        <f t="shared" si="9"/>
        <v>4.9599999999999998E-2</v>
      </c>
      <c r="AA50" s="23">
        <f t="shared" si="10"/>
        <v>2.3040000000000001E-2</v>
      </c>
      <c r="AB50" s="23">
        <f t="shared" si="11"/>
        <v>9.2399999999999996E-2</v>
      </c>
    </row>
    <row r="51" spans="1:28" x14ac:dyDescent="0.25">
      <c r="A51" s="2">
        <f t="shared" si="0"/>
        <v>51</v>
      </c>
      <c r="B51" s="1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15"/>
      <c r="Z51" s="20"/>
      <c r="AA51" s="20"/>
      <c r="AB51" s="21"/>
    </row>
    <row r="52" spans="1:28" ht="15.75" thickBot="1" x14ac:dyDescent="0.3">
      <c r="A52" s="2">
        <f t="shared" si="0"/>
        <v>52</v>
      </c>
      <c r="B52" s="1" t="s">
        <v>63</v>
      </c>
      <c r="C52" s="11">
        <f>SUM(C34:C50)</f>
        <v>0</v>
      </c>
      <c r="D52" s="11">
        <f t="shared" ref="D52:Y52" si="19">SUM(D34:D50)</f>
        <v>643109</v>
      </c>
      <c r="E52" s="11">
        <f t="shared" si="19"/>
        <v>79494</v>
      </c>
      <c r="F52" s="11">
        <f t="shared" si="19"/>
        <v>206400</v>
      </c>
      <c r="G52" s="11">
        <f t="shared" si="19"/>
        <v>2514788</v>
      </c>
      <c r="H52" s="11">
        <f t="shared" si="19"/>
        <v>717800</v>
      </c>
      <c r="I52" s="11">
        <f t="shared" si="19"/>
        <v>1174824</v>
      </c>
      <c r="J52" s="11">
        <f t="shared" si="19"/>
        <v>5336415</v>
      </c>
      <c r="K52" s="11">
        <f t="shared" si="19"/>
        <v>5336415</v>
      </c>
      <c r="L52" s="11">
        <f t="shared" si="19"/>
        <v>52380</v>
      </c>
      <c r="M52" s="11">
        <f t="shared" si="19"/>
        <v>0</v>
      </c>
      <c r="N52" s="11">
        <f t="shared" si="19"/>
        <v>5735</v>
      </c>
      <c r="O52" s="11">
        <f t="shared" si="19"/>
        <v>1255049</v>
      </c>
      <c r="P52" s="11">
        <f t="shared" si="19"/>
        <v>1313164</v>
      </c>
      <c r="Q52" s="11">
        <f t="shared" si="19"/>
        <v>1712888</v>
      </c>
      <c r="R52" s="11">
        <f t="shared" si="19"/>
        <v>3288</v>
      </c>
      <c r="S52" s="11">
        <f t="shared" si="19"/>
        <v>1716176</v>
      </c>
      <c r="T52" s="11">
        <f t="shared" si="19"/>
        <v>361716</v>
      </c>
      <c r="U52" s="11">
        <f t="shared" si="19"/>
        <v>1955415</v>
      </c>
      <c r="V52" s="11">
        <f t="shared" si="19"/>
        <v>93500</v>
      </c>
      <c r="W52" s="11">
        <f t="shared" si="19"/>
        <v>2410631</v>
      </c>
      <c r="X52" s="11">
        <f t="shared" si="19"/>
        <v>4126807</v>
      </c>
      <c r="Y52" s="11">
        <f t="shared" si="19"/>
        <v>10776386</v>
      </c>
      <c r="Z52" s="24">
        <f>SUM(Z34:Z50)</f>
        <v>0.99999999999999989</v>
      </c>
      <c r="AA52" s="24">
        <f t="shared" ref="AA52:AB52" si="20">SUM(AA34:AA50)</f>
        <v>1.0000199999999999</v>
      </c>
      <c r="AB52" s="24">
        <f t="shared" si="20"/>
        <v>0.99998999999999993</v>
      </c>
    </row>
    <row r="53" spans="1:28" ht="15.75" thickTop="1" x14ac:dyDescent="0.25">
      <c r="A53" s="2">
        <f t="shared" si="0"/>
        <v>53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5"/>
      <c r="Z53" s="1"/>
      <c r="AA53" s="1"/>
    </row>
    <row r="54" spans="1:28" x14ac:dyDescent="0.25">
      <c r="A54" s="2">
        <f t="shared" si="0"/>
        <v>54</v>
      </c>
      <c r="B54" s="7" t="s">
        <v>65</v>
      </c>
      <c r="C54" s="1" t="s">
        <v>68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6"/>
      <c r="Z54" s="1"/>
    </row>
    <row r="55" spans="1:28" x14ac:dyDescent="0.25">
      <c r="A55" s="2">
        <f t="shared" si="0"/>
        <v>55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</sheetData>
  <mergeCells count="7">
    <mergeCell ref="Z6:AB6"/>
    <mergeCell ref="C4:K4"/>
    <mergeCell ref="Q4:X4"/>
    <mergeCell ref="D5:J5"/>
    <mergeCell ref="L5:P5"/>
    <mergeCell ref="Q5:S5"/>
    <mergeCell ref="T5:W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zoomScale="80" zoomScaleNormal="80" workbookViewId="0">
      <selection activeCell="B2" sqref="B2"/>
    </sheetView>
  </sheetViews>
  <sheetFormatPr defaultColWidth="15.7109375" defaultRowHeight="15" x14ac:dyDescent="0.25"/>
  <cols>
    <col min="1" max="1" width="4.7109375" customWidth="1"/>
    <col min="2" max="2" width="20.7109375" customWidth="1"/>
  </cols>
  <sheetData>
    <row r="1" spans="1:28" x14ac:dyDescent="0.25">
      <c r="A1" s="2">
        <v>1</v>
      </c>
      <c r="B1" s="54" t="str">
        <f>Analysis!B1</f>
        <v>PSC DR2 Response 21.xlsx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x14ac:dyDescent="0.25">
      <c r="A2" s="2">
        <f>A1+1</f>
        <v>2</v>
      </c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8" x14ac:dyDescent="0.25">
      <c r="A3" s="2">
        <f t="shared" ref="A3:A55" si="0">A2+1</f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8" ht="15.75" thickBot="1" x14ac:dyDescent="0.3">
      <c r="A4" s="2">
        <f t="shared" si="0"/>
        <v>4</v>
      </c>
      <c r="B4" s="1"/>
      <c r="C4" s="66" t="s">
        <v>1</v>
      </c>
      <c r="D4" s="66"/>
      <c r="E4" s="66"/>
      <c r="F4" s="66"/>
      <c r="G4" s="66"/>
      <c r="H4" s="66"/>
      <c r="I4" s="66"/>
      <c r="J4" s="66"/>
      <c r="K4" s="66"/>
      <c r="L4" s="1"/>
      <c r="M4" s="1"/>
      <c r="N4" s="1"/>
      <c r="O4" s="1"/>
      <c r="P4" s="1"/>
      <c r="Q4" s="67" t="s">
        <v>45</v>
      </c>
      <c r="R4" s="67"/>
      <c r="S4" s="67"/>
      <c r="T4" s="67"/>
      <c r="U4" s="67"/>
      <c r="V4" s="67"/>
      <c r="W4" s="67"/>
      <c r="X4" s="67"/>
      <c r="Y4" s="1"/>
      <c r="Z4" s="1"/>
    </row>
    <row r="5" spans="1:28" x14ac:dyDescent="0.25">
      <c r="A5" s="2">
        <f t="shared" si="0"/>
        <v>5</v>
      </c>
      <c r="B5" s="1"/>
      <c r="C5" s="3" t="s">
        <v>2</v>
      </c>
      <c r="D5" s="60" t="s">
        <v>18</v>
      </c>
      <c r="E5" s="61"/>
      <c r="F5" s="61"/>
      <c r="G5" s="61"/>
      <c r="H5" s="61"/>
      <c r="I5" s="61"/>
      <c r="J5" s="62"/>
      <c r="K5" s="1"/>
      <c r="L5" s="63" t="s">
        <v>28</v>
      </c>
      <c r="M5" s="64"/>
      <c r="N5" s="64"/>
      <c r="O5" s="64"/>
      <c r="P5" s="65"/>
      <c r="Q5" s="60" t="s">
        <v>44</v>
      </c>
      <c r="R5" s="61"/>
      <c r="S5" s="62"/>
      <c r="T5" s="60" t="s">
        <v>43</v>
      </c>
      <c r="U5" s="61"/>
      <c r="V5" s="61"/>
      <c r="W5" s="62"/>
      <c r="X5" s="1"/>
      <c r="Y5" s="1"/>
      <c r="Z5" s="1"/>
    </row>
    <row r="6" spans="1:28" x14ac:dyDescent="0.25">
      <c r="A6" s="2">
        <f t="shared" si="0"/>
        <v>6</v>
      </c>
      <c r="B6" s="13">
        <v>2017</v>
      </c>
      <c r="C6" s="4" t="s">
        <v>9</v>
      </c>
      <c r="D6" s="4"/>
      <c r="E6" s="4"/>
      <c r="F6" s="4" t="s">
        <v>6</v>
      </c>
      <c r="G6" s="4" t="s">
        <v>11</v>
      </c>
      <c r="H6" s="4" t="s">
        <v>14</v>
      </c>
      <c r="I6" s="4" t="s">
        <v>9</v>
      </c>
      <c r="J6" s="4"/>
      <c r="K6" s="4" t="s">
        <v>29</v>
      </c>
      <c r="L6" s="4"/>
      <c r="M6" s="4"/>
      <c r="N6" s="4"/>
      <c r="O6" s="4" t="s">
        <v>25</v>
      </c>
      <c r="P6" s="4" t="s">
        <v>16</v>
      </c>
      <c r="Q6" s="4" t="s">
        <v>31</v>
      </c>
      <c r="R6" s="4"/>
      <c r="S6" s="4" t="s">
        <v>2</v>
      </c>
      <c r="T6" s="4"/>
      <c r="U6" s="4"/>
      <c r="V6" s="4" t="s">
        <v>39</v>
      </c>
      <c r="W6" s="4" t="s">
        <v>17</v>
      </c>
      <c r="X6" s="4" t="s">
        <v>29</v>
      </c>
      <c r="Y6" s="1"/>
      <c r="Z6" s="57" t="s">
        <v>71</v>
      </c>
      <c r="AA6" s="59"/>
      <c r="AB6" s="58"/>
    </row>
    <row r="7" spans="1:28" x14ac:dyDescent="0.25">
      <c r="A7" s="2">
        <f t="shared" si="0"/>
        <v>7</v>
      </c>
      <c r="B7" s="4"/>
      <c r="C7" s="4" t="s">
        <v>10</v>
      </c>
      <c r="D7" s="4"/>
      <c r="E7" s="4"/>
      <c r="F7" s="4" t="s">
        <v>7</v>
      </c>
      <c r="G7" s="4" t="s">
        <v>12</v>
      </c>
      <c r="H7" s="4" t="s">
        <v>15</v>
      </c>
      <c r="I7" s="4" t="s">
        <v>10</v>
      </c>
      <c r="J7" s="4" t="s">
        <v>16</v>
      </c>
      <c r="K7" s="4" t="s">
        <v>19</v>
      </c>
      <c r="L7" s="4" t="s">
        <v>21</v>
      </c>
      <c r="M7" s="4" t="s">
        <v>15</v>
      </c>
      <c r="N7" s="4" t="s">
        <v>24</v>
      </c>
      <c r="O7" s="4" t="s">
        <v>26</v>
      </c>
      <c r="P7" s="4" t="s">
        <v>30</v>
      </c>
      <c r="Q7" s="4" t="s">
        <v>32</v>
      </c>
      <c r="R7" s="4" t="s">
        <v>34</v>
      </c>
      <c r="S7" s="4" t="s">
        <v>42</v>
      </c>
      <c r="T7" s="4" t="s">
        <v>36</v>
      </c>
      <c r="U7" s="4" t="s">
        <v>6</v>
      </c>
      <c r="V7" s="4" t="s">
        <v>40</v>
      </c>
      <c r="W7" s="4" t="s">
        <v>42</v>
      </c>
      <c r="X7" s="4" t="s">
        <v>42</v>
      </c>
      <c r="Y7" s="4" t="s">
        <v>70</v>
      </c>
      <c r="Z7" s="17" t="s">
        <v>70</v>
      </c>
      <c r="AA7" s="17" t="s">
        <v>72</v>
      </c>
      <c r="AB7" s="18" t="s">
        <v>42</v>
      </c>
    </row>
    <row r="8" spans="1:28" ht="15.75" thickBot="1" x14ac:dyDescent="0.3">
      <c r="A8" s="2">
        <f t="shared" si="0"/>
        <v>8</v>
      </c>
      <c r="B8" s="5" t="s">
        <v>46</v>
      </c>
      <c r="C8" s="5" t="s">
        <v>3</v>
      </c>
      <c r="D8" s="5" t="s">
        <v>4</v>
      </c>
      <c r="E8" s="5" t="s">
        <v>5</v>
      </c>
      <c r="F8" s="5" t="s">
        <v>8</v>
      </c>
      <c r="G8" s="5" t="s">
        <v>13</v>
      </c>
      <c r="H8" s="5" t="s">
        <v>8</v>
      </c>
      <c r="I8" s="5" t="s">
        <v>3</v>
      </c>
      <c r="J8" s="5" t="s">
        <v>17</v>
      </c>
      <c r="K8" s="5" t="s">
        <v>20</v>
      </c>
      <c r="L8" s="5" t="s">
        <v>22</v>
      </c>
      <c r="M8" s="5" t="s">
        <v>23</v>
      </c>
      <c r="N8" s="5" t="s">
        <v>22</v>
      </c>
      <c r="O8" s="5" t="s">
        <v>27</v>
      </c>
      <c r="P8" s="5" t="s">
        <v>20</v>
      </c>
      <c r="Q8" s="5" t="s">
        <v>33</v>
      </c>
      <c r="R8" s="5" t="s">
        <v>35</v>
      </c>
      <c r="S8" s="5" t="s">
        <v>20</v>
      </c>
      <c r="T8" s="5" t="s">
        <v>37</v>
      </c>
      <c r="U8" s="5" t="s">
        <v>38</v>
      </c>
      <c r="V8" s="5" t="s">
        <v>41</v>
      </c>
      <c r="W8" s="5" t="s">
        <v>20</v>
      </c>
      <c r="X8" s="5" t="s">
        <v>20</v>
      </c>
      <c r="Y8" s="5" t="s">
        <v>63</v>
      </c>
      <c r="Z8" s="5" t="s">
        <v>63</v>
      </c>
      <c r="AA8" s="5" t="s">
        <v>20</v>
      </c>
      <c r="AB8" s="19" t="s">
        <v>20</v>
      </c>
    </row>
    <row r="9" spans="1:28" x14ac:dyDescent="0.25">
      <c r="A9" s="2">
        <f t="shared" si="0"/>
        <v>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8" x14ac:dyDescent="0.25">
      <c r="A10" s="2">
        <f t="shared" si="0"/>
        <v>10</v>
      </c>
      <c r="B10" s="6" t="s">
        <v>66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8" x14ac:dyDescent="0.25">
      <c r="A11" s="2">
        <f t="shared" si="0"/>
        <v>11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8" x14ac:dyDescent="0.25">
      <c r="A12" s="2">
        <f t="shared" si="0"/>
        <v>12</v>
      </c>
      <c r="B12" s="1" t="s">
        <v>47</v>
      </c>
      <c r="C12" s="2">
        <v>0</v>
      </c>
      <c r="D12" s="2">
        <v>4</v>
      </c>
      <c r="E12" s="2">
        <v>1</v>
      </c>
      <c r="F12" s="2">
        <v>4</v>
      </c>
      <c r="G12" s="2">
        <v>10</v>
      </c>
      <c r="H12" s="2">
        <v>0</v>
      </c>
      <c r="I12" s="2">
        <v>6</v>
      </c>
      <c r="J12" s="2">
        <f>SUM(D12:I12)</f>
        <v>25</v>
      </c>
      <c r="K12" s="2">
        <f>C12+J12</f>
        <v>25</v>
      </c>
      <c r="L12" s="2">
        <v>0</v>
      </c>
      <c r="M12" s="2">
        <v>8</v>
      </c>
      <c r="N12" s="2">
        <f>3000+2</f>
        <v>3002</v>
      </c>
      <c r="O12" s="2">
        <v>0</v>
      </c>
      <c r="P12" s="2">
        <f>SUM(L12:O12)</f>
        <v>3010</v>
      </c>
      <c r="Q12" s="2">
        <v>3</v>
      </c>
      <c r="R12" s="2">
        <v>0</v>
      </c>
      <c r="S12" s="2">
        <f>Q12+R12</f>
        <v>3</v>
      </c>
      <c r="T12" s="2">
        <f>2+12</f>
        <v>14</v>
      </c>
      <c r="U12" s="2">
        <f>9+2+23+8+9+2+25</f>
        <v>78</v>
      </c>
      <c r="V12" s="2">
        <v>0</v>
      </c>
      <c r="W12" s="2">
        <f>T12+U12+V12</f>
        <v>92</v>
      </c>
      <c r="X12" s="2">
        <f>S12+W12</f>
        <v>95</v>
      </c>
      <c r="Y12" s="2">
        <f>K12+P12+X12</f>
        <v>3130</v>
      </c>
      <c r="Z12" s="1"/>
      <c r="AA12" s="1"/>
    </row>
    <row r="13" spans="1:28" x14ac:dyDescent="0.25">
      <c r="A13" s="2">
        <f t="shared" si="0"/>
        <v>13</v>
      </c>
      <c r="B13" s="1" t="s">
        <v>48</v>
      </c>
      <c r="C13" s="2">
        <v>0</v>
      </c>
      <c r="D13" s="2">
        <v>89</v>
      </c>
      <c r="E13" s="2">
        <v>0</v>
      </c>
      <c r="F13" s="2">
        <v>0</v>
      </c>
      <c r="G13" s="2">
        <v>29</v>
      </c>
      <c r="H13" s="2">
        <v>227</v>
      </c>
      <c r="I13" s="2">
        <v>275</v>
      </c>
      <c r="J13" s="2">
        <f t="shared" ref="J13:J27" si="1">SUM(D13:I13)</f>
        <v>620</v>
      </c>
      <c r="K13" s="2">
        <f t="shared" ref="K13:K27" si="2">C13+J13</f>
        <v>620</v>
      </c>
      <c r="L13" s="2">
        <v>1000</v>
      </c>
      <c r="M13" s="2">
        <f>67+4</f>
        <v>71</v>
      </c>
      <c r="N13" s="2">
        <f>3600+76</f>
        <v>3676</v>
      </c>
      <c r="O13" s="2">
        <v>0</v>
      </c>
      <c r="P13" s="2">
        <f t="shared" ref="P13:P27" si="3">SUM(L13:O13)</f>
        <v>4747</v>
      </c>
      <c r="Q13" s="2">
        <v>17</v>
      </c>
      <c r="R13" s="2">
        <v>0</v>
      </c>
      <c r="S13" s="2">
        <f t="shared" ref="S13:S27" si="4">Q13+R13</f>
        <v>17</v>
      </c>
      <c r="T13" s="2">
        <f>40+186</f>
        <v>226</v>
      </c>
      <c r="U13" s="2">
        <f>242+52+367+546+56+25+559</f>
        <v>1847</v>
      </c>
      <c r="V13" s="2">
        <v>3</v>
      </c>
      <c r="W13" s="2">
        <f t="shared" ref="W13:W27" si="5">T13+U13+V13</f>
        <v>2076</v>
      </c>
      <c r="X13" s="2">
        <f t="shared" ref="X13:X27" si="6">S13+W13</f>
        <v>2093</v>
      </c>
      <c r="Y13" s="14">
        <f t="shared" ref="Y13:Y27" si="7">K13+P13+X13</f>
        <v>7460</v>
      </c>
      <c r="Z13" s="1"/>
      <c r="AA13" s="1"/>
    </row>
    <row r="14" spans="1:28" x14ac:dyDescent="0.25">
      <c r="A14" s="2">
        <f t="shared" si="0"/>
        <v>14</v>
      </c>
      <c r="B14" s="1" t="s">
        <v>49</v>
      </c>
      <c r="C14" s="2">
        <v>0</v>
      </c>
      <c r="D14" s="2">
        <v>26</v>
      </c>
      <c r="E14" s="2">
        <v>0</v>
      </c>
      <c r="F14" s="2">
        <v>1</v>
      </c>
      <c r="G14" s="2">
        <v>16</v>
      </c>
      <c r="H14" s="2">
        <f>22+1</f>
        <v>23</v>
      </c>
      <c r="I14" s="2">
        <v>23</v>
      </c>
      <c r="J14" s="2">
        <f t="shared" si="1"/>
        <v>89</v>
      </c>
      <c r="K14" s="2">
        <f t="shared" si="2"/>
        <v>89</v>
      </c>
      <c r="L14" s="2">
        <v>0</v>
      </c>
      <c r="M14" s="2">
        <v>24</v>
      </c>
      <c r="N14" s="2">
        <f>3000+22</f>
        <v>3022</v>
      </c>
      <c r="O14" s="2">
        <v>0</v>
      </c>
      <c r="P14" s="2">
        <f t="shared" si="3"/>
        <v>3046</v>
      </c>
      <c r="Q14" s="2">
        <v>10</v>
      </c>
      <c r="R14" s="2">
        <v>0</v>
      </c>
      <c r="S14" s="2">
        <f t="shared" si="4"/>
        <v>10</v>
      </c>
      <c r="T14" s="2">
        <f>9+57</f>
        <v>66</v>
      </c>
      <c r="U14" s="2">
        <f>78+10+114+105+19+8+141</f>
        <v>475</v>
      </c>
      <c r="V14" s="2">
        <v>0</v>
      </c>
      <c r="W14" s="2">
        <f t="shared" si="5"/>
        <v>541</v>
      </c>
      <c r="X14" s="2">
        <f t="shared" si="6"/>
        <v>551</v>
      </c>
      <c r="Y14" s="14">
        <f t="shared" si="7"/>
        <v>3686</v>
      </c>
      <c r="Z14" s="1"/>
      <c r="AA14" s="1"/>
    </row>
    <row r="15" spans="1:28" x14ac:dyDescent="0.25">
      <c r="A15" s="2">
        <f t="shared" si="0"/>
        <v>15</v>
      </c>
      <c r="B15" s="1" t="s">
        <v>50</v>
      </c>
      <c r="C15" s="2">
        <v>0</v>
      </c>
      <c r="D15" s="2">
        <v>19</v>
      </c>
      <c r="E15" s="2">
        <f>17+5</f>
        <v>22</v>
      </c>
      <c r="F15" s="2">
        <v>1</v>
      </c>
      <c r="G15" s="2">
        <v>17</v>
      </c>
      <c r="H15" s="2">
        <v>5</v>
      </c>
      <c r="I15" s="2">
        <v>8</v>
      </c>
      <c r="J15" s="2">
        <f t="shared" si="1"/>
        <v>72</v>
      </c>
      <c r="K15" s="2">
        <f t="shared" si="2"/>
        <v>72</v>
      </c>
      <c r="L15" s="2">
        <v>0</v>
      </c>
      <c r="M15" s="2">
        <v>22</v>
      </c>
      <c r="N15" s="2">
        <f>3500+18</f>
        <v>3518</v>
      </c>
      <c r="O15" s="2">
        <v>0</v>
      </c>
      <c r="P15" s="2">
        <f t="shared" si="3"/>
        <v>3540</v>
      </c>
      <c r="Q15" s="2">
        <v>8</v>
      </c>
      <c r="R15" s="2">
        <v>0</v>
      </c>
      <c r="S15" s="2">
        <f t="shared" si="4"/>
        <v>8</v>
      </c>
      <c r="T15" s="2">
        <f>4+33</f>
        <v>37</v>
      </c>
      <c r="U15" s="2">
        <f>30+6+38+29+6+8+46</f>
        <v>163</v>
      </c>
      <c r="V15" s="2">
        <v>0</v>
      </c>
      <c r="W15" s="2">
        <f t="shared" si="5"/>
        <v>200</v>
      </c>
      <c r="X15" s="2">
        <f t="shared" si="6"/>
        <v>208</v>
      </c>
      <c r="Y15" s="14">
        <f t="shared" si="7"/>
        <v>3820</v>
      </c>
      <c r="Z15" s="1"/>
      <c r="AA15" s="1"/>
    </row>
    <row r="16" spans="1:28" x14ac:dyDescent="0.25">
      <c r="A16" s="2">
        <f t="shared" si="0"/>
        <v>16</v>
      </c>
      <c r="B16" s="1" t="s">
        <v>51</v>
      </c>
      <c r="C16" s="2">
        <v>0</v>
      </c>
      <c r="D16" s="2">
        <v>25</v>
      </c>
      <c r="E16" s="2">
        <v>2</v>
      </c>
      <c r="F16" s="2">
        <v>0</v>
      </c>
      <c r="G16" s="2">
        <v>29</v>
      </c>
      <c r="H16" s="2">
        <v>0</v>
      </c>
      <c r="I16" s="2">
        <v>16</v>
      </c>
      <c r="J16" s="2">
        <f t="shared" si="1"/>
        <v>72</v>
      </c>
      <c r="K16" s="2">
        <f t="shared" si="2"/>
        <v>72</v>
      </c>
      <c r="L16" s="2">
        <v>0</v>
      </c>
      <c r="M16" s="2">
        <f>4+19</f>
        <v>23</v>
      </c>
      <c r="N16" s="2">
        <f>600+9</f>
        <v>609</v>
      </c>
      <c r="O16" s="2">
        <v>0</v>
      </c>
      <c r="P16" s="2">
        <f t="shared" si="3"/>
        <v>632</v>
      </c>
      <c r="Q16" s="2">
        <v>5</v>
      </c>
      <c r="R16" s="2">
        <v>1</v>
      </c>
      <c r="S16" s="2">
        <f t="shared" si="4"/>
        <v>6</v>
      </c>
      <c r="T16" s="2">
        <f>7+34</f>
        <v>41</v>
      </c>
      <c r="U16" s="2">
        <f>17+3+60+55+13+8+63</f>
        <v>219</v>
      </c>
      <c r="V16" s="2">
        <v>18</v>
      </c>
      <c r="W16" s="2">
        <f t="shared" si="5"/>
        <v>278</v>
      </c>
      <c r="X16" s="2">
        <f t="shared" si="6"/>
        <v>284</v>
      </c>
      <c r="Y16" s="14">
        <f t="shared" si="7"/>
        <v>988</v>
      </c>
      <c r="Z16" s="1"/>
      <c r="AA16" s="1"/>
    </row>
    <row r="17" spans="1:27" x14ac:dyDescent="0.25">
      <c r="A17" s="2">
        <f t="shared" si="0"/>
        <v>17</v>
      </c>
      <c r="B17" s="1" t="s">
        <v>52</v>
      </c>
      <c r="C17" s="2">
        <v>0</v>
      </c>
      <c r="D17" s="2">
        <v>9</v>
      </c>
      <c r="E17" s="2">
        <v>0</v>
      </c>
      <c r="F17" s="2">
        <v>0</v>
      </c>
      <c r="G17" s="2">
        <v>15</v>
      </c>
      <c r="H17" s="2">
        <v>8</v>
      </c>
      <c r="I17" s="2">
        <v>20</v>
      </c>
      <c r="J17" s="2">
        <f t="shared" si="1"/>
        <v>52</v>
      </c>
      <c r="K17" s="2">
        <f t="shared" si="2"/>
        <v>52</v>
      </c>
      <c r="L17" s="2">
        <v>200</v>
      </c>
      <c r="M17" s="2">
        <v>10</v>
      </c>
      <c r="N17" s="2">
        <v>12</v>
      </c>
      <c r="O17" s="2">
        <v>0</v>
      </c>
      <c r="P17" s="2">
        <f t="shared" si="3"/>
        <v>222</v>
      </c>
      <c r="Q17" s="2">
        <v>6</v>
      </c>
      <c r="R17" s="2">
        <v>0</v>
      </c>
      <c r="S17" s="2">
        <f t="shared" si="4"/>
        <v>6</v>
      </c>
      <c r="T17" s="2">
        <f>10+42</f>
        <v>52</v>
      </c>
      <c r="U17" s="2">
        <f>51+12+79+106+21+11+118</f>
        <v>398</v>
      </c>
      <c r="V17" s="2">
        <v>0</v>
      </c>
      <c r="W17" s="2">
        <f t="shared" si="5"/>
        <v>450</v>
      </c>
      <c r="X17" s="2">
        <f t="shared" si="6"/>
        <v>456</v>
      </c>
      <c r="Y17" s="14">
        <f t="shared" si="7"/>
        <v>730</v>
      </c>
      <c r="Z17" s="1"/>
      <c r="AA17" s="1"/>
    </row>
    <row r="18" spans="1:27" x14ac:dyDescent="0.25">
      <c r="A18" s="2">
        <f t="shared" si="0"/>
        <v>18</v>
      </c>
      <c r="B18" s="1" t="s">
        <v>53</v>
      </c>
      <c r="C18" s="2">
        <v>0</v>
      </c>
      <c r="D18" s="2">
        <v>8</v>
      </c>
      <c r="E18" s="2">
        <f>12+1</f>
        <v>13</v>
      </c>
      <c r="F18" s="2">
        <v>1</v>
      </c>
      <c r="G18" s="2">
        <v>12</v>
      </c>
      <c r="H18" s="2">
        <v>4</v>
      </c>
      <c r="I18" s="2">
        <v>9</v>
      </c>
      <c r="J18" s="2">
        <f t="shared" si="1"/>
        <v>47</v>
      </c>
      <c r="K18" s="2">
        <f t="shared" si="2"/>
        <v>47</v>
      </c>
      <c r="L18" s="2">
        <v>0</v>
      </c>
      <c r="M18" s="2">
        <v>17</v>
      </c>
      <c r="N18" s="2">
        <f>3000+21</f>
        <v>3021</v>
      </c>
      <c r="O18" s="2">
        <v>0</v>
      </c>
      <c r="P18" s="2">
        <f t="shared" si="3"/>
        <v>3038</v>
      </c>
      <c r="Q18" s="2">
        <v>5</v>
      </c>
      <c r="R18" s="2">
        <v>0</v>
      </c>
      <c r="S18" s="2">
        <f t="shared" si="4"/>
        <v>5</v>
      </c>
      <c r="T18" s="2">
        <f>2+16</f>
        <v>18</v>
      </c>
      <c r="U18" s="2">
        <f>31+1+49+30+8+4+42</f>
        <v>165</v>
      </c>
      <c r="V18" s="2">
        <v>1</v>
      </c>
      <c r="W18" s="2">
        <f t="shared" si="5"/>
        <v>184</v>
      </c>
      <c r="X18" s="2">
        <f t="shared" si="6"/>
        <v>189</v>
      </c>
      <c r="Y18" s="14">
        <f t="shared" si="7"/>
        <v>3274</v>
      </c>
      <c r="Z18" s="1"/>
      <c r="AA18" s="1"/>
    </row>
    <row r="19" spans="1:27" x14ac:dyDescent="0.25">
      <c r="A19" s="2">
        <f t="shared" si="0"/>
        <v>19</v>
      </c>
      <c r="B19" s="1" t="s">
        <v>54</v>
      </c>
      <c r="C19" s="2">
        <v>0</v>
      </c>
      <c r="D19" s="2">
        <f>50+4</f>
        <v>54</v>
      </c>
      <c r="E19" s="2">
        <f>4+1</f>
        <v>5</v>
      </c>
      <c r="F19" s="2">
        <v>0</v>
      </c>
      <c r="G19" s="2">
        <v>32</v>
      </c>
      <c r="H19" s="2">
        <f>11+26</f>
        <v>37</v>
      </c>
      <c r="I19" s="2">
        <v>18</v>
      </c>
      <c r="J19" s="2">
        <f t="shared" si="1"/>
        <v>146</v>
      </c>
      <c r="K19" s="2">
        <f t="shared" si="2"/>
        <v>146</v>
      </c>
      <c r="L19" s="2">
        <v>1700</v>
      </c>
      <c r="M19" s="2">
        <v>45</v>
      </c>
      <c r="N19" s="2">
        <v>32</v>
      </c>
      <c r="O19" s="2">
        <v>0</v>
      </c>
      <c r="P19" s="2">
        <f t="shared" si="3"/>
        <v>1777</v>
      </c>
      <c r="Q19" s="2">
        <v>10</v>
      </c>
      <c r="R19" s="2">
        <v>0</v>
      </c>
      <c r="S19" s="2">
        <f t="shared" si="4"/>
        <v>10</v>
      </c>
      <c r="T19" s="2">
        <f>11+56</f>
        <v>67</v>
      </c>
      <c r="U19" s="2">
        <f>135+7+175+191+38+10+232</f>
        <v>788</v>
      </c>
      <c r="V19" s="2">
        <v>16</v>
      </c>
      <c r="W19" s="2">
        <f t="shared" si="5"/>
        <v>871</v>
      </c>
      <c r="X19" s="2">
        <f t="shared" si="6"/>
        <v>881</v>
      </c>
      <c r="Y19" s="14">
        <f t="shared" si="7"/>
        <v>2804</v>
      </c>
      <c r="Z19" s="1"/>
      <c r="AA19" s="1"/>
    </row>
    <row r="20" spans="1:27" x14ac:dyDescent="0.25">
      <c r="A20" s="2">
        <f t="shared" si="0"/>
        <v>20</v>
      </c>
      <c r="B20" s="1" t="s">
        <v>55</v>
      </c>
      <c r="C20" s="2">
        <v>0</v>
      </c>
      <c r="D20" s="2">
        <v>141</v>
      </c>
      <c r="E20" s="2">
        <v>18</v>
      </c>
      <c r="F20" s="2">
        <v>2</v>
      </c>
      <c r="G20" s="2">
        <v>287</v>
      </c>
      <c r="H20" s="2">
        <f>9+37</f>
        <v>46</v>
      </c>
      <c r="I20" s="2">
        <v>39</v>
      </c>
      <c r="J20" s="2">
        <f t="shared" si="1"/>
        <v>533</v>
      </c>
      <c r="K20" s="2">
        <f t="shared" si="2"/>
        <v>533</v>
      </c>
      <c r="L20" s="2">
        <v>2050</v>
      </c>
      <c r="M20" s="2">
        <v>32</v>
      </c>
      <c r="N20" s="2">
        <f>363+78</f>
        <v>441</v>
      </c>
      <c r="O20" s="2">
        <v>0</v>
      </c>
      <c r="P20" s="2">
        <f t="shared" si="3"/>
        <v>2523</v>
      </c>
      <c r="Q20" s="2">
        <v>32</v>
      </c>
      <c r="R20" s="2">
        <v>0</v>
      </c>
      <c r="S20" s="2">
        <f t="shared" si="4"/>
        <v>32</v>
      </c>
      <c r="T20" s="2">
        <f>30+103</f>
        <v>133</v>
      </c>
      <c r="U20" s="2">
        <f>79+11+218+188+38+32+263</f>
        <v>829</v>
      </c>
      <c r="V20" s="2">
        <v>8</v>
      </c>
      <c r="W20" s="2">
        <f t="shared" si="5"/>
        <v>970</v>
      </c>
      <c r="X20" s="2">
        <f t="shared" si="6"/>
        <v>1002</v>
      </c>
      <c r="Y20" s="14">
        <f t="shared" si="7"/>
        <v>4058</v>
      </c>
      <c r="Z20" s="1"/>
      <c r="AA20" s="1"/>
    </row>
    <row r="21" spans="1:27" x14ac:dyDescent="0.25">
      <c r="A21" s="2">
        <f t="shared" si="0"/>
        <v>21</v>
      </c>
      <c r="B21" s="1" t="s">
        <v>56</v>
      </c>
      <c r="C21" s="2">
        <v>0</v>
      </c>
      <c r="D21" s="2">
        <v>4</v>
      </c>
      <c r="E21" s="2">
        <v>0</v>
      </c>
      <c r="F21" s="2">
        <v>3</v>
      </c>
      <c r="G21" s="2">
        <v>18</v>
      </c>
      <c r="H21" s="2">
        <v>0</v>
      </c>
      <c r="I21" s="2">
        <v>20</v>
      </c>
      <c r="J21" s="2">
        <f t="shared" si="1"/>
        <v>45</v>
      </c>
      <c r="K21" s="2">
        <f t="shared" si="2"/>
        <v>45</v>
      </c>
      <c r="L21" s="2">
        <v>0</v>
      </c>
      <c r="M21" s="2">
        <v>5</v>
      </c>
      <c r="N21" s="2">
        <f>3000+7</f>
        <v>3007</v>
      </c>
      <c r="O21" s="2">
        <v>0</v>
      </c>
      <c r="P21" s="2">
        <f t="shared" si="3"/>
        <v>3012</v>
      </c>
      <c r="Q21" s="2">
        <v>8</v>
      </c>
      <c r="R21" s="2">
        <v>0</v>
      </c>
      <c r="S21" s="2">
        <f t="shared" si="4"/>
        <v>8</v>
      </c>
      <c r="T21" s="2">
        <f>2+13</f>
        <v>15</v>
      </c>
      <c r="U21" s="2">
        <f>13+2+45+27+11+4+42</f>
        <v>144</v>
      </c>
      <c r="V21" s="2">
        <v>1</v>
      </c>
      <c r="W21" s="2">
        <f t="shared" si="5"/>
        <v>160</v>
      </c>
      <c r="X21" s="2">
        <f t="shared" si="6"/>
        <v>168</v>
      </c>
      <c r="Y21" s="14">
        <f t="shared" si="7"/>
        <v>3225</v>
      </c>
      <c r="Z21" s="1"/>
      <c r="AA21" s="1"/>
    </row>
    <row r="22" spans="1:27" x14ac:dyDescent="0.25">
      <c r="A22" s="2">
        <f t="shared" si="0"/>
        <v>22</v>
      </c>
      <c r="B22" s="1" t="s">
        <v>57</v>
      </c>
      <c r="C22" s="2">
        <v>0</v>
      </c>
      <c r="D22" s="2">
        <f>54+1</f>
        <v>55</v>
      </c>
      <c r="E22" s="2">
        <v>0</v>
      </c>
      <c r="F22" s="2">
        <v>0</v>
      </c>
      <c r="G22" s="2">
        <v>38</v>
      </c>
      <c r="H22" s="2">
        <v>107</v>
      </c>
      <c r="I22" s="2">
        <v>0</v>
      </c>
      <c r="J22" s="2">
        <f t="shared" si="1"/>
        <v>200</v>
      </c>
      <c r="K22" s="2">
        <f t="shared" si="2"/>
        <v>200</v>
      </c>
      <c r="L22" s="2">
        <v>3500</v>
      </c>
      <c r="M22" s="2">
        <v>34</v>
      </c>
      <c r="N22" s="2">
        <f>2706+21</f>
        <v>2727</v>
      </c>
      <c r="O22" s="2">
        <v>0</v>
      </c>
      <c r="P22" s="2">
        <f t="shared" si="3"/>
        <v>6261</v>
      </c>
      <c r="Q22" s="2">
        <v>7</v>
      </c>
      <c r="R22" s="2">
        <v>0</v>
      </c>
      <c r="S22" s="2">
        <f t="shared" si="4"/>
        <v>7</v>
      </c>
      <c r="T22" s="2">
        <f>41+128</f>
        <v>169</v>
      </c>
      <c r="U22" s="2">
        <f>299+16+242+395+44+16+387</f>
        <v>1399</v>
      </c>
      <c r="V22" s="2">
        <v>0</v>
      </c>
      <c r="W22" s="2">
        <f t="shared" si="5"/>
        <v>1568</v>
      </c>
      <c r="X22" s="2">
        <f t="shared" si="6"/>
        <v>1575</v>
      </c>
      <c r="Y22" s="14">
        <f t="shared" si="7"/>
        <v>8036</v>
      </c>
      <c r="Z22" s="1"/>
      <c r="AA22" s="1"/>
    </row>
    <row r="23" spans="1:27" x14ac:dyDescent="0.25">
      <c r="A23" s="2">
        <f t="shared" si="0"/>
        <v>23</v>
      </c>
      <c r="B23" s="1" t="s">
        <v>58</v>
      </c>
      <c r="C23" s="2">
        <v>0</v>
      </c>
      <c r="D23" s="2">
        <v>21</v>
      </c>
      <c r="E23" s="2">
        <v>0</v>
      </c>
      <c r="F23" s="2">
        <v>1</v>
      </c>
      <c r="G23" s="2">
        <v>22</v>
      </c>
      <c r="H23" s="2">
        <v>6</v>
      </c>
      <c r="I23" s="2">
        <v>68</v>
      </c>
      <c r="J23" s="2">
        <f t="shared" si="1"/>
        <v>118</v>
      </c>
      <c r="K23" s="2">
        <f t="shared" si="2"/>
        <v>118</v>
      </c>
      <c r="L23" s="2">
        <v>0</v>
      </c>
      <c r="M23" s="2">
        <v>66</v>
      </c>
      <c r="N23" s="2">
        <f>2200+87</f>
        <v>2287</v>
      </c>
      <c r="O23" s="2">
        <v>0</v>
      </c>
      <c r="P23" s="2">
        <f t="shared" si="3"/>
        <v>2353</v>
      </c>
      <c r="Q23" s="2">
        <v>43</v>
      </c>
      <c r="R23" s="2">
        <v>1</v>
      </c>
      <c r="S23" s="2">
        <f t="shared" si="4"/>
        <v>44</v>
      </c>
      <c r="T23" s="2">
        <f>19+139</f>
        <v>158</v>
      </c>
      <c r="U23" s="2">
        <f>120+161+350+327+37+16+432</f>
        <v>1443</v>
      </c>
      <c r="V23" s="2">
        <v>0</v>
      </c>
      <c r="W23" s="2">
        <f t="shared" si="5"/>
        <v>1601</v>
      </c>
      <c r="X23" s="2">
        <f t="shared" si="6"/>
        <v>1645</v>
      </c>
      <c r="Y23" s="14">
        <f t="shared" si="7"/>
        <v>4116</v>
      </c>
      <c r="Z23" s="1"/>
      <c r="AA23" s="1"/>
    </row>
    <row r="24" spans="1:27" x14ac:dyDescent="0.25">
      <c r="A24" s="2">
        <f t="shared" si="0"/>
        <v>24</v>
      </c>
      <c r="B24" s="1" t="s">
        <v>59</v>
      </c>
      <c r="C24" s="2">
        <v>0</v>
      </c>
      <c r="D24" s="2">
        <v>48</v>
      </c>
      <c r="E24" s="2">
        <v>0</v>
      </c>
      <c r="F24" s="2">
        <v>0</v>
      </c>
      <c r="G24" s="2">
        <v>51</v>
      </c>
      <c r="H24" s="2">
        <v>3</v>
      </c>
      <c r="I24" s="2">
        <v>47</v>
      </c>
      <c r="J24" s="2">
        <f t="shared" si="1"/>
        <v>149</v>
      </c>
      <c r="K24" s="2">
        <f t="shared" si="2"/>
        <v>149</v>
      </c>
      <c r="L24" s="2">
        <v>6500</v>
      </c>
      <c r="M24" s="2">
        <f>44+5</f>
        <v>49</v>
      </c>
      <c r="N24" s="2">
        <v>62</v>
      </c>
      <c r="O24" s="2">
        <v>0</v>
      </c>
      <c r="P24" s="2">
        <f t="shared" si="3"/>
        <v>6611</v>
      </c>
      <c r="Q24" s="2">
        <v>29</v>
      </c>
      <c r="R24" s="2">
        <v>0</v>
      </c>
      <c r="S24" s="2">
        <f t="shared" si="4"/>
        <v>29</v>
      </c>
      <c r="T24" s="2">
        <f>55+212</f>
        <v>267</v>
      </c>
      <c r="U24" s="2">
        <f>159+42+511+542+80+30+609</f>
        <v>1973</v>
      </c>
      <c r="V24" s="2">
        <v>0</v>
      </c>
      <c r="W24" s="2">
        <f t="shared" si="5"/>
        <v>2240</v>
      </c>
      <c r="X24" s="2">
        <f t="shared" si="6"/>
        <v>2269</v>
      </c>
      <c r="Y24" s="14">
        <f t="shared" si="7"/>
        <v>9029</v>
      </c>
      <c r="Z24" s="1"/>
      <c r="AA24" s="1"/>
    </row>
    <row r="25" spans="1:27" x14ac:dyDescent="0.25">
      <c r="A25" s="2">
        <f t="shared" si="0"/>
        <v>25</v>
      </c>
      <c r="B25" s="1" t="s">
        <v>60</v>
      </c>
      <c r="C25" s="2">
        <v>0</v>
      </c>
      <c r="D25" s="2">
        <f>23+2</f>
        <v>25</v>
      </c>
      <c r="E25" s="2">
        <v>3</v>
      </c>
      <c r="F25" s="2">
        <v>0</v>
      </c>
      <c r="G25" s="2">
        <v>20</v>
      </c>
      <c r="H25" s="2">
        <f>2+5</f>
        <v>7</v>
      </c>
      <c r="I25" s="2">
        <v>84</v>
      </c>
      <c r="J25" s="2">
        <f t="shared" si="1"/>
        <v>139</v>
      </c>
      <c r="K25" s="2">
        <f t="shared" si="2"/>
        <v>139</v>
      </c>
      <c r="L25" s="2">
        <v>0</v>
      </c>
      <c r="M25" s="2">
        <f>7+14</f>
        <v>21</v>
      </c>
      <c r="N25" s="2">
        <v>9</v>
      </c>
      <c r="O25" s="2">
        <v>0</v>
      </c>
      <c r="P25" s="2">
        <f t="shared" si="3"/>
        <v>30</v>
      </c>
      <c r="Q25" s="2">
        <v>8</v>
      </c>
      <c r="R25" s="2">
        <v>1</v>
      </c>
      <c r="S25" s="2">
        <f t="shared" si="4"/>
        <v>9</v>
      </c>
      <c r="T25" s="2">
        <f>22+70</f>
        <v>92</v>
      </c>
      <c r="U25" s="2">
        <f>59+20+89+131+11+7+143</f>
        <v>460</v>
      </c>
      <c r="V25" s="2">
        <v>0</v>
      </c>
      <c r="W25" s="2">
        <f t="shared" si="5"/>
        <v>552</v>
      </c>
      <c r="X25" s="2">
        <f t="shared" si="6"/>
        <v>561</v>
      </c>
      <c r="Y25" s="14">
        <f t="shared" si="7"/>
        <v>730</v>
      </c>
      <c r="Z25" s="1"/>
      <c r="AA25" s="1"/>
    </row>
    <row r="26" spans="1:27" x14ac:dyDescent="0.25">
      <c r="A26" s="2">
        <f t="shared" si="0"/>
        <v>26</v>
      </c>
      <c r="B26" s="1" t="s">
        <v>61</v>
      </c>
      <c r="C26" s="2">
        <v>0</v>
      </c>
      <c r="D26" s="2">
        <v>235</v>
      </c>
      <c r="E26" s="2">
        <v>0</v>
      </c>
      <c r="F26" s="2">
        <v>7</v>
      </c>
      <c r="G26" s="2">
        <v>349</v>
      </c>
      <c r="H26" s="2">
        <f>20+36</f>
        <v>56</v>
      </c>
      <c r="I26" s="2">
        <v>268</v>
      </c>
      <c r="J26" s="2">
        <f t="shared" si="1"/>
        <v>915</v>
      </c>
      <c r="K26" s="2">
        <f t="shared" si="2"/>
        <v>915</v>
      </c>
      <c r="L26" s="2">
        <v>0</v>
      </c>
      <c r="M26" s="2">
        <v>50</v>
      </c>
      <c r="N26" s="2">
        <f>7500+49</f>
        <v>7549</v>
      </c>
      <c r="O26" s="2">
        <v>0</v>
      </c>
      <c r="P26" s="2">
        <f t="shared" si="3"/>
        <v>7599</v>
      </c>
      <c r="Q26" s="2">
        <v>44</v>
      </c>
      <c r="R26" s="2">
        <v>0</v>
      </c>
      <c r="S26" s="2">
        <f t="shared" si="4"/>
        <v>44</v>
      </c>
      <c r="T26" s="2">
        <f>24+101</f>
        <v>125</v>
      </c>
      <c r="U26" s="2">
        <f>231+2+255+291+44+34+341</f>
        <v>1198</v>
      </c>
      <c r="V26" s="2">
        <v>14</v>
      </c>
      <c r="W26" s="2">
        <f t="shared" si="5"/>
        <v>1337</v>
      </c>
      <c r="X26" s="2">
        <f t="shared" si="6"/>
        <v>1381</v>
      </c>
      <c r="Y26" s="14">
        <f t="shared" si="7"/>
        <v>9895</v>
      </c>
      <c r="Z26" s="1"/>
      <c r="AA26" s="1"/>
    </row>
    <row r="27" spans="1:27" x14ac:dyDescent="0.25">
      <c r="A27" s="2">
        <f t="shared" si="0"/>
        <v>27</v>
      </c>
      <c r="B27" s="1" t="s">
        <v>62</v>
      </c>
      <c r="C27" s="9">
        <v>0</v>
      </c>
      <c r="D27" s="9">
        <v>23</v>
      </c>
      <c r="E27" s="9">
        <v>0</v>
      </c>
      <c r="F27" s="9">
        <v>1</v>
      </c>
      <c r="G27" s="9">
        <v>41</v>
      </c>
      <c r="H27" s="9">
        <f>5+4</f>
        <v>9</v>
      </c>
      <c r="I27" s="9">
        <v>25</v>
      </c>
      <c r="J27" s="9">
        <f t="shared" si="1"/>
        <v>99</v>
      </c>
      <c r="K27" s="9">
        <f t="shared" si="2"/>
        <v>99</v>
      </c>
      <c r="L27" s="9">
        <v>0</v>
      </c>
      <c r="M27" s="9">
        <v>0</v>
      </c>
      <c r="N27" s="9">
        <v>0</v>
      </c>
      <c r="O27" s="9">
        <v>0</v>
      </c>
      <c r="P27" s="9">
        <f t="shared" si="3"/>
        <v>0</v>
      </c>
      <c r="Q27" s="9">
        <v>5</v>
      </c>
      <c r="R27" s="9">
        <v>0</v>
      </c>
      <c r="S27" s="9">
        <f t="shared" si="4"/>
        <v>5</v>
      </c>
      <c r="T27" s="9">
        <f>11+15</f>
        <v>26</v>
      </c>
      <c r="U27" s="9">
        <f>59+10+92+121+32+4+151</f>
        <v>469</v>
      </c>
      <c r="V27" s="9">
        <v>0</v>
      </c>
      <c r="W27" s="9">
        <f t="shared" si="5"/>
        <v>495</v>
      </c>
      <c r="X27" s="9">
        <f t="shared" si="6"/>
        <v>500</v>
      </c>
      <c r="Y27" s="9">
        <f t="shared" si="7"/>
        <v>599</v>
      </c>
      <c r="Z27" s="1"/>
      <c r="AA27" s="1"/>
    </row>
    <row r="28" spans="1:27" x14ac:dyDescent="0.25">
      <c r="A28" s="2">
        <f t="shared" si="0"/>
        <v>28</v>
      </c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"/>
      <c r="Z28" s="1"/>
      <c r="AA28" s="1"/>
    </row>
    <row r="29" spans="1:27" ht="15.75" thickBot="1" x14ac:dyDescent="0.3">
      <c r="A29" s="2">
        <f t="shared" si="0"/>
        <v>29</v>
      </c>
      <c r="B29" s="1" t="s">
        <v>63</v>
      </c>
      <c r="C29" s="10">
        <f>SUM(C12:C27)</f>
        <v>0</v>
      </c>
      <c r="D29" s="10">
        <f t="shared" ref="D29:Y29" si="8">SUM(D12:D27)</f>
        <v>786</v>
      </c>
      <c r="E29" s="10">
        <f t="shared" si="8"/>
        <v>64</v>
      </c>
      <c r="F29" s="10">
        <f t="shared" si="8"/>
        <v>21</v>
      </c>
      <c r="G29" s="10">
        <f t="shared" si="8"/>
        <v>986</v>
      </c>
      <c r="H29" s="10">
        <f t="shared" si="8"/>
        <v>538</v>
      </c>
      <c r="I29" s="10">
        <f t="shared" si="8"/>
        <v>926</v>
      </c>
      <c r="J29" s="10">
        <f t="shared" si="8"/>
        <v>3321</v>
      </c>
      <c r="K29" s="10">
        <f t="shared" si="8"/>
        <v>3321</v>
      </c>
      <c r="L29" s="10">
        <f t="shared" si="8"/>
        <v>14950</v>
      </c>
      <c r="M29" s="10">
        <f t="shared" si="8"/>
        <v>477</v>
      </c>
      <c r="N29" s="10">
        <f t="shared" si="8"/>
        <v>32974</v>
      </c>
      <c r="O29" s="10">
        <f t="shared" si="8"/>
        <v>0</v>
      </c>
      <c r="P29" s="10">
        <f t="shared" si="8"/>
        <v>48401</v>
      </c>
      <c r="Q29" s="10">
        <f t="shared" si="8"/>
        <v>240</v>
      </c>
      <c r="R29" s="10">
        <f t="shared" si="8"/>
        <v>3</v>
      </c>
      <c r="S29" s="10">
        <f t="shared" si="8"/>
        <v>243</v>
      </c>
      <c r="T29" s="10">
        <f t="shared" si="8"/>
        <v>1506</v>
      </c>
      <c r="U29" s="10">
        <f t="shared" si="8"/>
        <v>12048</v>
      </c>
      <c r="V29" s="10">
        <f t="shared" si="8"/>
        <v>61</v>
      </c>
      <c r="W29" s="10">
        <f t="shared" si="8"/>
        <v>13615</v>
      </c>
      <c r="X29" s="10">
        <f t="shared" si="8"/>
        <v>13858</v>
      </c>
      <c r="Y29" s="10">
        <f t="shared" si="8"/>
        <v>65580</v>
      </c>
      <c r="Z29" s="1"/>
      <c r="AA29" s="1"/>
    </row>
    <row r="30" spans="1:27" ht="15.75" thickTop="1" x14ac:dyDescent="0.25">
      <c r="A30" s="2">
        <f t="shared" si="0"/>
        <v>30</v>
      </c>
      <c r="B30" s="7" t="s">
        <v>65</v>
      </c>
      <c r="C30" s="1" t="s">
        <v>67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5">
      <c r="A31" s="2">
        <f t="shared" si="0"/>
        <v>31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5">
      <c r="A32" s="2">
        <f t="shared" si="0"/>
        <v>32</v>
      </c>
      <c r="B32" s="6" t="s">
        <v>64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8" x14ac:dyDescent="0.25">
      <c r="A33" s="2">
        <f t="shared" si="0"/>
        <v>33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8" x14ac:dyDescent="0.25">
      <c r="A34" s="2">
        <f t="shared" si="0"/>
        <v>34</v>
      </c>
      <c r="B34" s="1" t="s">
        <v>69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635217</v>
      </c>
      <c r="J34" s="8">
        <f>SUM(D34:I34)</f>
        <v>635217</v>
      </c>
      <c r="K34" s="8">
        <f>C34+J34</f>
        <v>635217</v>
      </c>
      <c r="L34" s="8">
        <v>0</v>
      </c>
      <c r="M34" s="8">
        <v>0</v>
      </c>
      <c r="N34" s="8">
        <v>0</v>
      </c>
      <c r="O34" s="8">
        <v>1351443</v>
      </c>
      <c r="P34" s="8">
        <f>SUM(L34:O34)</f>
        <v>1351443</v>
      </c>
      <c r="Q34" s="8">
        <v>0</v>
      </c>
      <c r="R34" s="8">
        <v>0</v>
      </c>
      <c r="S34" s="8">
        <f>Q34+R34</f>
        <v>0</v>
      </c>
      <c r="T34" s="8">
        <v>0</v>
      </c>
      <c r="U34" s="8">
        <v>0</v>
      </c>
      <c r="V34" s="8">
        <v>0</v>
      </c>
      <c r="W34" s="8">
        <f>T34+U34+V34</f>
        <v>0</v>
      </c>
      <c r="X34" s="8">
        <f>S34+W34</f>
        <v>0</v>
      </c>
      <c r="Y34" s="8">
        <f>K34+P34+X34</f>
        <v>1986660</v>
      </c>
      <c r="Z34" s="20">
        <f>ROUND(Y34/Y$52,5)</f>
        <v>0.19070000000000001</v>
      </c>
      <c r="AA34" s="20">
        <f>ROUND((K34+P34)/(K$52+P$52),5)</f>
        <v>0.33151000000000003</v>
      </c>
      <c r="AB34" s="20">
        <f>ROUND(X34/X$52,5)</f>
        <v>0</v>
      </c>
    </row>
    <row r="35" spans="1:28" x14ac:dyDescent="0.25">
      <c r="A35" s="2">
        <f t="shared" si="0"/>
        <v>35</v>
      </c>
      <c r="B35" s="1" t="s">
        <v>47</v>
      </c>
      <c r="C35" s="8">
        <v>0</v>
      </c>
      <c r="D35" s="8">
        <v>2076</v>
      </c>
      <c r="E35" s="8">
        <v>2700</v>
      </c>
      <c r="F35" s="8">
        <v>17200</v>
      </c>
      <c r="G35" s="8">
        <v>22283</v>
      </c>
      <c r="H35" s="8">
        <v>0</v>
      </c>
      <c r="I35" s="8">
        <v>0</v>
      </c>
      <c r="J35" s="8">
        <f>SUM(D35:I35)</f>
        <v>44259</v>
      </c>
      <c r="K35" s="8">
        <f>C35+J35</f>
        <v>44259</v>
      </c>
      <c r="L35" s="8">
        <v>0</v>
      </c>
      <c r="M35" s="8">
        <v>0</v>
      </c>
      <c r="N35" s="8">
        <v>2700</v>
      </c>
      <c r="O35" s="8">
        <v>0</v>
      </c>
      <c r="P35" s="8">
        <f>SUM(L35:O35)</f>
        <v>2700</v>
      </c>
      <c r="Q35" s="8">
        <v>26814</v>
      </c>
      <c r="R35" s="8">
        <v>0</v>
      </c>
      <c r="S35" s="8">
        <f>Q35+R35</f>
        <v>26814</v>
      </c>
      <c r="T35" s="8">
        <f>274+2823</f>
        <v>3097</v>
      </c>
      <c r="U35" s="8">
        <f>5025+2695+415+550+685+3180</f>
        <v>12550</v>
      </c>
      <c r="V35" s="8">
        <v>0</v>
      </c>
      <c r="W35" s="8">
        <f>T35+U35+V35</f>
        <v>15647</v>
      </c>
      <c r="X35" s="8">
        <f>S35+W35</f>
        <v>42461</v>
      </c>
      <c r="Y35" s="8">
        <f>K35+P35+X35</f>
        <v>89420</v>
      </c>
      <c r="Z35" s="22">
        <f t="shared" ref="Z35:Z50" si="9">ROUND(Y35/Y$52,5)</f>
        <v>8.5800000000000008E-3</v>
      </c>
      <c r="AA35" s="22">
        <f t="shared" ref="AA35:AA50" si="10">ROUND((K35+P35)/(K$52+P$52),5)</f>
        <v>7.8399999999999997E-3</v>
      </c>
      <c r="AB35" s="22">
        <f t="shared" ref="AB35:AB50" si="11">ROUND(X35/X$52,5)</f>
        <v>9.5999999999999992E-3</v>
      </c>
    </row>
    <row r="36" spans="1:28" x14ac:dyDescent="0.25">
      <c r="A36" s="2">
        <f t="shared" si="0"/>
        <v>36</v>
      </c>
      <c r="B36" s="1" t="s">
        <v>48</v>
      </c>
      <c r="C36" s="8">
        <v>0</v>
      </c>
      <c r="D36" s="8">
        <v>53553</v>
      </c>
      <c r="E36" s="8">
        <v>0</v>
      </c>
      <c r="F36" s="8">
        <v>0</v>
      </c>
      <c r="G36" s="8">
        <v>63847</v>
      </c>
      <c r="H36" s="8">
        <v>317800</v>
      </c>
      <c r="I36" s="8">
        <v>0</v>
      </c>
      <c r="J36" s="8">
        <f t="shared" ref="J36:J50" si="12">SUM(D36:I36)</f>
        <v>435200</v>
      </c>
      <c r="K36" s="8">
        <f t="shared" ref="K36:K50" si="13">C36+J36</f>
        <v>435200</v>
      </c>
      <c r="L36" s="8">
        <v>900</v>
      </c>
      <c r="M36" s="8">
        <v>0</v>
      </c>
      <c r="N36" s="8">
        <v>3240</v>
      </c>
      <c r="O36" s="8">
        <v>0</v>
      </c>
      <c r="P36" s="8">
        <f t="shared" ref="P36:P50" si="14">SUM(L36:O36)</f>
        <v>4140</v>
      </c>
      <c r="Q36" s="8">
        <v>167706</v>
      </c>
      <c r="R36" s="8">
        <v>0</v>
      </c>
      <c r="S36" s="8">
        <f t="shared" ref="S36:S50" si="15">Q36+R36</f>
        <v>167706</v>
      </c>
      <c r="T36" s="8">
        <f>7933+43998</f>
        <v>51931</v>
      </c>
      <c r="U36" s="8">
        <f>142290+19175+40870+34010+2940+9185+88200</f>
        <v>336670</v>
      </c>
      <c r="V36" s="8">
        <v>1500</v>
      </c>
      <c r="W36" s="8">
        <f t="shared" ref="W36:W50" si="16">T36+U36+V36</f>
        <v>390101</v>
      </c>
      <c r="X36" s="8">
        <f t="shared" ref="X36:X50" si="17">S36+W36</f>
        <v>557807</v>
      </c>
      <c r="Y36" s="15">
        <f t="shared" ref="Y36:Y50" si="18">K36+P36+X36</f>
        <v>997147</v>
      </c>
      <c r="Z36" s="22">
        <f t="shared" si="9"/>
        <v>9.572E-2</v>
      </c>
      <c r="AA36" s="22">
        <f t="shared" si="10"/>
        <v>7.331E-2</v>
      </c>
      <c r="AB36" s="22">
        <f t="shared" si="11"/>
        <v>0.12605</v>
      </c>
    </row>
    <row r="37" spans="1:28" x14ac:dyDescent="0.25">
      <c r="A37" s="2">
        <f t="shared" si="0"/>
        <v>37</v>
      </c>
      <c r="B37" s="1" t="s">
        <v>49</v>
      </c>
      <c r="C37" s="8">
        <v>0</v>
      </c>
      <c r="D37" s="8">
        <v>21127</v>
      </c>
      <c r="E37" s="8">
        <v>0</v>
      </c>
      <c r="F37" s="8">
        <v>4300</v>
      </c>
      <c r="G37" s="8">
        <v>40803</v>
      </c>
      <c r="H37" s="8">
        <f>30800+1400</f>
        <v>32200</v>
      </c>
      <c r="I37" s="8">
        <v>0</v>
      </c>
      <c r="J37" s="8">
        <f t="shared" si="12"/>
        <v>98430</v>
      </c>
      <c r="K37" s="8">
        <f t="shared" si="13"/>
        <v>98430</v>
      </c>
      <c r="L37" s="8">
        <v>0</v>
      </c>
      <c r="M37" s="8">
        <v>0</v>
      </c>
      <c r="N37" s="8">
        <v>2700</v>
      </c>
      <c r="O37" s="8">
        <v>0</v>
      </c>
      <c r="P37" s="8">
        <f t="shared" si="14"/>
        <v>2700</v>
      </c>
      <c r="Q37" s="8">
        <v>45650</v>
      </c>
      <c r="R37" s="8">
        <v>0</v>
      </c>
      <c r="S37" s="8">
        <f t="shared" si="15"/>
        <v>45650</v>
      </c>
      <c r="T37" s="8">
        <f>1844+12916</f>
        <v>14760</v>
      </c>
      <c r="U37" s="8">
        <f>49275+5175+11180+5830+1120+1970+19230</f>
        <v>93780</v>
      </c>
      <c r="V37" s="8">
        <v>0</v>
      </c>
      <c r="W37" s="8">
        <f t="shared" si="16"/>
        <v>108540</v>
      </c>
      <c r="X37" s="8">
        <f t="shared" si="17"/>
        <v>154190</v>
      </c>
      <c r="Y37" s="15">
        <f t="shared" si="18"/>
        <v>255320</v>
      </c>
      <c r="Z37" s="22">
        <f t="shared" si="9"/>
        <v>2.4510000000000001E-2</v>
      </c>
      <c r="AA37" s="22">
        <f t="shared" si="10"/>
        <v>1.6879999999999999E-2</v>
      </c>
      <c r="AB37" s="22">
        <f t="shared" si="11"/>
        <v>3.4840000000000003E-2</v>
      </c>
    </row>
    <row r="38" spans="1:28" x14ac:dyDescent="0.25">
      <c r="A38" s="2">
        <f t="shared" si="0"/>
        <v>38</v>
      </c>
      <c r="B38" s="1" t="s">
        <v>50</v>
      </c>
      <c r="C38" s="8">
        <v>0</v>
      </c>
      <c r="D38" s="8">
        <v>11779</v>
      </c>
      <c r="E38" s="8">
        <f>42900+7103</f>
        <v>50003</v>
      </c>
      <c r="F38" s="8">
        <v>4300</v>
      </c>
      <c r="G38" s="8">
        <v>34249</v>
      </c>
      <c r="H38" s="8">
        <v>7000</v>
      </c>
      <c r="I38" s="8">
        <v>0</v>
      </c>
      <c r="J38" s="8">
        <f t="shared" si="12"/>
        <v>107331</v>
      </c>
      <c r="K38" s="8">
        <f t="shared" si="13"/>
        <v>107331</v>
      </c>
      <c r="L38" s="8">
        <v>0</v>
      </c>
      <c r="M38" s="8">
        <v>0</v>
      </c>
      <c r="N38" s="8">
        <v>3150</v>
      </c>
      <c r="O38" s="8">
        <v>0</v>
      </c>
      <c r="P38" s="8">
        <f t="shared" si="14"/>
        <v>3150</v>
      </c>
      <c r="Q38" s="8">
        <v>47991</v>
      </c>
      <c r="R38" s="8">
        <v>0</v>
      </c>
      <c r="S38" s="8">
        <f t="shared" si="15"/>
        <v>47991</v>
      </c>
      <c r="T38" s="8">
        <f>1079+7583</f>
        <v>8662</v>
      </c>
      <c r="U38" s="8">
        <f>21600+1900+3775+2215+350+2100+9085</f>
        <v>41025</v>
      </c>
      <c r="V38" s="8">
        <v>0</v>
      </c>
      <c r="W38" s="8">
        <f t="shared" si="16"/>
        <v>49687</v>
      </c>
      <c r="X38" s="8">
        <f t="shared" si="17"/>
        <v>97678</v>
      </c>
      <c r="Y38" s="15">
        <f t="shared" si="18"/>
        <v>208159</v>
      </c>
      <c r="Z38" s="22">
        <f t="shared" si="9"/>
        <v>1.9980000000000001E-2</v>
      </c>
      <c r="AA38" s="22">
        <f t="shared" si="10"/>
        <v>1.8440000000000002E-2</v>
      </c>
      <c r="AB38" s="22">
        <f t="shared" si="11"/>
        <v>2.2069999999999999E-2</v>
      </c>
    </row>
    <row r="39" spans="1:28" x14ac:dyDescent="0.25">
      <c r="A39" s="2">
        <f t="shared" si="0"/>
        <v>39</v>
      </c>
      <c r="B39" s="1" t="s">
        <v>51</v>
      </c>
      <c r="C39" s="8">
        <v>0</v>
      </c>
      <c r="D39" s="8">
        <v>23175</v>
      </c>
      <c r="E39" s="8">
        <v>5400</v>
      </c>
      <c r="F39" s="8">
        <v>0</v>
      </c>
      <c r="G39" s="8">
        <v>72346</v>
      </c>
      <c r="H39" s="8">
        <v>0</v>
      </c>
      <c r="I39" s="8">
        <v>0</v>
      </c>
      <c r="J39" s="8">
        <f t="shared" si="12"/>
        <v>100921</v>
      </c>
      <c r="K39" s="8">
        <f t="shared" si="13"/>
        <v>100921</v>
      </c>
      <c r="L39" s="8">
        <v>0</v>
      </c>
      <c r="M39" s="8">
        <v>0</v>
      </c>
      <c r="N39" s="8">
        <v>540</v>
      </c>
      <c r="O39" s="8">
        <v>0</v>
      </c>
      <c r="P39" s="8">
        <f t="shared" si="14"/>
        <v>540</v>
      </c>
      <c r="Q39" s="8">
        <v>62522</v>
      </c>
      <c r="R39" s="8">
        <v>7035</v>
      </c>
      <c r="S39" s="8">
        <f t="shared" si="15"/>
        <v>69557</v>
      </c>
      <c r="T39" s="8">
        <f>1047+8568</f>
        <v>9615</v>
      </c>
      <c r="U39" s="8">
        <f>14400+800+6305+2880+705+2655+9590</f>
        <v>37335</v>
      </c>
      <c r="V39" s="8">
        <v>10500</v>
      </c>
      <c r="W39" s="8">
        <f t="shared" si="16"/>
        <v>57450</v>
      </c>
      <c r="X39" s="8">
        <f t="shared" si="17"/>
        <v>127007</v>
      </c>
      <c r="Y39" s="15">
        <f t="shared" si="18"/>
        <v>228468</v>
      </c>
      <c r="Z39" s="22">
        <f t="shared" si="9"/>
        <v>2.1930000000000002E-2</v>
      </c>
      <c r="AA39" s="22">
        <f t="shared" si="10"/>
        <v>1.6930000000000001E-2</v>
      </c>
      <c r="AB39" s="22">
        <f t="shared" si="11"/>
        <v>2.87E-2</v>
      </c>
    </row>
    <row r="40" spans="1:28" x14ac:dyDescent="0.25">
      <c r="A40" s="2">
        <f t="shared" si="0"/>
        <v>40</v>
      </c>
      <c r="B40" s="1" t="s">
        <v>52</v>
      </c>
      <c r="C40" s="8">
        <v>0</v>
      </c>
      <c r="D40" s="8">
        <v>5165</v>
      </c>
      <c r="E40" s="8">
        <v>0</v>
      </c>
      <c r="F40" s="8">
        <v>0</v>
      </c>
      <c r="G40" s="8">
        <v>30655</v>
      </c>
      <c r="H40" s="8">
        <v>11200</v>
      </c>
      <c r="I40" s="8">
        <v>0</v>
      </c>
      <c r="J40" s="8">
        <f t="shared" si="12"/>
        <v>47020</v>
      </c>
      <c r="K40" s="8">
        <f t="shared" si="13"/>
        <v>47020</v>
      </c>
      <c r="L40" s="8">
        <v>180</v>
      </c>
      <c r="M40" s="8">
        <v>0</v>
      </c>
      <c r="N40" s="8">
        <v>0</v>
      </c>
      <c r="O40" s="8">
        <v>0</v>
      </c>
      <c r="P40" s="8">
        <f t="shared" si="14"/>
        <v>180</v>
      </c>
      <c r="Q40" s="8">
        <v>23278</v>
      </c>
      <c r="R40" s="8">
        <v>0</v>
      </c>
      <c r="S40" s="8">
        <f t="shared" si="15"/>
        <v>23278</v>
      </c>
      <c r="T40" s="8">
        <f>2375+9651</f>
        <v>12026</v>
      </c>
      <c r="U40" s="8">
        <f>32850+3200+7945+5780+1175+3725+16805</f>
        <v>71480</v>
      </c>
      <c r="V40" s="8">
        <v>0</v>
      </c>
      <c r="W40" s="8">
        <f t="shared" si="16"/>
        <v>83506</v>
      </c>
      <c r="X40" s="8">
        <f t="shared" si="17"/>
        <v>106784</v>
      </c>
      <c r="Y40" s="15">
        <f t="shared" si="18"/>
        <v>153984</v>
      </c>
      <c r="Z40" s="22">
        <f t="shared" si="9"/>
        <v>1.478E-2</v>
      </c>
      <c r="AA40" s="22">
        <f t="shared" si="10"/>
        <v>7.8799999999999999E-3</v>
      </c>
      <c r="AB40" s="22">
        <f t="shared" si="11"/>
        <v>2.4129999999999999E-2</v>
      </c>
    </row>
    <row r="41" spans="1:28" x14ac:dyDescent="0.25">
      <c r="A41" s="2">
        <f t="shared" si="0"/>
        <v>41</v>
      </c>
      <c r="B41" s="1" t="s">
        <v>53</v>
      </c>
      <c r="C41" s="8">
        <v>0</v>
      </c>
      <c r="D41" s="8">
        <v>4650</v>
      </c>
      <c r="E41" s="8">
        <f>30400+1088</f>
        <v>31488</v>
      </c>
      <c r="F41" s="8">
        <v>4300</v>
      </c>
      <c r="G41" s="8">
        <v>23948</v>
      </c>
      <c r="H41" s="8">
        <v>5600</v>
      </c>
      <c r="I41" s="8">
        <v>0</v>
      </c>
      <c r="J41" s="8">
        <f t="shared" si="12"/>
        <v>69986</v>
      </c>
      <c r="K41" s="8">
        <f t="shared" si="13"/>
        <v>69986</v>
      </c>
      <c r="L41" s="8">
        <v>0</v>
      </c>
      <c r="M41" s="8">
        <v>0</v>
      </c>
      <c r="N41" s="8">
        <v>2700</v>
      </c>
      <c r="O41" s="8">
        <v>0</v>
      </c>
      <c r="P41" s="8">
        <f t="shared" si="14"/>
        <v>2700</v>
      </c>
      <c r="Q41" s="8">
        <v>10726</v>
      </c>
      <c r="R41" s="8">
        <v>0</v>
      </c>
      <c r="S41" s="8">
        <f t="shared" si="15"/>
        <v>10726</v>
      </c>
      <c r="T41" s="8">
        <f>100+5170</f>
        <v>5270</v>
      </c>
      <c r="U41" s="8">
        <f>22575+400+5320+1525+470+1285+6400</f>
        <v>37975</v>
      </c>
      <c r="V41" s="8">
        <v>500</v>
      </c>
      <c r="W41" s="8">
        <f t="shared" si="16"/>
        <v>43745</v>
      </c>
      <c r="X41" s="8">
        <f t="shared" si="17"/>
        <v>54471</v>
      </c>
      <c r="Y41" s="15">
        <f t="shared" si="18"/>
        <v>127157</v>
      </c>
      <c r="Z41" s="22">
        <f t="shared" si="9"/>
        <v>1.221E-2</v>
      </c>
      <c r="AA41" s="22">
        <f t="shared" si="10"/>
        <v>1.213E-2</v>
      </c>
      <c r="AB41" s="22">
        <f t="shared" si="11"/>
        <v>1.231E-2</v>
      </c>
    </row>
    <row r="42" spans="1:28" x14ac:dyDescent="0.25">
      <c r="A42" s="2">
        <f t="shared" si="0"/>
        <v>42</v>
      </c>
      <c r="B42" s="1" t="s">
        <v>54</v>
      </c>
      <c r="C42" s="8">
        <v>0</v>
      </c>
      <c r="D42" s="8">
        <f>34540+10500</f>
        <v>45040</v>
      </c>
      <c r="E42" s="8">
        <f>9800+1450</f>
        <v>11250</v>
      </c>
      <c r="F42" s="8">
        <v>0</v>
      </c>
      <c r="G42" s="8">
        <v>69217</v>
      </c>
      <c r="H42" s="8">
        <f>15400+36400</f>
        <v>51800</v>
      </c>
      <c r="I42" s="8">
        <v>0</v>
      </c>
      <c r="J42" s="8">
        <f t="shared" si="12"/>
        <v>177307</v>
      </c>
      <c r="K42" s="8">
        <f t="shared" si="13"/>
        <v>177307</v>
      </c>
      <c r="L42" s="8">
        <v>1530</v>
      </c>
      <c r="M42" s="8">
        <v>0</v>
      </c>
      <c r="N42" s="8">
        <v>0</v>
      </c>
      <c r="O42" s="8">
        <v>0</v>
      </c>
      <c r="P42" s="8">
        <f t="shared" si="14"/>
        <v>1530</v>
      </c>
      <c r="Q42" s="8">
        <v>20542</v>
      </c>
      <c r="R42" s="8">
        <v>0</v>
      </c>
      <c r="S42" s="8">
        <f t="shared" si="15"/>
        <v>20542</v>
      </c>
      <c r="T42" s="8">
        <f>2076+12963</f>
        <v>15039</v>
      </c>
      <c r="U42" s="8">
        <f>86950+3000+18960+12450+1850+3255+40650</f>
        <v>167115</v>
      </c>
      <c r="V42" s="8">
        <v>8000</v>
      </c>
      <c r="W42" s="8">
        <f t="shared" si="16"/>
        <v>190154</v>
      </c>
      <c r="X42" s="8">
        <f t="shared" si="17"/>
        <v>210696</v>
      </c>
      <c r="Y42" s="15">
        <f t="shared" si="18"/>
        <v>389533</v>
      </c>
      <c r="Z42" s="22">
        <f t="shared" si="9"/>
        <v>3.739E-2</v>
      </c>
      <c r="AA42" s="22">
        <f t="shared" si="10"/>
        <v>2.9839999999999998E-2</v>
      </c>
      <c r="AB42" s="22">
        <f t="shared" si="11"/>
        <v>4.761E-2</v>
      </c>
    </row>
    <row r="43" spans="1:28" x14ac:dyDescent="0.25">
      <c r="A43" s="2">
        <f t="shared" si="0"/>
        <v>43</v>
      </c>
      <c r="B43" s="1" t="s">
        <v>55</v>
      </c>
      <c r="C43" s="8">
        <v>0</v>
      </c>
      <c r="D43" s="8">
        <v>90973</v>
      </c>
      <c r="E43" s="8">
        <v>33705</v>
      </c>
      <c r="F43" s="8">
        <v>8600</v>
      </c>
      <c r="G43" s="8">
        <v>607604</v>
      </c>
      <c r="H43" s="8">
        <f>12600+51800</f>
        <v>64400</v>
      </c>
      <c r="I43" s="8">
        <v>0</v>
      </c>
      <c r="J43" s="8">
        <f t="shared" si="12"/>
        <v>805282</v>
      </c>
      <c r="K43" s="8">
        <f t="shared" si="13"/>
        <v>805282</v>
      </c>
      <c r="L43" s="8">
        <v>1845</v>
      </c>
      <c r="M43" s="8">
        <v>0</v>
      </c>
      <c r="N43" s="8">
        <v>327</v>
      </c>
      <c r="O43" s="8">
        <v>0</v>
      </c>
      <c r="P43" s="8">
        <f t="shared" si="14"/>
        <v>2172</v>
      </c>
      <c r="Q43" s="8">
        <v>208717</v>
      </c>
      <c r="R43" s="8">
        <v>0</v>
      </c>
      <c r="S43" s="8">
        <f t="shared" si="15"/>
        <v>208717</v>
      </c>
      <c r="T43" s="8">
        <f>6337+25143</f>
        <v>31480</v>
      </c>
      <c r="U43" s="8">
        <f>46025+3200+22730+10405+1945+12175+41330</f>
        <v>137810</v>
      </c>
      <c r="V43" s="8">
        <v>6000</v>
      </c>
      <c r="W43" s="8">
        <f t="shared" si="16"/>
        <v>175290</v>
      </c>
      <c r="X43" s="8">
        <f t="shared" si="17"/>
        <v>384007</v>
      </c>
      <c r="Y43" s="15">
        <f t="shared" si="18"/>
        <v>1191461</v>
      </c>
      <c r="Z43" s="22">
        <f t="shared" si="9"/>
        <v>0.11437</v>
      </c>
      <c r="AA43" s="22">
        <f t="shared" si="10"/>
        <v>0.13474</v>
      </c>
      <c r="AB43" s="22">
        <f t="shared" si="11"/>
        <v>8.6779999999999996E-2</v>
      </c>
    </row>
    <row r="44" spans="1:28" x14ac:dyDescent="0.25">
      <c r="A44" s="2">
        <f t="shared" si="0"/>
        <v>44</v>
      </c>
      <c r="B44" s="1" t="s">
        <v>56</v>
      </c>
      <c r="C44" s="8">
        <v>0</v>
      </c>
      <c r="D44" s="8">
        <v>2808</v>
      </c>
      <c r="E44" s="8">
        <v>0</v>
      </c>
      <c r="F44" s="8">
        <v>12900</v>
      </c>
      <c r="G44" s="8">
        <v>35306</v>
      </c>
      <c r="H44" s="8">
        <v>0</v>
      </c>
      <c r="I44" s="8">
        <v>0</v>
      </c>
      <c r="J44" s="8">
        <f t="shared" si="12"/>
        <v>51014</v>
      </c>
      <c r="K44" s="8">
        <f t="shared" si="13"/>
        <v>51014</v>
      </c>
      <c r="L44" s="8">
        <v>0</v>
      </c>
      <c r="M44" s="8">
        <v>0</v>
      </c>
      <c r="N44" s="8">
        <v>2700</v>
      </c>
      <c r="O44" s="8">
        <v>0</v>
      </c>
      <c r="P44" s="8">
        <f t="shared" si="14"/>
        <v>2700</v>
      </c>
      <c r="Q44" s="8">
        <v>53893</v>
      </c>
      <c r="R44" s="8">
        <v>0</v>
      </c>
      <c r="S44" s="8">
        <f t="shared" si="15"/>
        <v>53893</v>
      </c>
      <c r="T44" s="8">
        <f>274+3048</f>
        <v>3322</v>
      </c>
      <c r="U44" s="8">
        <f>9750+800+5450+1470+650+2055+5085</f>
        <v>25260</v>
      </c>
      <c r="V44" s="8">
        <v>1000</v>
      </c>
      <c r="W44" s="8">
        <f t="shared" si="16"/>
        <v>29582</v>
      </c>
      <c r="X44" s="8">
        <f t="shared" si="17"/>
        <v>83475</v>
      </c>
      <c r="Y44" s="15">
        <f t="shared" si="18"/>
        <v>137189</v>
      </c>
      <c r="Z44" s="22">
        <f t="shared" si="9"/>
        <v>1.3169999999999999E-2</v>
      </c>
      <c r="AA44" s="22">
        <f t="shared" si="10"/>
        <v>8.9599999999999992E-3</v>
      </c>
      <c r="AB44" s="22">
        <f t="shared" si="11"/>
        <v>1.8859999999999998E-2</v>
      </c>
    </row>
    <row r="45" spans="1:28" x14ac:dyDescent="0.25">
      <c r="A45" s="2">
        <f t="shared" si="0"/>
        <v>45</v>
      </c>
      <c r="B45" s="1" t="s">
        <v>57</v>
      </c>
      <c r="C45" s="8">
        <v>0</v>
      </c>
      <c r="D45" s="8">
        <f>27477+2625</f>
        <v>30102</v>
      </c>
      <c r="E45" s="8">
        <v>0</v>
      </c>
      <c r="F45" s="8">
        <v>0</v>
      </c>
      <c r="G45" s="8">
        <v>86849</v>
      </c>
      <c r="H45" s="8">
        <v>149800</v>
      </c>
      <c r="I45" s="8">
        <v>0</v>
      </c>
      <c r="J45" s="8">
        <f t="shared" si="12"/>
        <v>266751</v>
      </c>
      <c r="K45" s="8">
        <f t="shared" si="13"/>
        <v>266751</v>
      </c>
      <c r="L45" s="8">
        <v>3150</v>
      </c>
      <c r="M45" s="8">
        <v>0</v>
      </c>
      <c r="N45" s="8">
        <v>2435</v>
      </c>
      <c r="O45" s="8">
        <v>0</v>
      </c>
      <c r="P45" s="8">
        <f t="shared" si="14"/>
        <v>5585</v>
      </c>
      <c r="Q45" s="8">
        <v>56747</v>
      </c>
      <c r="R45" s="8">
        <v>0</v>
      </c>
      <c r="S45" s="8">
        <f t="shared" si="15"/>
        <v>56747</v>
      </c>
      <c r="T45" s="8">
        <f>9169+30288</f>
        <v>39457</v>
      </c>
      <c r="U45" s="8">
        <f>158050+5100+27480+22230+2680+6660+92595</f>
        <v>314795</v>
      </c>
      <c r="V45" s="8">
        <v>0</v>
      </c>
      <c r="W45" s="8">
        <f t="shared" si="16"/>
        <v>354252</v>
      </c>
      <c r="X45" s="8">
        <f t="shared" si="17"/>
        <v>410999</v>
      </c>
      <c r="Y45" s="15">
        <f t="shared" si="18"/>
        <v>683335</v>
      </c>
      <c r="Z45" s="22">
        <f t="shared" si="9"/>
        <v>6.5589999999999996E-2</v>
      </c>
      <c r="AA45" s="22">
        <f t="shared" si="10"/>
        <v>4.5440000000000001E-2</v>
      </c>
      <c r="AB45" s="22">
        <f t="shared" si="11"/>
        <v>9.2880000000000004E-2</v>
      </c>
    </row>
    <row r="46" spans="1:28" x14ac:dyDescent="0.25">
      <c r="A46" s="2">
        <f t="shared" si="0"/>
        <v>46</v>
      </c>
      <c r="B46" s="1" t="s">
        <v>58</v>
      </c>
      <c r="C46" s="8">
        <v>0</v>
      </c>
      <c r="D46" s="8">
        <v>13035</v>
      </c>
      <c r="E46" s="8">
        <v>0</v>
      </c>
      <c r="F46" s="8">
        <v>4300</v>
      </c>
      <c r="G46" s="8">
        <v>45750</v>
      </c>
      <c r="H46" s="8">
        <v>8400</v>
      </c>
      <c r="I46" s="8">
        <v>0</v>
      </c>
      <c r="J46" s="8">
        <f t="shared" si="12"/>
        <v>71485</v>
      </c>
      <c r="K46" s="8">
        <f t="shared" si="13"/>
        <v>71485</v>
      </c>
      <c r="L46" s="8">
        <v>0</v>
      </c>
      <c r="M46" s="8">
        <v>0</v>
      </c>
      <c r="N46" s="8">
        <v>1980</v>
      </c>
      <c r="O46" s="8">
        <v>0</v>
      </c>
      <c r="P46" s="8">
        <f t="shared" si="14"/>
        <v>1980</v>
      </c>
      <c r="Q46" s="8">
        <v>326689</v>
      </c>
      <c r="R46" s="8">
        <v>8513</v>
      </c>
      <c r="S46" s="8">
        <f t="shared" si="15"/>
        <v>335202</v>
      </c>
      <c r="T46" s="8">
        <f>3920+32971</f>
        <v>36891</v>
      </c>
      <c r="U46" s="8">
        <f>76425+62100+39115+18590+1870+8220+50270</f>
        <v>256590</v>
      </c>
      <c r="V46" s="8">
        <v>0</v>
      </c>
      <c r="W46" s="8">
        <f t="shared" si="16"/>
        <v>293481</v>
      </c>
      <c r="X46" s="8">
        <f t="shared" si="17"/>
        <v>628683</v>
      </c>
      <c r="Y46" s="15">
        <f t="shared" si="18"/>
        <v>702148</v>
      </c>
      <c r="Z46" s="22">
        <f t="shared" si="9"/>
        <v>6.7400000000000002E-2</v>
      </c>
      <c r="AA46" s="22">
        <f t="shared" si="10"/>
        <v>1.226E-2</v>
      </c>
      <c r="AB46" s="22">
        <f t="shared" si="11"/>
        <v>0.14207</v>
      </c>
    </row>
    <row r="47" spans="1:28" x14ac:dyDescent="0.25">
      <c r="A47" s="2">
        <f t="shared" si="0"/>
        <v>47</v>
      </c>
      <c r="B47" s="1" t="s">
        <v>59</v>
      </c>
      <c r="C47" s="8">
        <v>0</v>
      </c>
      <c r="D47" s="8">
        <v>21787</v>
      </c>
      <c r="E47" s="8">
        <v>0</v>
      </c>
      <c r="F47" s="8">
        <v>0</v>
      </c>
      <c r="G47" s="8">
        <v>105411</v>
      </c>
      <c r="H47" s="8">
        <v>4200</v>
      </c>
      <c r="I47" s="8">
        <v>0</v>
      </c>
      <c r="J47" s="8">
        <f t="shared" si="12"/>
        <v>131398</v>
      </c>
      <c r="K47" s="8">
        <f t="shared" si="13"/>
        <v>131398</v>
      </c>
      <c r="L47" s="8">
        <v>5850</v>
      </c>
      <c r="M47" s="8">
        <v>0</v>
      </c>
      <c r="N47" s="8">
        <v>0</v>
      </c>
      <c r="O47" s="8">
        <v>0</v>
      </c>
      <c r="P47" s="8">
        <f t="shared" si="14"/>
        <v>5850</v>
      </c>
      <c r="Q47" s="8">
        <v>245695</v>
      </c>
      <c r="R47" s="8">
        <v>0</v>
      </c>
      <c r="S47" s="8">
        <f t="shared" si="15"/>
        <v>245695</v>
      </c>
      <c r="T47" s="8">
        <f>11123+73972</f>
        <v>85095</v>
      </c>
      <c r="U47" s="8">
        <f>106200+15000+56315+30500+4615+8665+73580</f>
        <v>294875</v>
      </c>
      <c r="V47" s="8">
        <v>0</v>
      </c>
      <c r="W47" s="8">
        <f t="shared" si="16"/>
        <v>379970</v>
      </c>
      <c r="X47" s="8">
        <f t="shared" si="17"/>
        <v>625665</v>
      </c>
      <c r="Y47" s="15">
        <f t="shared" si="18"/>
        <v>762913</v>
      </c>
      <c r="Z47" s="22">
        <f t="shared" si="9"/>
        <v>7.3230000000000003E-2</v>
      </c>
      <c r="AA47" s="22">
        <f t="shared" si="10"/>
        <v>2.29E-2</v>
      </c>
      <c r="AB47" s="22">
        <f t="shared" si="11"/>
        <v>0.14138999999999999</v>
      </c>
    </row>
    <row r="48" spans="1:28" x14ac:dyDescent="0.25">
      <c r="A48" s="2">
        <f t="shared" si="0"/>
        <v>48</v>
      </c>
      <c r="B48" s="1" t="s">
        <v>60</v>
      </c>
      <c r="C48" s="8">
        <v>0</v>
      </c>
      <c r="D48" s="8">
        <f>15379+5250</f>
        <v>20629</v>
      </c>
      <c r="E48" s="8">
        <v>6100</v>
      </c>
      <c r="F48" s="8">
        <v>0</v>
      </c>
      <c r="G48" s="8">
        <v>48583</v>
      </c>
      <c r="H48" s="8">
        <f>2160+7000</f>
        <v>9160</v>
      </c>
      <c r="I48" s="8">
        <v>0</v>
      </c>
      <c r="J48" s="8">
        <f t="shared" si="12"/>
        <v>84472</v>
      </c>
      <c r="K48" s="8">
        <f t="shared" si="13"/>
        <v>84472</v>
      </c>
      <c r="L48" s="8">
        <v>0</v>
      </c>
      <c r="M48" s="8">
        <v>0</v>
      </c>
      <c r="N48" s="8">
        <v>0</v>
      </c>
      <c r="O48" s="8">
        <v>0</v>
      </c>
      <c r="P48" s="8">
        <f t="shared" si="14"/>
        <v>0</v>
      </c>
      <c r="Q48" s="8">
        <v>94444</v>
      </c>
      <c r="R48" s="8">
        <v>2565</v>
      </c>
      <c r="S48" s="8">
        <f t="shared" si="15"/>
        <v>97009</v>
      </c>
      <c r="T48" s="8">
        <f>4593+18127</f>
        <v>22720</v>
      </c>
      <c r="U48" s="8">
        <f>36750+7500+9100+8215+630+2570+21145</f>
        <v>85910</v>
      </c>
      <c r="V48" s="8">
        <v>0</v>
      </c>
      <c r="W48" s="8">
        <f t="shared" si="16"/>
        <v>108630</v>
      </c>
      <c r="X48" s="8">
        <f t="shared" si="17"/>
        <v>205639</v>
      </c>
      <c r="Y48" s="15">
        <f t="shared" si="18"/>
        <v>290111</v>
      </c>
      <c r="Z48" s="22">
        <f t="shared" si="9"/>
        <v>2.785E-2</v>
      </c>
      <c r="AA48" s="22">
        <f t="shared" si="10"/>
        <v>1.41E-2</v>
      </c>
      <c r="AB48" s="22">
        <f t="shared" si="11"/>
        <v>4.6469999999999997E-2</v>
      </c>
    </row>
    <row r="49" spans="1:28" x14ac:dyDescent="0.25">
      <c r="A49" s="2">
        <f t="shared" si="0"/>
        <v>49</v>
      </c>
      <c r="B49" s="1" t="s">
        <v>61</v>
      </c>
      <c r="C49" s="8">
        <v>0</v>
      </c>
      <c r="D49" s="8">
        <v>162405</v>
      </c>
      <c r="E49" s="8">
        <v>0</v>
      </c>
      <c r="F49" s="8">
        <v>30100</v>
      </c>
      <c r="G49" s="8">
        <v>1074663</v>
      </c>
      <c r="H49" s="8">
        <f>28000+50400</f>
        <v>78400</v>
      </c>
      <c r="I49" s="8">
        <v>0</v>
      </c>
      <c r="J49" s="8">
        <f t="shared" si="12"/>
        <v>1345568</v>
      </c>
      <c r="K49" s="8">
        <f t="shared" si="13"/>
        <v>1345568</v>
      </c>
      <c r="L49" s="8">
        <v>0</v>
      </c>
      <c r="M49" s="8">
        <v>0</v>
      </c>
      <c r="N49" s="8">
        <v>6750</v>
      </c>
      <c r="O49" s="8">
        <v>0</v>
      </c>
      <c r="P49" s="8">
        <f t="shared" si="14"/>
        <v>6750</v>
      </c>
      <c r="Q49" s="8">
        <v>317188</v>
      </c>
      <c r="R49" s="8">
        <v>0</v>
      </c>
      <c r="S49" s="8">
        <f t="shared" si="15"/>
        <v>317188</v>
      </c>
      <c r="T49" s="8">
        <f>4511+24405</f>
        <v>28916</v>
      </c>
      <c r="U49" s="8">
        <f>153600+800+26450+21570+2540+10710+64105</f>
        <v>279775</v>
      </c>
      <c r="V49" s="8">
        <v>9500</v>
      </c>
      <c r="W49" s="8">
        <f t="shared" si="16"/>
        <v>318191</v>
      </c>
      <c r="X49" s="8">
        <f t="shared" si="17"/>
        <v>635379</v>
      </c>
      <c r="Y49" s="15">
        <f t="shared" si="18"/>
        <v>1987697</v>
      </c>
      <c r="Z49" s="22">
        <f t="shared" si="9"/>
        <v>0.1908</v>
      </c>
      <c r="AA49" s="22">
        <f t="shared" si="10"/>
        <v>0.22566</v>
      </c>
      <c r="AB49" s="22">
        <f t="shared" si="11"/>
        <v>0.14358000000000001</v>
      </c>
    </row>
    <row r="50" spans="1:28" x14ac:dyDescent="0.25">
      <c r="A50" s="2">
        <f t="shared" si="0"/>
        <v>50</v>
      </c>
      <c r="B50" s="1" t="s">
        <v>62</v>
      </c>
      <c r="C50" s="12">
        <v>0</v>
      </c>
      <c r="D50" s="12">
        <v>13909</v>
      </c>
      <c r="E50" s="12">
        <v>0</v>
      </c>
      <c r="F50" s="12">
        <v>4300</v>
      </c>
      <c r="G50" s="12">
        <v>96109</v>
      </c>
      <c r="H50" s="12">
        <f>7000+5600</f>
        <v>12600</v>
      </c>
      <c r="I50" s="12">
        <v>0</v>
      </c>
      <c r="J50" s="12">
        <f t="shared" si="12"/>
        <v>126918</v>
      </c>
      <c r="K50" s="12">
        <f t="shared" si="13"/>
        <v>126918</v>
      </c>
      <c r="L50" s="12">
        <v>0</v>
      </c>
      <c r="M50" s="12">
        <v>0</v>
      </c>
      <c r="N50" s="12">
        <v>0</v>
      </c>
      <c r="O50" s="12">
        <v>0</v>
      </c>
      <c r="P50" s="12">
        <f t="shared" si="14"/>
        <v>0</v>
      </c>
      <c r="Q50" s="12">
        <v>10635</v>
      </c>
      <c r="R50" s="12">
        <v>0</v>
      </c>
      <c r="S50" s="12">
        <f t="shared" si="15"/>
        <v>10635</v>
      </c>
      <c r="T50" s="12">
        <f>2731+3016</f>
        <v>5747</v>
      </c>
      <c r="U50" s="12">
        <f>40275+3600+10415+7390+1625+300+20245</f>
        <v>83850</v>
      </c>
      <c r="V50" s="12">
        <v>0</v>
      </c>
      <c r="W50" s="12">
        <f t="shared" si="16"/>
        <v>89597</v>
      </c>
      <c r="X50" s="12">
        <f t="shared" si="17"/>
        <v>100232</v>
      </c>
      <c r="Y50" s="12">
        <f t="shared" si="18"/>
        <v>227150</v>
      </c>
      <c r="Z50" s="23">
        <f t="shared" si="9"/>
        <v>2.18E-2</v>
      </c>
      <c r="AA50" s="23">
        <f t="shared" si="10"/>
        <v>2.1180000000000001E-2</v>
      </c>
      <c r="AB50" s="23">
        <f t="shared" si="11"/>
        <v>2.265E-2</v>
      </c>
    </row>
    <row r="51" spans="1:28" x14ac:dyDescent="0.25">
      <c r="A51" s="2">
        <f t="shared" si="0"/>
        <v>51</v>
      </c>
      <c r="B51" s="1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15"/>
      <c r="Z51" s="20"/>
      <c r="AA51" s="20"/>
      <c r="AB51" s="21"/>
    </row>
    <row r="52" spans="1:28" ht="15.75" thickBot="1" x14ac:dyDescent="0.3">
      <c r="A52" s="2">
        <f t="shared" si="0"/>
        <v>52</v>
      </c>
      <c r="B52" s="1" t="s">
        <v>63</v>
      </c>
      <c r="C52" s="11">
        <f>SUM(C34:C50)</f>
        <v>0</v>
      </c>
      <c r="D52" s="11">
        <f t="shared" ref="D52:Y52" si="19">SUM(D34:D50)</f>
        <v>522213</v>
      </c>
      <c r="E52" s="11">
        <f t="shared" si="19"/>
        <v>140646</v>
      </c>
      <c r="F52" s="11">
        <f t="shared" si="19"/>
        <v>90300</v>
      </c>
      <c r="G52" s="11">
        <f t="shared" si="19"/>
        <v>2457623</v>
      </c>
      <c r="H52" s="11">
        <f t="shared" si="19"/>
        <v>752560</v>
      </c>
      <c r="I52" s="11">
        <f t="shared" si="19"/>
        <v>635217</v>
      </c>
      <c r="J52" s="11">
        <f t="shared" si="19"/>
        <v>4598559</v>
      </c>
      <c r="K52" s="11">
        <f t="shared" si="19"/>
        <v>4598559</v>
      </c>
      <c r="L52" s="11">
        <f t="shared" si="19"/>
        <v>13455</v>
      </c>
      <c r="M52" s="11">
        <f t="shared" si="19"/>
        <v>0</v>
      </c>
      <c r="N52" s="11">
        <f t="shared" si="19"/>
        <v>29222</v>
      </c>
      <c r="O52" s="11">
        <f t="shared" si="19"/>
        <v>1351443</v>
      </c>
      <c r="P52" s="11">
        <f t="shared" si="19"/>
        <v>1394120</v>
      </c>
      <c r="Q52" s="11">
        <f t="shared" si="19"/>
        <v>1719237</v>
      </c>
      <c r="R52" s="11">
        <f t="shared" si="19"/>
        <v>18113</v>
      </c>
      <c r="S52" s="11">
        <f t="shared" si="19"/>
        <v>1737350</v>
      </c>
      <c r="T52" s="11">
        <f t="shared" si="19"/>
        <v>374028</v>
      </c>
      <c r="U52" s="11">
        <f t="shared" si="19"/>
        <v>2276795</v>
      </c>
      <c r="V52" s="11">
        <f t="shared" si="19"/>
        <v>37000</v>
      </c>
      <c r="W52" s="11">
        <f t="shared" si="19"/>
        <v>2687823</v>
      </c>
      <c r="X52" s="11">
        <f t="shared" si="19"/>
        <v>4425173</v>
      </c>
      <c r="Y52" s="11">
        <f t="shared" si="19"/>
        <v>10417852</v>
      </c>
      <c r="Z52" s="24">
        <f>SUM(Z34:Z50)</f>
        <v>1.0000100000000001</v>
      </c>
      <c r="AA52" s="24">
        <f t="shared" ref="AA52:AB52" si="20">SUM(AA34:AA50)</f>
        <v>1</v>
      </c>
      <c r="AB52" s="24">
        <f t="shared" si="20"/>
        <v>0.99998999999999993</v>
      </c>
    </row>
    <row r="53" spans="1:28" ht="15.75" thickTop="1" x14ac:dyDescent="0.25">
      <c r="A53" s="2">
        <f t="shared" si="0"/>
        <v>53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5"/>
      <c r="Z53" s="1"/>
      <c r="AA53" s="1"/>
    </row>
    <row r="54" spans="1:28" x14ac:dyDescent="0.25">
      <c r="A54" s="2">
        <f t="shared" si="0"/>
        <v>54</v>
      </c>
      <c r="B54" s="7" t="s">
        <v>65</v>
      </c>
      <c r="C54" s="1" t="s">
        <v>68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6"/>
      <c r="Z54" s="1"/>
    </row>
    <row r="55" spans="1:28" x14ac:dyDescent="0.25">
      <c r="A55" s="2">
        <f t="shared" si="0"/>
        <v>55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</sheetData>
  <mergeCells count="7">
    <mergeCell ref="Z6:AB6"/>
    <mergeCell ref="C4:K4"/>
    <mergeCell ref="Q4:X4"/>
    <mergeCell ref="D5:J5"/>
    <mergeCell ref="L5:P5"/>
    <mergeCell ref="Q5:S5"/>
    <mergeCell ref="T5:W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zoomScale="80" zoomScaleNormal="80" workbookViewId="0">
      <selection activeCell="B2" sqref="B2"/>
    </sheetView>
  </sheetViews>
  <sheetFormatPr defaultColWidth="15.7109375" defaultRowHeight="15" x14ac:dyDescent="0.25"/>
  <cols>
    <col min="1" max="1" width="4.7109375" customWidth="1"/>
    <col min="2" max="2" width="20.7109375" customWidth="1"/>
  </cols>
  <sheetData>
    <row r="1" spans="1:28" x14ac:dyDescent="0.25">
      <c r="A1" s="2">
        <v>1</v>
      </c>
      <c r="B1" s="54" t="str">
        <f>Analysis!B1</f>
        <v>PSC DR2 Response 21.xlsx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x14ac:dyDescent="0.25">
      <c r="A2" s="2">
        <f>A1+1</f>
        <v>2</v>
      </c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8" x14ac:dyDescent="0.25">
      <c r="A3" s="2">
        <f t="shared" ref="A3:A55" si="0">A2+1</f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8" ht="15.75" thickBot="1" x14ac:dyDescent="0.3">
      <c r="A4" s="2">
        <f t="shared" si="0"/>
        <v>4</v>
      </c>
      <c r="B4" s="1"/>
      <c r="C4" s="66" t="s">
        <v>1</v>
      </c>
      <c r="D4" s="66"/>
      <c r="E4" s="66"/>
      <c r="F4" s="66"/>
      <c r="G4" s="66"/>
      <c r="H4" s="66"/>
      <c r="I4" s="66"/>
      <c r="J4" s="66"/>
      <c r="K4" s="66"/>
      <c r="L4" s="1"/>
      <c r="M4" s="1"/>
      <c r="N4" s="1"/>
      <c r="O4" s="1"/>
      <c r="P4" s="1"/>
      <c r="Q4" s="67" t="s">
        <v>45</v>
      </c>
      <c r="R4" s="67"/>
      <c r="S4" s="67"/>
      <c r="T4" s="67"/>
      <c r="U4" s="67"/>
      <c r="V4" s="67"/>
      <c r="W4" s="67"/>
      <c r="X4" s="67"/>
      <c r="Y4" s="1"/>
      <c r="Z4" s="1"/>
    </row>
    <row r="5" spans="1:28" x14ac:dyDescent="0.25">
      <c r="A5" s="2">
        <f t="shared" si="0"/>
        <v>5</v>
      </c>
      <c r="B5" s="1"/>
      <c r="C5" s="3" t="s">
        <v>2</v>
      </c>
      <c r="D5" s="60" t="s">
        <v>18</v>
      </c>
      <c r="E5" s="61"/>
      <c r="F5" s="61"/>
      <c r="G5" s="61"/>
      <c r="H5" s="61"/>
      <c r="I5" s="61"/>
      <c r="J5" s="62"/>
      <c r="K5" s="1"/>
      <c r="L5" s="63" t="s">
        <v>28</v>
      </c>
      <c r="M5" s="64"/>
      <c r="N5" s="64"/>
      <c r="O5" s="64"/>
      <c r="P5" s="65"/>
      <c r="Q5" s="60" t="s">
        <v>44</v>
      </c>
      <c r="R5" s="61"/>
      <c r="S5" s="62"/>
      <c r="T5" s="60" t="s">
        <v>43</v>
      </c>
      <c r="U5" s="61"/>
      <c r="V5" s="61"/>
      <c r="W5" s="62"/>
      <c r="X5" s="1"/>
      <c r="Y5" s="1"/>
      <c r="Z5" s="1"/>
    </row>
    <row r="6" spans="1:28" x14ac:dyDescent="0.25">
      <c r="A6" s="2">
        <f t="shared" si="0"/>
        <v>6</v>
      </c>
      <c r="B6" s="13">
        <v>2018</v>
      </c>
      <c r="C6" s="4" t="s">
        <v>9</v>
      </c>
      <c r="D6" s="4"/>
      <c r="E6" s="4"/>
      <c r="F6" s="4" t="s">
        <v>6</v>
      </c>
      <c r="G6" s="4" t="s">
        <v>11</v>
      </c>
      <c r="H6" s="4" t="s">
        <v>14</v>
      </c>
      <c r="I6" s="4" t="s">
        <v>9</v>
      </c>
      <c r="J6" s="4"/>
      <c r="K6" s="4" t="s">
        <v>29</v>
      </c>
      <c r="L6" s="4"/>
      <c r="M6" s="4"/>
      <c r="N6" s="4"/>
      <c r="O6" s="4" t="s">
        <v>25</v>
      </c>
      <c r="P6" s="4" t="s">
        <v>16</v>
      </c>
      <c r="Q6" s="4" t="s">
        <v>31</v>
      </c>
      <c r="R6" s="4"/>
      <c r="S6" s="4" t="s">
        <v>2</v>
      </c>
      <c r="T6" s="4"/>
      <c r="U6" s="4"/>
      <c r="V6" s="4" t="s">
        <v>39</v>
      </c>
      <c r="W6" s="4" t="s">
        <v>17</v>
      </c>
      <c r="X6" s="4" t="s">
        <v>29</v>
      </c>
      <c r="Y6" s="1"/>
      <c r="Z6" s="57" t="s">
        <v>71</v>
      </c>
      <c r="AA6" s="59"/>
      <c r="AB6" s="58"/>
    </row>
    <row r="7" spans="1:28" x14ac:dyDescent="0.25">
      <c r="A7" s="2">
        <f t="shared" si="0"/>
        <v>7</v>
      </c>
      <c r="B7" s="4"/>
      <c r="C7" s="4" t="s">
        <v>10</v>
      </c>
      <c r="D7" s="4"/>
      <c r="E7" s="4"/>
      <c r="F7" s="4" t="s">
        <v>7</v>
      </c>
      <c r="G7" s="4" t="s">
        <v>12</v>
      </c>
      <c r="H7" s="4" t="s">
        <v>15</v>
      </c>
      <c r="I7" s="4" t="s">
        <v>10</v>
      </c>
      <c r="J7" s="4" t="s">
        <v>16</v>
      </c>
      <c r="K7" s="4" t="s">
        <v>19</v>
      </c>
      <c r="L7" s="4" t="s">
        <v>21</v>
      </c>
      <c r="M7" s="4" t="s">
        <v>15</v>
      </c>
      <c r="N7" s="4" t="s">
        <v>24</v>
      </c>
      <c r="O7" s="4" t="s">
        <v>26</v>
      </c>
      <c r="P7" s="4" t="s">
        <v>30</v>
      </c>
      <c r="Q7" s="4" t="s">
        <v>32</v>
      </c>
      <c r="R7" s="4" t="s">
        <v>34</v>
      </c>
      <c r="S7" s="4" t="s">
        <v>42</v>
      </c>
      <c r="T7" s="4" t="s">
        <v>36</v>
      </c>
      <c r="U7" s="4" t="s">
        <v>6</v>
      </c>
      <c r="V7" s="4" t="s">
        <v>40</v>
      </c>
      <c r="W7" s="4" t="s">
        <v>42</v>
      </c>
      <c r="X7" s="4" t="s">
        <v>42</v>
      </c>
      <c r="Y7" s="4" t="s">
        <v>70</v>
      </c>
      <c r="Z7" s="17" t="s">
        <v>70</v>
      </c>
      <c r="AA7" s="17" t="s">
        <v>72</v>
      </c>
      <c r="AB7" s="18" t="s">
        <v>42</v>
      </c>
    </row>
    <row r="8" spans="1:28" ht="15.75" thickBot="1" x14ac:dyDescent="0.3">
      <c r="A8" s="2">
        <f t="shared" si="0"/>
        <v>8</v>
      </c>
      <c r="B8" s="5" t="s">
        <v>46</v>
      </c>
      <c r="C8" s="5" t="s">
        <v>3</v>
      </c>
      <c r="D8" s="5" t="s">
        <v>4</v>
      </c>
      <c r="E8" s="5" t="s">
        <v>5</v>
      </c>
      <c r="F8" s="5" t="s">
        <v>8</v>
      </c>
      <c r="G8" s="5" t="s">
        <v>13</v>
      </c>
      <c r="H8" s="5" t="s">
        <v>8</v>
      </c>
      <c r="I8" s="5" t="s">
        <v>3</v>
      </c>
      <c r="J8" s="5" t="s">
        <v>17</v>
      </c>
      <c r="K8" s="5" t="s">
        <v>20</v>
      </c>
      <c r="L8" s="5" t="s">
        <v>22</v>
      </c>
      <c r="M8" s="5" t="s">
        <v>23</v>
      </c>
      <c r="N8" s="5" t="s">
        <v>22</v>
      </c>
      <c r="O8" s="5" t="s">
        <v>27</v>
      </c>
      <c r="P8" s="5" t="s">
        <v>20</v>
      </c>
      <c r="Q8" s="5" t="s">
        <v>33</v>
      </c>
      <c r="R8" s="5" t="s">
        <v>35</v>
      </c>
      <c r="S8" s="5" t="s">
        <v>20</v>
      </c>
      <c r="T8" s="5" t="s">
        <v>37</v>
      </c>
      <c r="U8" s="5" t="s">
        <v>38</v>
      </c>
      <c r="V8" s="5" t="s">
        <v>41</v>
      </c>
      <c r="W8" s="5" t="s">
        <v>20</v>
      </c>
      <c r="X8" s="5" t="s">
        <v>20</v>
      </c>
      <c r="Y8" s="5" t="s">
        <v>63</v>
      </c>
      <c r="Z8" s="5" t="s">
        <v>63</v>
      </c>
      <c r="AA8" s="5" t="s">
        <v>20</v>
      </c>
      <c r="AB8" s="19" t="s">
        <v>20</v>
      </c>
    </row>
    <row r="9" spans="1:28" x14ac:dyDescent="0.25">
      <c r="A9" s="2">
        <f t="shared" si="0"/>
        <v>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8" x14ac:dyDescent="0.25">
      <c r="A10" s="2">
        <f t="shared" si="0"/>
        <v>10</v>
      </c>
      <c r="B10" s="6" t="s">
        <v>66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8" x14ac:dyDescent="0.25">
      <c r="A11" s="2">
        <f t="shared" si="0"/>
        <v>11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8" x14ac:dyDescent="0.25">
      <c r="A12" s="2">
        <f t="shared" si="0"/>
        <v>12</v>
      </c>
      <c r="B12" s="1" t="s">
        <v>47</v>
      </c>
      <c r="C12" s="2">
        <v>0</v>
      </c>
      <c r="D12" s="2">
        <v>0</v>
      </c>
      <c r="E12" s="2">
        <v>1</v>
      </c>
      <c r="F12" s="2">
        <v>2</v>
      </c>
      <c r="G12" s="2">
        <v>6</v>
      </c>
      <c r="H12" s="2">
        <v>0</v>
      </c>
      <c r="I12" s="2">
        <v>0</v>
      </c>
      <c r="J12" s="2">
        <f>SUM(D12:I12)</f>
        <v>9</v>
      </c>
      <c r="K12" s="2">
        <f>C12+J12</f>
        <v>9</v>
      </c>
      <c r="L12" s="2">
        <v>0</v>
      </c>
      <c r="M12" s="2">
        <v>5</v>
      </c>
      <c r="N12" s="2">
        <f>2000+2</f>
        <v>2002</v>
      </c>
      <c r="O12" s="2">
        <v>0</v>
      </c>
      <c r="P12" s="2">
        <f>SUM(L12:O12)</f>
        <v>2007</v>
      </c>
      <c r="Q12" s="2">
        <v>1</v>
      </c>
      <c r="R12" s="2">
        <v>0</v>
      </c>
      <c r="S12" s="2">
        <f>Q12+R12</f>
        <v>1</v>
      </c>
      <c r="T12" s="2">
        <f>1+9</f>
        <v>10</v>
      </c>
      <c r="U12" s="2">
        <f>14+22+14+6+5+20</f>
        <v>81</v>
      </c>
      <c r="V12" s="2">
        <v>1</v>
      </c>
      <c r="W12" s="2">
        <f>T12+U12+V12</f>
        <v>92</v>
      </c>
      <c r="X12" s="2">
        <f>S12+W12</f>
        <v>93</v>
      </c>
      <c r="Y12" s="2">
        <f>K12+P12+X12</f>
        <v>2109</v>
      </c>
      <c r="Z12" s="1"/>
      <c r="AA12" s="1"/>
    </row>
    <row r="13" spans="1:28" x14ac:dyDescent="0.25">
      <c r="A13" s="2">
        <f t="shared" si="0"/>
        <v>13</v>
      </c>
      <c r="B13" s="1" t="s">
        <v>48</v>
      </c>
      <c r="C13" s="2">
        <v>0</v>
      </c>
      <c r="D13" s="2">
        <v>65</v>
      </c>
      <c r="E13" s="2">
        <f>3+1</f>
        <v>4</v>
      </c>
      <c r="F13" s="2">
        <v>0</v>
      </c>
      <c r="G13" s="2">
        <v>23</v>
      </c>
      <c r="H13" s="2">
        <v>265</v>
      </c>
      <c r="I13" s="2">
        <v>26</v>
      </c>
      <c r="J13" s="2">
        <f t="shared" ref="J13:J27" si="1">SUM(D13:I13)</f>
        <v>383</v>
      </c>
      <c r="K13" s="2">
        <f t="shared" ref="K13:K27" si="2">C13+J13</f>
        <v>383</v>
      </c>
      <c r="L13" s="2">
        <v>0</v>
      </c>
      <c r="M13" s="2">
        <v>16</v>
      </c>
      <c r="N13" s="2">
        <f>3500+12</f>
        <v>3512</v>
      </c>
      <c r="O13" s="2">
        <v>0</v>
      </c>
      <c r="P13" s="2">
        <f t="shared" ref="P13:P27" si="3">SUM(L13:O13)</f>
        <v>3528</v>
      </c>
      <c r="Q13" s="2">
        <v>17</v>
      </c>
      <c r="R13" s="2">
        <v>0</v>
      </c>
      <c r="S13" s="2">
        <f t="shared" ref="S13:S27" si="4">Q13+R13</f>
        <v>17</v>
      </c>
      <c r="T13" s="2">
        <f>26+155</f>
        <v>181</v>
      </c>
      <c r="U13" s="2">
        <f>241+54+342+436+46+38+439</f>
        <v>1596</v>
      </c>
      <c r="V13" s="2">
        <v>2</v>
      </c>
      <c r="W13" s="2">
        <f t="shared" ref="W13:W27" si="5">T13+U13+V13</f>
        <v>1779</v>
      </c>
      <c r="X13" s="2">
        <f t="shared" ref="X13:X27" si="6">S13+W13</f>
        <v>1796</v>
      </c>
      <c r="Y13" s="14">
        <f t="shared" ref="Y13:Y27" si="7">K13+P13+X13</f>
        <v>5707</v>
      </c>
      <c r="Z13" s="1"/>
      <c r="AA13" s="1"/>
    </row>
    <row r="14" spans="1:28" x14ac:dyDescent="0.25">
      <c r="A14" s="2">
        <f t="shared" si="0"/>
        <v>14</v>
      </c>
      <c r="B14" s="1" t="s">
        <v>49</v>
      </c>
      <c r="C14" s="2">
        <v>0</v>
      </c>
      <c r="D14" s="2">
        <v>8</v>
      </c>
      <c r="E14" s="2">
        <v>0</v>
      </c>
      <c r="F14" s="2">
        <v>0</v>
      </c>
      <c r="G14" s="2">
        <v>4</v>
      </c>
      <c r="H14" s="2">
        <v>20</v>
      </c>
      <c r="I14" s="2">
        <v>0</v>
      </c>
      <c r="J14" s="2">
        <f t="shared" si="1"/>
        <v>32</v>
      </c>
      <c r="K14" s="2">
        <f t="shared" si="2"/>
        <v>32</v>
      </c>
      <c r="L14" s="2">
        <v>0</v>
      </c>
      <c r="M14" s="2">
        <v>33</v>
      </c>
      <c r="N14" s="2">
        <f>1000+5</f>
        <v>1005</v>
      </c>
      <c r="O14" s="2">
        <v>0</v>
      </c>
      <c r="P14" s="2">
        <f t="shared" si="3"/>
        <v>1038</v>
      </c>
      <c r="Q14" s="2">
        <v>4</v>
      </c>
      <c r="R14" s="2">
        <v>0</v>
      </c>
      <c r="S14" s="2">
        <f t="shared" si="4"/>
        <v>4</v>
      </c>
      <c r="T14" s="2">
        <f>4+32</f>
        <v>36</v>
      </c>
      <c r="U14" s="2">
        <f>92+10+79+75+12+10+94</f>
        <v>372</v>
      </c>
      <c r="V14" s="2">
        <v>0</v>
      </c>
      <c r="W14" s="2">
        <f t="shared" si="5"/>
        <v>408</v>
      </c>
      <c r="X14" s="2">
        <f t="shared" si="6"/>
        <v>412</v>
      </c>
      <c r="Y14" s="14">
        <f t="shared" si="7"/>
        <v>1482</v>
      </c>
      <c r="Z14" s="1"/>
      <c r="AA14" s="1"/>
    </row>
    <row r="15" spans="1:28" x14ac:dyDescent="0.25">
      <c r="A15" s="2">
        <f t="shared" si="0"/>
        <v>15</v>
      </c>
      <c r="B15" s="1" t="s">
        <v>50</v>
      </c>
      <c r="C15" s="2">
        <v>0</v>
      </c>
      <c r="D15" s="2">
        <v>12</v>
      </c>
      <c r="E15" s="2">
        <f>18+7</f>
        <v>25</v>
      </c>
      <c r="F15" s="2">
        <v>0</v>
      </c>
      <c r="G15" s="2">
        <v>17</v>
      </c>
      <c r="H15" s="2">
        <v>3</v>
      </c>
      <c r="I15" s="2">
        <v>0</v>
      </c>
      <c r="J15" s="2">
        <f t="shared" si="1"/>
        <v>57</v>
      </c>
      <c r="K15" s="2">
        <f t="shared" si="2"/>
        <v>57</v>
      </c>
      <c r="L15" s="2">
        <v>0</v>
      </c>
      <c r="M15" s="2">
        <v>29</v>
      </c>
      <c r="N15" s="2">
        <f>2000+14</f>
        <v>2014</v>
      </c>
      <c r="O15" s="2">
        <v>0</v>
      </c>
      <c r="P15" s="2">
        <f t="shared" si="3"/>
        <v>2043</v>
      </c>
      <c r="Q15" s="2">
        <v>7</v>
      </c>
      <c r="R15" s="2">
        <v>0</v>
      </c>
      <c r="S15" s="2">
        <f t="shared" si="4"/>
        <v>7</v>
      </c>
      <c r="T15" s="2">
        <f>8+14</f>
        <v>22</v>
      </c>
      <c r="U15" s="2">
        <f>33+4+22+18+9+4+29</f>
        <v>119</v>
      </c>
      <c r="V15" s="2">
        <v>2</v>
      </c>
      <c r="W15" s="2">
        <f t="shared" si="5"/>
        <v>143</v>
      </c>
      <c r="X15" s="2">
        <f t="shared" si="6"/>
        <v>150</v>
      </c>
      <c r="Y15" s="14">
        <f t="shared" si="7"/>
        <v>2250</v>
      </c>
      <c r="Z15" s="1"/>
      <c r="AA15" s="1"/>
    </row>
    <row r="16" spans="1:28" x14ac:dyDescent="0.25">
      <c r="A16" s="2">
        <f t="shared" si="0"/>
        <v>16</v>
      </c>
      <c r="B16" s="1" t="s">
        <v>51</v>
      </c>
      <c r="C16" s="2">
        <v>0</v>
      </c>
      <c r="D16" s="2">
        <v>18</v>
      </c>
      <c r="E16" s="2">
        <v>0</v>
      </c>
      <c r="F16" s="2">
        <v>0</v>
      </c>
      <c r="G16" s="2">
        <v>56</v>
      </c>
      <c r="H16" s="2">
        <v>1</v>
      </c>
      <c r="I16" s="2">
        <v>6</v>
      </c>
      <c r="J16" s="2">
        <f t="shared" si="1"/>
        <v>81</v>
      </c>
      <c r="K16" s="2">
        <f t="shared" si="2"/>
        <v>81</v>
      </c>
      <c r="L16" s="2">
        <v>0</v>
      </c>
      <c r="M16" s="2">
        <v>5</v>
      </c>
      <c r="N16" s="2">
        <f>750+4</f>
        <v>754</v>
      </c>
      <c r="O16" s="2">
        <v>0</v>
      </c>
      <c r="P16" s="2">
        <f t="shared" si="3"/>
        <v>759</v>
      </c>
      <c r="Q16" s="2">
        <v>1</v>
      </c>
      <c r="R16" s="2">
        <v>0</v>
      </c>
      <c r="S16" s="2">
        <f t="shared" si="4"/>
        <v>1</v>
      </c>
      <c r="T16" s="2">
        <f>7+22</f>
        <v>29</v>
      </c>
      <c r="U16" s="2">
        <f>46+66+69+14+10+74</f>
        <v>279</v>
      </c>
      <c r="V16" s="2">
        <v>20</v>
      </c>
      <c r="W16" s="2">
        <f t="shared" si="5"/>
        <v>328</v>
      </c>
      <c r="X16" s="2">
        <f t="shared" si="6"/>
        <v>329</v>
      </c>
      <c r="Y16" s="14">
        <f t="shared" si="7"/>
        <v>1169</v>
      </c>
      <c r="Z16" s="1"/>
      <c r="AA16" s="1"/>
    </row>
    <row r="17" spans="1:27" x14ac:dyDescent="0.25">
      <c r="A17" s="2">
        <f t="shared" si="0"/>
        <v>17</v>
      </c>
      <c r="B17" s="1" t="s">
        <v>52</v>
      </c>
      <c r="C17" s="2">
        <v>0</v>
      </c>
      <c r="D17" s="2">
        <v>5</v>
      </c>
      <c r="E17" s="2">
        <v>0</v>
      </c>
      <c r="F17" s="2">
        <v>0</v>
      </c>
      <c r="G17" s="2">
        <v>23</v>
      </c>
      <c r="H17" s="2">
        <f>3+8</f>
        <v>11</v>
      </c>
      <c r="I17" s="2">
        <v>1</v>
      </c>
      <c r="J17" s="2">
        <f t="shared" si="1"/>
        <v>40</v>
      </c>
      <c r="K17" s="2">
        <f t="shared" si="2"/>
        <v>40</v>
      </c>
      <c r="L17" s="2">
        <v>0</v>
      </c>
      <c r="M17" s="2">
        <v>11</v>
      </c>
      <c r="N17" s="2">
        <f>6700+3</f>
        <v>6703</v>
      </c>
      <c r="O17" s="2">
        <v>0</v>
      </c>
      <c r="P17" s="2">
        <f t="shared" si="3"/>
        <v>6714</v>
      </c>
      <c r="Q17" s="2">
        <v>6</v>
      </c>
      <c r="R17" s="2">
        <v>0</v>
      </c>
      <c r="S17" s="2">
        <f t="shared" si="4"/>
        <v>6</v>
      </c>
      <c r="T17" s="2">
        <f>6+24</f>
        <v>30</v>
      </c>
      <c r="U17" s="2">
        <f>41+6+95+120+19+10+108</f>
        <v>399</v>
      </c>
      <c r="V17" s="2">
        <v>0</v>
      </c>
      <c r="W17" s="2">
        <f t="shared" si="5"/>
        <v>429</v>
      </c>
      <c r="X17" s="2">
        <f t="shared" si="6"/>
        <v>435</v>
      </c>
      <c r="Y17" s="14">
        <f t="shared" si="7"/>
        <v>7189</v>
      </c>
      <c r="Z17" s="1"/>
      <c r="AA17" s="1"/>
    </row>
    <row r="18" spans="1:27" x14ac:dyDescent="0.25">
      <c r="A18" s="2">
        <f t="shared" si="0"/>
        <v>18</v>
      </c>
      <c r="B18" s="1" t="s">
        <v>53</v>
      </c>
      <c r="C18" s="2">
        <v>0</v>
      </c>
      <c r="D18" s="2">
        <v>8</v>
      </c>
      <c r="E18" s="2">
        <v>8</v>
      </c>
      <c r="F18" s="2">
        <v>0</v>
      </c>
      <c r="G18" s="2">
        <v>9</v>
      </c>
      <c r="H18" s="2">
        <v>2</v>
      </c>
      <c r="I18" s="2">
        <v>0</v>
      </c>
      <c r="J18" s="2">
        <f t="shared" si="1"/>
        <v>27</v>
      </c>
      <c r="K18" s="2">
        <f t="shared" si="2"/>
        <v>27</v>
      </c>
      <c r="L18" s="2">
        <v>0</v>
      </c>
      <c r="M18" s="2">
        <v>16</v>
      </c>
      <c r="N18" s="2">
        <f>5000+3</f>
        <v>5003</v>
      </c>
      <c r="O18" s="2">
        <v>0</v>
      </c>
      <c r="P18" s="2">
        <f t="shared" si="3"/>
        <v>5019</v>
      </c>
      <c r="Q18" s="2">
        <v>0</v>
      </c>
      <c r="R18" s="2">
        <v>0</v>
      </c>
      <c r="S18" s="2">
        <f t="shared" si="4"/>
        <v>0</v>
      </c>
      <c r="T18" s="2">
        <f>3+7</f>
        <v>10</v>
      </c>
      <c r="U18" s="2">
        <f>22+2+35+31+11+6+36</f>
        <v>143</v>
      </c>
      <c r="V18" s="2">
        <v>0</v>
      </c>
      <c r="W18" s="2">
        <f t="shared" si="5"/>
        <v>153</v>
      </c>
      <c r="X18" s="2">
        <f t="shared" si="6"/>
        <v>153</v>
      </c>
      <c r="Y18" s="14">
        <f t="shared" si="7"/>
        <v>5199</v>
      </c>
      <c r="Z18" s="1"/>
      <c r="AA18" s="1"/>
    </row>
    <row r="19" spans="1:27" x14ac:dyDescent="0.25">
      <c r="A19" s="2">
        <f t="shared" si="0"/>
        <v>19</v>
      </c>
      <c r="B19" s="1" t="s">
        <v>54</v>
      </c>
      <c r="C19" s="2">
        <v>0</v>
      </c>
      <c r="D19" s="2">
        <v>33</v>
      </c>
      <c r="E19" s="2">
        <v>3</v>
      </c>
      <c r="F19" s="2">
        <v>2</v>
      </c>
      <c r="G19" s="2">
        <v>21</v>
      </c>
      <c r="H19" s="2">
        <f>15+9</f>
        <v>24</v>
      </c>
      <c r="I19" s="2">
        <v>42</v>
      </c>
      <c r="J19" s="2">
        <f t="shared" si="1"/>
        <v>125</v>
      </c>
      <c r="K19" s="2">
        <f t="shared" si="2"/>
        <v>125</v>
      </c>
      <c r="L19" s="2">
        <v>0</v>
      </c>
      <c r="M19" s="2">
        <v>12</v>
      </c>
      <c r="N19" s="2">
        <f>2600+13</f>
        <v>2613</v>
      </c>
      <c r="O19" s="2">
        <v>0</v>
      </c>
      <c r="P19" s="2">
        <f t="shared" si="3"/>
        <v>2625</v>
      </c>
      <c r="Q19" s="2">
        <v>9</v>
      </c>
      <c r="R19" s="2">
        <v>0</v>
      </c>
      <c r="S19" s="2">
        <f t="shared" si="4"/>
        <v>9</v>
      </c>
      <c r="T19" s="2">
        <f>9+36</f>
        <v>45</v>
      </c>
      <c r="U19" s="2">
        <f>115+5+144+176+27+12+191</f>
        <v>670</v>
      </c>
      <c r="V19" s="2">
        <v>12</v>
      </c>
      <c r="W19" s="2">
        <f t="shared" si="5"/>
        <v>727</v>
      </c>
      <c r="X19" s="2">
        <f t="shared" si="6"/>
        <v>736</v>
      </c>
      <c r="Y19" s="14">
        <f t="shared" si="7"/>
        <v>3486</v>
      </c>
      <c r="Z19" s="1"/>
      <c r="AA19" s="1"/>
    </row>
    <row r="20" spans="1:27" x14ac:dyDescent="0.25">
      <c r="A20" s="2">
        <f t="shared" si="0"/>
        <v>20</v>
      </c>
      <c r="B20" s="1" t="s">
        <v>55</v>
      </c>
      <c r="C20" s="2">
        <v>0</v>
      </c>
      <c r="D20" s="2">
        <v>100</v>
      </c>
      <c r="E20" s="2">
        <v>7</v>
      </c>
      <c r="F20" s="2">
        <v>1</v>
      </c>
      <c r="G20" s="2">
        <v>74</v>
      </c>
      <c r="H20" s="2">
        <f>1+55</f>
        <v>56</v>
      </c>
      <c r="I20" s="2">
        <v>3</v>
      </c>
      <c r="J20" s="2">
        <f t="shared" si="1"/>
        <v>241</v>
      </c>
      <c r="K20" s="2">
        <f t="shared" si="2"/>
        <v>241</v>
      </c>
      <c r="L20" s="2">
        <v>0</v>
      </c>
      <c r="M20" s="2">
        <v>47</v>
      </c>
      <c r="N20" s="2">
        <f>2150+39</f>
        <v>2189</v>
      </c>
      <c r="O20" s="2">
        <v>0</v>
      </c>
      <c r="P20" s="2">
        <f t="shared" si="3"/>
        <v>2236</v>
      </c>
      <c r="Q20" s="2">
        <v>16</v>
      </c>
      <c r="R20" s="2">
        <v>0</v>
      </c>
      <c r="S20" s="2">
        <f t="shared" si="4"/>
        <v>16</v>
      </c>
      <c r="T20" s="2">
        <f>13+69</f>
        <v>82</v>
      </c>
      <c r="U20" s="2">
        <f>122+8+126+106+15+20+157</f>
        <v>554</v>
      </c>
      <c r="V20" s="2">
        <v>0</v>
      </c>
      <c r="W20" s="2">
        <f t="shared" si="5"/>
        <v>636</v>
      </c>
      <c r="X20" s="2">
        <f t="shared" si="6"/>
        <v>652</v>
      </c>
      <c r="Y20" s="14">
        <f t="shared" si="7"/>
        <v>3129</v>
      </c>
      <c r="Z20" s="1"/>
      <c r="AA20" s="1"/>
    </row>
    <row r="21" spans="1:27" x14ac:dyDescent="0.25">
      <c r="A21" s="2">
        <f t="shared" si="0"/>
        <v>21</v>
      </c>
      <c r="B21" s="1" t="s">
        <v>56</v>
      </c>
      <c r="C21" s="2">
        <v>0</v>
      </c>
      <c r="D21" s="2">
        <v>9</v>
      </c>
      <c r="E21" s="2">
        <v>0</v>
      </c>
      <c r="F21" s="2">
        <v>1</v>
      </c>
      <c r="G21" s="2">
        <v>21</v>
      </c>
      <c r="H21" s="2">
        <v>1</v>
      </c>
      <c r="I21" s="2">
        <v>4</v>
      </c>
      <c r="J21" s="2">
        <f t="shared" si="1"/>
        <v>36</v>
      </c>
      <c r="K21" s="2">
        <f t="shared" si="2"/>
        <v>36</v>
      </c>
      <c r="L21" s="2">
        <v>0</v>
      </c>
      <c r="M21" s="2">
        <v>12</v>
      </c>
      <c r="N21" s="2">
        <f>5000+9</f>
        <v>5009</v>
      </c>
      <c r="O21" s="2">
        <v>0</v>
      </c>
      <c r="P21" s="2">
        <f t="shared" si="3"/>
        <v>5021</v>
      </c>
      <c r="Q21" s="2">
        <v>11</v>
      </c>
      <c r="R21" s="2">
        <v>0</v>
      </c>
      <c r="S21" s="2">
        <f t="shared" si="4"/>
        <v>11</v>
      </c>
      <c r="T21" s="2">
        <f>2+4</f>
        <v>6</v>
      </c>
      <c r="U21" s="2">
        <f>14+45+31+6+2+39</f>
        <v>137</v>
      </c>
      <c r="V21" s="2">
        <v>0</v>
      </c>
      <c r="W21" s="2">
        <f t="shared" si="5"/>
        <v>143</v>
      </c>
      <c r="X21" s="2">
        <f t="shared" si="6"/>
        <v>154</v>
      </c>
      <c r="Y21" s="14">
        <f t="shared" si="7"/>
        <v>5211</v>
      </c>
      <c r="Z21" s="1"/>
      <c r="AA21" s="1"/>
    </row>
    <row r="22" spans="1:27" x14ac:dyDescent="0.25">
      <c r="A22" s="2">
        <f t="shared" si="0"/>
        <v>22</v>
      </c>
      <c r="B22" s="1" t="s">
        <v>57</v>
      </c>
      <c r="C22" s="2">
        <v>0</v>
      </c>
      <c r="D22" s="2">
        <v>39</v>
      </c>
      <c r="E22" s="2">
        <v>2</v>
      </c>
      <c r="F22" s="2">
        <v>1</v>
      </c>
      <c r="G22" s="2">
        <v>33</v>
      </c>
      <c r="H22" s="2">
        <f>1+40</f>
        <v>41</v>
      </c>
      <c r="I22" s="2">
        <v>0</v>
      </c>
      <c r="J22" s="2">
        <f t="shared" si="1"/>
        <v>116</v>
      </c>
      <c r="K22" s="2">
        <f t="shared" si="2"/>
        <v>116</v>
      </c>
      <c r="L22" s="2">
        <v>0</v>
      </c>
      <c r="M22" s="2">
        <v>32</v>
      </c>
      <c r="N22" s="2">
        <f>4500+14</f>
        <v>4514</v>
      </c>
      <c r="O22" s="2">
        <v>0</v>
      </c>
      <c r="P22" s="2">
        <f t="shared" si="3"/>
        <v>4546</v>
      </c>
      <c r="Q22" s="2">
        <v>18</v>
      </c>
      <c r="R22" s="2">
        <v>0</v>
      </c>
      <c r="S22" s="2">
        <f t="shared" si="4"/>
        <v>18</v>
      </c>
      <c r="T22" s="2">
        <f>26+92</f>
        <v>118</v>
      </c>
      <c r="U22" s="2">
        <f>213+18+223+217+30+11+257</f>
        <v>969</v>
      </c>
      <c r="V22" s="2">
        <v>0</v>
      </c>
      <c r="W22" s="2">
        <f t="shared" si="5"/>
        <v>1087</v>
      </c>
      <c r="X22" s="2">
        <f t="shared" si="6"/>
        <v>1105</v>
      </c>
      <c r="Y22" s="14">
        <f t="shared" si="7"/>
        <v>5767</v>
      </c>
      <c r="Z22" s="1"/>
      <c r="AA22" s="1"/>
    </row>
    <row r="23" spans="1:27" x14ac:dyDescent="0.25">
      <c r="A23" s="2">
        <f t="shared" si="0"/>
        <v>23</v>
      </c>
      <c r="B23" s="1" t="s">
        <v>58</v>
      </c>
      <c r="C23" s="2">
        <v>0</v>
      </c>
      <c r="D23" s="2">
        <v>23</v>
      </c>
      <c r="E23" s="2">
        <f>10+1</f>
        <v>11</v>
      </c>
      <c r="F23" s="2">
        <v>0</v>
      </c>
      <c r="G23" s="2">
        <v>25</v>
      </c>
      <c r="H23" s="2">
        <f>1+9</f>
        <v>10</v>
      </c>
      <c r="I23" s="2">
        <v>109</v>
      </c>
      <c r="J23" s="2">
        <f t="shared" si="1"/>
        <v>178</v>
      </c>
      <c r="K23" s="2">
        <f t="shared" si="2"/>
        <v>178</v>
      </c>
      <c r="L23" s="2">
        <v>0</v>
      </c>
      <c r="M23" s="2">
        <v>44</v>
      </c>
      <c r="N23" s="2">
        <f>1560+44</f>
        <v>1604</v>
      </c>
      <c r="O23" s="2">
        <v>0</v>
      </c>
      <c r="P23" s="2">
        <f t="shared" si="3"/>
        <v>1648</v>
      </c>
      <c r="Q23" s="2">
        <v>32</v>
      </c>
      <c r="R23" s="2">
        <v>0</v>
      </c>
      <c r="S23" s="2">
        <f t="shared" si="4"/>
        <v>32</v>
      </c>
      <c r="T23" s="2">
        <f>22+135</f>
        <v>157</v>
      </c>
      <c r="U23" s="2">
        <f>144+202+433+416+50+27+516</f>
        <v>1788</v>
      </c>
      <c r="V23" s="2">
        <v>0</v>
      </c>
      <c r="W23" s="2">
        <f t="shared" si="5"/>
        <v>1945</v>
      </c>
      <c r="X23" s="2">
        <f t="shared" si="6"/>
        <v>1977</v>
      </c>
      <c r="Y23" s="14">
        <f t="shared" si="7"/>
        <v>3803</v>
      </c>
      <c r="Z23" s="1"/>
      <c r="AA23" s="1"/>
    </row>
    <row r="24" spans="1:27" x14ac:dyDescent="0.25">
      <c r="A24" s="2">
        <f t="shared" si="0"/>
        <v>24</v>
      </c>
      <c r="B24" s="1" t="s">
        <v>59</v>
      </c>
      <c r="C24" s="2">
        <v>0</v>
      </c>
      <c r="D24" s="2">
        <v>52</v>
      </c>
      <c r="E24" s="2">
        <v>0</v>
      </c>
      <c r="F24" s="2">
        <v>0</v>
      </c>
      <c r="G24" s="2">
        <v>58</v>
      </c>
      <c r="H24" s="2">
        <v>7</v>
      </c>
      <c r="I24" s="2">
        <v>2</v>
      </c>
      <c r="J24" s="2">
        <f t="shared" si="1"/>
        <v>119</v>
      </c>
      <c r="K24" s="2">
        <f t="shared" si="2"/>
        <v>119</v>
      </c>
      <c r="L24" s="2">
        <v>0</v>
      </c>
      <c r="M24" s="2">
        <v>20</v>
      </c>
      <c r="N24" s="2">
        <f>8000+29</f>
        <v>8029</v>
      </c>
      <c r="O24" s="2">
        <v>0</v>
      </c>
      <c r="P24" s="2">
        <f t="shared" si="3"/>
        <v>8049</v>
      </c>
      <c r="Q24" s="2">
        <v>13</v>
      </c>
      <c r="R24" s="2">
        <v>0</v>
      </c>
      <c r="S24" s="2">
        <f t="shared" si="4"/>
        <v>13</v>
      </c>
      <c r="T24" s="2">
        <f>29+165</f>
        <v>194</v>
      </c>
      <c r="U24" s="2">
        <f>163+44+409+464+54+42+508</f>
        <v>1684</v>
      </c>
      <c r="V24" s="2">
        <v>0</v>
      </c>
      <c r="W24" s="2">
        <f t="shared" si="5"/>
        <v>1878</v>
      </c>
      <c r="X24" s="2">
        <f t="shared" si="6"/>
        <v>1891</v>
      </c>
      <c r="Y24" s="14">
        <f t="shared" si="7"/>
        <v>10059</v>
      </c>
      <c r="Z24" s="1"/>
      <c r="AA24" s="1"/>
    </row>
    <row r="25" spans="1:27" x14ac:dyDescent="0.25">
      <c r="A25" s="2">
        <f t="shared" si="0"/>
        <v>25</v>
      </c>
      <c r="B25" s="1" t="s">
        <v>60</v>
      </c>
      <c r="C25" s="2">
        <v>0</v>
      </c>
      <c r="D25" s="2">
        <v>9</v>
      </c>
      <c r="E25" s="2">
        <v>5</v>
      </c>
      <c r="F25" s="2">
        <v>0</v>
      </c>
      <c r="G25" s="2">
        <v>8</v>
      </c>
      <c r="H25" s="2">
        <f>2+2</f>
        <v>4</v>
      </c>
      <c r="I25" s="2">
        <v>4</v>
      </c>
      <c r="J25" s="2">
        <f t="shared" si="1"/>
        <v>30</v>
      </c>
      <c r="K25" s="2">
        <f t="shared" si="2"/>
        <v>30</v>
      </c>
      <c r="L25" s="2">
        <v>0</v>
      </c>
      <c r="M25" s="2">
        <f>33+2</f>
        <v>35</v>
      </c>
      <c r="N25" s="2">
        <v>8</v>
      </c>
      <c r="O25" s="2">
        <v>0</v>
      </c>
      <c r="P25" s="2">
        <f t="shared" si="3"/>
        <v>43</v>
      </c>
      <c r="Q25" s="2">
        <v>4</v>
      </c>
      <c r="R25" s="2">
        <v>0</v>
      </c>
      <c r="S25" s="2">
        <f t="shared" si="4"/>
        <v>4</v>
      </c>
      <c r="T25" s="2">
        <f>7+42</f>
        <v>49</v>
      </c>
      <c r="U25" s="2">
        <f>37+9+63+69+15+7+70</f>
        <v>270</v>
      </c>
      <c r="V25" s="2">
        <v>0</v>
      </c>
      <c r="W25" s="2">
        <f t="shared" si="5"/>
        <v>319</v>
      </c>
      <c r="X25" s="2">
        <f t="shared" si="6"/>
        <v>323</v>
      </c>
      <c r="Y25" s="14">
        <f t="shared" si="7"/>
        <v>396</v>
      </c>
      <c r="Z25" s="1"/>
      <c r="AA25" s="1"/>
    </row>
    <row r="26" spans="1:27" x14ac:dyDescent="0.25">
      <c r="A26" s="2">
        <f t="shared" si="0"/>
        <v>26</v>
      </c>
      <c r="B26" s="1" t="s">
        <v>61</v>
      </c>
      <c r="C26" s="2">
        <v>0</v>
      </c>
      <c r="D26" s="2">
        <f>146+1</f>
        <v>147</v>
      </c>
      <c r="E26" s="2">
        <v>0</v>
      </c>
      <c r="F26" s="2">
        <v>20</v>
      </c>
      <c r="G26" s="2">
        <v>120</v>
      </c>
      <c r="H26" s="2">
        <f>6+18</f>
        <v>24</v>
      </c>
      <c r="I26" s="2">
        <v>8</v>
      </c>
      <c r="J26" s="2">
        <f t="shared" si="1"/>
        <v>319</v>
      </c>
      <c r="K26" s="2">
        <f t="shared" si="2"/>
        <v>319</v>
      </c>
      <c r="L26" s="2">
        <v>0</v>
      </c>
      <c r="M26" s="2">
        <v>12</v>
      </c>
      <c r="N26" s="2">
        <f>8500+17</f>
        <v>8517</v>
      </c>
      <c r="O26" s="2">
        <v>0</v>
      </c>
      <c r="P26" s="2">
        <f t="shared" si="3"/>
        <v>8529</v>
      </c>
      <c r="Q26" s="2">
        <v>37</v>
      </c>
      <c r="R26" s="2">
        <v>0</v>
      </c>
      <c r="S26" s="2">
        <f t="shared" si="4"/>
        <v>37</v>
      </c>
      <c r="T26" s="2">
        <f>16+60</f>
        <v>76</v>
      </c>
      <c r="U26" s="2">
        <f>298+4+221+237+56+25+330</f>
        <v>1171</v>
      </c>
      <c r="V26" s="2">
        <v>0</v>
      </c>
      <c r="W26" s="2">
        <f t="shared" si="5"/>
        <v>1247</v>
      </c>
      <c r="X26" s="2">
        <f t="shared" si="6"/>
        <v>1284</v>
      </c>
      <c r="Y26" s="14">
        <f t="shared" si="7"/>
        <v>10132</v>
      </c>
      <c r="Z26" s="1"/>
      <c r="AA26" s="1"/>
    </row>
    <row r="27" spans="1:27" x14ac:dyDescent="0.25">
      <c r="A27" s="2">
        <f t="shared" si="0"/>
        <v>27</v>
      </c>
      <c r="B27" s="1" t="s">
        <v>62</v>
      </c>
      <c r="C27" s="9">
        <v>0</v>
      </c>
      <c r="D27" s="9">
        <v>29</v>
      </c>
      <c r="E27" s="9">
        <v>0</v>
      </c>
      <c r="F27" s="9">
        <v>3</v>
      </c>
      <c r="G27" s="9">
        <v>26</v>
      </c>
      <c r="H27" s="9">
        <v>3</v>
      </c>
      <c r="I27" s="9">
        <v>0</v>
      </c>
      <c r="J27" s="9">
        <f t="shared" si="1"/>
        <v>61</v>
      </c>
      <c r="K27" s="9">
        <f t="shared" si="2"/>
        <v>61</v>
      </c>
      <c r="L27" s="9">
        <v>0</v>
      </c>
      <c r="M27" s="9">
        <v>0</v>
      </c>
      <c r="N27" s="9">
        <v>1200</v>
      </c>
      <c r="O27" s="9">
        <v>0</v>
      </c>
      <c r="P27" s="9">
        <f t="shared" si="3"/>
        <v>1200</v>
      </c>
      <c r="Q27" s="9">
        <v>7</v>
      </c>
      <c r="R27" s="9">
        <v>0</v>
      </c>
      <c r="S27" s="9">
        <f t="shared" si="4"/>
        <v>7</v>
      </c>
      <c r="T27" s="9">
        <f>5+7</f>
        <v>12</v>
      </c>
      <c r="U27" s="9">
        <f>71+16+104+120+26+16+131</f>
        <v>484</v>
      </c>
      <c r="V27" s="9">
        <v>0</v>
      </c>
      <c r="W27" s="9">
        <f t="shared" si="5"/>
        <v>496</v>
      </c>
      <c r="X27" s="9">
        <f t="shared" si="6"/>
        <v>503</v>
      </c>
      <c r="Y27" s="9">
        <f t="shared" si="7"/>
        <v>1764</v>
      </c>
      <c r="Z27" s="1"/>
      <c r="AA27" s="1"/>
    </row>
    <row r="28" spans="1:27" x14ac:dyDescent="0.25">
      <c r="A28" s="2">
        <f t="shared" si="0"/>
        <v>28</v>
      </c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"/>
      <c r="Z28" s="1"/>
      <c r="AA28" s="1"/>
    </row>
    <row r="29" spans="1:27" ht="15.75" thickBot="1" x14ac:dyDescent="0.3">
      <c r="A29" s="2">
        <f t="shared" si="0"/>
        <v>29</v>
      </c>
      <c r="B29" s="1" t="s">
        <v>63</v>
      </c>
      <c r="C29" s="10">
        <f>SUM(C12:C27)</f>
        <v>0</v>
      </c>
      <c r="D29" s="10">
        <f t="shared" ref="D29:Y29" si="8">SUM(D12:D27)</f>
        <v>557</v>
      </c>
      <c r="E29" s="10">
        <f t="shared" si="8"/>
        <v>66</v>
      </c>
      <c r="F29" s="10">
        <f t="shared" si="8"/>
        <v>30</v>
      </c>
      <c r="G29" s="10">
        <f t="shared" si="8"/>
        <v>524</v>
      </c>
      <c r="H29" s="10">
        <f t="shared" si="8"/>
        <v>472</v>
      </c>
      <c r="I29" s="10">
        <f t="shared" si="8"/>
        <v>205</v>
      </c>
      <c r="J29" s="10">
        <f t="shared" si="8"/>
        <v>1854</v>
      </c>
      <c r="K29" s="10">
        <f t="shared" si="8"/>
        <v>1854</v>
      </c>
      <c r="L29" s="10">
        <f t="shared" si="8"/>
        <v>0</v>
      </c>
      <c r="M29" s="10">
        <f t="shared" si="8"/>
        <v>329</v>
      </c>
      <c r="N29" s="10">
        <f t="shared" si="8"/>
        <v>54676</v>
      </c>
      <c r="O29" s="10">
        <f t="shared" si="8"/>
        <v>0</v>
      </c>
      <c r="P29" s="10">
        <f t="shared" si="8"/>
        <v>55005</v>
      </c>
      <c r="Q29" s="10">
        <f t="shared" si="8"/>
        <v>183</v>
      </c>
      <c r="R29" s="10">
        <f t="shared" si="8"/>
        <v>0</v>
      </c>
      <c r="S29" s="10">
        <f t="shared" si="8"/>
        <v>183</v>
      </c>
      <c r="T29" s="10">
        <f t="shared" si="8"/>
        <v>1057</v>
      </c>
      <c r="U29" s="10">
        <f t="shared" si="8"/>
        <v>10716</v>
      </c>
      <c r="V29" s="10">
        <f t="shared" si="8"/>
        <v>37</v>
      </c>
      <c r="W29" s="10">
        <f t="shared" si="8"/>
        <v>11810</v>
      </c>
      <c r="X29" s="10">
        <f t="shared" si="8"/>
        <v>11993</v>
      </c>
      <c r="Y29" s="10">
        <f t="shared" si="8"/>
        <v>68852</v>
      </c>
      <c r="Z29" s="1"/>
      <c r="AA29" s="1"/>
    </row>
    <row r="30" spans="1:27" ht="15.75" thickTop="1" x14ac:dyDescent="0.25">
      <c r="A30" s="2">
        <f t="shared" si="0"/>
        <v>30</v>
      </c>
      <c r="B30" s="7" t="s">
        <v>65</v>
      </c>
      <c r="C30" s="1" t="s">
        <v>67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5">
      <c r="A31" s="2">
        <f t="shared" si="0"/>
        <v>31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5">
      <c r="A32" s="2">
        <f t="shared" si="0"/>
        <v>32</v>
      </c>
      <c r="B32" s="6" t="s">
        <v>64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8" x14ac:dyDescent="0.25">
      <c r="A33" s="2">
        <f t="shared" si="0"/>
        <v>33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8" x14ac:dyDescent="0.25">
      <c r="A34" s="2">
        <f t="shared" si="0"/>
        <v>34</v>
      </c>
      <c r="B34" s="1" t="s">
        <v>69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228129</v>
      </c>
      <c r="J34" s="8">
        <f>SUM(D34:I34)</f>
        <v>228129</v>
      </c>
      <c r="K34" s="8">
        <f>C34+J34</f>
        <v>228129</v>
      </c>
      <c r="L34" s="8">
        <v>0</v>
      </c>
      <c r="M34" s="8">
        <v>0</v>
      </c>
      <c r="N34" s="8">
        <v>0</v>
      </c>
      <c r="O34" s="8">
        <v>941590</v>
      </c>
      <c r="P34" s="8">
        <f>SUM(L34:O34)</f>
        <v>941590</v>
      </c>
      <c r="Q34" s="8">
        <v>0</v>
      </c>
      <c r="R34" s="8">
        <v>0</v>
      </c>
      <c r="S34" s="8">
        <f>Q34+R34</f>
        <v>0</v>
      </c>
      <c r="T34" s="8">
        <v>0</v>
      </c>
      <c r="U34" s="8">
        <v>0</v>
      </c>
      <c r="V34" s="8">
        <v>0</v>
      </c>
      <c r="W34" s="8">
        <f>T34+U34+V34</f>
        <v>0</v>
      </c>
      <c r="X34" s="8">
        <f>S34+W34</f>
        <v>0</v>
      </c>
      <c r="Y34" s="8">
        <f>K34+P34+X34</f>
        <v>1169719</v>
      </c>
      <c r="Z34" s="20">
        <f>ROUND(Y34/Y$52,5)</f>
        <v>0.16400000000000001</v>
      </c>
      <c r="AA34" s="20">
        <f>ROUND((K34+P34)/(K$52+P$52),5)</f>
        <v>0.32374000000000003</v>
      </c>
      <c r="AB34" s="20">
        <f>ROUND(X34/X$52,5)</f>
        <v>0</v>
      </c>
    </row>
    <row r="35" spans="1:28" x14ac:dyDescent="0.25">
      <c r="A35" s="2">
        <f t="shared" si="0"/>
        <v>35</v>
      </c>
      <c r="B35" s="1" t="s">
        <v>47</v>
      </c>
      <c r="C35" s="8">
        <v>0</v>
      </c>
      <c r="D35" s="8">
        <v>0</v>
      </c>
      <c r="E35" s="8">
        <v>2700</v>
      </c>
      <c r="F35" s="8">
        <v>8600</v>
      </c>
      <c r="G35" s="8">
        <v>11966</v>
      </c>
      <c r="H35" s="8">
        <v>0</v>
      </c>
      <c r="I35" s="8">
        <v>0</v>
      </c>
      <c r="J35" s="8">
        <f>SUM(D35:I35)</f>
        <v>23266</v>
      </c>
      <c r="K35" s="8">
        <f>C35+J35</f>
        <v>23266</v>
      </c>
      <c r="L35" s="8">
        <v>0</v>
      </c>
      <c r="M35" s="8">
        <v>0</v>
      </c>
      <c r="N35" s="8">
        <v>1800</v>
      </c>
      <c r="O35" s="8">
        <v>0</v>
      </c>
      <c r="P35" s="8">
        <f>SUM(L35:O35)</f>
        <v>1800</v>
      </c>
      <c r="Q35" s="8">
        <v>10357</v>
      </c>
      <c r="R35" s="8">
        <v>0</v>
      </c>
      <c r="S35" s="8">
        <f>Q35+R35</f>
        <v>10357</v>
      </c>
      <c r="T35" s="8">
        <f>50+2253</f>
        <v>2303</v>
      </c>
      <c r="U35" s="8">
        <f>3675+1620+690+300+685+2865</f>
        <v>9835</v>
      </c>
      <c r="V35" s="8">
        <v>500</v>
      </c>
      <c r="W35" s="8">
        <f>T35+U35+V35</f>
        <v>12638</v>
      </c>
      <c r="X35" s="8">
        <f>S35+W35</f>
        <v>22995</v>
      </c>
      <c r="Y35" s="8">
        <f>K35+P35+X35</f>
        <v>48061</v>
      </c>
      <c r="Z35" s="22">
        <f t="shared" ref="Z35:Z50" si="9">ROUND(Y35/Y$52,5)</f>
        <v>6.7400000000000003E-3</v>
      </c>
      <c r="AA35" s="22">
        <f t="shared" ref="AA35:AA50" si="10">ROUND((K35+P35)/(K$52+P$52),5)</f>
        <v>6.94E-3</v>
      </c>
      <c r="AB35" s="22">
        <f t="shared" ref="AB35:AB50" si="11">ROUND(X35/X$52,5)</f>
        <v>6.5300000000000002E-3</v>
      </c>
    </row>
    <row r="36" spans="1:28" x14ac:dyDescent="0.25">
      <c r="A36" s="2">
        <f t="shared" si="0"/>
        <v>36</v>
      </c>
      <c r="B36" s="1" t="s">
        <v>48</v>
      </c>
      <c r="C36" s="8">
        <v>0</v>
      </c>
      <c r="D36" s="8">
        <v>41922</v>
      </c>
      <c r="E36" s="8">
        <f>5693+1450</f>
        <v>7143</v>
      </c>
      <c r="F36" s="8">
        <v>0</v>
      </c>
      <c r="G36" s="8">
        <v>47399</v>
      </c>
      <c r="H36" s="8">
        <v>371000</v>
      </c>
      <c r="I36" s="8">
        <v>0</v>
      </c>
      <c r="J36" s="8">
        <f t="shared" ref="J36:J50" si="12">SUM(D36:I36)</f>
        <v>467464</v>
      </c>
      <c r="K36" s="8">
        <f t="shared" ref="K36:K50" si="13">C36+J36</f>
        <v>467464</v>
      </c>
      <c r="L36" s="8">
        <v>0</v>
      </c>
      <c r="M36" s="8">
        <v>0</v>
      </c>
      <c r="N36" s="8">
        <v>3150</v>
      </c>
      <c r="O36" s="8">
        <v>0</v>
      </c>
      <c r="P36" s="8">
        <f t="shared" ref="P36:P50" si="14">SUM(L36:O36)</f>
        <v>3150</v>
      </c>
      <c r="Q36" s="8">
        <v>138325</v>
      </c>
      <c r="R36" s="8">
        <v>0</v>
      </c>
      <c r="S36" s="8">
        <f t="shared" ref="S36:S50" si="15">Q36+R36</f>
        <v>138325</v>
      </c>
      <c r="T36" s="8">
        <f>5370+38383</f>
        <v>43753</v>
      </c>
      <c r="U36" s="8">
        <f>131875+21975+32310+27695+2365+9200+55370</f>
        <v>280790</v>
      </c>
      <c r="V36" s="8">
        <v>1000</v>
      </c>
      <c r="W36" s="8">
        <f t="shared" ref="W36:W50" si="16">T36+U36+V36</f>
        <v>325543</v>
      </c>
      <c r="X36" s="8">
        <f t="shared" ref="X36:X50" si="17">S36+W36</f>
        <v>463868</v>
      </c>
      <c r="Y36" s="15">
        <f t="shared" ref="Y36:Y50" si="18">K36+P36+X36</f>
        <v>934482</v>
      </c>
      <c r="Z36" s="22">
        <f t="shared" si="9"/>
        <v>0.13100999999999999</v>
      </c>
      <c r="AA36" s="22">
        <f t="shared" si="10"/>
        <v>0.13025</v>
      </c>
      <c r="AB36" s="22">
        <f t="shared" si="11"/>
        <v>0.1318</v>
      </c>
    </row>
    <row r="37" spans="1:28" x14ac:dyDescent="0.25">
      <c r="A37" s="2">
        <f t="shared" si="0"/>
        <v>37</v>
      </c>
      <c r="B37" s="1" t="s">
        <v>49</v>
      </c>
      <c r="C37" s="8">
        <v>0</v>
      </c>
      <c r="D37" s="8">
        <v>5244</v>
      </c>
      <c r="E37" s="8">
        <v>0</v>
      </c>
      <c r="F37" s="8">
        <v>0</v>
      </c>
      <c r="G37" s="8">
        <v>8668</v>
      </c>
      <c r="H37" s="8">
        <v>26720</v>
      </c>
      <c r="I37" s="8">
        <v>0</v>
      </c>
      <c r="J37" s="8">
        <f t="shared" si="12"/>
        <v>40632</v>
      </c>
      <c r="K37" s="8">
        <f t="shared" si="13"/>
        <v>40632</v>
      </c>
      <c r="L37" s="8">
        <v>0</v>
      </c>
      <c r="M37" s="8">
        <v>0</v>
      </c>
      <c r="N37" s="8">
        <v>900</v>
      </c>
      <c r="O37" s="8">
        <v>0</v>
      </c>
      <c r="P37" s="8">
        <f t="shared" si="14"/>
        <v>900</v>
      </c>
      <c r="Q37" s="8">
        <v>18651</v>
      </c>
      <c r="R37" s="8">
        <v>0</v>
      </c>
      <c r="S37" s="8">
        <f t="shared" si="15"/>
        <v>18651</v>
      </c>
      <c r="T37" s="8">
        <f>755+7658</f>
        <v>8413</v>
      </c>
      <c r="U37" s="8">
        <f>52200+2800+7355+5130+460+2355+11735</f>
        <v>82035</v>
      </c>
      <c r="V37" s="8">
        <v>0</v>
      </c>
      <c r="W37" s="8">
        <f t="shared" si="16"/>
        <v>90448</v>
      </c>
      <c r="X37" s="8">
        <f t="shared" si="17"/>
        <v>109099</v>
      </c>
      <c r="Y37" s="15">
        <f t="shared" si="18"/>
        <v>150631</v>
      </c>
      <c r="Z37" s="22">
        <f t="shared" si="9"/>
        <v>2.112E-2</v>
      </c>
      <c r="AA37" s="22">
        <f t="shared" si="10"/>
        <v>1.149E-2</v>
      </c>
      <c r="AB37" s="22">
        <f t="shared" si="11"/>
        <v>3.1E-2</v>
      </c>
    </row>
    <row r="38" spans="1:28" x14ac:dyDescent="0.25">
      <c r="A38" s="2">
        <f t="shared" si="0"/>
        <v>38</v>
      </c>
      <c r="B38" s="1" t="s">
        <v>50</v>
      </c>
      <c r="C38" s="8">
        <v>0</v>
      </c>
      <c r="D38" s="8">
        <v>8883</v>
      </c>
      <c r="E38" s="8">
        <f>47600+10150</f>
        <v>57750</v>
      </c>
      <c r="F38" s="8">
        <v>0</v>
      </c>
      <c r="G38" s="8">
        <v>33657</v>
      </c>
      <c r="H38" s="8">
        <v>4200</v>
      </c>
      <c r="I38" s="8">
        <v>0</v>
      </c>
      <c r="J38" s="8">
        <f t="shared" si="12"/>
        <v>104490</v>
      </c>
      <c r="K38" s="8">
        <f t="shared" si="13"/>
        <v>104490</v>
      </c>
      <c r="L38" s="8">
        <v>0</v>
      </c>
      <c r="M38" s="8">
        <v>0</v>
      </c>
      <c r="N38" s="8">
        <v>1800</v>
      </c>
      <c r="O38" s="8">
        <v>0</v>
      </c>
      <c r="P38" s="8">
        <f t="shared" si="14"/>
        <v>1800</v>
      </c>
      <c r="Q38" s="8">
        <v>51623</v>
      </c>
      <c r="R38" s="8">
        <v>0</v>
      </c>
      <c r="S38" s="8">
        <f t="shared" si="15"/>
        <v>51623</v>
      </c>
      <c r="T38" s="8">
        <f>1883+3428</f>
        <v>5311</v>
      </c>
      <c r="U38" s="8">
        <f>18025+1210+1295+1555+340+1585+2655</f>
        <v>26665</v>
      </c>
      <c r="V38" s="8">
        <v>1000</v>
      </c>
      <c r="W38" s="8">
        <f t="shared" si="16"/>
        <v>32976</v>
      </c>
      <c r="X38" s="8">
        <f t="shared" si="17"/>
        <v>84599</v>
      </c>
      <c r="Y38" s="15">
        <f t="shared" si="18"/>
        <v>190889</v>
      </c>
      <c r="Z38" s="22">
        <f t="shared" si="9"/>
        <v>2.6759999999999999E-2</v>
      </c>
      <c r="AA38" s="22">
        <f t="shared" si="10"/>
        <v>2.9420000000000002E-2</v>
      </c>
      <c r="AB38" s="22">
        <f t="shared" si="11"/>
        <v>2.4039999999999999E-2</v>
      </c>
    </row>
    <row r="39" spans="1:28" x14ac:dyDescent="0.25">
      <c r="A39" s="2">
        <f t="shared" si="0"/>
        <v>39</v>
      </c>
      <c r="B39" s="1" t="s">
        <v>51</v>
      </c>
      <c r="C39" s="8">
        <v>0</v>
      </c>
      <c r="D39" s="8">
        <v>17568</v>
      </c>
      <c r="E39" s="8">
        <v>0</v>
      </c>
      <c r="F39" s="8">
        <v>0</v>
      </c>
      <c r="G39" s="8">
        <v>122240</v>
      </c>
      <c r="H39" s="8">
        <v>1400</v>
      </c>
      <c r="I39" s="8">
        <v>0</v>
      </c>
      <c r="J39" s="8">
        <f t="shared" si="12"/>
        <v>141208</v>
      </c>
      <c r="K39" s="8">
        <f t="shared" si="13"/>
        <v>141208</v>
      </c>
      <c r="L39" s="8">
        <v>0</v>
      </c>
      <c r="M39" s="8">
        <v>0</v>
      </c>
      <c r="N39" s="8">
        <v>675</v>
      </c>
      <c r="O39" s="8">
        <v>0</v>
      </c>
      <c r="P39" s="8">
        <f t="shared" si="14"/>
        <v>675</v>
      </c>
      <c r="Q39" s="8">
        <v>30000</v>
      </c>
      <c r="R39" s="8">
        <v>0</v>
      </c>
      <c r="S39" s="8">
        <f t="shared" si="15"/>
        <v>30000</v>
      </c>
      <c r="T39" s="8">
        <f>1510+5633</f>
        <v>7143</v>
      </c>
      <c r="U39" s="8">
        <f>23925+6310+3560+575+2740+8730</f>
        <v>45840</v>
      </c>
      <c r="V39" s="8">
        <v>10500</v>
      </c>
      <c r="W39" s="8">
        <f t="shared" si="16"/>
        <v>63483</v>
      </c>
      <c r="X39" s="8">
        <f t="shared" si="17"/>
        <v>93483</v>
      </c>
      <c r="Y39" s="15">
        <f t="shared" si="18"/>
        <v>235366</v>
      </c>
      <c r="Z39" s="22">
        <f t="shared" si="9"/>
        <v>3.3000000000000002E-2</v>
      </c>
      <c r="AA39" s="22">
        <f t="shared" si="10"/>
        <v>3.9269999999999999E-2</v>
      </c>
      <c r="AB39" s="22">
        <f t="shared" si="11"/>
        <v>2.656E-2</v>
      </c>
    </row>
    <row r="40" spans="1:28" x14ac:dyDescent="0.25">
      <c r="A40" s="2">
        <f t="shared" si="0"/>
        <v>40</v>
      </c>
      <c r="B40" s="1" t="s">
        <v>52</v>
      </c>
      <c r="C40" s="8">
        <v>0</v>
      </c>
      <c r="D40" s="8">
        <v>2986</v>
      </c>
      <c r="E40" s="8">
        <v>0</v>
      </c>
      <c r="F40" s="8">
        <v>0</v>
      </c>
      <c r="G40" s="8">
        <v>46511</v>
      </c>
      <c r="H40" s="8">
        <f>4200+11200</f>
        <v>15400</v>
      </c>
      <c r="I40" s="8">
        <v>0</v>
      </c>
      <c r="J40" s="8">
        <f t="shared" si="12"/>
        <v>64897</v>
      </c>
      <c r="K40" s="8">
        <f t="shared" si="13"/>
        <v>64897</v>
      </c>
      <c r="L40" s="8">
        <v>0</v>
      </c>
      <c r="M40" s="8">
        <v>0</v>
      </c>
      <c r="N40" s="8">
        <v>6030</v>
      </c>
      <c r="O40" s="8">
        <v>0</v>
      </c>
      <c r="P40" s="8">
        <f t="shared" si="14"/>
        <v>6030</v>
      </c>
      <c r="Q40" s="8">
        <v>52187</v>
      </c>
      <c r="R40" s="8">
        <v>0</v>
      </c>
      <c r="S40" s="8">
        <f t="shared" si="15"/>
        <v>52187</v>
      </c>
      <c r="T40" s="8">
        <f>1410+6203</f>
        <v>7613</v>
      </c>
      <c r="U40" s="8">
        <f>21550+2000+8280+7070+885+900+13530</f>
        <v>54215</v>
      </c>
      <c r="V40" s="8">
        <v>0</v>
      </c>
      <c r="W40" s="8">
        <f t="shared" si="16"/>
        <v>61828</v>
      </c>
      <c r="X40" s="8">
        <f t="shared" si="17"/>
        <v>114015</v>
      </c>
      <c r="Y40" s="15">
        <f t="shared" si="18"/>
        <v>184942</v>
      </c>
      <c r="Z40" s="22">
        <f t="shared" si="9"/>
        <v>2.5930000000000002E-2</v>
      </c>
      <c r="AA40" s="22">
        <f t="shared" si="10"/>
        <v>1.9630000000000002E-2</v>
      </c>
      <c r="AB40" s="22">
        <f t="shared" si="11"/>
        <v>3.2399999999999998E-2</v>
      </c>
    </row>
    <row r="41" spans="1:28" x14ac:dyDescent="0.25">
      <c r="A41" s="2">
        <f t="shared" si="0"/>
        <v>41</v>
      </c>
      <c r="B41" s="1" t="s">
        <v>53</v>
      </c>
      <c r="C41" s="8">
        <v>0</v>
      </c>
      <c r="D41" s="8">
        <v>4384</v>
      </c>
      <c r="E41" s="8">
        <v>20600</v>
      </c>
      <c r="F41" s="8">
        <v>0</v>
      </c>
      <c r="G41" s="8">
        <v>18393</v>
      </c>
      <c r="H41" s="8">
        <v>2800</v>
      </c>
      <c r="I41" s="8">
        <v>0</v>
      </c>
      <c r="J41" s="8">
        <f t="shared" si="12"/>
        <v>46177</v>
      </c>
      <c r="K41" s="8">
        <f t="shared" si="13"/>
        <v>46177</v>
      </c>
      <c r="L41" s="8">
        <v>0</v>
      </c>
      <c r="M41" s="8">
        <v>0</v>
      </c>
      <c r="N41" s="8">
        <v>4500</v>
      </c>
      <c r="O41" s="8">
        <v>0</v>
      </c>
      <c r="P41" s="8">
        <f t="shared" si="14"/>
        <v>4500</v>
      </c>
      <c r="Q41" s="8">
        <v>0</v>
      </c>
      <c r="R41" s="8">
        <v>0</v>
      </c>
      <c r="S41" s="8">
        <f t="shared" si="15"/>
        <v>0</v>
      </c>
      <c r="T41" s="8">
        <f>705+1645</f>
        <v>2350</v>
      </c>
      <c r="U41" s="8">
        <f>12450+400+3755+1505+410+2055+3765</f>
        <v>24340</v>
      </c>
      <c r="V41" s="8">
        <v>0</v>
      </c>
      <c r="W41" s="8">
        <f t="shared" si="16"/>
        <v>26690</v>
      </c>
      <c r="X41" s="8">
        <f t="shared" si="17"/>
        <v>26690</v>
      </c>
      <c r="Y41" s="15">
        <f t="shared" si="18"/>
        <v>77367</v>
      </c>
      <c r="Z41" s="22">
        <f t="shared" si="9"/>
        <v>1.085E-2</v>
      </c>
      <c r="AA41" s="22">
        <f t="shared" si="10"/>
        <v>1.4030000000000001E-2</v>
      </c>
      <c r="AB41" s="22">
        <f t="shared" si="11"/>
        <v>7.5799999999999999E-3</v>
      </c>
    </row>
    <row r="42" spans="1:28" x14ac:dyDescent="0.25">
      <c r="A42" s="2">
        <f t="shared" si="0"/>
        <v>42</v>
      </c>
      <c r="B42" s="1" t="s">
        <v>54</v>
      </c>
      <c r="C42" s="8">
        <v>0</v>
      </c>
      <c r="D42" s="8">
        <v>22117</v>
      </c>
      <c r="E42" s="8">
        <v>7100</v>
      </c>
      <c r="F42" s="8">
        <v>8600</v>
      </c>
      <c r="G42" s="8">
        <v>46046</v>
      </c>
      <c r="H42" s="8">
        <f>21000+12600</f>
        <v>33600</v>
      </c>
      <c r="I42" s="8">
        <v>0</v>
      </c>
      <c r="J42" s="8">
        <f t="shared" si="12"/>
        <v>117463</v>
      </c>
      <c r="K42" s="8">
        <f t="shared" si="13"/>
        <v>117463</v>
      </c>
      <c r="L42" s="8">
        <v>0</v>
      </c>
      <c r="M42" s="8">
        <v>0</v>
      </c>
      <c r="N42" s="8">
        <v>2340</v>
      </c>
      <c r="O42" s="8">
        <v>0</v>
      </c>
      <c r="P42" s="8">
        <f t="shared" si="14"/>
        <v>2340</v>
      </c>
      <c r="Q42" s="8">
        <v>40525</v>
      </c>
      <c r="R42" s="8">
        <v>0</v>
      </c>
      <c r="S42" s="8">
        <f t="shared" si="15"/>
        <v>40525</v>
      </c>
      <c r="T42" s="8">
        <f>1930+8833</f>
        <v>10763</v>
      </c>
      <c r="U42" s="8">
        <f>66685+2800+13810+11455+1905+3555+28080</f>
        <v>128290</v>
      </c>
      <c r="V42" s="8">
        <v>7000</v>
      </c>
      <c r="W42" s="8">
        <f t="shared" si="16"/>
        <v>146053</v>
      </c>
      <c r="X42" s="8">
        <f t="shared" si="17"/>
        <v>186578</v>
      </c>
      <c r="Y42" s="15">
        <f t="shared" si="18"/>
        <v>306381</v>
      </c>
      <c r="Z42" s="22">
        <f t="shared" si="9"/>
        <v>4.2950000000000002E-2</v>
      </c>
      <c r="AA42" s="22">
        <f t="shared" si="10"/>
        <v>3.3160000000000002E-2</v>
      </c>
      <c r="AB42" s="22">
        <f t="shared" si="11"/>
        <v>5.3010000000000002E-2</v>
      </c>
    </row>
    <row r="43" spans="1:28" x14ac:dyDescent="0.25">
      <c r="A43" s="2">
        <f t="shared" si="0"/>
        <v>43</v>
      </c>
      <c r="B43" s="1" t="s">
        <v>55</v>
      </c>
      <c r="C43" s="8">
        <v>0</v>
      </c>
      <c r="D43" s="8">
        <v>58550</v>
      </c>
      <c r="E43" s="8">
        <v>17532</v>
      </c>
      <c r="F43" s="8">
        <v>4300</v>
      </c>
      <c r="G43" s="8">
        <v>149258</v>
      </c>
      <c r="H43" s="8">
        <f>1400+77000</f>
        <v>78400</v>
      </c>
      <c r="I43" s="8">
        <v>0</v>
      </c>
      <c r="J43" s="8">
        <f t="shared" si="12"/>
        <v>308040</v>
      </c>
      <c r="K43" s="8">
        <f t="shared" si="13"/>
        <v>308040</v>
      </c>
      <c r="L43" s="8">
        <v>0</v>
      </c>
      <c r="M43" s="8">
        <v>0</v>
      </c>
      <c r="N43" s="8">
        <v>1935</v>
      </c>
      <c r="O43" s="8">
        <v>0</v>
      </c>
      <c r="P43" s="8">
        <f t="shared" si="14"/>
        <v>1935</v>
      </c>
      <c r="Q43" s="8">
        <v>275859</v>
      </c>
      <c r="R43" s="8">
        <v>0</v>
      </c>
      <c r="S43" s="8">
        <f t="shared" si="15"/>
        <v>275859</v>
      </c>
      <c r="T43" s="8">
        <f>2685+18085</f>
        <v>20770</v>
      </c>
      <c r="U43" s="8">
        <f>59365+3175+10365+5825+850+4155+22350</f>
        <v>106085</v>
      </c>
      <c r="V43" s="8">
        <v>0</v>
      </c>
      <c r="W43" s="8">
        <f t="shared" si="16"/>
        <v>126855</v>
      </c>
      <c r="X43" s="8">
        <f t="shared" si="17"/>
        <v>402714</v>
      </c>
      <c r="Y43" s="15">
        <f t="shared" si="18"/>
        <v>712689</v>
      </c>
      <c r="Z43" s="22">
        <f t="shared" si="9"/>
        <v>9.9919999999999995E-2</v>
      </c>
      <c r="AA43" s="22">
        <f t="shared" si="10"/>
        <v>8.5790000000000005E-2</v>
      </c>
      <c r="AB43" s="22">
        <f t="shared" si="11"/>
        <v>0.11441999999999999</v>
      </c>
    </row>
    <row r="44" spans="1:28" x14ac:dyDescent="0.25">
      <c r="A44" s="2">
        <f t="shared" si="0"/>
        <v>44</v>
      </c>
      <c r="B44" s="1" t="s">
        <v>56</v>
      </c>
      <c r="C44" s="8">
        <v>0</v>
      </c>
      <c r="D44" s="8">
        <v>6565</v>
      </c>
      <c r="E44" s="8">
        <v>0</v>
      </c>
      <c r="F44" s="8">
        <v>4300</v>
      </c>
      <c r="G44" s="8">
        <v>44270</v>
      </c>
      <c r="H44" s="8">
        <v>1400</v>
      </c>
      <c r="I44" s="8">
        <v>0</v>
      </c>
      <c r="J44" s="8">
        <f t="shared" si="12"/>
        <v>56535</v>
      </c>
      <c r="K44" s="8">
        <f t="shared" si="13"/>
        <v>56535</v>
      </c>
      <c r="L44" s="8">
        <v>0</v>
      </c>
      <c r="M44" s="8">
        <v>0</v>
      </c>
      <c r="N44" s="8">
        <v>4500</v>
      </c>
      <c r="O44" s="8">
        <v>0</v>
      </c>
      <c r="P44" s="8">
        <f t="shared" si="14"/>
        <v>4500</v>
      </c>
      <c r="Q44" s="8">
        <v>27487</v>
      </c>
      <c r="R44" s="8">
        <v>0</v>
      </c>
      <c r="S44" s="8">
        <f t="shared" si="15"/>
        <v>27487</v>
      </c>
      <c r="T44" s="8">
        <f>470+940</f>
        <v>1410</v>
      </c>
      <c r="U44" s="8">
        <f>10725+4500+2690+350+600+7970</f>
        <v>26835</v>
      </c>
      <c r="V44" s="8">
        <v>0</v>
      </c>
      <c r="W44" s="8">
        <f t="shared" si="16"/>
        <v>28245</v>
      </c>
      <c r="X44" s="8">
        <f t="shared" si="17"/>
        <v>55732</v>
      </c>
      <c r="Y44" s="15">
        <f t="shared" si="18"/>
        <v>116767</v>
      </c>
      <c r="Z44" s="22">
        <f t="shared" si="9"/>
        <v>1.6369999999999999E-2</v>
      </c>
      <c r="AA44" s="22">
        <f t="shared" si="10"/>
        <v>1.6889999999999999E-2</v>
      </c>
      <c r="AB44" s="22">
        <f t="shared" si="11"/>
        <v>1.584E-2</v>
      </c>
    </row>
    <row r="45" spans="1:28" x14ac:dyDescent="0.25">
      <c r="A45" s="2">
        <f t="shared" si="0"/>
        <v>45</v>
      </c>
      <c r="B45" s="1" t="s">
        <v>57</v>
      </c>
      <c r="C45" s="8">
        <v>0</v>
      </c>
      <c r="D45" s="8">
        <v>21175</v>
      </c>
      <c r="E45" s="8">
        <v>5319</v>
      </c>
      <c r="F45" s="8">
        <v>4300</v>
      </c>
      <c r="G45" s="8">
        <v>68329</v>
      </c>
      <c r="H45" s="8">
        <f>1400+56000</f>
        <v>57400</v>
      </c>
      <c r="I45" s="8">
        <v>0</v>
      </c>
      <c r="J45" s="8">
        <f t="shared" si="12"/>
        <v>156523</v>
      </c>
      <c r="K45" s="8">
        <f t="shared" si="13"/>
        <v>156523</v>
      </c>
      <c r="L45" s="8">
        <v>0</v>
      </c>
      <c r="M45" s="8">
        <v>0</v>
      </c>
      <c r="N45" s="8">
        <v>4050</v>
      </c>
      <c r="O45" s="8">
        <v>0</v>
      </c>
      <c r="P45" s="8">
        <f t="shared" si="14"/>
        <v>4050</v>
      </c>
      <c r="Q45" s="8">
        <v>108256</v>
      </c>
      <c r="R45" s="8">
        <v>0</v>
      </c>
      <c r="S45" s="8">
        <f t="shared" si="15"/>
        <v>108256</v>
      </c>
      <c r="T45" s="8">
        <f>5510+23295</f>
        <v>28805</v>
      </c>
      <c r="U45" s="8">
        <f>144005+5500+22140+14150+1380+5395+52945</f>
        <v>245515</v>
      </c>
      <c r="V45" s="8">
        <v>0</v>
      </c>
      <c r="W45" s="8">
        <f t="shared" si="16"/>
        <v>274320</v>
      </c>
      <c r="X45" s="8">
        <f t="shared" si="17"/>
        <v>382576</v>
      </c>
      <c r="Y45" s="15">
        <f t="shared" si="18"/>
        <v>543149</v>
      </c>
      <c r="Z45" s="22">
        <f t="shared" si="9"/>
        <v>7.6149999999999995E-2</v>
      </c>
      <c r="AA45" s="22">
        <f t="shared" si="10"/>
        <v>4.444E-2</v>
      </c>
      <c r="AB45" s="22">
        <f t="shared" si="11"/>
        <v>0.1087</v>
      </c>
    </row>
    <row r="46" spans="1:28" x14ac:dyDescent="0.25">
      <c r="A46" s="2">
        <f t="shared" si="0"/>
        <v>46</v>
      </c>
      <c r="B46" s="1" t="s">
        <v>58</v>
      </c>
      <c r="C46" s="8">
        <v>0</v>
      </c>
      <c r="D46" s="8">
        <v>13753</v>
      </c>
      <c r="E46" s="8">
        <f>24000+1450</f>
        <v>25450</v>
      </c>
      <c r="F46" s="8">
        <v>0</v>
      </c>
      <c r="G46" s="8">
        <v>51009</v>
      </c>
      <c r="H46" s="8">
        <f>760+12600</f>
        <v>13360</v>
      </c>
      <c r="I46" s="8">
        <v>0</v>
      </c>
      <c r="J46" s="8">
        <f t="shared" si="12"/>
        <v>103572</v>
      </c>
      <c r="K46" s="8">
        <f t="shared" si="13"/>
        <v>103572</v>
      </c>
      <c r="L46" s="8">
        <v>0</v>
      </c>
      <c r="M46" s="8">
        <v>0</v>
      </c>
      <c r="N46" s="8">
        <v>1404</v>
      </c>
      <c r="O46" s="8">
        <v>0</v>
      </c>
      <c r="P46" s="8">
        <f t="shared" si="14"/>
        <v>1404</v>
      </c>
      <c r="Q46" s="8">
        <v>193520</v>
      </c>
      <c r="R46" s="8">
        <v>0</v>
      </c>
      <c r="S46" s="8">
        <f t="shared" si="15"/>
        <v>193520</v>
      </c>
      <c r="T46" s="8">
        <f>4938+32988</f>
        <v>37926</v>
      </c>
      <c r="U46" s="8">
        <f>72300+66500+41865+21915+2310+6464+55255</f>
        <v>266609</v>
      </c>
      <c r="V46" s="8">
        <v>0</v>
      </c>
      <c r="W46" s="8">
        <f t="shared" si="16"/>
        <v>304535</v>
      </c>
      <c r="X46" s="8">
        <f t="shared" si="17"/>
        <v>498055</v>
      </c>
      <c r="Y46" s="15">
        <f t="shared" si="18"/>
        <v>603031</v>
      </c>
      <c r="Z46" s="22">
        <f t="shared" si="9"/>
        <v>8.455E-2</v>
      </c>
      <c r="AA46" s="22">
        <f t="shared" si="10"/>
        <v>2.9049999999999999E-2</v>
      </c>
      <c r="AB46" s="22">
        <f t="shared" si="11"/>
        <v>0.14151</v>
      </c>
    </row>
    <row r="47" spans="1:28" x14ac:dyDescent="0.25">
      <c r="A47" s="2">
        <f t="shared" si="0"/>
        <v>47</v>
      </c>
      <c r="B47" s="1" t="s">
        <v>59</v>
      </c>
      <c r="C47" s="8">
        <v>0</v>
      </c>
      <c r="D47" s="8">
        <v>27800</v>
      </c>
      <c r="E47" s="8">
        <v>0</v>
      </c>
      <c r="F47" s="8">
        <v>0</v>
      </c>
      <c r="G47" s="8">
        <v>126637</v>
      </c>
      <c r="H47" s="8">
        <v>9800</v>
      </c>
      <c r="I47" s="8">
        <v>0</v>
      </c>
      <c r="J47" s="8">
        <f t="shared" si="12"/>
        <v>164237</v>
      </c>
      <c r="K47" s="8">
        <f t="shared" si="13"/>
        <v>164237</v>
      </c>
      <c r="L47" s="8">
        <v>0</v>
      </c>
      <c r="M47" s="8">
        <v>0</v>
      </c>
      <c r="N47" s="8">
        <v>7200</v>
      </c>
      <c r="O47" s="8">
        <v>0</v>
      </c>
      <c r="P47" s="8">
        <f t="shared" si="14"/>
        <v>7200</v>
      </c>
      <c r="Q47" s="8">
        <v>70623</v>
      </c>
      <c r="R47" s="8">
        <v>0</v>
      </c>
      <c r="S47" s="8">
        <f t="shared" si="15"/>
        <v>70623</v>
      </c>
      <c r="T47" s="8">
        <f>6725+41208</f>
        <v>47933</v>
      </c>
      <c r="U47" s="8">
        <f>81675+11800+36875+25895+2645+7365+69010</f>
        <v>235265</v>
      </c>
      <c r="V47" s="8">
        <v>0</v>
      </c>
      <c r="W47" s="8">
        <f t="shared" si="16"/>
        <v>283198</v>
      </c>
      <c r="X47" s="8">
        <f t="shared" si="17"/>
        <v>353821</v>
      </c>
      <c r="Y47" s="15">
        <f t="shared" si="18"/>
        <v>525258</v>
      </c>
      <c r="Z47" s="22">
        <f t="shared" si="9"/>
        <v>7.3639999999999997E-2</v>
      </c>
      <c r="AA47" s="22">
        <f t="shared" si="10"/>
        <v>4.7449999999999999E-2</v>
      </c>
      <c r="AB47" s="22">
        <f t="shared" si="11"/>
        <v>0.10052999999999999</v>
      </c>
    </row>
    <row r="48" spans="1:28" x14ac:dyDescent="0.25">
      <c r="A48" s="2">
        <f t="shared" si="0"/>
        <v>48</v>
      </c>
      <c r="B48" s="1" t="s">
        <v>60</v>
      </c>
      <c r="C48" s="8">
        <v>0</v>
      </c>
      <c r="D48" s="8">
        <v>7874</v>
      </c>
      <c r="E48" s="8">
        <v>13500</v>
      </c>
      <c r="F48" s="8">
        <v>0</v>
      </c>
      <c r="G48" s="8">
        <v>16152</v>
      </c>
      <c r="H48" s="8">
        <f>2800+2800</f>
        <v>5600</v>
      </c>
      <c r="I48" s="8">
        <v>0</v>
      </c>
      <c r="J48" s="8">
        <f t="shared" si="12"/>
        <v>43126</v>
      </c>
      <c r="K48" s="8">
        <f t="shared" si="13"/>
        <v>43126</v>
      </c>
      <c r="L48" s="8">
        <v>0</v>
      </c>
      <c r="M48" s="8">
        <v>0</v>
      </c>
      <c r="N48" s="8">
        <v>0</v>
      </c>
      <c r="O48" s="8">
        <v>0</v>
      </c>
      <c r="P48" s="8">
        <f t="shared" si="14"/>
        <v>0</v>
      </c>
      <c r="Q48" s="8">
        <v>35972</v>
      </c>
      <c r="R48" s="8">
        <v>0</v>
      </c>
      <c r="S48" s="8">
        <f t="shared" si="15"/>
        <v>35972</v>
      </c>
      <c r="T48" s="8">
        <f>1275+10333</f>
        <v>11608</v>
      </c>
      <c r="U48" s="8">
        <f>25200+3200+5545+3805+945+2055+8730</f>
        <v>49480</v>
      </c>
      <c r="V48" s="8">
        <v>0</v>
      </c>
      <c r="W48" s="8">
        <f t="shared" si="16"/>
        <v>61088</v>
      </c>
      <c r="X48" s="8">
        <f t="shared" si="17"/>
        <v>97060</v>
      </c>
      <c r="Y48" s="15">
        <f t="shared" si="18"/>
        <v>140186</v>
      </c>
      <c r="Z48" s="22">
        <f t="shared" si="9"/>
        <v>1.9650000000000001E-2</v>
      </c>
      <c r="AA48" s="22">
        <f t="shared" si="10"/>
        <v>1.1939999999999999E-2</v>
      </c>
      <c r="AB48" s="22">
        <f t="shared" si="11"/>
        <v>2.758E-2</v>
      </c>
    </row>
    <row r="49" spans="1:28" x14ac:dyDescent="0.25">
      <c r="A49" s="2">
        <f t="shared" si="0"/>
        <v>49</v>
      </c>
      <c r="B49" s="1" t="s">
        <v>61</v>
      </c>
      <c r="C49" s="8">
        <v>0</v>
      </c>
      <c r="D49" s="8">
        <f>98401+2625</f>
        <v>101026</v>
      </c>
      <c r="E49" s="8">
        <v>0</v>
      </c>
      <c r="F49" s="8">
        <v>86000</v>
      </c>
      <c r="G49" s="8">
        <v>245705</v>
      </c>
      <c r="H49" s="8">
        <f>8400+25200</f>
        <v>33600</v>
      </c>
      <c r="I49" s="8">
        <v>0</v>
      </c>
      <c r="J49" s="8">
        <f t="shared" si="12"/>
        <v>466331</v>
      </c>
      <c r="K49" s="8">
        <f t="shared" si="13"/>
        <v>466331</v>
      </c>
      <c r="L49" s="8">
        <v>0</v>
      </c>
      <c r="M49" s="8">
        <v>0</v>
      </c>
      <c r="N49" s="8">
        <v>7650</v>
      </c>
      <c r="O49" s="8">
        <v>0</v>
      </c>
      <c r="P49" s="8">
        <f t="shared" si="14"/>
        <v>7650</v>
      </c>
      <c r="Q49" s="8">
        <v>192521</v>
      </c>
      <c r="R49" s="8">
        <v>0</v>
      </c>
      <c r="S49" s="8">
        <f t="shared" si="15"/>
        <v>192521</v>
      </c>
      <c r="T49" s="8">
        <f>3580+15873</f>
        <v>19453</v>
      </c>
      <c r="U49" s="8">
        <f>197625+400+20915+14280+2505+6480+49500</f>
        <v>291705</v>
      </c>
      <c r="V49" s="8">
        <v>0</v>
      </c>
      <c r="W49" s="8">
        <f t="shared" si="16"/>
        <v>311158</v>
      </c>
      <c r="X49" s="8">
        <f t="shared" si="17"/>
        <v>503679</v>
      </c>
      <c r="Y49" s="15">
        <f t="shared" si="18"/>
        <v>977660</v>
      </c>
      <c r="Z49" s="22">
        <f t="shared" si="9"/>
        <v>0.13707</v>
      </c>
      <c r="AA49" s="22">
        <f t="shared" si="10"/>
        <v>0.13117999999999999</v>
      </c>
      <c r="AB49" s="22">
        <f t="shared" si="11"/>
        <v>0.14310999999999999</v>
      </c>
    </row>
    <row r="50" spans="1:28" x14ac:dyDescent="0.25">
      <c r="A50" s="2">
        <f t="shared" si="0"/>
        <v>50</v>
      </c>
      <c r="B50" s="1" t="s">
        <v>62</v>
      </c>
      <c r="C50" s="12">
        <v>0</v>
      </c>
      <c r="D50" s="12">
        <v>18641</v>
      </c>
      <c r="E50" s="12">
        <v>0</v>
      </c>
      <c r="F50" s="12">
        <v>12900</v>
      </c>
      <c r="G50" s="12">
        <v>54714</v>
      </c>
      <c r="H50" s="12">
        <v>4200</v>
      </c>
      <c r="I50" s="12">
        <v>0</v>
      </c>
      <c r="J50" s="12">
        <f t="shared" si="12"/>
        <v>90455</v>
      </c>
      <c r="K50" s="12">
        <f t="shared" si="13"/>
        <v>90455</v>
      </c>
      <c r="L50" s="12">
        <v>0</v>
      </c>
      <c r="M50" s="12">
        <v>0</v>
      </c>
      <c r="N50" s="12">
        <v>1080</v>
      </c>
      <c r="O50" s="12">
        <v>0</v>
      </c>
      <c r="P50" s="12">
        <f t="shared" si="14"/>
        <v>1080</v>
      </c>
      <c r="Q50" s="12">
        <v>47304</v>
      </c>
      <c r="R50" s="12">
        <v>0</v>
      </c>
      <c r="S50" s="12">
        <f t="shared" si="15"/>
        <v>47304</v>
      </c>
      <c r="T50" s="12">
        <f>990+1783</f>
        <v>2773</v>
      </c>
      <c r="U50" s="12">
        <f>34500+3900+9705+6975+1345+3020+15000</f>
        <v>74445</v>
      </c>
      <c r="V50" s="12">
        <v>0</v>
      </c>
      <c r="W50" s="12">
        <f t="shared" si="16"/>
        <v>77218</v>
      </c>
      <c r="X50" s="12">
        <f t="shared" si="17"/>
        <v>124522</v>
      </c>
      <c r="Y50" s="12">
        <f t="shared" si="18"/>
        <v>216057</v>
      </c>
      <c r="Z50" s="23">
        <f t="shared" si="9"/>
        <v>3.0290000000000001E-2</v>
      </c>
      <c r="AA50" s="23">
        <f t="shared" si="10"/>
        <v>2.5329999999999998E-2</v>
      </c>
      <c r="AB50" s="23">
        <f t="shared" si="11"/>
        <v>3.5380000000000002E-2</v>
      </c>
    </row>
    <row r="51" spans="1:28" x14ac:dyDescent="0.25">
      <c r="A51" s="2">
        <f t="shared" si="0"/>
        <v>51</v>
      </c>
      <c r="B51" s="1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15"/>
      <c r="Z51" s="20"/>
      <c r="AA51" s="20"/>
      <c r="AB51" s="21"/>
    </row>
    <row r="52" spans="1:28" ht="15.75" thickBot="1" x14ac:dyDescent="0.3">
      <c r="A52" s="2">
        <f t="shared" si="0"/>
        <v>52</v>
      </c>
      <c r="B52" s="1" t="s">
        <v>63</v>
      </c>
      <c r="C52" s="11">
        <f>SUM(C34:C50)</f>
        <v>0</v>
      </c>
      <c r="D52" s="11">
        <f t="shared" ref="D52:Y52" si="19">SUM(D34:D50)</f>
        <v>358488</v>
      </c>
      <c r="E52" s="11">
        <f t="shared" si="19"/>
        <v>157094</v>
      </c>
      <c r="F52" s="11">
        <f t="shared" si="19"/>
        <v>129000</v>
      </c>
      <c r="G52" s="11">
        <f t="shared" si="19"/>
        <v>1090954</v>
      </c>
      <c r="H52" s="11">
        <f t="shared" si="19"/>
        <v>658880</v>
      </c>
      <c r="I52" s="11">
        <f t="shared" si="19"/>
        <v>228129</v>
      </c>
      <c r="J52" s="11">
        <f t="shared" si="19"/>
        <v>2622545</v>
      </c>
      <c r="K52" s="11">
        <f t="shared" si="19"/>
        <v>2622545</v>
      </c>
      <c r="L52" s="11">
        <f t="shared" si="19"/>
        <v>0</v>
      </c>
      <c r="M52" s="11">
        <f t="shared" si="19"/>
        <v>0</v>
      </c>
      <c r="N52" s="11">
        <f t="shared" si="19"/>
        <v>49014</v>
      </c>
      <c r="O52" s="11">
        <f t="shared" si="19"/>
        <v>941590</v>
      </c>
      <c r="P52" s="11">
        <f t="shared" si="19"/>
        <v>990604</v>
      </c>
      <c r="Q52" s="11">
        <f t="shared" si="19"/>
        <v>1293210</v>
      </c>
      <c r="R52" s="11">
        <f t="shared" si="19"/>
        <v>0</v>
      </c>
      <c r="S52" s="11">
        <f t="shared" si="19"/>
        <v>1293210</v>
      </c>
      <c r="T52" s="11">
        <f t="shared" si="19"/>
        <v>258327</v>
      </c>
      <c r="U52" s="11">
        <f t="shared" si="19"/>
        <v>1947949</v>
      </c>
      <c r="V52" s="11">
        <f t="shared" si="19"/>
        <v>20000</v>
      </c>
      <c r="W52" s="11">
        <f t="shared" si="19"/>
        <v>2226276</v>
      </c>
      <c r="X52" s="11">
        <f t="shared" si="19"/>
        <v>3519486</v>
      </c>
      <c r="Y52" s="11">
        <f t="shared" si="19"/>
        <v>7132635</v>
      </c>
      <c r="Z52" s="24">
        <f>SUM(Z34:Z50)</f>
        <v>1</v>
      </c>
      <c r="AA52" s="24">
        <f t="shared" ref="AA52:AB52" si="20">SUM(AA34:AA50)</f>
        <v>1</v>
      </c>
      <c r="AB52" s="24">
        <f t="shared" si="20"/>
        <v>0.99998999999999993</v>
      </c>
    </row>
    <row r="53" spans="1:28" ht="15.75" thickTop="1" x14ac:dyDescent="0.25">
      <c r="A53" s="2">
        <f t="shared" si="0"/>
        <v>53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5"/>
      <c r="Z53" s="1"/>
      <c r="AA53" s="1"/>
    </row>
    <row r="54" spans="1:28" x14ac:dyDescent="0.25">
      <c r="A54" s="2">
        <f t="shared" si="0"/>
        <v>54</v>
      </c>
      <c r="B54" s="7" t="s">
        <v>65</v>
      </c>
      <c r="C54" s="1" t="s">
        <v>68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6"/>
      <c r="Z54" s="1"/>
    </row>
    <row r="55" spans="1:28" x14ac:dyDescent="0.25">
      <c r="A55" s="2">
        <f t="shared" si="0"/>
        <v>55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</sheetData>
  <mergeCells count="7">
    <mergeCell ref="Z6:AB6"/>
    <mergeCell ref="C4:K4"/>
    <mergeCell ref="Q4:X4"/>
    <mergeCell ref="D5:J5"/>
    <mergeCell ref="L5:P5"/>
    <mergeCell ref="Q5:S5"/>
    <mergeCell ref="T5:W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zoomScale="80" zoomScaleNormal="80" workbookViewId="0">
      <selection activeCell="B2" sqref="B2"/>
    </sheetView>
  </sheetViews>
  <sheetFormatPr defaultColWidth="15.7109375" defaultRowHeight="15" x14ac:dyDescent="0.25"/>
  <cols>
    <col min="1" max="1" width="4.7109375" customWidth="1"/>
    <col min="2" max="2" width="20.7109375" customWidth="1"/>
  </cols>
  <sheetData>
    <row r="1" spans="1:28" x14ac:dyDescent="0.25">
      <c r="A1" s="2">
        <v>1</v>
      </c>
      <c r="B1" s="54" t="str">
        <f>Analysis!B1</f>
        <v>PSC DR2 Response 21.xlsx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x14ac:dyDescent="0.25">
      <c r="A2" s="2">
        <f>A1+1</f>
        <v>2</v>
      </c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8" x14ac:dyDescent="0.25">
      <c r="A3" s="2">
        <f t="shared" ref="A3:A55" si="0">A2+1</f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8" ht="15.75" thickBot="1" x14ac:dyDescent="0.3">
      <c r="A4" s="2">
        <f t="shared" si="0"/>
        <v>4</v>
      </c>
      <c r="B4" s="1"/>
      <c r="C4" s="66" t="s">
        <v>1</v>
      </c>
      <c r="D4" s="66"/>
      <c r="E4" s="66"/>
      <c r="F4" s="66"/>
      <c r="G4" s="66"/>
      <c r="H4" s="66"/>
      <c r="I4" s="66"/>
      <c r="J4" s="66"/>
      <c r="K4" s="66"/>
      <c r="L4" s="1"/>
      <c r="M4" s="1"/>
      <c r="N4" s="1"/>
      <c r="O4" s="1"/>
      <c r="P4" s="1"/>
      <c r="Q4" s="67" t="s">
        <v>45</v>
      </c>
      <c r="R4" s="67"/>
      <c r="S4" s="67"/>
      <c r="T4" s="67"/>
      <c r="U4" s="67"/>
      <c r="V4" s="67"/>
      <c r="W4" s="67"/>
      <c r="X4" s="67"/>
      <c r="Y4" s="1"/>
      <c r="Z4" s="1"/>
    </row>
    <row r="5" spans="1:28" x14ac:dyDescent="0.25">
      <c r="A5" s="2">
        <f t="shared" si="0"/>
        <v>5</v>
      </c>
      <c r="B5" s="1"/>
      <c r="C5" s="3" t="s">
        <v>2</v>
      </c>
      <c r="D5" s="60" t="s">
        <v>18</v>
      </c>
      <c r="E5" s="61"/>
      <c r="F5" s="61"/>
      <c r="G5" s="61"/>
      <c r="H5" s="61"/>
      <c r="I5" s="61"/>
      <c r="J5" s="62"/>
      <c r="K5" s="1"/>
      <c r="L5" s="63" t="s">
        <v>28</v>
      </c>
      <c r="M5" s="64"/>
      <c r="N5" s="64"/>
      <c r="O5" s="64"/>
      <c r="P5" s="65"/>
      <c r="Q5" s="60" t="s">
        <v>44</v>
      </c>
      <c r="R5" s="61"/>
      <c r="S5" s="62"/>
      <c r="T5" s="60" t="s">
        <v>43</v>
      </c>
      <c r="U5" s="61"/>
      <c r="V5" s="61"/>
      <c r="W5" s="62"/>
      <c r="X5" s="1"/>
      <c r="Y5" s="1"/>
      <c r="Z5" s="1"/>
    </row>
    <row r="6" spans="1:28" x14ac:dyDescent="0.25">
      <c r="A6" s="2">
        <f t="shared" si="0"/>
        <v>6</v>
      </c>
      <c r="B6" s="13">
        <v>2019</v>
      </c>
      <c r="C6" s="4" t="s">
        <v>9</v>
      </c>
      <c r="D6" s="4"/>
      <c r="E6" s="4"/>
      <c r="F6" s="4" t="s">
        <v>6</v>
      </c>
      <c r="G6" s="4" t="s">
        <v>11</v>
      </c>
      <c r="H6" s="4" t="s">
        <v>14</v>
      </c>
      <c r="I6" s="4" t="s">
        <v>9</v>
      </c>
      <c r="J6" s="4"/>
      <c r="K6" s="4" t="s">
        <v>29</v>
      </c>
      <c r="L6" s="4"/>
      <c r="M6" s="4"/>
      <c r="N6" s="4"/>
      <c r="O6" s="4" t="s">
        <v>25</v>
      </c>
      <c r="P6" s="4" t="s">
        <v>16</v>
      </c>
      <c r="Q6" s="4" t="s">
        <v>31</v>
      </c>
      <c r="R6" s="4"/>
      <c r="S6" s="4" t="s">
        <v>2</v>
      </c>
      <c r="T6" s="4"/>
      <c r="U6" s="4"/>
      <c r="V6" s="4" t="s">
        <v>39</v>
      </c>
      <c r="W6" s="4" t="s">
        <v>17</v>
      </c>
      <c r="X6" s="4" t="s">
        <v>29</v>
      </c>
      <c r="Y6" s="1"/>
      <c r="Z6" s="57" t="s">
        <v>71</v>
      </c>
      <c r="AA6" s="59"/>
      <c r="AB6" s="58"/>
    </row>
    <row r="7" spans="1:28" x14ac:dyDescent="0.25">
      <c r="A7" s="2">
        <f t="shared" si="0"/>
        <v>7</v>
      </c>
      <c r="B7" s="4"/>
      <c r="C7" s="4" t="s">
        <v>10</v>
      </c>
      <c r="D7" s="4"/>
      <c r="E7" s="4"/>
      <c r="F7" s="4" t="s">
        <v>7</v>
      </c>
      <c r="G7" s="4" t="s">
        <v>12</v>
      </c>
      <c r="H7" s="4" t="s">
        <v>15</v>
      </c>
      <c r="I7" s="4" t="s">
        <v>10</v>
      </c>
      <c r="J7" s="4" t="s">
        <v>16</v>
      </c>
      <c r="K7" s="4" t="s">
        <v>19</v>
      </c>
      <c r="L7" s="4" t="s">
        <v>21</v>
      </c>
      <c r="M7" s="4" t="s">
        <v>15</v>
      </c>
      <c r="N7" s="4" t="s">
        <v>24</v>
      </c>
      <c r="O7" s="4" t="s">
        <v>26</v>
      </c>
      <c r="P7" s="4" t="s">
        <v>30</v>
      </c>
      <c r="Q7" s="4" t="s">
        <v>32</v>
      </c>
      <c r="R7" s="4" t="s">
        <v>34</v>
      </c>
      <c r="S7" s="4" t="s">
        <v>42</v>
      </c>
      <c r="T7" s="4" t="s">
        <v>36</v>
      </c>
      <c r="U7" s="4" t="s">
        <v>6</v>
      </c>
      <c r="V7" s="4" t="s">
        <v>40</v>
      </c>
      <c r="W7" s="4" t="s">
        <v>42</v>
      </c>
      <c r="X7" s="4" t="s">
        <v>42</v>
      </c>
      <c r="Y7" s="4" t="s">
        <v>70</v>
      </c>
      <c r="Z7" s="17" t="s">
        <v>70</v>
      </c>
      <c r="AA7" s="17" t="s">
        <v>72</v>
      </c>
      <c r="AB7" s="18" t="s">
        <v>42</v>
      </c>
    </row>
    <row r="8" spans="1:28" ht="15.75" thickBot="1" x14ac:dyDescent="0.3">
      <c r="A8" s="2">
        <f t="shared" si="0"/>
        <v>8</v>
      </c>
      <c r="B8" s="5" t="s">
        <v>46</v>
      </c>
      <c r="C8" s="5" t="s">
        <v>3</v>
      </c>
      <c r="D8" s="5" t="s">
        <v>4</v>
      </c>
      <c r="E8" s="5" t="s">
        <v>5</v>
      </c>
      <c r="F8" s="5" t="s">
        <v>8</v>
      </c>
      <c r="G8" s="5" t="s">
        <v>13</v>
      </c>
      <c r="H8" s="5" t="s">
        <v>8</v>
      </c>
      <c r="I8" s="5" t="s">
        <v>3</v>
      </c>
      <c r="J8" s="5" t="s">
        <v>17</v>
      </c>
      <c r="K8" s="5" t="s">
        <v>20</v>
      </c>
      <c r="L8" s="5" t="s">
        <v>22</v>
      </c>
      <c r="M8" s="5" t="s">
        <v>23</v>
      </c>
      <c r="N8" s="5" t="s">
        <v>22</v>
      </c>
      <c r="O8" s="5" t="s">
        <v>27</v>
      </c>
      <c r="P8" s="5" t="s">
        <v>20</v>
      </c>
      <c r="Q8" s="5" t="s">
        <v>33</v>
      </c>
      <c r="R8" s="5" t="s">
        <v>35</v>
      </c>
      <c r="S8" s="5" t="s">
        <v>20</v>
      </c>
      <c r="T8" s="5" t="s">
        <v>37</v>
      </c>
      <c r="U8" s="5" t="s">
        <v>38</v>
      </c>
      <c r="V8" s="5" t="s">
        <v>41</v>
      </c>
      <c r="W8" s="5" t="s">
        <v>20</v>
      </c>
      <c r="X8" s="5" t="s">
        <v>20</v>
      </c>
      <c r="Y8" s="5" t="s">
        <v>63</v>
      </c>
      <c r="Z8" s="5" t="s">
        <v>63</v>
      </c>
      <c r="AA8" s="5" t="s">
        <v>20</v>
      </c>
      <c r="AB8" s="19" t="s">
        <v>20</v>
      </c>
    </row>
    <row r="9" spans="1:28" x14ac:dyDescent="0.25">
      <c r="A9" s="2">
        <f t="shared" si="0"/>
        <v>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8" x14ac:dyDescent="0.25">
      <c r="A10" s="2">
        <f t="shared" si="0"/>
        <v>10</v>
      </c>
      <c r="B10" s="6" t="s">
        <v>66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8" x14ac:dyDescent="0.25">
      <c r="A11" s="2">
        <f t="shared" si="0"/>
        <v>11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8" x14ac:dyDescent="0.25">
      <c r="A12" s="2">
        <f t="shared" si="0"/>
        <v>12</v>
      </c>
      <c r="B12" s="1" t="s">
        <v>47</v>
      </c>
      <c r="C12" s="2">
        <v>0</v>
      </c>
      <c r="D12" s="2">
        <v>0</v>
      </c>
      <c r="E12" s="2">
        <v>0</v>
      </c>
      <c r="F12" s="2">
        <v>0</v>
      </c>
      <c r="G12" s="2">
        <v>5</v>
      </c>
      <c r="H12" s="2">
        <v>0</v>
      </c>
      <c r="I12" s="2">
        <v>0</v>
      </c>
      <c r="J12" s="2">
        <f>SUM(D12:I12)</f>
        <v>5</v>
      </c>
      <c r="K12" s="2">
        <f>C12+J12</f>
        <v>5</v>
      </c>
      <c r="L12" s="2">
        <v>0</v>
      </c>
      <c r="M12" s="2">
        <v>2</v>
      </c>
      <c r="N12" s="2">
        <f>2000+2</f>
        <v>2002</v>
      </c>
      <c r="O12" s="2">
        <v>0</v>
      </c>
      <c r="P12" s="2">
        <f>SUM(L12:O12)</f>
        <v>2004</v>
      </c>
      <c r="Q12" s="2">
        <v>0</v>
      </c>
      <c r="R12" s="2">
        <v>0</v>
      </c>
      <c r="S12" s="2">
        <f>Q12+R12</f>
        <v>0</v>
      </c>
      <c r="T12" s="2">
        <v>2</v>
      </c>
      <c r="U12" s="2">
        <f>2+1+1</f>
        <v>4</v>
      </c>
      <c r="V12" s="2">
        <v>0</v>
      </c>
      <c r="W12" s="2">
        <f>T12+U12+V12</f>
        <v>6</v>
      </c>
      <c r="X12" s="2">
        <f>S12+W12</f>
        <v>6</v>
      </c>
      <c r="Y12" s="2">
        <f>K12+P12+X12</f>
        <v>2015</v>
      </c>
      <c r="Z12" s="1"/>
      <c r="AA12" s="1"/>
    </row>
    <row r="13" spans="1:28" x14ac:dyDescent="0.25">
      <c r="A13" s="2">
        <f t="shared" si="0"/>
        <v>13</v>
      </c>
      <c r="B13" s="1" t="s">
        <v>48</v>
      </c>
      <c r="C13" s="2">
        <v>0</v>
      </c>
      <c r="D13" s="2">
        <v>10</v>
      </c>
      <c r="E13" s="2">
        <v>4</v>
      </c>
      <c r="F13" s="2">
        <v>0</v>
      </c>
      <c r="G13" s="2">
        <v>12</v>
      </c>
      <c r="H13" s="2">
        <f>185+1</f>
        <v>186</v>
      </c>
      <c r="I13" s="2">
        <v>0</v>
      </c>
      <c r="J13" s="2">
        <f t="shared" ref="J13:J27" si="1">SUM(D13:I13)</f>
        <v>212</v>
      </c>
      <c r="K13" s="2">
        <f t="shared" ref="K13:K27" si="2">C13+J13</f>
        <v>212</v>
      </c>
      <c r="L13" s="2">
        <v>0</v>
      </c>
      <c r="M13" s="2">
        <f>27+1</f>
        <v>28</v>
      </c>
      <c r="N13" s="2">
        <v>3500</v>
      </c>
      <c r="O13" s="2">
        <v>0</v>
      </c>
      <c r="P13" s="2">
        <f t="shared" ref="P13:P27" si="3">SUM(L13:O13)</f>
        <v>3528</v>
      </c>
      <c r="Q13" s="2">
        <v>8</v>
      </c>
      <c r="R13" s="2">
        <v>0</v>
      </c>
      <c r="S13" s="2">
        <f t="shared" ref="S13:S27" si="4">Q13+R13</f>
        <v>8</v>
      </c>
      <c r="T13" s="2">
        <f>2+8</f>
        <v>10</v>
      </c>
      <c r="U13" s="2">
        <f>44+9+29+57+7+8+59</f>
        <v>213</v>
      </c>
      <c r="V13" s="2">
        <v>2</v>
      </c>
      <c r="W13" s="2">
        <f t="shared" ref="W13:W27" si="5">T13+U13+V13</f>
        <v>225</v>
      </c>
      <c r="X13" s="2">
        <f t="shared" ref="X13:X27" si="6">S13+W13</f>
        <v>233</v>
      </c>
      <c r="Y13" s="14">
        <f t="shared" ref="Y13:Y27" si="7">K13+P13+X13</f>
        <v>3973</v>
      </c>
      <c r="Z13" s="1"/>
      <c r="AA13" s="1"/>
    </row>
    <row r="14" spans="1:28" x14ac:dyDescent="0.25">
      <c r="A14" s="2">
        <f t="shared" si="0"/>
        <v>14</v>
      </c>
      <c r="B14" s="1" t="s">
        <v>49</v>
      </c>
      <c r="C14" s="2">
        <v>0</v>
      </c>
      <c r="D14" s="2">
        <v>2</v>
      </c>
      <c r="E14" s="2">
        <v>0</v>
      </c>
      <c r="F14" s="2">
        <v>0</v>
      </c>
      <c r="G14" s="2">
        <v>6</v>
      </c>
      <c r="H14" s="2">
        <v>16</v>
      </c>
      <c r="I14" s="2">
        <v>0</v>
      </c>
      <c r="J14" s="2">
        <f t="shared" si="1"/>
        <v>24</v>
      </c>
      <c r="K14" s="2">
        <f t="shared" si="2"/>
        <v>24</v>
      </c>
      <c r="L14" s="2">
        <v>0</v>
      </c>
      <c r="M14" s="2">
        <v>26</v>
      </c>
      <c r="N14" s="2">
        <f>3000+18</f>
        <v>3018</v>
      </c>
      <c r="O14" s="2">
        <v>0</v>
      </c>
      <c r="P14" s="2">
        <f t="shared" si="3"/>
        <v>3044</v>
      </c>
      <c r="Q14" s="2">
        <v>0</v>
      </c>
      <c r="R14" s="2">
        <v>0</v>
      </c>
      <c r="S14" s="2">
        <f t="shared" si="4"/>
        <v>0</v>
      </c>
      <c r="T14" s="2">
        <v>3</v>
      </c>
      <c r="U14" s="2">
        <f>21+1+7+16+3+16</f>
        <v>64</v>
      </c>
      <c r="V14" s="2">
        <v>0</v>
      </c>
      <c r="W14" s="2">
        <f t="shared" si="5"/>
        <v>67</v>
      </c>
      <c r="X14" s="2">
        <f t="shared" si="6"/>
        <v>67</v>
      </c>
      <c r="Y14" s="14">
        <f t="shared" si="7"/>
        <v>3135</v>
      </c>
      <c r="Z14" s="1"/>
      <c r="AA14" s="1"/>
    </row>
    <row r="15" spans="1:28" x14ac:dyDescent="0.25">
      <c r="A15" s="2">
        <f t="shared" si="0"/>
        <v>15</v>
      </c>
      <c r="B15" s="1" t="s">
        <v>50</v>
      </c>
      <c r="C15" s="2">
        <v>0</v>
      </c>
      <c r="D15" s="2">
        <v>3</v>
      </c>
      <c r="E15" s="2">
        <f>16+2</f>
        <v>18</v>
      </c>
      <c r="F15" s="2">
        <v>0</v>
      </c>
      <c r="G15" s="2">
        <v>15</v>
      </c>
      <c r="H15" s="2">
        <v>0</v>
      </c>
      <c r="I15" s="2">
        <v>0</v>
      </c>
      <c r="J15" s="2">
        <f t="shared" si="1"/>
        <v>36</v>
      </c>
      <c r="K15" s="2">
        <f t="shared" si="2"/>
        <v>36</v>
      </c>
      <c r="L15" s="2">
        <v>0</v>
      </c>
      <c r="M15" s="2">
        <v>20</v>
      </c>
      <c r="N15" s="2">
        <f>4500+14</f>
        <v>4514</v>
      </c>
      <c r="O15" s="2">
        <v>0</v>
      </c>
      <c r="P15" s="2">
        <f t="shared" si="3"/>
        <v>4534</v>
      </c>
      <c r="Q15" s="2">
        <v>2</v>
      </c>
      <c r="R15" s="2">
        <v>0</v>
      </c>
      <c r="S15" s="2">
        <f t="shared" si="4"/>
        <v>2</v>
      </c>
      <c r="T15" s="2">
        <v>1</v>
      </c>
      <c r="U15" s="2">
        <f>8+4+1+2</f>
        <v>15</v>
      </c>
      <c r="V15" s="2">
        <v>0</v>
      </c>
      <c r="W15" s="2">
        <f t="shared" si="5"/>
        <v>16</v>
      </c>
      <c r="X15" s="2">
        <f t="shared" si="6"/>
        <v>18</v>
      </c>
      <c r="Y15" s="14">
        <f t="shared" si="7"/>
        <v>4588</v>
      </c>
      <c r="Z15" s="1"/>
      <c r="AA15" s="1"/>
    </row>
    <row r="16" spans="1:28" x14ac:dyDescent="0.25">
      <c r="A16" s="2">
        <f t="shared" si="0"/>
        <v>16</v>
      </c>
      <c r="B16" s="1" t="s">
        <v>51</v>
      </c>
      <c r="C16" s="2">
        <v>0</v>
      </c>
      <c r="D16" s="2">
        <v>5</v>
      </c>
      <c r="E16" s="2">
        <v>1</v>
      </c>
      <c r="F16" s="2">
        <v>0</v>
      </c>
      <c r="G16" s="2">
        <v>17</v>
      </c>
      <c r="H16" s="2">
        <v>3</v>
      </c>
      <c r="I16" s="2">
        <v>0</v>
      </c>
      <c r="J16" s="2">
        <f t="shared" si="1"/>
        <v>26</v>
      </c>
      <c r="K16" s="2">
        <f t="shared" si="2"/>
        <v>26</v>
      </c>
      <c r="L16" s="2">
        <v>0</v>
      </c>
      <c r="M16" s="2">
        <v>2</v>
      </c>
      <c r="N16" s="2">
        <v>750</v>
      </c>
      <c r="O16" s="2">
        <v>0</v>
      </c>
      <c r="P16" s="2">
        <f t="shared" si="3"/>
        <v>752</v>
      </c>
      <c r="Q16" s="2">
        <v>0</v>
      </c>
      <c r="R16" s="2">
        <v>0</v>
      </c>
      <c r="S16" s="2">
        <f t="shared" si="4"/>
        <v>0</v>
      </c>
      <c r="T16" s="2">
        <f>1+1</f>
        <v>2</v>
      </c>
      <c r="U16" s="2">
        <f>7+2+17+17+4+4+25</f>
        <v>76</v>
      </c>
      <c r="V16" s="2">
        <v>1</v>
      </c>
      <c r="W16" s="2">
        <f t="shared" si="5"/>
        <v>79</v>
      </c>
      <c r="X16" s="2">
        <f t="shared" si="6"/>
        <v>79</v>
      </c>
      <c r="Y16" s="14">
        <f t="shared" si="7"/>
        <v>857</v>
      </c>
      <c r="Z16" s="1"/>
      <c r="AA16" s="1"/>
    </row>
    <row r="17" spans="1:27" x14ac:dyDescent="0.25">
      <c r="A17" s="2">
        <f t="shared" si="0"/>
        <v>17</v>
      </c>
      <c r="B17" s="1" t="s">
        <v>52</v>
      </c>
      <c r="C17" s="2">
        <v>0</v>
      </c>
      <c r="D17" s="2">
        <v>2</v>
      </c>
      <c r="E17" s="2">
        <v>0</v>
      </c>
      <c r="F17" s="2">
        <v>0</v>
      </c>
      <c r="G17" s="2">
        <v>19</v>
      </c>
      <c r="H17" s="2">
        <f>1+10</f>
        <v>11</v>
      </c>
      <c r="I17" s="2">
        <v>0</v>
      </c>
      <c r="J17" s="2">
        <f t="shared" si="1"/>
        <v>32</v>
      </c>
      <c r="K17" s="2">
        <f t="shared" si="2"/>
        <v>32</v>
      </c>
      <c r="L17" s="2">
        <v>0</v>
      </c>
      <c r="M17" s="2">
        <v>9</v>
      </c>
      <c r="N17" s="2">
        <f>2500+1</f>
        <v>2501</v>
      </c>
      <c r="O17" s="2">
        <v>0</v>
      </c>
      <c r="P17" s="2">
        <f t="shared" si="3"/>
        <v>2510</v>
      </c>
      <c r="Q17" s="2">
        <v>3</v>
      </c>
      <c r="R17" s="2">
        <v>0</v>
      </c>
      <c r="S17" s="2">
        <f t="shared" si="4"/>
        <v>3</v>
      </c>
      <c r="T17" s="2">
        <f>2+4</f>
        <v>6</v>
      </c>
      <c r="U17" s="2">
        <f>16+4+8+25+21</f>
        <v>74</v>
      </c>
      <c r="V17" s="2">
        <v>0</v>
      </c>
      <c r="W17" s="2">
        <f t="shared" si="5"/>
        <v>80</v>
      </c>
      <c r="X17" s="2">
        <f t="shared" si="6"/>
        <v>83</v>
      </c>
      <c r="Y17" s="14">
        <f t="shared" si="7"/>
        <v>2625</v>
      </c>
      <c r="Z17" s="1"/>
      <c r="AA17" s="1"/>
    </row>
    <row r="18" spans="1:27" x14ac:dyDescent="0.25">
      <c r="A18" s="2">
        <f t="shared" si="0"/>
        <v>18</v>
      </c>
      <c r="B18" s="1" t="s">
        <v>53</v>
      </c>
      <c r="C18" s="2">
        <v>0</v>
      </c>
      <c r="D18" s="2">
        <v>2</v>
      </c>
      <c r="E18" s="2">
        <v>10</v>
      </c>
      <c r="F18" s="2">
        <v>0</v>
      </c>
      <c r="G18" s="2">
        <v>1</v>
      </c>
      <c r="H18" s="2">
        <v>0</v>
      </c>
      <c r="I18" s="2">
        <v>1</v>
      </c>
      <c r="J18" s="2">
        <f t="shared" si="1"/>
        <v>14</v>
      </c>
      <c r="K18" s="2">
        <f t="shared" si="2"/>
        <v>14</v>
      </c>
      <c r="L18" s="2">
        <v>0</v>
      </c>
      <c r="M18" s="2">
        <v>19</v>
      </c>
      <c r="N18" s="2">
        <v>3000</v>
      </c>
      <c r="O18" s="2">
        <v>0</v>
      </c>
      <c r="P18" s="2">
        <f t="shared" si="3"/>
        <v>3019</v>
      </c>
      <c r="Q18" s="2">
        <v>1</v>
      </c>
      <c r="R18" s="2">
        <v>0</v>
      </c>
      <c r="S18" s="2">
        <f t="shared" si="4"/>
        <v>1</v>
      </c>
      <c r="T18" s="2">
        <v>2</v>
      </c>
      <c r="U18" s="2">
        <f>7+5+5+1+8</f>
        <v>26</v>
      </c>
      <c r="V18" s="2">
        <v>0</v>
      </c>
      <c r="W18" s="2">
        <f t="shared" si="5"/>
        <v>28</v>
      </c>
      <c r="X18" s="2">
        <f t="shared" si="6"/>
        <v>29</v>
      </c>
      <c r="Y18" s="14">
        <f t="shared" si="7"/>
        <v>3062</v>
      </c>
      <c r="Z18" s="1"/>
      <c r="AA18" s="1"/>
    </row>
    <row r="19" spans="1:27" x14ac:dyDescent="0.25">
      <c r="A19" s="2">
        <f t="shared" si="0"/>
        <v>19</v>
      </c>
      <c r="B19" s="1" t="s">
        <v>54</v>
      </c>
      <c r="C19" s="2">
        <v>0</v>
      </c>
      <c r="D19" s="2">
        <v>10</v>
      </c>
      <c r="E19" s="2">
        <v>2</v>
      </c>
      <c r="F19" s="2">
        <v>1</v>
      </c>
      <c r="G19" s="2">
        <v>16</v>
      </c>
      <c r="H19" s="2">
        <f>6+11</f>
        <v>17</v>
      </c>
      <c r="I19" s="2">
        <v>0</v>
      </c>
      <c r="J19" s="2">
        <f t="shared" si="1"/>
        <v>46</v>
      </c>
      <c r="K19" s="2">
        <f t="shared" si="2"/>
        <v>46</v>
      </c>
      <c r="L19" s="2">
        <v>0</v>
      </c>
      <c r="M19" s="2">
        <v>0</v>
      </c>
      <c r="N19" s="2">
        <f>3300+2</f>
        <v>3302</v>
      </c>
      <c r="O19" s="2">
        <v>0</v>
      </c>
      <c r="P19" s="2">
        <f t="shared" si="3"/>
        <v>3302</v>
      </c>
      <c r="Q19" s="2">
        <v>7</v>
      </c>
      <c r="R19" s="2">
        <v>0</v>
      </c>
      <c r="S19" s="2">
        <f t="shared" si="4"/>
        <v>7</v>
      </c>
      <c r="T19" s="2">
        <f>1+5</f>
        <v>6</v>
      </c>
      <c r="U19" s="2">
        <f>38+5+27+39+6+12+53</f>
        <v>180</v>
      </c>
      <c r="V19" s="2">
        <v>4</v>
      </c>
      <c r="W19" s="2">
        <f t="shared" si="5"/>
        <v>190</v>
      </c>
      <c r="X19" s="2">
        <f t="shared" si="6"/>
        <v>197</v>
      </c>
      <c r="Y19" s="14">
        <f t="shared" si="7"/>
        <v>3545</v>
      </c>
      <c r="Z19" s="1"/>
      <c r="AA19" s="1"/>
    </row>
    <row r="20" spans="1:27" x14ac:dyDescent="0.25">
      <c r="A20" s="2">
        <f t="shared" si="0"/>
        <v>20</v>
      </c>
      <c r="B20" s="1" t="s">
        <v>55</v>
      </c>
      <c r="C20" s="2">
        <v>0</v>
      </c>
      <c r="D20" s="2">
        <v>0</v>
      </c>
      <c r="E20" s="2">
        <v>2</v>
      </c>
      <c r="F20" s="2">
        <v>0</v>
      </c>
      <c r="G20" s="2">
        <v>1</v>
      </c>
      <c r="H20" s="2">
        <v>0</v>
      </c>
      <c r="I20" s="2">
        <v>6</v>
      </c>
      <c r="J20" s="2">
        <f t="shared" si="1"/>
        <v>9</v>
      </c>
      <c r="K20" s="2">
        <f t="shared" si="2"/>
        <v>9</v>
      </c>
      <c r="L20" s="2">
        <v>0</v>
      </c>
      <c r="M20" s="2">
        <v>18</v>
      </c>
      <c r="N20" s="2">
        <f>3000+32</f>
        <v>3032</v>
      </c>
      <c r="O20" s="2">
        <v>0</v>
      </c>
      <c r="P20" s="2">
        <f t="shared" si="3"/>
        <v>3050</v>
      </c>
      <c r="Q20" s="2">
        <v>0</v>
      </c>
      <c r="R20" s="2">
        <v>0</v>
      </c>
      <c r="S20" s="2">
        <f t="shared" si="4"/>
        <v>0</v>
      </c>
      <c r="T20" s="2">
        <v>0</v>
      </c>
      <c r="U20" s="2">
        <f>7+8+6+3+1+7</f>
        <v>32</v>
      </c>
      <c r="V20" s="2">
        <v>0</v>
      </c>
      <c r="W20" s="2">
        <f t="shared" si="5"/>
        <v>32</v>
      </c>
      <c r="X20" s="2">
        <f t="shared" si="6"/>
        <v>32</v>
      </c>
      <c r="Y20" s="14">
        <f t="shared" si="7"/>
        <v>3091</v>
      </c>
      <c r="Z20" s="1"/>
      <c r="AA20" s="1"/>
    </row>
    <row r="21" spans="1:27" x14ac:dyDescent="0.25">
      <c r="A21" s="2">
        <f t="shared" si="0"/>
        <v>21</v>
      </c>
      <c r="B21" s="1" t="s">
        <v>56</v>
      </c>
      <c r="C21" s="2">
        <v>0</v>
      </c>
      <c r="D21" s="2">
        <v>2</v>
      </c>
      <c r="E21" s="2">
        <v>2</v>
      </c>
      <c r="F21" s="2">
        <v>0</v>
      </c>
      <c r="G21" s="2">
        <v>15</v>
      </c>
      <c r="H21" s="2">
        <v>2</v>
      </c>
      <c r="I21" s="2">
        <v>3</v>
      </c>
      <c r="J21" s="2">
        <f t="shared" si="1"/>
        <v>24</v>
      </c>
      <c r="K21" s="2">
        <f t="shared" si="2"/>
        <v>24</v>
      </c>
      <c r="L21" s="2">
        <v>0</v>
      </c>
      <c r="M21" s="2">
        <v>13</v>
      </c>
      <c r="N21" s="2">
        <v>5000</v>
      </c>
      <c r="O21" s="2">
        <v>0</v>
      </c>
      <c r="P21" s="2">
        <f t="shared" si="3"/>
        <v>5013</v>
      </c>
      <c r="Q21" s="2">
        <v>4</v>
      </c>
      <c r="R21" s="2">
        <v>0</v>
      </c>
      <c r="S21" s="2">
        <f t="shared" si="4"/>
        <v>4</v>
      </c>
      <c r="T21" s="2">
        <v>0</v>
      </c>
      <c r="U21" s="2">
        <f>3+2+4+6+1+2+6</f>
        <v>24</v>
      </c>
      <c r="V21" s="2">
        <v>0</v>
      </c>
      <c r="W21" s="2">
        <f t="shared" si="5"/>
        <v>24</v>
      </c>
      <c r="X21" s="2">
        <f t="shared" si="6"/>
        <v>28</v>
      </c>
      <c r="Y21" s="14">
        <f t="shared" si="7"/>
        <v>5065</v>
      </c>
      <c r="Z21" s="1"/>
      <c r="AA21" s="1"/>
    </row>
    <row r="22" spans="1:27" x14ac:dyDescent="0.25">
      <c r="A22" s="2">
        <f t="shared" si="0"/>
        <v>22</v>
      </c>
      <c r="B22" s="1" t="s">
        <v>57</v>
      </c>
      <c r="C22" s="2">
        <v>0</v>
      </c>
      <c r="D22" s="2">
        <f>13+1</f>
        <v>14</v>
      </c>
      <c r="E22" s="2">
        <v>1</v>
      </c>
      <c r="F22" s="2">
        <v>2</v>
      </c>
      <c r="G22" s="2">
        <v>23</v>
      </c>
      <c r="H22" s="2">
        <f>1+26</f>
        <v>27</v>
      </c>
      <c r="I22" s="2">
        <v>0</v>
      </c>
      <c r="J22" s="2">
        <f t="shared" si="1"/>
        <v>67</v>
      </c>
      <c r="K22" s="2">
        <f t="shared" si="2"/>
        <v>67</v>
      </c>
      <c r="L22" s="2">
        <v>0</v>
      </c>
      <c r="M22" s="2">
        <v>48</v>
      </c>
      <c r="N22" s="2">
        <v>3000</v>
      </c>
      <c r="O22" s="2">
        <v>0</v>
      </c>
      <c r="P22" s="2">
        <f t="shared" si="3"/>
        <v>3048</v>
      </c>
      <c r="Q22" s="2">
        <v>10</v>
      </c>
      <c r="R22" s="2">
        <v>0</v>
      </c>
      <c r="S22" s="2">
        <f t="shared" si="4"/>
        <v>10</v>
      </c>
      <c r="T22" s="2">
        <f>4+13</f>
        <v>17</v>
      </c>
      <c r="U22" s="2">
        <f>43+1+34+53+8+6+66</f>
        <v>211</v>
      </c>
      <c r="V22" s="2">
        <v>0</v>
      </c>
      <c r="W22" s="2">
        <f t="shared" si="5"/>
        <v>228</v>
      </c>
      <c r="X22" s="2">
        <f t="shared" si="6"/>
        <v>238</v>
      </c>
      <c r="Y22" s="14">
        <f t="shared" si="7"/>
        <v>3353</v>
      </c>
      <c r="Z22" s="1"/>
      <c r="AA22" s="1"/>
    </row>
    <row r="23" spans="1:27" x14ac:dyDescent="0.25">
      <c r="A23" s="2">
        <f t="shared" si="0"/>
        <v>23</v>
      </c>
      <c r="B23" s="1" t="s">
        <v>58</v>
      </c>
      <c r="C23" s="2">
        <v>0</v>
      </c>
      <c r="D23" s="2">
        <v>17</v>
      </c>
      <c r="E23" s="2">
        <f>5+1</f>
        <v>6</v>
      </c>
      <c r="F23" s="2">
        <v>1</v>
      </c>
      <c r="G23" s="2">
        <v>40</v>
      </c>
      <c r="H23" s="2">
        <v>5</v>
      </c>
      <c r="I23" s="2">
        <v>34</v>
      </c>
      <c r="J23" s="2">
        <f t="shared" si="1"/>
        <v>103</v>
      </c>
      <c r="K23" s="2">
        <f t="shared" si="2"/>
        <v>103</v>
      </c>
      <c r="L23" s="2">
        <v>0</v>
      </c>
      <c r="M23" s="2">
        <v>23</v>
      </c>
      <c r="N23" s="2">
        <f>3500+18</f>
        <v>3518</v>
      </c>
      <c r="O23" s="2">
        <v>0</v>
      </c>
      <c r="P23" s="2">
        <f t="shared" si="3"/>
        <v>3541</v>
      </c>
      <c r="Q23" s="2">
        <v>17</v>
      </c>
      <c r="R23" s="2">
        <v>0</v>
      </c>
      <c r="S23" s="2">
        <f t="shared" si="4"/>
        <v>17</v>
      </c>
      <c r="T23" s="2">
        <f>3+17</f>
        <v>20</v>
      </c>
      <c r="U23" s="2">
        <f>33+29+73+78+8+11+87</f>
        <v>319</v>
      </c>
      <c r="V23" s="2">
        <v>0</v>
      </c>
      <c r="W23" s="2">
        <f t="shared" si="5"/>
        <v>339</v>
      </c>
      <c r="X23" s="2">
        <f t="shared" si="6"/>
        <v>356</v>
      </c>
      <c r="Y23" s="14">
        <f t="shared" si="7"/>
        <v>4000</v>
      </c>
      <c r="Z23" s="1"/>
      <c r="AA23" s="1"/>
    </row>
    <row r="24" spans="1:27" x14ac:dyDescent="0.25">
      <c r="A24" s="2">
        <f t="shared" si="0"/>
        <v>24</v>
      </c>
      <c r="B24" s="1" t="s">
        <v>59</v>
      </c>
      <c r="C24" s="2">
        <v>0</v>
      </c>
      <c r="D24" s="2">
        <v>7</v>
      </c>
      <c r="E24" s="2">
        <v>0</v>
      </c>
      <c r="F24" s="2">
        <v>0</v>
      </c>
      <c r="G24" s="2">
        <v>59</v>
      </c>
      <c r="H24" s="2">
        <f>1+4</f>
        <v>5</v>
      </c>
      <c r="I24" s="2">
        <v>1</v>
      </c>
      <c r="J24" s="2">
        <f t="shared" si="1"/>
        <v>72</v>
      </c>
      <c r="K24" s="2">
        <f t="shared" si="2"/>
        <v>72</v>
      </c>
      <c r="L24" s="2">
        <v>0</v>
      </c>
      <c r="M24" s="2">
        <v>53</v>
      </c>
      <c r="N24" s="2">
        <v>7900</v>
      </c>
      <c r="O24" s="2">
        <v>0</v>
      </c>
      <c r="P24" s="2">
        <f t="shared" si="3"/>
        <v>7953</v>
      </c>
      <c r="Q24" s="2">
        <v>8</v>
      </c>
      <c r="R24" s="2">
        <v>0</v>
      </c>
      <c r="S24" s="2">
        <f t="shared" si="4"/>
        <v>8</v>
      </c>
      <c r="T24" s="2">
        <f>8+21</f>
        <v>29</v>
      </c>
      <c r="U24" s="2">
        <f>21+3+43+67+13+4+74</f>
        <v>225</v>
      </c>
      <c r="V24" s="2">
        <v>0</v>
      </c>
      <c r="W24" s="2">
        <f t="shared" si="5"/>
        <v>254</v>
      </c>
      <c r="X24" s="2">
        <f t="shared" si="6"/>
        <v>262</v>
      </c>
      <c r="Y24" s="14">
        <f t="shared" si="7"/>
        <v>8287</v>
      </c>
      <c r="Z24" s="1"/>
      <c r="AA24" s="1"/>
    </row>
    <row r="25" spans="1:27" x14ac:dyDescent="0.25">
      <c r="A25" s="2">
        <f t="shared" si="0"/>
        <v>25</v>
      </c>
      <c r="B25" s="1" t="s">
        <v>60</v>
      </c>
      <c r="C25" s="2">
        <v>0</v>
      </c>
      <c r="D25" s="2">
        <v>3</v>
      </c>
      <c r="E25" s="2">
        <v>7</v>
      </c>
      <c r="F25" s="2">
        <v>0</v>
      </c>
      <c r="G25" s="2">
        <v>6</v>
      </c>
      <c r="H25" s="2">
        <f>1+2</f>
        <v>3</v>
      </c>
      <c r="I25" s="2">
        <v>29</v>
      </c>
      <c r="J25" s="2">
        <f t="shared" si="1"/>
        <v>48</v>
      </c>
      <c r="K25" s="2">
        <f t="shared" si="2"/>
        <v>48</v>
      </c>
      <c r="L25" s="2">
        <v>0</v>
      </c>
      <c r="M25" s="2">
        <v>36</v>
      </c>
      <c r="N25" s="2">
        <v>400</v>
      </c>
      <c r="O25" s="2">
        <v>0</v>
      </c>
      <c r="P25" s="2">
        <f t="shared" si="3"/>
        <v>436</v>
      </c>
      <c r="Q25" s="2">
        <v>3</v>
      </c>
      <c r="R25" s="2">
        <v>0</v>
      </c>
      <c r="S25" s="2">
        <f t="shared" si="4"/>
        <v>3</v>
      </c>
      <c r="T25" s="2">
        <f>3+2</f>
        <v>5</v>
      </c>
      <c r="U25" s="2">
        <f>11+1+8+12+3+3+13</f>
        <v>51</v>
      </c>
      <c r="V25" s="2">
        <v>0</v>
      </c>
      <c r="W25" s="2">
        <f t="shared" si="5"/>
        <v>56</v>
      </c>
      <c r="X25" s="2">
        <f t="shared" si="6"/>
        <v>59</v>
      </c>
      <c r="Y25" s="14">
        <f t="shared" si="7"/>
        <v>543</v>
      </c>
      <c r="Z25" s="1"/>
      <c r="AA25" s="1"/>
    </row>
    <row r="26" spans="1:27" x14ac:dyDescent="0.25">
      <c r="A26" s="2">
        <f t="shared" si="0"/>
        <v>26</v>
      </c>
      <c r="B26" s="1" t="s">
        <v>61</v>
      </c>
      <c r="C26" s="2">
        <v>0</v>
      </c>
      <c r="D26" s="2">
        <f>47+10</f>
        <v>57</v>
      </c>
      <c r="E26" s="2">
        <v>0</v>
      </c>
      <c r="F26" s="2">
        <v>11</v>
      </c>
      <c r="G26" s="2">
        <v>120</v>
      </c>
      <c r="H26" s="2">
        <f>11+10</f>
        <v>21</v>
      </c>
      <c r="I26" s="2">
        <v>1</v>
      </c>
      <c r="J26" s="2">
        <f t="shared" si="1"/>
        <v>210</v>
      </c>
      <c r="K26" s="2">
        <f t="shared" si="2"/>
        <v>210</v>
      </c>
      <c r="L26" s="2">
        <v>0</v>
      </c>
      <c r="M26" s="2">
        <v>14</v>
      </c>
      <c r="N26" s="2">
        <f>7000+3</f>
        <v>7003</v>
      </c>
      <c r="O26" s="2">
        <v>0</v>
      </c>
      <c r="P26" s="2">
        <f t="shared" si="3"/>
        <v>7017</v>
      </c>
      <c r="Q26" s="2">
        <v>16</v>
      </c>
      <c r="R26" s="2">
        <v>0</v>
      </c>
      <c r="S26" s="2">
        <f t="shared" si="4"/>
        <v>16</v>
      </c>
      <c r="T26" s="2">
        <f>1+13</f>
        <v>14</v>
      </c>
      <c r="U26" s="2">
        <f>84+57+67+18+13+80</f>
        <v>319</v>
      </c>
      <c r="V26" s="2">
        <v>0</v>
      </c>
      <c r="W26" s="2">
        <f t="shared" si="5"/>
        <v>333</v>
      </c>
      <c r="X26" s="2">
        <f t="shared" si="6"/>
        <v>349</v>
      </c>
      <c r="Y26" s="14">
        <f t="shared" si="7"/>
        <v>7576</v>
      </c>
      <c r="Z26" s="1"/>
      <c r="AA26" s="1"/>
    </row>
    <row r="27" spans="1:27" x14ac:dyDescent="0.25">
      <c r="A27" s="2">
        <f t="shared" si="0"/>
        <v>27</v>
      </c>
      <c r="B27" s="1" t="s">
        <v>62</v>
      </c>
      <c r="C27" s="9">
        <v>0</v>
      </c>
      <c r="D27" s="9">
        <v>6</v>
      </c>
      <c r="E27" s="9">
        <v>0</v>
      </c>
      <c r="F27" s="9">
        <v>5</v>
      </c>
      <c r="G27" s="9">
        <v>25</v>
      </c>
      <c r="H27" s="9">
        <f>1+1</f>
        <v>2</v>
      </c>
      <c r="I27" s="9">
        <v>0</v>
      </c>
      <c r="J27" s="9">
        <f t="shared" si="1"/>
        <v>38</v>
      </c>
      <c r="K27" s="9">
        <f t="shared" si="2"/>
        <v>38</v>
      </c>
      <c r="L27" s="9">
        <v>0</v>
      </c>
      <c r="M27" s="9">
        <v>0</v>
      </c>
      <c r="N27" s="9">
        <v>1100</v>
      </c>
      <c r="O27" s="9">
        <v>0</v>
      </c>
      <c r="P27" s="9">
        <f t="shared" si="3"/>
        <v>1100</v>
      </c>
      <c r="Q27" s="9">
        <v>2</v>
      </c>
      <c r="R27" s="9">
        <v>0</v>
      </c>
      <c r="S27" s="9">
        <f t="shared" si="4"/>
        <v>2</v>
      </c>
      <c r="T27" s="9">
        <v>0</v>
      </c>
      <c r="U27" s="9">
        <f>16+2+33+42+9+7+41</f>
        <v>150</v>
      </c>
      <c r="V27" s="9">
        <v>0</v>
      </c>
      <c r="W27" s="9">
        <f t="shared" si="5"/>
        <v>150</v>
      </c>
      <c r="X27" s="9">
        <f t="shared" si="6"/>
        <v>152</v>
      </c>
      <c r="Y27" s="9">
        <f t="shared" si="7"/>
        <v>1290</v>
      </c>
      <c r="Z27" s="1"/>
      <c r="AA27" s="1"/>
    </row>
    <row r="28" spans="1:27" x14ac:dyDescent="0.25">
      <c r="A28" s="2">
        <f t="shared" si="0"/>
        <v>28</v>
      </c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"/>
      <c r="Z28" s="1"/>
      <c r="AA28" s="1"/>
    </row>
    <row r="29" spans="1:27" ht="15.75" thickBot="1" x14ac:dyDescent="0.3">
      <c r="A29" s="2">
        <f t="shared" si="0"/>
        <v>29</v>
      </c>
      <c r="B29" s="1" t="s">
        <v>63</v>
      </c>
      <c r="C29" s="10">
        <f>SUM(C12:C27)</f>
        <v>0</v>
      </c>
      <c r="D29" s="10">
        <f t="shared" ref="D29:Y29" si="8">SUM(D12:D27)</f>
        <v>140</v>
      </c>
      <c r="E29" s="10">
        <f t="shared" si="8"/>
        <v>53</v>
      </c>
      <c r="F29" s="10">
        <f t="shared" si="8"/>
        <v>20</v>
      </c>
      <c r="G29" s="10">
        <f t="shared" si="8"/>
        <v>380</v>
      </c>
      <c r="H29" s="10">
        <f t="shared" si="8"/>
        <v>298</v>
      </c>
      <c r="I29" s="10">
        <f t="shared" si="8"/>
        <v>75</v>
      </c>
      <c r="J29" s="10">
        <f t="shared" si="8"/>
        <v>966</v>
      </c>
      <c r="K29" s="10">
        <f t="shared" si="8"/>
        <v>966</v>
      </c>
      <c r="L29" s="10">
        <f t="shared" si="8"/>
        <v>0</v>
      </c>
      <c r="M29" s="10">
        <f t="shared" si="8"/>
        <v>311</v>
      </c>
      <c r="N29" s="10">
        <f t="shared" si="8"/>
        <v>53540</v>
      </c>
      <c r="O29" s="10">
        <f t="shared" si="8"/>
        <v>0</v>
      </c>
      <c r="P29" s="10">
        <f t="shared" si="8"/>
        <v>53851</v>
      </c>
      <c r="Q29" s="10">
        <f t="shared" si="8"/>
        <v>81</v>
      </c>
      <c r="R29" s="10">
        <f t="shared" si="8"/>
        <v>0</v>
      </c>
      <c r="S29" s="10">
        <f t="shared" si="8"/>
        <v>81</v>
      </c>
      <c r="T29" s="10">
        <f t="shared" si="8"/>
        <v>117</v>
      </c>
      <c r="U29" s="10">
        <f t="shared" si="8"/>
        <v>1983</v>
      </c>
      <c r="V29" s="10">
        <f t="shared" si="8"/>
        <v>7</v>
      </c>
      <c r="W29" s="10">
        <f t="shared" si="8"/>
        <v>2107</v>
      </c>
      <c r="X29" s="10">
        <f t="shared" si="8"/>
        <v>2188</v>
      </c>
      <c r="Y29" s="10">
        <f t="shared" si="8"/>
        <v>57005</v>
      </c>
      <c r="Z29" s="1"/>
      <c r="AA29" s="1"/>
    </row>
    <row r="30" spans="1:27" ht="15.75" thickTop="1" x14ac:dyDescent="0.25">
      <c r="A30" s="2">
        <f t="shared" si="0"/>
        <v>30</v>
      </c>
      <c r="B30" s="7" t="s">
        <v>65</v>
      </c>
      <c r="C30" s="1" t="s">
        <v>67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5">
      <c r="A31" s="2">
        <f t="shared" si="0"/>
        <v>31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5">
      <c r="A32" s="2">
        <f t="shared" si="0"/>
        <v>32</v>
      </c>
      <c r="B32" s="6" t="s">
        <v>64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8" x14ac:dyDescent="0.25">
      <c r="A33" s="2">
        <f t="shared" si="0"/>
        <v>33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8" x14ac:dyDescent="0.25">
      <c r="A34" s="2">
        <f t="shared" si="0"/>
        <v>34</v>
      </c>
      <c r="B34" s="1" t="s">
        <v>69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80445</v>
      </c>
      <c r="J34" s="8">
        <f>SUM(D34:I34)</f>
        <v>80445</v>
      </c>
      <c r="K34" s="8">
        <f>C34+J34</f>
        <v>80445</v>
      </c>
      <c r="L34" s="8">
        <v>0</v>
      </c>
      <c r="M34" s="8">
        <v>0</v>
      </c>
      <c r="N34" s="8">
        <v>0</v>
      </c>
      <c r="O34" s="8">
        <v>817777</v>
      </c>
      <c r="P34" s="8">
        <f>SUM(L34:O34)</f>
        <v>817777</v>
      </c>
      <c r="Q34" s="8">
        <v>0</v>
      </c>
      <c r="R34" s="8">
        <v>0</v>
      </c>
      <c r="S34" s="8">
        <f>Q34+R34</f>
        <v>0</v>
      </c>
      <c r="T34" s="8">
        <v>0</v>
      </c>
      <c r="U34" s="8">
        <v>0</v>
      </c>
      <c r="V34" s="8">
        <v>0</v>
      </c>
      <c r="W34" s="8">
        <f>T34+U34+V34</f>
        <v>0</v>
      </c>
      <c r="X34" s="8">
        <f>S34+W34</f>
        <v>0</v>
      </c>
      <c r="Y34" s="8">
        <f>K34+P34+X34</f>
        <v>898222</v>
      </c>
      <c r="Z34" s="20">
        <f>ROUND(Y34/Y$52,5)</f>
        <v>0.24226</v>
      </c>
      <c r="AA34" s="20">
        <f>ROUND((K34+P34)/(K$52+P$52),5)</f>
        <v>0.35304000000000002</v>
      </c>
      <c r="AB34" s="20">
        <f>ROUND(X34/X$52,5)</f>
        <v>0</v>
      </c>
    </row>
    <row r="35" spans="1:28" x14ac:dyDescent="0.25">
      <c r="A35" s="2">
        <f t="shared" si="0"/>
        <v>35</v>
      </c>
      <c r="B35" s="1" t="s">
        <v>47</v>
      </c>
      <c r="C35" s="8">
        <v>0</v>
      </c>
      <c r="D35" s="8">
        <v>0</v>
      </c>
      <c r="E35" s="8">
        <v>0</v>
      </c>
      <c r="F35" s="8">
        <v>0</v>
      </c>
      <c r="G35" s="8">
        <v>8771</v>
      </c>
      <c r="H35" s="8">
        <v>0</v>
      </c>
      <c r="I35" s="8">
        <v>0</v>
      </c>
      <c r="J35" s="8">
        <f>SUM(D35:I35)</f>
        <v>8771</v>
      </c>
      <c r="K35" s="8">
        <f>C35+J35</f>
        <v>8771</v>
      </c>
      <c r="L35" s="8">
        <v>0</v>
      </c>
      <c r="M35" s="8">
        <v>856</v>
      </c>
      <c r="N35" s="8">
        <f>1800+38</f>
        <v>1838</v>
      </c>
      <c r="O35" s="8">
        <v>0</v>
      </c>
      <c r="P35" s="8">
        <f>SUM(L35:O35)</f>
        <v>2694</v>
      </c>
      <c r="Q35" s="8">
        <v>0</v>
      </c>
      <c r="R35" s="8">
        <v>0</v>
      </c>
      <c r="S35" s="8">
        <f>Q35+R35</f>
        <v>0</v>
      </c>
      <c r="T35" s="8">
        <v>620</v>
      </c>
      <c r="U35" s="8">
        <f>675+130+60</f>
        <v>865</v>
      </c>
      <c r="V35" s="8">
        <v>0</v>
      </c>
      <c r="W35" s="8">
        <f>T35+U35+V35</f>
        <v>1485</v>
      </c>
      <c r="X35" s="8">
        <f>S35+W35</f>
        <v>1485</v>
      </c>
      <c r="Y35" s="8">
        <f>K35+P35+X35</f>
        <v>12950</v>
      </c>
      <c r="Z35" s="22">
        <f t="shared" ref="Z35:Z50" si="9">ROUND(Y35/Y$52,5)</f>
        <v>3.49E-3</v>
      </c>
      <c r="AA35" s="22">
        <f t="shared" ref="AA35:AA50" si="10">ROUND((K35+P35)/(K$52+P$52),5)</f>
        <v>4.5100000000000001E-3</v>
      </c>
      <c r="AB35" s="22">
        <f t="shared" ref="AB35:AB50" si="11">ROUND(X35/X$52,5)</f>
        <v>1.2800000000000001E-3</v>
      </c>
    </row>
    <row r="36" spans="1:28" x14ac:dyDescent="0.25">
      <c r="A36" s="2">
        <f t="shared" si="0"/>
        <v>36</v>
      </c>
      <c r="B36" s="1" t="s">
        <v>48</v>
      </c>
      <c r="C36" s="8">
        <v>0</v>
      </c>
      <c r="D36" s="8">
        <v>5894</v>
      </c>
      <c r="E36" s="8">
        <v>9800</v>
      </c>
      <c r="F36" s="8">
        <v>0</v>
      </c>
      <c r="G36" s="8">
        <v>24070</v>
      </c>
      <c r="H36" s="8">
        <f>266300+700</f>
        <v>267000</v>
      </c>
      <c r="I36" s="8">
        <v>0</v>
      </c>
      <c r="J36" s="8">
        <f t="shared" ref="J36:J50" si="12">SUM(D36:I36)</f>
        <v>306764</v>
      </c>
      <c r="K36" s="8">
        <f t="shared" ref="K36:K50" si="13">C36+J36</f>
        <v>306764</v>
      </c>
      <c r="L36" s="8">
        <v>0</v>
      </c>
      <c r="M36" s="8">
        <f>11556+428</f>
        <v>11984</v>
      </c>
      <c r="N36" s="8">
        <v>3150</v>
      </c>
      <c r="O36" s="8">
        <v>0</v>
      </c>
      <c r="P36" s="8">
        <f t="shared" ref="P36:P50" si="14">SUM(L36:O36)</f>
        <v>15134</v>
      </c>
      <c r="Q36" s="8">
        <v>55345</v>
      </c>
      <c r="R36" s="8">
        <v>0</v>
      </c>
      <c r="S36" s="8">
        <f t="shared" ref="S36:S50" si="15">Q36+R36</f>
        <v>55345</v>
      </c>
      <c r="T36" s="8">
        <f>620+2480</f>
        <v>3100</v>
      </c>
      <c r="U36" s="8">
        <f>22965+1600+2365+4180+270+1670+12740</f>
        <v>45790</v>
      </c>
      <c r="V36" s="8">
        <v>1000</v>
      </c>
      <c r="W36" s="8">
        <f t="shared" ref="W36:W50" si="16">T36+U36+V36</f>
        <v>49890</v>
      </c>
      <c r="X36" s="8">
        <f t="shared" ref="X36:X50" si="17">S36+W36</f>
        <v>105235</v>
      </c>
      <c r="Y36" s="15">
        <f t="shared" ref="Y36:Y50" si="18">K36+P36+X36</f>
        <v>427133</v>
      </c>
      <c r="Z36" s="22">
        <f t="shared" si="9"/>
        <v>0.1152</v>
      </c>
      <c r="AA36" s="22">
        <f t="shared" si="10"/>
        <v>0.12651999999999999</v>
      </c>
      <c r="AB36" s="22">
        <f t="shared" si="11"/>
        <v>9.0459999999999999E-2</v>
      </c>
    </row>
    <row r="37" spans="1:28" x14ac:dyDescent="0.25">
      <c r="A37" s="2">
        <f t="shared" si="0"/>
        <v>37</v>
      </c>
      <c r="B37" s="1" t="s">
        <v>49</v>
      </c>
      <c r="C37" s="8">
        <v>0</v>
      </c>
      <c r="D37" s="8">
        <v>1763</v>
      </c>
      <c r="E37" s="8">
        <v>0</v>
      </c>
      <c r="F37" s="8">
        <v>0</v>
      </c>
      <c r="G37" s="8">
        <v>10231</v>
      </c>
      <c r="H37" s="8">
        <v>22800</v>
      </c>
      <c r="I37" s="8">
        <v>0</v>
      </c>
      <c r="J37" s="8">
        <f t="shared" si="12"/>
        <v>34794</v>
      </c>
      <c r="K37" s="8">
        <f t="shared" si="13"/>
        <v>34794</v>
      </c>
      <c r="L37" s="8">
        <v>0</v>
      </c>
      <c r="M37" s="8">
        <v>11128</v>
      </c>
      <c r="N37" s="8">
        <f>2700+341</f>
        <v>3041</v>
      </c>
      <c r="O37" s="8">
        <v>0</v>
      </c>
      <c r="P37" s="8">
        <f t="shared" si="14"/>
        <v>14169</v>
      </c>
      <c r="Q37" s="8">
        <v>0</v>
      </c>
      <c r="R37" s="8">
        <v>0</v>
      </c>
      <c r="S37" s="8">
        <f t="shared" si="15"/>
        <v>0</v>
      </c>
      <c r="T37" s="8">
        <v>1305</v>
      </c>
      <c r="U37" s="8">
        <f>11700+400+725+1205+1285+3255</f>
        <v>18570</v>
      </c>
      <c r="V37" s="8">
        <v>0</v>
      </c>
      <c r="W37" s="8">
        <f t="shared" si="16"/>
        <v>19875</v>
      </c>
      <c r="X37" s="8">
        <f t="shared" si="17"/>
        <v>19875</v>
      </c>
      <c r="Y37" s="15">
        <f t="shared" si="18"/>
        <v>68838</v>
      </c>
      <c r="Z37" s="22">
        <f t="shared" si="9"/>
        <v>1.857E-2</v>
      </c>
      <c r="AA37" s="22">
        <f t="shared" si="10"/>
        <v>1.924E-2</v>
      </c>
      <c r="AB37" s="22">
        <f t="shared" si="11"/>
        <v>1.7080000000000001E-2</v>
      </c>
    </row>
    <row r="38" spans="1:28" x14ac:dyDescent="0.25">
      <c r="A38" s="2">
        <f t="shared" si="0"/>
        <v>38</v>
      </c>
      <c r="B38" s="1" t="s">
        <v>50</v>
      </c>
      <c r="C38" s="8">
        <v>0</v>
      </c>
      <c r="D38" s="8">
        <v>1869</v>
      </c>
      <c r="E38" s="8">
        <f>41200+2900</f>
        <v>44100</v>
      </c>
      <c r="F38" s="8">
        <v>0</v>
      </c>
      <c r="G38" s="8">
        <v>26471</v>
      </c>
      <c r="H38" s="8">
        <v>0</v>
      </c>
      <c r="I38" s="8">
        <v>0</v>
      </c>
      <c r="J38" s="8">
        <f t="shared" si="12"/>
        <v>72440</v>
      </c>
      <c r="K38" s="8">
        <f t="shared" si="13"/>
        <v>72440</v>
      </c>
      <c r="L38" s="8">
        <v>0</v>
      </c>
      <c r="M38" s="8">
        <v>8560</v>
      </c>
      <c r="N38" s="8">
        <f>4050+265</f>
        <v>4315</v>
      </c>
      <c r="O38" s="8">
        <v>0</v>
      </c>
      <c r="P38" s="8">
        <f t="shared" si="14"/>
        <v>12875</v>
      </c>
      <c r="Q38" s="8">
        <v>30000</v>
      </c>
      <c r="R38" s="8">
        <v>0</v>
      </c>
      <c r="S38" s="8">
        <f t="shared" si="15"/>
        <v>30000</v>
      </c>
      <c r="T38" s="8">
        <v>498</v>
      </c>
      <c r="U38" s="8">
        <f>4050+160+70+125</f>
        <v>4405</v>
      </c>
      <c r="V38" s="8">
        <v>0</v>
      </c>
      <c r="W38" s="8">
        <f t="shared" si="16"/>
        <v>4903</v>
      </c>
      <c r="X38" s="8">
        <f t="shared" si="17"/>
        <v>34903</v>
      </c>
      <c r="Y38" s="15">
        <f t="shared" si="18"/>
        <v>120218</v>
      </c>
      <c r="Z38" s="22">
        <f t="shared" si="9"/>
        <v>3.2419999999999997E-2</v>
      </c>
      <c r="AA38" s="22">
        <f t="shared" si="10"/>
        <v>3.3529999999999997E-2</v>
      </c>
      <c r="AB38" s="22">
        <f t="shared" si="11"/>
        <v>0.03</v>
      </c>
    </row>
    <row r="39" spans="1:28" x14ac:dyDescent="0.25">
      <c r="A39" s="2">
        <f t="shared" si="0"/>
        <v>39</v>
      </c>
      <c r="B39" s="1" t="s">
        <v>51</v>
      </c>
      <c r="C39" s="8">
        <v>0</v>
      </c>
      <c r="D39" s="8">
        <v>4360</v>
      </c>
      <c r="E39" s="8">
        <v>2700</v>
      </c>
      <c r="F39" s="8">
        <v>0</v>
      </c>
      <c r="G39" s="8">
        <v>32111</v>
      </c>
      <c r="H39" s="8">
        <v>4300</v>
      </c>
      <c r="I39" s="8">
        <v>0</v>
      </c>
      <c r="J39" s="8">
        <f t="shared" si="12"/>
        <v>43471</v>
      </c>
      <c r="K39" s="8">
        <f t="shared" si="13"/>
        <v>43471</v>
      </c>
      <c r="L39" s="8">
        <v>0</v>
      </c>
      <c r="M39" s="8">
        <v>856</v>
      </c>
      <c r="N39" s="8">
        <v>675</v>
      </c>
      <c r="O39" s="8">
        <v>0</v>
      </c>
      <c r="P39" s="8">
        <f t="shared" si="14"/>
        <v>1531</v>
      </c>
      <c r="Q39" s="8">
        <v>0</v>
      </c>
      <c r="R39" s="8">
        <v>0</v>
      </c>
      <c r="S39" s="8">
        <f t="shared" si="15"/>
        <v>0</v>
      </c>
      <c r="T39" s="8">
        <f>310+310</f>
        <v>620</v>
      </c>
      <c r="U39" s="8">
        <f>3975+800+1340+810+160+428+4110</f>
        <v>11623</v>
      </c>
      <c r="V39" s="8">
        <v>500</v>
      </c>
      <c r="W39" s="8">
        <f t="shared" si="16"/>
        <v>12743</v>
      </c>
      <c r="X39" s="8">
        <f t="shared" si="17"/>
        <v>12743</v>
      </c>
      <c r="Y39" s="15">
        <f t="shared" si="18"/>
        <v>57745</v>
      </c>
      <c r="Z39" s="22">
        <f t="shared" si="9"/>
        <v>1.5570000000000001E-2</v>
      </c>
      <c r="AA39" s="22">
        <f t="shared" si="10"/>
        <v>1.7690000000000001E-2</v>
      </c>
      <c r="AB39" s="22">
        <f t="shared" si="11"/>
        <v>1.095E-2</v>
      </c>
    </row>
    <row r="40" spans="1:28" x14ac:dyDescent="0.25">
      <c r="A40" s="2">
        <f t="shared" si="0"/>
        <v>40</v>
      </c>
      <c r="B40" s="1" t="s">
        <v>52</v>
      </c>
      <c r="C40" s="8">
        <v>0</v>
      </c>
      <c r="D40" s="8">
        <v>1459</v>
      </c>
      <c r="E40" s="8">
        <v>0</v>
      </c>
      <c r="F40" s="8">
        <v>0</v>
      </c>
      <c r="G40" s="8">
        <v>33843</v>
      </c>
      <c r="H40" s="8">
        <f>1450+14200</f>
        <v>15650</v>
      </c>
      <c r="I40" s="8">
        <v>0</v>
      </c>
      <c r="J40" s="8">
        <f t="shared" si="12"/>
        <v>50952</v>
      </c>
      <c r="K40" s="8">
        <f t="shared" si="13"/>
        <v>50952</v>
      </c>
      <c r="L40" s="8">
        <v>0</v>
      </c>
      <c r="M40" s="8">
        <v>3852</v>
      </c>
      <c r="N40" s="8">
        <f>2250+19</f>
        <v>2269</v>
      </c>
      <c r="O40" s="8">
        <v>0</v>
      </c>
      <c r="P40" s="8">
        <f t="shared" si="14"/>
        <v>6121</v>
      </c>
      <c r="Q40" s="8">
        <v>49216</v>
      </c>
      <c r="R40" s="8">
        <v>0</v>
      </c>
      <c r="S40" s="8">
        <f t="shared" si="15"/>
        <v>49216</v>
      </c>
      <c r="T40" s="8">
        <f>360+1378</f>
        <v>1738</v>
      </c>
      <c r="U40" s="8">
        <f>12505+1600+465+1625+1450</f>
        <v>17645</v>
      </c>
      <c r="V40" s="8">
        <v>0</v>
      </c>
      <c r="W40" s="8">
        <f t="shared" si="16"/>
        <v>19383</v>
      </c>
      <c r="X40" s="8">
        <f t="shared" si="17"/>
        <v>68599</v>
      </c>
      <c r="Y40" s="15">
        <f t="shared" si="18"/>
        <v>125672</v>
      </c>
      <c r="Z40" s="22">
        <f t="shared" si="9"/>
        <v>3.39E-2</v>
      </c>
      <c r="AA40" s="22">
        <f t="shared" si="10"/>
        <v>2.2429999999999999E-2</v>
      </c>
      <c r="AB40" s="22">
        <f t="shared" si="11"/>
        <v>5.8970000000000002E-2</v>
      </c>
    </row>
    <row r="41" spans="1:28" x14ac:dyDescent="0.25">
      <c r="A41" s="2">
        <f t="shared" si="0"/>
        <v>41</v>
      </c>
      <c r="B41" s="1" t="s">
        <v>53</v>
      </c>
      <c r="C41" s="8">
        <v>0</v>
      </c>
      <c r="D41" s="8">
        <v>940</v>
      </c>
      <c r="E41" s="8">
        <v>26000</v>
      </c>
      <c r="F41" s="8">
        <v>0</v>
      </c>
      <c r="G41" s="8">
        <v>1460</v>
      </c>
      <c r="H41" s="8">
        <v>0</v>
      </c>
      <c r="I41" s="8">
        <v>0</v>
      </c>
      <c r="J41" s="8">
        <f t="shared" si="12"/>
        <v>28400</v>
      </c>
      <c r="K41" s="8">
        <f t="shared" si="13"/>
        <v>28400</v>
      </c>
      <c r="L41" s="8">
        <v>0</v>
      </c>
      <c r="M41" s="8">
        <v>8132</v>
      </c>
      <c r="N41" s="8">
        <v>2700</v>
      </c>
      <c r="O41" s="8">
        <v>0</v>
      </c>
      <c r="P41" s="8">
        <f t="shared" si="14"/>
        <v>10832</v>
      </c>
      <c r="Q41" s="8">
        <v>3573</v>
      </c>
      <c r="R41" s="8">
        <v>0</v>
      </c>
      <c r="S41" s="8">
        <f t="shared" si="15"/>
        <v>3573</v>
      </c>
      <c r="T41" s="8">
        <v>620</v>
      </c>
      <c r="U41" s="8">
        <f>2700+520+220+60+480</f>
        <v>3980</v>
      </c>
      <c r="V41" s="8">
        <v>0</v>
      </c>
      <c r="W41" s="8">
        <f t="shared" si="16"/>
        <v>4600</v>
      </c>
      <c r="X41" s="8">
        <f t="shared" si="17"/>
        <v>8173</v>
      </c>
      <c r="Y41" s="15">
        <f t="shared" si="18"/>
        <v>47405</v>
      </c>
      <c r="Z41" s="22">
        <f t="shared" si="9"/>
        <v>1.2789999999999999E-2</v>
      </c>
      <c r="AA41" s="22">
        <f t="shared" si="10"/>
        <v>1.542E-2</v>
      </c>
      <c r="AB41" s="22">
        <f t="shared" si="11"/>
        <v>7.0299999999999998E-3</v>
      </c>
    </row>
    <row r="42" spans="1:28" x14ac:dyDescent="0.25">
      <c r="A42" s="2">
        <f t="shared" si="0"/>
        <v>42</v>
      </c>
      <c r="B42" s="1" t="s">
        <v>54</v>
      </c>
      <c r="C42" s="8">
        <v>0</v>
      </c>
      <c r="D42" s="8">
        <v>9552</v>
      </c>
      <c r="E42" s="8">
        <v>4400</v>
      </c>
      <c r="F42" s="8">
        <v>4300</v>
      </c>
      <c r="G42" s="8">
        <v>29612</v>
      </c>
      <c r="H42" s="8">
        <f>8450+15500</f>
        <v>23950</v>
      </c>
      <c r="I42" s="8">
        <v>0</v>
      </c>
      <c r="J42" s="8">
        <f t="shared" si="12"/>
        <v>71814</v>
      </c>
      <c r="K42" s="8">
        <f t="shared" si="13"/>
        <v>71814</v>
      </c>
      <c r="L42" s="8">
        <v>0</v>
      </c>
      <c r="M42" s="8">
        <v>0</v>
      </c>
      <c r="N42" s="8">
        <f>2970+38</f>
        <v>3008</v>
      </c>
      <c r="O42" s="8">
        <v>0</v>
      </c>
      <c r="P42" s="8">
        <f t="shared" si="14"/>
        <v>3008</v>
      </c>
      <c r="Q42" s="8">
        <v>79606</v>
      </c>
      <c r="R42" s="8">
        <v>0</v>
      </c>
      <c r="S42" s="8">
        <f t="shared" si="15"/>
        <v>79606</v>
      </c>
      <c r="T42" s="8">
        <f>448+1478</f>
        <v>1926</v>
      </c>
      <c r="U42" s="8">
        <f>26185+2400+1920+1845+230+3385+13975</f>
        <v>49940</v>
      </c>
      <c r="V42" s="8">
        <v>2500</v>
      </c>
      <c r="W42" s="8">
        <f t="shared" si="16"/>
        <v>54366</v>
      </c>
      <c r="X42" s="8">
        <f t="shared" si="17"/>
        <v>133972</v>
      </c>
      <c r="Y42" s="15">
        <f t="shared" si="18"/>
        <v>208794</v>
      </c>
      <c r="Z42" s="22">
        <f t="shared" si="9"/>
        <v>5.6309999999999999E-2</v>
      </c>
      <c r="AA42" s="22">
        <f t="shared" si="10"/>
        <v>2.9409999999999999E-2</v>
      </c>
      <c r="AB42" s="22">
        <f t="shared" si="11"/>
        <v>0.11516</v>
      </c>
    </row>
    <row r="43" spans="1:28" x14ac:dyDescent="0.25">
      <c r="A43" s="2">
        <f t="shared" si="0"/>
        <v>43</v>
      </c>
      <c r="B43" s="1" t="s">
        <v>55</v>
      </c>
      <c r="C43" s="8">
        <v>0</v>
      </c>
      <c r="D43" s="8">
        <v>0</v>
      </c>
      <c r="E43" s="8">
        <v>5093</v>
      </c>
      <c r="F43" s="8">
        <v>0</v>
      </c>
      <c r="G43" s="8">
        <v>2241</v>
      </c>
      <c r="H43" s="8">
        <v>0</v>
      </c>
      <c r="I43" s="8">
        <v>0</v>
      </c>
      <c r="J43" s="8">
        <f t="shared" si="12"/>
        <v>7334</v>
      </c>
      <c r="K43" s="8">
        <f t="shared" si="13"/>
        <v>7334</v>
      </c>
      <c r="L43" s="8">
        <v>0</v>
      </c>
      <c r="M43" s="8">
        <v>7704</v>
      </c>
      <c r="N43" s="8">
        <f>2700+606</f>
        <v>3306</v>
      </c>
      <c r="O43" s="8">
        <v>0</v>
      </c>
      <c r="P43" s="8">
        <f t="shared" si="14"/>
        <v>11010</v>
      </c>
      <c r="Q43" s="8">
        <v>0</v>
      </c>
      <c r="R43" s="8">
        <v>0</v>
      </c>
      <c r="S43" s="8">
        <f t="shared" si="15"/>
        <v>0</v>
      </c>
      <c r="T43" s="8">
        <v>0</v>
      </c>
      <c r="U43" s="8">
        <f>2550+540+320+170+428+2620</f>
        <v>6628</v>
      </c>
      <c r="V43" s="8">
        <v>0</v>
      </c>
      <c r="W43" s="8">
        <f t="shared" si="16"/>
        <v>6628</v>
      </c>
      <c r="X43" s="8">
        <f t="shared" si="17"/>
        <v>6628</v>
      </c>
      <c r="Y43" s="15">
        <f t="shared" si="18"/>
        <v>24972</v>
      </c>
      <c r="Z43" s="22">
        <f t="shared" si="9"/>
        <v>6.7400000000000003E-3</v>
      </c>
      <c r="AA43" s="22">
        <f t="shared" si="10"/>
        <v>7.2100000000000003E-3</v>
      </c>
      <c r="AB43" s="22">
        <f t="shared" si="11"/>
        <v>5.7000000000000002E-3</v>
      </c>
    </row>
    <row r="44" spans="1:28" x14ac:dyDescent="0.25">
      <c r="A44" s="2">
        <f t="shared" si="0"/>
        <v>44</v>
      </c>
      <c r="B44" s="1" t="s">
        <v>56</v>
      </c>
      <c r="C44" s="8">
        <v>0</v>
      </c>
      <c r="D44" s="8">
        <v>808</v>
      </c>
      <c r="E44" s="8">
        <v>5400</v>
      </c>
      <c r="F44" s="8">
        <v>0</v>
      </c>
      <c r="G44" s="8">
        <v>25347</v>
      </c>
      <c r="H44" s="8">
        <v>2900</v>
      </c>
      <c r="I44" s="8">
        <v>0</v>
      </c>
      <c r="J44" s="8">
        <f t="shared" si="12"/>
        <v>34455</v>
      </c>
      <c r="K44" s="8">
        <f t="shared" si="13"/>
        <v>34455</v>
      </c>
      <c r="L44" s="8">
        <v>0</v>
      </c>
      <c r="M44" s="8">
        <v>5564</v>
      </c>
      <c r="N44" s="8">
        <v>4500</v>
      </c>
      <c r="O44" s="8">
        <v>0</v>
      </c>
      <c r="P44" s="8">
        <f t="shared" si="14"/>
        <v>10064</v>
      </c>
      <c r="Q44" s="8">
        <v>7445</v>
      </c>
      <c r="R44" s="8">
        <v>0</v>
      </c>
      <c r="S44" s="8">
        <f t="shared" si="15"/>
        <v>7445</v>
      </c>
      <c r="T44" s="8">
        <v>0</v>
      </c>
      <c r="U44" s="8">
        <f>2325+800+205+710+70+428+750</f>
        <v>5288</v>
      </c>
      <c r="V44" s="8">
        <v>0</v>
      </c>
      <c r="W44" s="8">
        <f t="shared" si="16"/>
        <v>5288</v>
      </c>
      <c r="X44" s="8">
        <f t="shared" si="17"/>
        <v>12733</v>
      </c>
      <c r="Y44" s="15">
        <f t="shared" si="18"/>
        <v>57252</v>
      </c>
      <c r="Z44" s="22">
        <f t="shared" si="9"/>
        <v>1.5440000000000001E-2</v>
      </c>
      <c r="AA44" s="22">
        <f t="shared" si="10"/>
        <v>1.7500000000000002E-2</v>
      </c>
      <c r="AB44" s="22">
        <f t="shared" si="11"/>
        <v>1.095E-2</v>
      </c>
    </row>
    <row r="45" spans="1:28" x14ac:dyDescent="0.25">
      <c r="A45" s="2">
        <f t="shared" si="0"/>
        <v>45</v>
      </c>
      <c r="B45" s="1" t="s">
        <v>57</v>
      </c>
      <c r="C45" s="8">
        <v>0</v>
      </c>
      <c r="D45" s="8">
        <f>7145+2085</f>
        <v>9230</v>
      </c>
      <c r="E45" s="8">
        <v>2654</v>
      </c>
      <c r="F45" s="8">
        <v>4280</v>
      </c>
      <c r="G45" s="8">
        <v>43802</v>
      </c>
      <c r="H45" s="8">
        <f>1400+36700</f>
        <v>38100</v>
      </c>
      <c r="I45" s="8">
        <v>0</v>
      </c>
      <c r="J45" s="8">
        <f t="shared" si="12"/>
        <v>98066</v>
      </c>
      <c r="K45" s="8">
        <f t="shared" si="13"/>
        <v>98066</v>
      </c>
      <c r="L45" s="8">
        <v>0</v>
      </c>
      <c r="M45" s="8">
        <v>20544</v>
      </c>
      <c r="N45" s="8">
        <v>2700</v>
      </c>
      <c r="O45" s="8">
        <v>0</v>
      </c>
      <c r="P45" s="8">
        <f t="shared" si="14"/>
        <v>23244</v>
      </c>
      <c r="Q45" s="8">
        <v>97209</v>
      </c>
      <c r="R45" s="8">
        <v>0</v>
      </c>
      <c r="S45" s="8">
        <f t="shared" si="15"/>
        <v>97209</v>
      </c>
      <c r="T45" s="8">
        <f>1753+3958</f>
        <v>5711</v>
      </c>
      <c r="U45" s="8">
        <f>25880+400+3110+3570+305+2955+15710</f>
        <v>51930</v>
      </c>
      <c r="V45" s="8">
        <v>0</v>
      </c>
      <c r="W45" s="8">
        <f t="shared" si="16"/>
        <v>57641</v>
      </c>
      <c r="X45" s="8">
        <f t="shared" si="17"/>
        <v>154850</v>
      </c>
      <c r="Y45" s="15">
        <f t="shared" si="18"/>
        <v>276160</v>
      </c>
      <c r="Z45" s="22">
        <f t="shared" si="9"/>
        <v>7.4480000000000005E-2</v>
      </c>
      <c r="AA45" s="22">
        <f t="shared" si="10"/>
        <v>4.768E-2</v>
      </c>
      <c r="AB45" s="22">
        <f t="shared" si="11"/>
        <v>0.13311000000000001</v>
      </c>
    </row>
    <row r="46" spans="1:28" x14ac:dyDescent="0.25">
      <c r="A46" s="2">
        <f t="shared" si="0"/>
        <v>46</v>
      </c>
      <c r="B46" s="1" t="s">
        <v>58</v>
      </c>
      <c r="C46" s="8">
        <v>0</v>
      </c>
      <c r="D46" s="8">
        <v>12786</v>
      </c>
      <c r="E46" s="8">
        <f>10475+1450</f>
        <v>11925</v>
      </c>
      <c r="F46" s="8">
        <v>4300</v>
      </c>
      <c r="G46" s="8">
        <v>70211</v>
      </c>
      <c r="H46" s="8">
        <v>7000</v>
      </c>
      <c r="I46" s="8">
        <v>0</v>
      </c>
      <c r="J46" s="8">
        <f t="shared" si="12"/>
        <v>106222</v>
      </c>
      <c r="K46" s="8">
        <f t="shared" si="13"/>
        <v>106222</v>
      </c>
      <c r="L46" s="8">
        <v>0</v>
      </c>
      <c r="M46" s="8">
        <v>9844</v>
      </c>
      <c r="N46" s="8">
        <f>3150+341</f>
        <v>3491</v>
      </c>
      <c r="O46" s="8">
        <v>0</v>
      </c>
      <c r="P46" s="8">
        <f t="shared" si="14"/>
        <v>13335</v>
      </c>
      <c r="Q46" s="8">
        <v>84539</v>
      </c>
      <c r="R46" s="8">
        <v>0</v>
      </c>
      <c r="S46" s="8">
        <f t="shared" si="15"/>
        <v>84539</v>
      </c>
      <c r="T46" s="8">
        <f>808+5148</f>
        <v>5956</v>
      </c>
      <c r="U46" s="8">
        <f>15765+8000+6340+3950+110+1745+8510</f>
        <v>44420</v>
      </c>
      <c r="V46" s="8">
        <v>0</v>
      </c>
      <c r="W46" s="8">
        <f t="shared" si="16"/>
        <v>50376</v>
      </c>
      <c r="X46" s="8">
        <f t="shared" si="17"/>
        <v>134915</v>
      </c>
      <c r="Y46" s="15">
        <f t="shared" si="18"/>
        <v>254472</v>
      </c>
      <c r="Z46" s="22">
        <f t="shared" si="9"/>
        <v>6.8629999999999997E-2</v>
      </c>
      <c r="AA46" s="22">
        <f t="shared" si="10"/>
        <v>4.6989999999999997E-2</v>
      </c>
      <c r="AB46" s="22">
        <f t="shared" si="11"/>
        <v>0.11597</v>
      </c>
    </row>
    <row r="47" spans="1:28" x14ac:dyDescent="0.25">
      <c r="A47" s="2">
        <f t="shared" si="0"/>
        <v>47</v>
      </c>
      <c r="B47" s="1" t="s">
        <v>59</v>
      </c>
      <c r="C47" s="8">
        <v>0</v>
      </c>
      <c r="D47" s="8">
        <v>5382</v>
      </c>
      <c r="E47" s="8">
        <v>0</v>
      </c>
      <c r="F47" s="8">
        <v>0</v>
      </c>
      <c r="G47" s="8">
        <v>115864</v>
      </c>
      <c r="H47" s="8">
        <f>1450+5700</f>
        <v>7150</v>
      </c>
      <c r="I47" s="8">
        <v>0</v>
      </c>
      <c r="J47" s="8">
        <f t="shared" si="12"/>
        <v>128396</v>
      </c>
      <c r="K47" s="8">
        <f t="shared" si="13"/>
        <v>128396</v>
      </c>
      <c r="L47" s="8">
        <v>0</v>
      </c>
      <c r="M47" s="8">
        <v>22684</v>
      </c>
      <c r="N47" s="8">
        <v>7110</v>
      </c>
      <c r="O47" s="8">
        <v>0</v>
      </c>
      <c r="P47" s="8">
        <f t="shared" si="14"/>
        <v>29794</v>
      </c>
      <c r="Q47" s="8">
        <v>107208</v>
      </c>
      <c r="R47" s="8">
        <v>0</v>
      </c>
      <c r="S47" s="8">
        <f t="shared" si="15"/>
        <v>107208</v>
      </c>
      <c r="T47" s="8">
        <f>2408+6648</f>
        <v>9056</v>
      </c>
      <c r="U47" s="8">
        <f>9430+1200+3350+4350+680+428+7250</f>
        <v>26688</v>
      </c>
      <c r="V47" s="8">
        <v>0</v>
      </c>
      <c r="W47" s="8">
        <f t="shared" si="16"/>
        <v>35744</v>
      </c>
      <c r="X47" s="8">
        <f t="shared" si="17"/>
        <v>142952</v>
      </c>
      <c r="Y47" s="15">
        <f t="shared" si="18"/>
        <v>301142</v>
      </c>
      <c r="Z47" s="22">
        <f t="shared" si="9"/>
        <v>8.1220000000000001E-2</v>
      </c>
      <c r="AA47" s="22">
        <f t="shared" si="10"/>
        <v>6.2179999999999999E-2</v>
      </c>
      <c r="AB47" s="22">
        <f t="shared" si="11"/>
        <v>0.12288</v>
      </c>
    </row>
    <row r="48" spans="1:28" x14ac:dyDescent="0.25">
      <c r="A48" s="2">
        <f t="shared" si="0"/>
        <v>48</v>
      </c>
      <c r="B48" s="1" t="s">
        <v>60</v>
      </c>
      <c r="C48" s="8">
        <v>0</v>
      </c>
      <c r="D48" s="8">
        <v>2965</v>
      </c>
      <c r="E48" s="8">
        <v>17900</v>
      </c>
      <c r="F48" s="8">
        <v>0</v>
      </c>
      <c r="G48" s="8">
        <v>12829</v>
      </c>
      <c r="H48" s="8">
        <f>1400+2800</f>
        <v>4200</v>
      </c>
      <c r="I48" s="8">
        <v>0</v>
      </c>
      <c r="J48" s="8">
        <f t="shared" si="12"/>
        <v>37894</v>
      </c>
      <c r="K48" s="8">
        <f t="shared" si="13"/>
        <v>37894</v>
      </c>
      <c r="L48" s="8">
        <v>0</v>
      </c>
      <c r="M48" s="8">
        <v>15408</v>
      </c>
      <c r="N48" s="8">
        <v>360</v>
      </c>
      <c r="O48" s="8">
        <v>0</v>
      </c>
      <c r="P48" s="8">
        <f t="shared" si="14"/>
        <v>15768</v>
      </c>
      <c r="Q48" s="8">
        <v>24015</v>
      </c>
      <c r="R48" s="8">
        <v>0</v>
      </c>
      <c r="S48" s="8">
        <f t="shared" si="15"/>
        <v>24015</v>
      </c>
      <c r="T48" s="8">
        <f>930+808</f>
        <v>1738</v>
      </c>
      <c r="U48" s="8">
        <f>6750+400+485+650+170+685+1510</f>
        <v>10650</v>
      </c>
      <c r="V48" s="8">
        <v>0</v>
      </c>
      <c r="W48" s="8">
        <f t="shared" si="16"/>
        <v>12388</v>
      </c>
      <c r="X48" s="8">
        <f t="shared" si="17"/>
        <v>36403</v>
      </c>
      <c r="Y48" s="15">
        <f t="shared" si="18"/>
        <v>90065</v>
      </c>
      <c r="Z48" s="22">
        <f t="shared" si="9"/>
        <v>2.4289999999999999E-2</v>
      </c>
      <c r="AA48" s="22">
        <f t="shared" si="10"/>
        <v>2.1090000000000001E-2</v>
      </c>
      <c r="AB48" s="22">
        <f t="shared" si="11"/>
        <v>3.1289999999999998E-2</v>
      </c>
    </row>
    <row r="49" spans="1:28" x14ac:dyDescent="0.25">
      <c r="A49" s="2">
        <f t="shared" si="0"/>
        <v>49</v>
      </c>
      <c r="B49" s="1" t="s">
        <v>61</v>
      </c>
      <c r="C49" s="8">
        <v>0</v>
      </c>
      <c r="D49" s="8">
        <f>41888+26250</f>
        <v>68138</v>
      </c>
      <c r="E49" s="8">
        <v>0</v>
      </c>
      <c r="F49" s="8">
        <v>47300</v>
      </c>
      <c r="G49" s="8">
        <v>213197</v>
      </c>
      <c r="H49" s="8">
        <f>15800+14050</f>
        <v>29850</v>
      </c>
      <c r="I49" s="8">
        <v>0</v>
      </c>
      <c r="J49" s="8">
        <f t="shared" si="12"/>
        <v>358485</v>
      </c>
      <c r="K49" s="8">
        <f t="shared" si="13"/>
        <v>358485</v>
      </c>
      <c r="L49" s="8">
        <v>0</v>
      </c>
      <c r="M49" s="8">
        <v>5992</v>
      </c>
      <c r="N49" s="8">
        <f>6300+57</f>
        <v>6357</v>
      </c>
      <c r="O49" s="8">
        <v>0</v>
      </c>
      <c r="P49" s="8">
        <f t="shared" si="14"/>
        <v>12349</v>
      </c>
      <c r="Q49" s="8">
        <v>159237</v>
      </c>
      <c r="R49" s="8">
        <v>0</v>
      </c>
      <c r="S49" s="8">
        <f t="shared" si="15"/>
        <v>159237</v>
      </c>
      <c r="T49" s="8">
        <f>50+4543</f>
        <v>4593</v>
      </c>
      <c r="U49" s="8">
        <f>56400+5460+4635+810+3470+16440</f>
        <v>87215</v>
      </c>
      <c r="V49" s="8">
        <v>0</v>
      </c>
      <c r="W49" s="8">
        <f t="shared" si="16"/>
        <v>91808</v>
      </c>
      <c r="X49" s="8">
        <f t="shared" si="17"/>
        <v>251045</v>
      </c>
      <c r="Y49" s="15">
        <f t="shared" si="18"/>
        <v>621879</v>
      </c>
      <c r="Z49" s="22">
        <f t="shared" si="9"/>
        <v>0.16772999999999999</v>
      </c>
      <c r="AA49" s="22">
        <f t="shared" si="10"/>
        <v>0.14574999999999999</v>
      </c>
      <c r="AB49" s="22">
        <f t="shared" si="11"/>
        <v>0.21579000000000001</v>
      </c>
    </row>
    <row r="50" spans="1:28" x14ac:dyDescent="0.25">
      <c r="A50" s="2">
        <f t="shared" si="0"/>
        <v>50</v>
      </c>
      <c r="B50" s="1" t="s">
        <v>62</v>
      </c>
      <c r="C50" s="12">
        <v>0</v>
      </c>
      <c r="D50" s="12">
        <v>3682</v>
      </c>
      <c r="E50" s="12">
        <v>0</v>
      </c>
      <c r="F50" s="12">
        <v>21500</v>
      </c>
      <c r="G50" s="12">
        <v>46835</v>
      </c>
      <c r="H50" s="12">
        <f>1450+1400</f>
        <v>2850</v>
      </c>
      <c r="I50" s="12">
        <v>0</v>
      </c>
      <c r="J50" s="12">
        <f t="shared" si="12"/>
        <v>74867</v>
      </c>
      <c r="K50" s="12">
        <f t="shared" si="13"/>
        <v>74867</v>
      </c>
      <c r="L50" s="12">
        <v>0</v>
      </c>
      <c r="M50" s="12">
        <v>0</v>
      </c>
      <c r="N50" s="12">
        <v>990</v>
      </c>
      <c r="O50" s="12">
        <v>0</v>
      </c>
      <c r="P50" s="12">
        <f t="shared" si="14"/>
        <v>990</v>
      </c>
      <c r="Q50" s="12">
        <v>16913</v>
      </c>
      <c r="R50" s="12">
        <v>0</v>
      </c>
      <c r="S50" s="12">
        <f t="shared" si="15"/>
        <v>16913</v>
      </c>
      <c r="T50" s="12">
        <v>0</v>
      </c>
      <c r="U50" s="12">
        <f>10800+1200+2885+2440+355+685+3565</f>
        <v>21930</v>
      </c>
      <c r="V50" s="12">
        <v>0</v>
      </c>
      <c r="W50" s="12">
        <f t="shared" si="16"/>
        <v>21930</v>
      </c>
      <c r="X50" s="12">
        <f t="shared" si="17"/>
        <v>38843</v>
      </c>
      <c r="Y50" s="12">
        <f t="shared" si="18"/>
        <v>114700</v>
      </c>
      <c r="Z50" s="23">
        <f t="shared" si="9"/>
        <v>3.0939999999999999E-2</v>
      </c>
      <c r="AA50" s="23">
        <f t="shared" si="10"/>
        <v>2.981E-2</v>
      </c>
      <c r="AB50" s="23">
        <f t="shared" si="11"/>
        <v>3.3390000000000003E-2</v>
      </c>
    </row>
    <row r="51" spans="1:28" x14ac:dyDescent="0.25">
      <c r="A51" s="2">
        <f t="shared" si="0"/>
        <v>51</v>
      </c>
      <c r="B51" s="1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15"/>
      <c r="Z51" s="20"/>
      <c r="AA51" s="20"/>
      <c r="AB51" s="21"/>
    </row>
    <row r="52" spans="1:28" ht="15.75" thickBot="1" x14ac:dyDescent="0.3">
      <c r="A52" s="2">
        <f t="shared" si="0"/>
        <v>52</v>
      </c>
      <c r="B52" s="1" t="s">
        <v>63</v>
      </c>
      <c r="C52" s="11">
        <f>SUM(C34:C50)</f>
        <v>0</v>
      </c>
      <c r="D52" s="11">
        <f t="shared" ref="D52:Y52" si="19">SUM(D34:D50)</f>
        <v>128828</v>
      </c>
      <c r="E52" s="11">
        <f t="shared" si="19"/>
        <v>129972</v>
      </c>
      <c r="F52" s="11">
        <f t="shared" si="19"/>
        <v>81680</v>
      </c>
      <c r="G52" s="11">
        <f t="shared" si="19"/>
        <v>696895</v>
      </c>
      <c r="H52" s="11">
        <f t="shared" si="19"/>
        <v>425750</v>
      </c>
      <c r="I52" s="11">
        <f t="shared" si="19"/>
        <v>80445</v>
      </c>
      <c r="J52" s="11">
        <f t="shared" si="19"/>
        <v>1543570</v>
      </c>
      <c r="K52" s="11">
        <f t="shared" si="19"/>
        <v>1543570</v>
      </c>
      <c r="L52" s="11">
        <f t="shared" si="19"/>
        <v>0</v>
      </c>
      <c r="M52" s="11">
        <f t="shared" si="19"/>
        <v>133108</v>
      </c>
      <c r="N52" s="11">
        <f t="shared" si="19"/>
        <v>49810</v>
      </c>
      <c r="O52" s="11">
        <f t="shared" si="19"/>
        <v>817777</v>
      </c>
      <c r="P52" s="11">
        <f t="shared" si="19"/>
        <v>1000695</v>
      </c>
      <c r="Q52" s="11">
        <f t="shared" si="19"/>
        <v>714306</v>
      </c>
      <c r="R52" s="11">
        <f t="shared" si="19"/>
        <v>0</v>
      </c>
      <c r="S52" s="11">
        <f t="shared" si="19"/>
        <v>714306</v>
      </c>
      <c r="T52" s="11">
        <f t="shared" si="19"/>
        <v>37481</v>
      </c>
      <c r="U52" s="11">
        <f t="shared" si="19"/>
        <v>407567</v>
      </c>
      <c r="V52" s="11">
        <f t="shared" si="19"/>
        <v>4000</v>
      </c>
      <c r="W52" s="11">
        <f t="shared" si="19"/>
        <v>449048</v>
      </c>
      <c r="X52" s="11">
        <f t="shared" si="19"/>
        <v>1163354</v>
      </c>
      <c r="Y52" s="11">
        <f t="shared" si="19"/>
        <v>3707619</v>
      </c>
      <c r="Z52" s="24">
        <f>SUM(Z34:Z50)</f>
        <v>0.99997999999999987</v>
      </c>
      <c r="AA52" s="24">
        <f t="shared" ref="AA52:AB52" si="20">SUM(AA34:AA50)</f>
        <v>1</v>
      </c>
      <c r="AB52" s="24">
        <f t="shared" si="20"/>
        <v>1.0000100000000001</v>
      </c>
    </row>
    <row r="53" spans="1:28" ht="15.75" thickTop="1" x14ac:dyDescent="0.25">
      <c r="A53" s="2">
        <f t="shared" si="0"/>
        <v>53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5"/>
      <c r="Z53" s="1"/>
      <c r="AA53" s="1"/>
    </row>
    <row r="54" spans="1:28" x14ac:dyDescent="0.25">
      <c r="A54" s="2">
        <f t="shared" si="0"/>
        <v>54</v>
      </c>
      <c r="B54" s="7" t="s">
        <v>65</v>
      </c>
      <c r="C54" s="1" t="s">
        <v>68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6"/>
      <c r="Z54" s="1"/>
    </row>
    <row r="55" spans="1:28" x14ac:dyDescent="0.25">
      <c r="A55" s="2">
        <f t="shared" si="0"/>
        <v>55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</sheetData>
  <mergeCells count="7">
    <mergeCell ref="Z6:AB6"/>
    <mergeCell ref="C4:K4"/>
    <mergeCell ref="Q4:X4"/>
    <mergeCell ref="D5:J5"/>
    <mergeCell ref="L5:P5"/>
    <mergeCell ref="Q5:S5"/>
    <mergeCell ref="T5:W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zoomScale="80" zoomScaleNormal="80" workbookViewId="0">
      <selection activeCell="B2" sqref="B2"/>
    </sheetView>
  </sheetViews>
  <sheetFormatPr defaultColWidth="15.7109375" defaultRowHeight="15" x14ac:dyDescent="0.25"/>
  <cols>
    <col min="1" max="1" width="4.7109375" customWidth="1"/>
    <col min="2" max="2" width="20.7109375" customWidth="1"/>
  </cols>
  <sheetData>
    <row r="1" spans="1:25" x14ac:dyDescent="0.25">
      <c r="A1" s="2">
        <v>1</v>
      </c>
      <c r="B1" s="54" t="str">
        <f>Analysis!B1</f>
        <v>PSC DR2 Response 21.xlsx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2">
        <f>A1+1</f>
        <v>2</v>
      </c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2">
        <f t="shared" ref="A3:A52" si="0">A2+1</f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2">
        <f t="shared" si="0"/>
        <v>4</v>
      </c>
      <c r="B4" s="1"/>
      <c r="C4" s="57" t="s">
        <v>73</v>
      </c>
      <c r="D4" s="59"/>
      <c r="E4" s="59"/>
      <c r="F4" s="59"/>
      <c r="G4" s="59"/>
      <c r="H4" s="59"/>
      <c r="I4" s="35"/>
      <c r="J4" s="57" t="s">
        <v>81</v>
      </c>
      <c r="K4" s="59"/>
      <c r="L4" s="59"/>
      <c r="M4" s="59"/>
      <c r="N4" s="59"/>
      <c r="O4" s="59"/>
      <c r="P4" s="35"/>
      <c r="Q4" s="57" t="s">
        <v>82</v>
      </c>
      <c r="R4" s="59"/>
      <c r="S4" s="59"/>
      <c r="T4" s="59"/>
      <c r="U4" s="59"/>
      <c r="V4" s="59"/>
      <c r="W4" s="58"/>
      <c r="X4" s="1"/>
      <c r="Y4" s="1"/>
    </row>
    <row r="5" spans="1:25" ht="15.75" thickBot="1" x14ac:dyDescent="0.3">
      <c r="A5" s="2">
        <f t="shared" si="0"/>
        <v>5</v>
      </c>
      <c r="B5" s="5" t="s">
        <v>80</v>
      </c>
      <c r="C5" s="25" t="s">
        <v>74</v>
      </c>
      <c r="D5" s="25" t="s">
        <v>75</v>
      </c>
      <c r="E5" s="25" t="s">
        <v>76</v>
      </c>
      <c r="F5" s="25" t="s">
        <v>77</v>
      </c>
      <c r="G5" s="25" t="s">
        <v>78</v>
      </c>
      <c r="H5" s="25" t="s">
        <v>79</v>
      </c>
      <c r="I5" s="25" t="s">
        <v>105</v>
      </c>
      <c r="J5" s="25" t="s">
        <v>74</v>
      </c>
      <c r="K5" s="25" t="s">
        <v>75</v>
      </c>
      <c r="L5" s="25" t="s">
        <v>76</v>
      </c>
      <c r="M5" s="25" t="s">
        <v>77</v>
      </c>
      <c r="N5" s="25" t="s">
        <v>78</v>
      </c>
      <c r="O5" s="25" t="s">
        <v>79</v>
      </c>
      <c r="P5" s="25" t="s">
        <v>105</v>
      </c>
      <c r="Q5" s="25" t="s">
        <v>74</v>
      </c>
      <c r="R5" s="25" t="s">
        <v>75</v>
      </c>
      <c r="S5" s="25" t="s">
        <v>76</v>
      </c>
      <c r="T5" s="25" t="s">
        <v>77</v>
      </c>
      <c r="U5" s="25" t="s">
        <v>78</v>
      </c>
      <c r="V5" s="25" t="s">
        <v>79</v>
      </c>
      <c r="W5" s="25" t="s">
        <v>105</v>
      </c>
      <c r="X5" s="1"/>
      <c r="Y5" s="1"/>
    </row>
    <row r="6" spans="1:25" x14ac:dyDescent="0.25">
      <c r="A6" s="2">
        <f t="shared" si="0"/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2">
        <f t="shared" si="0"/>
        <v>7</v>
      </c>
      <c r="B7" s="26" t="s">
        <v>83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5">
      <c r="A8" s="2">
        <f t="shared" si="0"/>
        <v>8</v>
      </c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5">
      <c r="A9" s="2">
        <f t="shared" si="0"/>
        <v>9</v>
      </c>
      <c r="B9" s="1" t="s">
        <v>85</v>
      </c>
      <c r="C9" s="8">
        <f>'2014'!Y34</f>
        <v>3051500</v>
      </c>
      <c r="D9" s="8">
        <f>'2015'!Y34</f>
        <v>3792283</v>
      </c>
      <c r="E9" s="8">
        <f>'2016'!Y34</f>
        <v>2429873</v>
      </c>
      <c r="F9" s="8">
        <f>'2017'!Y34</f>
        <v>1986660</v>
      </c>
      <c r="G9" s="8">
        <f>'2018'!Y34</f>
        <v>1169719</v>
      </c>
      <c r="H9" s="8">
        <f>'2019'!Y34</f>
        <v>898222</v>
      </c>
      <c r="I9" s="8">
        <f>ROUND(SUM(C9:H9)/6,0)</f>
        <v>2221376</v>
      </c>
      <c r="J9" s="8">
        <f>'2014'!K34+'2014'!P34</f>
        <v>3051500</v>
      </c>
      <c r="K9" s="8">
        <f>'2015'!K34+'2015'!P34</f>
        <v>3792283</v>
      </c>
      <c r="L9" s="8">
        <f>'2016'!K34+'2016'!P34</f>
        <v>2429873</v>
      </c>
      <c r="M9" s="8">
        <f>'2017'!K34+'2017'!P34</f>
        <v>1986660</v>
      </c>
      <c r="N9" s="8">
        <f>'2018'!K34+'2018'!P34</f>
        <v>1169719</v>
      </c>
      <c r="O9" s="8">
        <f>'2019'!K34+'2019'!P34</f>
        <v>898222</v>
      </c>
      <c r="P9" s="8">
        <f>ROUND(SUM(J9:O9)/6,0)</f>
        <v>2221376</v>
      </c>
      <c r="Q9" s="8">
        <f>'2014'!X34</f>
        <v>0</v>
      </c>
      <c r="R9" s="8">
        <f>'2015'!X34</f>
        <v>0</v>
      </c>
      <c r="S9" s="8">
        <f>'2016'!X34</f>
        <v>0</v>
      </c>
      <c r="T9" s="8">
        <f>'2017'!X34</f>
        <v>0</v>
      </c>
      <c r="U9" s="8">
        <f>'2018'!X34</f>
        <v>0</v>
      </c>
      <c r="V9" s="8">
        <f>'2019'!X34</f>
        <v>0</v>
      </c>
      <c r="W9" s="8">
        <f>ROUND(SUM(Q9:V9)/6,0)</f>
        <v>0</v>
      </c>
      <c r="X9" s="1"/>
      <c r="Y9" s="1"/>
    </row>
    <row r="10" spans="1:25" x14ac:dyDescent="0.25">
      <c r="A10" s="2">
        <f t="shared" si="0"/>
        <v>10</v>
      </c>
      <c r="B10" s="1" t="s">
        <v>47</v>
      </c>
      <c r="C10" s="8">
        <f>'2014'!Y35</f>
        <v>48871</v>
      </c>
      <c r="D10" s="8">
        <f>'2015'!Y35</f>
        <v>120928</v>
      </c>
      <c r="E10" s="8">
        <f>'2016'!Y35</f>
        <v>127536</v>
      </c>
      <c r="F10" s="8">
        <f>'2017'!Y35</f>
        <v>89420</v>
      </c>
      <c r="G10" s="8">
        <f>'2018'!Y35</f>
        <v>48061</v>
      </c>
      <c r="H10" s="8">
        <f>'2019'!Y35</f>
        <v>12950</v>
      </c>
      <c r="I10" s="8">
        <f t="shared" ref="I10:I25" si="1">ROUND(SUM(C10:H10)/6,0)</f>
        <v>74628</v>
      </c>
      <c r="J10" s="8">
        <f>'2014'!K35+'2014'!P35</f>
        <v>43222</v>
      </c>
      <c r="K10" s="8">
        <f>'2015'!K35+'2015'!P35</f>
        <v>64552</v>
      </c>
      <c r="L10" s="8">
        <f>'2016'!K35+'2016'!P35</f>
        <v>74845</v>
      </c>
      <c r="M10" s="8">
        <f>'2017'!K35+'2017'!P35</f>
        <v>46959</v>
      </c>
      <c r="N10" s="8">
        <f>'2018'!K35+'2018'!P35</f>
        <v>25066</v>
      </c>
      <c r="O10" s="8">
        <f>'2019'!K35+'2019'!P35</f>
        <v>11465</v>
      </c>
      <c r="P10" s="8">
        <f t="shared" ref="P10:P25" si="2">ROUND(SUM(J10:O10)/6,0)</f>
        <v>44352</v>
      </c>
      <c r="Q10" s="8">
        <f>'2014'!X35</f>
        <v>5649</v>
      </c>
      <c r="R10" s="8">
        <f>'2015'!X35</f>
        <v>56376</v>
      </c>
      <c r="S10" s="8">
        <f>'2016'!X35</f>
        <v>52691</v>
      </c>
      <c r="T10" s="8">
        <f>'2017'!X35</f>
        <v>42461</v>
      </c>
      <c r="U10" s="8">
        <f>'2018'!X35</f>
        <v>22995</v>
      </c>
      <c r="V10" s="8">
        <f>'2019'!X35</f>
        <v>1485</v>
      </c>
      <c r="W10" s="8">
        <f t="shared" ref="W10:W25" si="3">ROUND(SUM(Q10:V10)/6,0)</f>
        <v>30276</v>
      </c>
      <c r="X10" s="1"/>
      <c r="Y10" s="1"/>
    </row>
    <row r="11" spans="1:25" x14ac:dyDescent="0.25">
      <c r="A11" s="2">
        <f t="shared" si="0"/>
        <v>11</v>
      </c>
      <c r="B11" s="1" t="s">
        <v>48</v>
      </c>
      <c r="C11" s="8">
        <f>'2014'!Y36</f>
        <v>308191</v>
      </c>
      <c r="D11" s="8">
        <f>'2015'!Y36</f>
        <v>822222</v>
      </c>
      <c r="E11" s="8">
        <f>'2016'!Y36</f>
        <v>1167142</v>
      </c>
      <c r="F11" s="8">
        <f>'2017'!Y36</f>
        <v>997147</v>
      </c>
      <c r="G11" s="8">
        <f>'2018'!Y36</f>
        <v>934482</v>
      </c>
      <c r="H11" s="8">
        <f>'2019'!Y36</f>
        <v>427133</v>
      </c>
      <c r="I11" s="8">
        <f t="shared" si="1"/>
        <v>776053</v>
      </c>
      <c r="J11" s="8">
        <f>'2014'!K36+'2014'!P36</f>
        <v>268091</v>
      </c>
      <c r="K11" s="8">
        <f>'2015'!K36+'2015'!P36</f>
        <v>476554</v>
      </c>
      <c r="L11" s="8">
        <f>'2016'!K36+'2016'!P36</f>
        <v>664491</v>
      </c>
      <c r="M11" s="8">
        <f>'2017'!K36+'2017'!P36</f>
        <v>439340</v>
      </c>
      <c r="N11" s="8">
        <f>'2018'!K36+'2018'!P36</f>
        <v>470614</v>
      </c>
      <c r="O11" s="8">
        <f>'2019'!K36+'2019'!P36</f>
        <v>321898</v>
      </c>
      <c r="P11" s="8">
        <f t="shared" si="2"/>
        <v>440165</v>
      </c>
      <c r="Q11" s="8">
        <f>'2014'!X36</f>
        <v>40100</v>
      </c>
      <c r="R11" s="8">
        <f>'2015'!X36</f>
        <v>345668</v>
      </c>
      <c r="S11" s="8">
        <f>'2016'!X36</f>
        <v>502651</v>
      </c>
      <c r="T11" s="8">
        <f>'2017'!X36</f>
        <v>557807</v>
      </c>
      <c r="U11" s="8">
        <f>'2018'!X36</f>
        <v>463868</v>
      </c>
      <c r="V11" s="8">
        <f>'2019'!X36</f>
        <v>105235</v>
      </c>
      <c r="W11" s="8">
        <f t="shared" si="3"/>
        <v>335888</v>
      </c>
      <c r="X11" s="1"/>
      <c r="Y11" s="1"/>
    </row>
    <row r="12" spans="1:25" x14ac:dyDescent="0.25">
      <c r="A12" s="2">
        <f t="shared" si="0"/>
        <v>12</v>
      </c>
      <c r="B12" s="1" t="s">
        <v>49</v>
      </c>
      <c r="C12" s="8">
        <f>'2014'!Y37</f>
        <v>78273</v>
      </c>
      <c r="D12" s="8">
        <f>'2015'!Y37</f>
        <v>158281</v>
      </c>
      <c r="E12" s="8">
        <f>'2016'!Y37</f>
        <v>338603</v>
      </c>
      <c r="F12" s="8">
        <f>'2017'!Y37</f>
        <v>255320</v>
      </c>
      <c r="G12" s="8">
        <f>'2018'!Y37</f>
        <v>150631</v>
      </c>
      <c r="H12" s="8">
        <f>'2019'!Y37</f>
        <v>68838</v>
      </c>
      <c r="I12" s="8">
        <f t="shared" si="1"/>
        <v>174991</v>
      </c>
      <c r="J12" s="8">
        <f>'2014'!K37+'2014'!P37</f>
        <v>56420</v>
      </c>
      <c r="K12" s="8">
        <f>'2015'!K37+'2015'!P37</f>
        <v>58657</v>
      </c>
      <c r="L12" s="8">
        <f>'2016'!K37+'2016'!P37</f>
        <v>66090</v>
      </c>
      <c r="M12" s="8">
        <f>'2017'!K37+'2017'!P37</f>
        <v>101130</v>
      </c>
      <c r="N12" s="8">
        <f>'2018'!K37+'2018'!P37</f>
        <v>41532</v>
      </c>
      <c r="O12" s="8">
        <f>'2019'!K37+'2019'!P37</f>
        <v>48963</v>
      </c>
      <c r="P12" s="8">
        <f t="shared" si="2"/>
        <v>62132</v>
      </c>
      <c r="Q12" s="8">
        <f>'2014'!X37</f>
        <v>21853</v>
      </c>
      <c r="R12" s="8">
        <f>'2015'!X37</f>
        <v>99624</v>
      </c>
      <c r="S12" s="8">
        <f>'2016'!X37</f>
        <v>272513</v>
      </c>
      <c r="T12" s="8">
        <f>'2017'!X37</f>
        <v>154190</v>
      </c>
      <c r="U12" s="8">
        <f>'2018'!X37</f>
        <v>109099</v>
      </c>
      <c r="V12" s="8">
        <f>'2019'!X37</f>
        <v>19875</v>
      </c>
      <c r="W12" s="8">
        <f t="shared" si="3"/>
        <v>112859</v>
      </c>
      <c r="X12" s="1"/>
      <c r="Y12" s="1"/>
    </row>
    <row r="13" spans="1:25" x14ac:dyDescent="0.25">
      <c r="A13" s="2">
        <f t="shared" si="0"/>
        <v>13</v>
      </c>
      <c r="B13" s="1" t="s">
        <v>50</v>
      </c>
      <c r="C13" s="8">
        <f>'2014'!Y38</f>
        <v>36742</v>
      </c>
      <c r="D13" s="8">
        <f>'2015'!Y38</f>
        <v>105919</v>
      </c>
      <c r="E13" s="8">
        <f>'2016'!Y38</f>
        <v>174372</v>
      </c>
      <c r="F13" s="8">
        <f>'2017'!Y38</f>
        <v>208159</v>
      </c>
      <c r="G13" s="8">
        <f>'2018'!Y38</f>
        <v>190889</v>
      </c>
      <c r="H13" s="8">
        <f>'2019'!Y38</f>
        <v>120218</v>
      </c>
      <c r="I13" s="8">
        <f t="shared" si="1"/>
        <v>139383</v>
      </c>
      <c r="J13" s="8">
        <f>'2014'!K38+'2014'!P38</f>
        <v>33741</v>
      </c>
      <c r="K13" s="8">
        <f>'2015'!K38+'2015'!P38</f>
        <v>38601</v>
      </c>
      <c r="L13" s="8">
        <f>'2016'!K38+'2016'!P38</f>
        <v>86724</v>
      </c>
      <c r="M13" s="8">
        <f>'2017'!K38+'2017'!P38</f>
        <v>110481</v>
      </c>
      <c r="N13" s="8">
        <f>'2018'!K38+'2018'!P38</f>
        <v>106290</v>
      </c>
      <c r="O13" s="8">
        <f>'2019'!K38+'2019'!P38</f>
        <v>85315</v>
      </c>
      <c r="P13" s="8">
        <f t="shared" si="2"/>
        <v>76859</v>
      </c>
      <c r="Q13" s="8">
        <f>'2014'!X38</f>
        <v>3001</v>
      </c>
      <c r="R13" s="8">
        <f>'2015'!X38</f>
        <v>67318</v>
      </c>
      <c r="S13" s="8">
        <f>'2016'!X38</f>
        <v>87648</v>
      </c>
      <c r="T13" s="8">
        <f>'2017'!X38</f>
        <v>97678</v>
      </c>
      <c r="U13" s="8">
        <f>'2018'!X38</f>
        <v>84599</v>
      </c>
      <c r="V13" s="8">
        <f>'2019'!X38</f>
        <v>34903</v>
      </c>
      <c r="W13" s="8">
        <f t="shared" si="3"/>
        <v>62525</v>
      </c>
      <c r="X13" s="1"/>
      <c r="Y13" s="1"/>
    </row>
    <row r="14" spans="1:25" x14ac:dyDescent="0.25">
      <c r="A14" s="2">
        <f t="shared" si="0"/>
        <v>14</v>
      </c>
      <c r="B14" s="1" t="s">
        <v>51</v>
      </c>
      <c r="C14" s="8">
        <f>'2014'!Y39</f>
        <v>170898</v>
      </c>
      <c r="D14" s="8">
        <f>'2015'!Y39</f>
        <v>240891</v>
      </c>
      <c r="E14" s="8">
        <f>'2016'!Y39</f>
        <v>289568</v>
      </c>
      <c r="F14" s="8">
        <f>'2017'!Y39</f>
        <v>228468</v>
      </c>
      <c r="G14" s="8">
        <f>'2018'!Y39</f>
        <v>235366</v>
      </c>
      <c r="H14" s="8">
        <f>'2019'!Y39</f>
        <v>57745</v>
      </c>
      <c r="I14" s="8">
        <f t="shared" si="1"/>
        <v>203823</v>
      </c>
      <c r="J14" s="8">
        <f>'2014'!K39+'2014'!P39</f>
        <v>87336</v>
      </c>
      <c r="K14" s="8">
        <f>'2015'!K39+'2015'!P39</f>
        <v>108703</v>
      </c>
      <c r="L14" s="8">
        <f>'2016'!K39+'2016'!P39</f>
        <v>159335</v>
      </c>
      <c r="M14" s="8">
        <f>'2017'!K39+'2017'!P39</f>
        <v>101461</v>
      </c>
      <c r="N14" s="8">
        <f>'2018'!K39+'2018'!P39</f>
        <v>141883</v>
      </c>
      <c r="O14" s="8">
        <f>'2019'!K39+'2019'!P39</f>
        <v>45002</v>
      </c>
      <c r="P14" s="8">
        <f t="shared" si="2"/>
        <v>107287</v>
      </c>
      <c r="Q14" s="8">
        <f>'2014'!X39</f>
        <v>83562</v>
      </c>
      <c r="R14" s="8">
        <f>'2015'!X39</f>
        <v>132188</v>
      </c>
      <c r="S14" s="8">
        <f>'2016'!X39</f>
        <v>130233</v>
      </c>
      <c r="T14" s="8">
        <f>'2017'!X39</f>
        <v>127007</v>
      </c>
      <c r="U14" s="8">
        <f>'2018'!X39</f>
        <v>93483</v>
      </c>
      <c r="V14" s="8">
        <f>'2019'!X39</f>
        <v>12743</v>
      </c>
      <c r="W14" s="8">
        <f t="shared" si="3"/>
        <v>96536</v>
      </c>
      <c r="X14" s="1"/>
      <c r="Y14" s="1"/>
    </row>
    <row r="15" spans="1:25" x14ac:dyDescent="0.25">
      <c r="A15" s="2">
        <f t="shared" si="0"/>
        <v>15</v>
      </c>
      <c r="B15" s="1" t="s">
        <v>52</v>
      </c>
      <c r="C15" s="8">
        <f>'2014'!Y40</f>
        <v>45518</v>
      </c>
      <c r="D15" s="8">
        <f>'2015'!Y40</f>
        <v>152392</v>
      </c>
      <c r="E15" s="8">
        <f>'2016'!Y40</f>
        <v>186695</v>
      </c>
      <c r="F15" s="8">
        <f>'2017'!Y40</f>
        <v>153984</v>
      </c>
      <c r="G15" s="8">
        <f>'2018'!Y40</f>
        <v>184942</v>
      </c>
      <c r="H15" s="8">
        <f>'2019'!Y40</f>
        <v>125672</v>
      </c>
      <c r="I15" s="8">
        <f t="shared" si="1"/>
        <v>141534</v>
      </c>
      <c r="J15" s="8">
        <f>'2014'!K40+'2014'!P40</f>
        <v>44157</v>
      </c>
      <c r="K15" s="8">
        <f>'2015'!K40+'2015'!P40</f>
        <v>79685</v>
      </c>
      <c r="L15" s="8">
        <f>'2016'!K40+'2016'!P40</f>
        <v>87296</v>
      </c>
      <c r="M15" s="8">
        <f>'2017'!K40+'2017'!P40</f>
        <v>47200</v>
      </c>
      <c r="N15" s="8">
        <f>'2018'!K40+'2018'!P40</f>
        <v>70927</v>
      </c>
      <c r="O15" s="8">
        <f>'2019'!K40+'2019'!P40</f>
        <v>57073</v>
      </c>
      <c r="P15" s="8">
        <f t="shared" si="2"/>
        <v>64390</v>
      </c>
      <c r="Q15" s="8">
        <f>'2014'!X40</f>
        <v>1361</v>
      </c>
      <c r="R15" s="8">
        <f>'2015'!X40</f>
        <v>72707</v>
      </c>
      <c r="S15" s="8">
        <f>'2016'!X40</f>
        <v>99399</v>
      </c>
      <c r="T15" s="8">
        <f>'2017'!X40</f>
        <v>106784</v>
      </c>
      <c r="U15" s="8">
        <f>'2018'!X40</f>
        <v>114015</v>
      </c>
      <c r="V15" s="8">
        <f>'2019'!X40</f>
        <v>68599</v>
      </c>
      <c r="W15" s="8">
        <f t="shared" si="3"/>
        <v>77144</v>
      </c>
      <c r="X15" s="1"/>
      <c r="Y15" s="1"/>
    </row>
    <row r="16" spans="1:25" x14ac:dyDescent="0.25">
      <c r="A16" s="2">
        <f t="shared" si="0"/>
        <v>16</v>
      </c>
      <c r="B16" s="1" t="s">
        <v>53</v>
      </c>
      <c r="C16" s="8">
        <f>'2014'!Y41</f>
        <v>54261</v>
      </c>
      <c r="D16" s="8">
        <f>'2015'!Y41</f>
        <v>119156</v>
      </c>
      <c r="E16" s="8">
        <f>'2016'!Y41</f>
        <v>187919</v>
      </c>
      <c r="F16" s="8">
        <f>'2017'!Y41</f>
        <v>127157</v>
      </c>
      <c r="G16" s="8">
        <f>'2018'!Y41</f>
        <v>77367</v>
      </c>
      <c r="H16" s="8">
        <f>'2019'!Y41</f>
        <v>47405</v>
      </c>
      <c r="I16" s="8">
        <f t="shared" si="1"/>
        <v>102211</v>
      </c>
      <c r="J16" s="8">
        <f>'2014'!K41+'2014'!P41</f>
        <v>35147</v>
      </c>
      <c r="K16" s="8">
        <f>'2015'!K41+'2015'!P41</f>
        <v>83851</v>
      </c>
      <c r="L16" s="8">
        <f>'2016'!K41+'2016'!P41</f>
        <v>94274</v>
      </c>
      <c r="M16" s="8">
        <f>'2017'!K41+'2017'!P41</f>
        <v>72686</v>
      </c>
      <c r="N16" s="8">
        <f>'2018'!K41+'2018'!P41</f>
        <v>50677</v>
      </c>
      <c r="O16" s="8">
        <f>'2019'!K41+'2019'!P41</f>
        <v>39232</v>
      </c>
      <c r="P16" s="8">
        <f t="shared" si="2"/>
        <v>62645</v>
      </c>
      <c r="Q16" s="8">
        <f>'2014'!X41</f>
        <v>19114</v>
      </c>
      <c r="R16" s="8">
        <f>'2015'!X41</f>
        <v>35305</v>
      </c>
      <c r="S16" s="8">
        <f>'2016'!X41</f>
        <v>93645</v>
      </c>
      <c r="T16" s="8">
        <f>'2017'!X41</f>
        <v>54471</v>
      </c>
      <c r="U16" s="8">
        <f>'2018'!X41</f>
        <v>26690</v>
      </c>
      <c r="V16" s="8">
        <f>'2019'!X41</f>
        <v>8173</v>
      </c>
      <c r="W16" s="8">
        <f t="shared" si="3"/>
        <v>39566</v>
      </c>
      <c r="X16" s="1"/>
      <c r="Y16" s="1"/>
    </row>
    <row r="17" spans="1:25" x14ac:dyDescent="0.25">
      <c r="A17" s="2">
        <f t="shared" si="0"/>
        <v>17</v>
      </c>
      <c r="B17" s="1" t="s">
        <v>54</v>
      </c>
      <c r="C17" s="8">
        <f>'2014'!Y42</f>
        <v>84462</v>
      </c>
      <c r="D17" s="8">
        <f>'2015'!Y42</f>
        <v>213113</v>
      </c>
      <c r="E17" s="8">
        <f>'2016'!Y42</f>
        <v>357001</v>
      </c>
      <c r="F17" s="8">
        <f>'2017'!Y42</f>
        <v>389533</v>
      </c>
      <c r="G17" s="8">
        <f>'2018'!Y42</f>
        <v>306381</v>
      </c>
      <c r="H17" s="8">
        <f>'2019'!Y42</f>
        <v>208794</v>
      </c>
      <c r="I17" s="8">
        <f t="shared" si="1"/>
        <v>259881</v>
      </c>
      <c r="J17" s="8">
        <f>'2014'!K42+'2014'!P42</f>
        <v>67216</v>
      </c>
      <c r="K17" s="8">
        <f>'2015'!K42+'2015'!P42</f>
        <v>67818</v>
      </c>
      <c r="L17" s="8">
        <f>'2016'!K42+'2016'!P42</f>
        <v>159227</v>
      </c>
      <c r="M17" s="8">
        <f>'2017'!K42+'2017'!P42</f>
        <v>178837</v>
      </c>
      <c r="N17" s="8">
        <f>'2018'!K42+'2018'!P42</f>
        <v>119803</v>
      </c>
      <c r="O17" s="8">
        <f>'2019'!K42+'2019'!P42</f>
        <v>74822</v>
      </c>
      <c r="P17" s="8">
        <f t="shared" si="2"/>
        <v>111287</v>
      </c>
      <c r="Q17" s="8">
        <f>'2014'!X42</f>
        <v>17246</v>
      </c>
      <c r="R17" s="8">
        <f>'2015'!X42</f>
        <v>145295</v>
      </c>
      <c r="S17" s="8">
        <f>'2016'!X42</f>
        <v>197774</v>
      </c>
      <c r="T17" s="8">
        <f>'2017'!X42</f>
        <v>210696</v>
      </c>
      <c r="U17" s="8">
        <f>'2018'!X42</f>
        <v>186578</v>
      </c>
      <c r="V17" s="8">
        <f>'2019'!X42</f>
        <v>133972</v>
      </c>
      <c r="W17" s="8">
        <f t="shared" si="3"/>
        <v>148594</v>
      </c>
      <c r="X17" s="1"/>
      <c r="Y17" s="1"/>
    </row>
    <row r="18" spans="1:25" x14ac:dyDescent="0.25">
      <c r="A18" s="2">
        <f t="shared" si="0"/>
        <v>18</v>
      </c>
      <c r="B18" s="1" t="s">
        <v>55</v>
      </c>
      <c r="C18" s="8">
        <f>'2014'!Y43</f>
        <v>316624</v>
      </c>
      <c r="D18" s="8">
        <f>'2015'!Y43</f>
        <v>634859</v>
      </c>
      <c r="E18" s="8">
        <f>'2016'!Y43</f>
        <v>878992</v>
      </c>
      <c r="F18" s="8">
        <f>'2017'!Y43</f>
        <v>1191461</v>
      </c>
      <c r="G18" s="8">
        <f>'2018'!Y43</f>
        <v>712689</v>
      </c>
      <c r="H18" s="8">
        <f>'2019'!Y43</f>
        <v>24972</v>
      </c>
      <c r="I18" s="8">
        <f t="shared" si="1"/>
        <v>626600</v>
      </c>
      <c r="J18" s="8">
        <f>'2014'!K43+'2014'!P43</f>
        <v>280431</v>
      </c>
      <c r="K18" s="8">
        <f>'2015'!K43+'2015'!P43</f>
        <v>451470</v>
      </c>
      <c r="L18" s="8">
        <f>'2016'!K43+'2016'!P43</f>
        <v>630380</v>
      </c>
      <c r="M18" s="8">
        <f>'2017'!K43+'2017'!P43</f>
        <v>807454</v>
      </c>
      <c r="N18" s="8">
        <f>'2018'!K43+'2018'!P43</f>
        <v>309975</v>
      </c>
      <c r="O18" s="8">
        <f>'2019'!K43+'2019'!P43</f>
        <v>18344</v>
      </c>
      <c r="P18" s="8">
        <f t="shared" si="2"/>
        <v>416342</v>
      </c>
      <c r="Q18" s="8">
        <f>'2014'!X43</f>
        <v>36193</v>
      </c>
      <c r="R18" s="8">
        <f>'2015'!X43</f>
        <v>183389</v>
      </c>
      <c r="S18" s="8">
        <f>'2016'!X43</f>
        <v>248612</v>
      </c>
      <c r="T18" s="8">
        <f>'2017'!X43</f>
        <v>384007</v>
      </c>
      <c r="U18" s="8">
        <f>'2018'!X43</f>
        <v>402714</v>
      </c>
      <c r="V18" s="8">
        <f>'2019'!X43</f>
        <v>6628</v>
      </c>
      <c r="W18" s="8">
        <f t="shared" si="3"/>
        <v>210257</v>
      </c>
      <c r="X18" s="1"/>
      <c r="Y18" s="1"/>
    </row>
    <row r="19" spans="1:25" x14ac:dyDescent="0.25">
      <c r="A19" s="2">
        <f t="shared" si="0"/>
        <v>19</v>
      </c>
      <c r="B19" s="1" t="s">
        <v>56</v>
      </c>
      <c r="C19" s="8">
        <f>'2014'!Y44</f>
        <v>67521</v>
      </c>
      <c r="D19" s="8">
        <f>'2015'!Y44</f>
        <v>76620</v>
      </c>
      <c r="E19" s="8">
        <f>'2016'!Y44</f>
        <v>266797</v>
      </c>
      <c r="F19" s="8">
        <f>'2017'!Y44</f>
        <v>137189</v>
      </c>
      <c r="G19" s="8">
        <f>'2018'!Y44</f>
        <v>116767</v>
      </c>
      <c r="H19" s="8">
        <f>'2019'!Y44</f>
        <v>57252</v>
      </c>
      <c r="I19" s="8">
        <f t="shared" si="1"/>
        <v>120358</v>
      </c>
      <c r="J19" s="8">
        <f>'2014'!K44+'2014'!P44</f>
        <v>8440</v>
      </c>
      <c r="K19" s="8">
        <f>'2015'!K44+'2015'!P44</f>
        <v>55411</v>
      </c>
      <c r="L19" s="8">
        <f>'2016'!K44+'2016'!P44</f>
        <v>88646</v>
      </c>
      <c r="M19" s="8">
        <f>'2017'!K44+'2017'!P44</f>
        <v>53714</v>
      </c>
      <c r="N19" s="8">
        <f>'2018'!K44+'2018'!P44</f>
        <v>61035</v>
      </c>
      <c r="O19" s="8">
        <f>'2019'!K44+'2019'!P44</f>
        <v>44519</v>
      </c>
      <c r="P19" s="8">
        <f t="shared" si="2"/>
        <v>51961</v>
      </c>
      <c r="Q19" s="8">
        <f>'2014'!X44</f>
        <v>59081</v>
      </c>
      <c r="R19" s="8">
        <f>'2015'!X44</f>
        <v>21209</v>
      </c>
      <c r="S19" s="8">
        <f>'2016'!X44</f>
        <v>178151</v>
      </c>
      <c r="T19" s="8">
        <f>'2017'!X44</f>
        <v>83475</v>
      </c>
      <c r="U19" s="8">
        <f>'2018'!X44</f>
        <v>55732</v>
      </c>
      <c r="V19" s="8">
        <f>'2019'!X44</f>
        <v>12733</v>
      </c>
      <c r="W19" s="8">
        <f t="shared" si="3"/>
        <v>68397</v>
      </c>
      <c r="X19" s="1"/>
      <c r="Y19" s="1"/>
    </row>
    <row r="20" spans="1:25" x14ac:dyDescent="0.25">
      <c r="A20" s="2">
        <f t="shared" si="0"/>
        <v>20</v>
      </c>
      <c r="B20" s="1" t="s">
        <v>57</v>
      </c>
      <c r="C20" s="8">
        <f>'2014'!Y45</f>
        <v>129511</v>
      </c>
      <c r="D20" s="8">
        <f>'2015'!Y45</f>
        <v>465820</v>
      </c>
      <c r="E20" s="8">
        <f>'2016'!Y45</f>
        <v>583051</v>
      </c>
      <c r="F20" s="8">
        <f>'2017'!Y45</f>
        <v>683335</v>
      </c>
      <c r="G20" s="8">
        <f>'2018'!Y45</f>
        <v>543149</v>
      </c>
      <c r="H20" s="8">
        <f>'2019'!Y45</f>
        <v>276160</v>
      </c>
      <c r="I20" s="8">
        <f t="shared" si="1"/>
        <v>446838</v>
      </c>
      <c r="J20" s="8">
        <f>'2014'!K45+'2014'!P45</f>
        <v>118125</v>
      </c>
      <c r="K20" s="8">
        <f>'2015'!K45+'2015'!P45</f>
        <v>191342</v>
      </c>
      <c r="L20" s="8">
        <f>'2016'!K45+'2016'!P45</f>
        <v>204242</v>
      </c>
      <c r="M20" s="8">
        <f>'2017'!K45+'2017'!P45</f>
        <v>272336</v>
      </c>
      <c r="N20" s="8">
        <f>'2018'!K45+'2018'!P45</f>
        <v>160573</v>
      </c>
      <c r="O20" s="8">
        <f>'2019'!K45+'2019'!P45</f>
        <v>121310</v>
      </c>
      <c r="P20" s="8">
        <f t="shared" si="2"/>
        <v>177988</v>
      </c>
      <c r="Q20" s="8">
        <f>'2014'!X45</f>
        <v>11386</v>
      </c>
      <c r="R20" s="8">
        <f>'2015'!X45</f>
        <v>274478</v>
      </c>
      <c r="S20" s="8">
        <f>'2016'!X45</f>
        <v>378809</v>
      </c>
      <c r="T20" s="8">
        <f>'2017'!X45</f>
        <v>410999</v>
      </c>
      <c r="U20" s="8">
        <f>'2018'!X45</f>
        <v>382576</v>
      </c>
      <c r="V20" s="8">
        <f>'2019'!X45</f>
        <v>154850</v>
      </c>
      <c r="W20" s="8">
        <f t="shared" si="3"/>
        <v>268850</v>
      </c>
      <c r="X20" s="1"/>
      <c r="Y20" s="1"/>
    </row>
    <row r="21" spans="1:25" x14ac:dyDescent="0.25">
      <c r="A21" s="2">
        <f t="shared" si="0"/>
        <v>21</v>
      </c>
      <c r="B21" s="1" t="s">
        <v>58</v>
      </c>
      <c r="C21" s="8">
        <f>'2014'!Y46</f>
        <v>331455</v>
      </c>
      <c r="D21" s="8">
        <f>'2015'!Y46</f>
        <v>752135</v>
      </c>
      <c r="E21" s="8">
        <f>'2016'!Y46</f>
        <v>748950</v>
      </c>
      <c r="F21" s="8">
        <f>'2017'!Y46</f>
        <v>702148</v>
      </c>
      <c r="G21" s="8">
        <f>'2018'!Y46</f>
        <v>603031</v>
      </c>
      <c r="H21" s="8">
        <f>'2019'!Y46</f>
        <v>254472</v>
      </c>
      <c r="I21" s="8">
        <f t="shared" si="1"/>
        <v>565365</v>
      </c>
      <c r="J21" s="8">
        <f>'2014'!K46+'2014'!P46</f>
        <v>248872</v>
      </c>
      <c r="K21" s="8">
        <f>'2015'!K46+'2015'!P46</f>
        <v>406556</v>
      </c>
      <c r="L21" s="8">
        <f>'2016'!K46+'2016'!P46</f>
        <v>214731</v>
      </c>
      <c r="M21" s="8">
        <f>'2017'!K46+'2017'!P46</f>
        <v>73465</v>
      </c>
      <c r="N21" s="8">
        <f>'2018'!K46+'2018'!P46</f>
        <v>104976</v>
      </c>
      <c r="O21" s="8">
        <f>'2019'!K46+'2019'!P46</f>
        <v>119557</v>
      </c>
      <c r="P21" s="8">
        <f t="shared" si="2"/>
        <v>194693</v>
      </c>
      <c r="Q21" s="8">
        <f>'2014'!X46</f>
        <v>82583</v>
      </c>
      <c r="R21" s="8">
        <f>'2015'!X46</f>
        <v>345579</v>
      </c>
      <c r="S21" s="8">
        <f>'2016'!X46</f>
        <v>534219</v>
      </c>
      <c r="T21" s="8">
        <f>'2017'!X46</f>
        <v>628683</v>
      </c>
      <c r="U21" s="8">
        <f>'2018'!X46</f>
        <v>498055</v>
      </c>
      <c r="V21" s="8">
        <f>'2019'!X46</f>
        <v>134915</v>
      </c>
      <c r="W21" s="8">
        <f t="shared" si="3"/>
        <v>370672</v>
      </c>
      <c r="X21" s="1"/>
      <c r="Y21" s="1"/>
    </row>
    <row r="22" spans="1:25" x14ac:dyDescent="0.25">
      <c r="A22" s="2">
        <f t="shared" si="0"/>
        <v>22</v>
      </c>
      <c r="B22" s="1" t="s">
        <v>59</v>
      </c>
      <c r="C22" s="8">
        <f>'2014'!Y47</f>
        <v>135900</v>
      </c>
      <c r="D22" s="8">
        <f>'2015'!Y47</f>
        <v>376366</v>
      </c>
      <c r="E22" s="8">
        <f>'2016'!Y47</f>
        <v>561325</v>
      </c>
      <c r="F22" s="8">
        <f>'2017'!Y47</f>
        <v>762913</v>
      </c>
      <c r="G22" s="8">
        <f>'2018'!Y47</f>
        <v>525258</v>
      </c>
      <c r="H22" s="8">
        <f>'2019'!Y47</f>
        <v>301142</v>
      </c>
      <c r="I22" s="8">
        <f t="shared" si="1"/>
        <v>443817</v>
      </c>
      <c r="J22" s="8">
        <f>'2014'!K47+'2014'!P47</f>
        <v>117735</v>
      </c>
      <c r="K22" s="8">
        <f>'2015'!K47+'2015'!P47</f>
        <v>150035</v>
      </c>
      <c r="L22" s="8">
        <f>'2016'!K47+'2016'!P47</f>
        <v>139317</v>
      </c>
      <c r="M22" s="8">
        <f>'2017'!K47+'2017'!P47</f>
        <v>137248</v>
      </c>
      <c r="N22" s="8">
        <f>'2018'!K47+'2018'!P47</f>
        <v>171437</v>
      </c>
      <c r="O22" s="8">
        <f>'2019'!K47+'2019'!P47</f>
        <v>158190</v>
      </c>
      <c r="P22" s="8">
        <f t="shared" si="2"/>
        <v>145660</v>
      </c>
      <c r="Q22" s="8">
        <f>'2014'!X47</f>
        <v>18165</v>
      </c>
      <c r="R22" s="8">
        <f>'2015'!X47</f>
        <v>226331</v>
      </c>
      <c r="S22" s="8">
        <f>'2016'!X47</f>
        <v>422008</v>
      </c>
      <c r="T22" s="8">
        <f>'2017'!X47</f>
        <v>625665</v>
      </c>
      <c r="U22" s="8">
        <f>'2018'!X47</f>
        <v>353821</v>
      </c>
      <c r="V22" s="8">
        <f>'2019'!X47</f>
        <v>142952</v>
      </c>
      <c r="W22" s="8">
        <f t="shared" si="3"/>
        <v>298157</v>
      </c>
      <c r="X22" s="1"/>
      <c r="Y22" s="1"/>
    </row>
    <row r="23" spans="1:25" x14ac:dyDescent="0.25">
      <c r="A23" s="2">
        <f t="shared" si="0"/>
        <v>23</v>
      </c>
      <c r="B23" s="1" t="s">
        <v>60</v>
      </c>
      <c r="C23" s="8">
        <f>'2014'!Y48</f>
        <v>123015</v>
      </c>
      <c r="D23" s="8">
        <f>'2015'!Y48</f>
        <v>221783</v>
      </c>
      <c r="E23" s="8">
        <f>'2016'!Y48</f>
        <v>221997</v>
      </c>
      <c r="F23" s="8">
        <f>'2017'!Y48</f>
        <v>290111</v>
      </c>
      <c r="G23" s="8">
        <f>'2018'!Y48</f>
        <v>140186</v>
      </c>
      <c r="H23" s="8">
        <f>'2019'!Y48</f>
        <v>90065</v>
      </c>
      <c r="I23" s="8">
        <f t="shared" si="1"/>
        <v>181193</v>
      </c>
      <c r="J23" s="8">
        <f>'2014'!K48+'2014'!P48</f>
        <v>61135</v>
      </c>
      <c r="K23" s="8">
        <f>'2015'!K48+'2015'!P48</f>
        <v>86765</v>
      </c>
      <c r="L23" s="8">
        <f>'2016'!K48+'2016'!P48</f>
        <v>108579</v>
      </c>
      <c r="M23" s="8">
        <f>'2017'!K48+'2017'!P48</f>
        <v>84472</v>
      </c>
      <c r="N23" s="8">
        <f>'2018'!K48+'2018'!P48</f>
        <v>43126</v>
      </c>
      <c r="O23" s="8">
        <f>'2019'!K48+'2019'!P48</f>
        <v>53662</v>
      </c>
      <c r="P23" s="8">
        <f t="shared" si="2"/>
        <v>72957</v>
      </c>
      <c r="Q23" s="8">
        <f>'2014'!X48</f>
        <v>61880</v>
      </c>
      <c r="R23" s="8">
        <f>'2015'!X48</f>
        <v>135018</v>
      </c>
      <c r="S23" s="8">
        <f>'2016'!X48</f>
        <v>113418</v>
      </c>
      <c r="T23" s="8">
        <f>'2017'!X48</f>
        <v>205639</v>
      </c>
      <c r="U23" s="8">
        <f>'2018'!X48</f>
        <v>97060</v>
      </c>
      <c r="V23" s="8">
        <f>'2019'!X48</f>
        <v>36403</v>
      </c>
      <c r="W23" s="8">
        <f t="shared" si="3"/>
        <v>108236</v>
      </c>
      <c r="X23" s="1"/>
      <c r="Y23" s="1"/>
    </row>
    <row r="24" spans="1:25" x14ac:dyDescent="0.25">
      <c r="A24" s="2">
        <f t="shared" si="0"/>
        <v>24</v>
      </c>
      <c r="B24" s="1" t="s">
        <v>61</v>
      </c>
      <c r="C24" s="8">
        <f>'2014'!Y49</f>
        <v>429669</v>
      </c>
      <c r="D24" s="8">
        <f>'2015'!Y49</f>
        <v>946351</v>
      </c>
      <c r="E24" s="8">
        <f>'2016'!Y49</f>
        <v>1722069</v>
      </c>
      <c r="F24" s="8">
        <f>'2017'!Y49</f>
        <v>1987697</v>
      </c>
      <c r="G24" s="8">
        <f>'2018'!Y49</f>
        <v>977660</v>
      </c>
      <c r="H24" s="8">
        <f>'2019'!Y49</f>
        <v>621879</v>
      </c>
      <c r="I24" s="8">
        <f t="shared" si="1"/>
        <v>1114221</v>
      </c>
      <c r="J24" s="8">
        <f>'2014'!K49+'2014'!P49</f>
        <v>395218</v>
      </c>
      <c r="K24" s="8">
        <f>'2015'!K49+'2015'!P49</f>
        <v>597909</v>
      </c>
      <c r="L24" s="8">
        <f>'2016'!K49+'2016'!P49</f>
        <v>1288353</v>
      </c>
      <c r="M24" s="8">
        <f>'2017'!K49+'2017'!P49</f>
        <v>1352318</v>
      </c>
      <c r="N24" s="8">
        <f>'2018'!K49+'2018'!P49</f>
        <v>473981</v>
      </c>
      <c r="O24" s="8">
        <f>'2019'!K49+'2019'!P49</f>
        <v>370834</v>
      </c>
      <c r="P24" s="8">
        <f t="shared" si="2"/>
        <v>746436</v>
      </c>
      <c r="Q24" s="8">
        <f>'2014'!X49</f>
        <v>34451</v>
      </c>
      <c r="R24" s="8">
        <f>'2015'!X49</f>
        <v>348442</v>
      </c>
      <c r="S24" s="8">
        <f>'2016'!X49</f>
        <v>433716</v>
      </c>
      <c r="T24" s="8">
        <f>'2017'!X49</f>
        <v>635379</v>
      </c>
      <c r="U24" s="8">
        <f>'2018'!X49</f>
        <v>503679</v>
      </c>
      <c r="V24" s="8">
        <f>'2019'!X49</f>
        <v>251045</v>
      </c>
      <c r="W24" s="8">
        <f t="shared" si="3"/>
        <v>367785</v>
      </c>
      <c r="X24" s="1"/>
      <c r="Y24" s="1"/>
    </row>
    <row r="25" spans="1:25" x14ac:dyDescent="0.25">
      <c r="A25" s="2">
        <f t="shared" si="0"/>
        <v>25</v>
      </c>
      <c r="B25" s="1" t="s">
        <v>62</v>
      </c>
      <c r="C25" s="8">
        <f>'2014'!Y50</f>
        <v>168883</v>
      </c>
      <c r="D25" s="8">
        <f>'2015'!Y50</f>
        <v>170033</v>
      </c>
      <c r="E25" s="8">
        <f>'2016'!Y50</f>
        <v>534496</v>
      </c>
      <c r="F25" s="8">
        <f>'2017'!Y50</f>
        <v>227150</v>
      </c>
      <c r="G25" s="8">
        <f>'2018'!Y50</f>
        <v>216057</v>
      </c>
      <c r="H25" s="8">
        <f>'2019'!Y50</f>
        <v>114700</v>
      </c>
      <c r="I25" s="8">
        <f t="shared" si="1"/>
        <v>238553</v>
      </c>
      <c r="J25" s="8">
        <f>'2014'!K50+'2014'!P50</f>
        <v>66708</v>
      </c>
      <c r="K25" s="8">
        <f>'2015'!K50+'2015'!P50</f>
        <v>95764</v>
      </c>
      <c r="L25" s="8">
        <f>'2016'!K50+'2016'!P50</f>
        <v>153176</v>
      </c>
      <c r="M25" s="8">
        <f>'2017'!K50+'2017'!P50</f>
        <v>126918</v>
      </c>
      <c r="N25" s="8">
        <f>'2018'!K50+'2018'!P50</f>
        <v>91535</v>
      </c>
      <c r="O25" s="8">
        <f>'2019'!K50+'2019'!P50</f>
        <v>75857</v>
      </c>
      <c r="P25" s="8">
        <f t="shared" si="2"/>
        <v>101660</v>
      </c>
      <c r="Q25" s="8">
        <f>'2014'!X50</f>
        <v>102175</v>
      </c>
      <c r="R25" s="8">
        <f>'2015'!X50</f>
        <v>74269</v>
      </c>
      <c r="S25" s="8">
        <f>'2016'!X50</f>
        <v>381320</v>
      </c>
      <c r="T25" s="8">
        <f>'2017'!X50</f>
        <v>100232</v>
      </c>
      <c r="U25" s="8">
        <f>'2018'!X50</f>
        <v>124522</v>
      </c>
      <c r="V25" s="8">
        <f>'2019'!X50</f>
        <v>38843</v>
      </c>
      <c r="W25" s="8">
        <f t="shared" si="3"/>
        <v>136894</v>
      </c>
      <c r="X25" s="1"/>
      <c r="Y25" s="1"/>
    </row>
    <row r="26" spans="1:25" x14ac:dyDescent="0.25">
      <c r="A26" s="2">
        <f t="shared" si="0"/>
        <v>26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thickBot="1" x14ac:dyDescent="0.3">
      <c r="A27" s="2">
        <f t="shared" si="0"/>
        <v>27</v>
      </c>
      <c r="B27" s="1" t="s">
        <v>63</v>
      </c>
      <c r="C27" s="11">
        <f>SUM(C9:C25)</f>
        <v>5581294</v>
      </c>
      <c r="D27" s="11">
        <f t="shared" ref="D27:V27" si="4">SUM(D9:D25)</f>
        <v>9369152</v>
      </c>
      <c r="E27" s="11">
        <f t="shared" si="4"/>
        <v>10776386</v>
      </c>
      <c r="F27" s="11">
        <f t="shared" si="4"/>
        <v>10417852</v>
      </c>
      <c r="G27" s="11">
        <f t="shared" si="4"/>
        <v>7132635</v>
      </c>
      <c r="H27" s="11">
        <f t="shared" si="4"/>
        <v>3707619</v>
      </c>
      <c r="I27" s="11">
        <f>SUM(I9:I25)</f>
        <v>7830825</v>
      </c>
      <c r="J27" s="11">
        <f t="shared" si="4"/>
        <v>4983494</v>
      </c>
      <c r="K27" s="11">
        <f t="shared" si="4"/>
        <v>6805956</v>
      </c>
      <c r="L27" s="11">
        <f t="shared" si="4"/>
        <v>6649579</v>
      </c>
      <c r="M27" s="11">
        <f t="shared" si="4"/>
        <v>5992679</v>
      </c>
      <c r="N27" s="11">
        <f t="shared" si="4"/>
        <v>3613149</v>
      </c>
      <c r="O27" s="11">
        <f t="shared" si="4"/>
        <v>2544265</v>
      </c>
      <c r="P27" s="11">
        <f>SUM(P9:P25)</f>
        <v>5098190</v>
      </c>
      <c r="Q27" s="11">
        <f t="shared" si="4"/>
        <v>597800</v>
      </c>
      <c r="R27" s="11">
        <f t="shared" si="4"/>
        <v>2563196</v>
      </c>
      <c r="S27" s="11">
        <f t="shared" si="4"/>
        <v>4126807</v>
      </c>
      <c r="T27" s="11">
        <f t="shared" si="4"/>
        <v>4425173</v>
      </c>
      <c r="U27" s="11">
        <f t="shared" si="4"/>
        <v>3519486</v>
      </c>
      <c r="V27" s="11">
        <f t="shared" si="4"/>
        <v>1163354</v>
      </c>
      <c r="W27" s="11">
        <f>SUM(W9:W25)</f>
        <v>2732636</v>
      </c>
      <c r="X27" s="1"/>
      <c r="Y27" s="1"/>
    </row>
    <row r="28" spans="1:25" ht="15.75" thickTop="1" x14ac:dyDescent="0.25">
      <c r="A28" s="2">
        <f t="shared" si="0"/>
        <v>28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2">
        <f t="shared" si="0"/>
        <v>29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2">
        <f t="shared" si="0"/>
        <v>30</v>
      </c>
      <c r="B30" s="26" t="s">
        <v>84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2">
        <f t="shared" si="0"/>
        <v>31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2">
        <f t="shared" si="0"/>
        <v>32</v>
      </c>
      <c r="B32" s="1" t="s">
        <v>85</v>
      </c>
      <c r="C32" s="20">
        <f>'2014'!Z34</f>
        <v>0.54674</v>
      </c>
      <c r="D32" s="20">
        <f>'2015'!Z34</f>
        <v>0.40476000000000001</v>
      </c>
      <c r="E32" s="20">
        <f>'2016'!Z34</f>
        <v>0.22548000000000001</v>
      </c>
      <c r="F32" s="20">
        <f>'2017'!Z34</f>
        <v>0.19070000000000001</v>
      </c>
      <c r="G32" s="20">
        <f>'2018'!Z34</f>
        <v>0.16400000000000001</v>
      </c>
      <c r="H32" s="20">
        <f>'2019'!Z34</f>
        <v>0.24226</v>
      </c>
      <c r="I32" s="20">
        <f>ROUND(I9/I$27,5)</f>
        <v>0.28366999999999998</v>
      </c>
      <c r="J32" s="20">
        <f>'2014'!AA34</f>
        <v>0.61231999999999998</v>
      </c>
      <c r="K32" s="20">
        <f>'2015'!AA34</f>
        <v>0.55720000000000003</v>
      </c>
      <c r="L32" s="20">
        <f>'2016'!AA34</f>
        <v>0.36542000000000002</v>
      </c>
      <c r="M32" s="20">
        <f>'2017'!AA34</f>
        <v>0.33151000000000003</v>
      </c>
      <c r="N32" s="20">
        <f>'2018'!AA34</f>
        <v>0.32374000000000003</v>
      </c>
      <c r="O32" s="20">
        <f>'2019'!AA34</f>
        <v>0.35304000000000002</v>
      </c>
      <c r="P32" s="20">
        <f>ROUND(P9/P$27,5)</f>
        <v>0.43572</v>
      </c>
      <c r="Q32" s="20">
        <f>'2014'!AB34</f>
        <v>0</v>
      </c>
      <c r="R32" s="20">
        <f>'2015'!AB34</f>
        <v>0</v>
      </c>
      <c r="S32" s="20">
        <f>'2016'!AB34</f>
        <v>0</v>
      </c>
      <c r="T32" s="20">
        <f>'2017'!AB34</f>
        <v>0</v>
      </c>
      <c r="U32" s="20">
        <f>'2018'!AB34</f>
        <v>0</v>
      </c>
      <c r="V32" s="20">
        <f>'2019'!AB34</f>
        <v>0</v>
      </c>
      <c r="W32" s="20">
        <f>ROUND(W9/W$27,5)</f>
        <v>0</v>
      </c>
      <c r="X32" s="1"/>
      <c r="Y32" s="1"/>
    </row>
    <row r="33" spans="1:25" x14ac:dyDescent="0.25">
      <c r="A33" s="2">
        <f t="shared" si="0"/>
        <v>33</v>
      </c>
      <c r="B33" s="1" t="s">
        <v>47</v>
      </c>
      <c r="C33" s="20">
        <f>'2014'!Z35</f>
        <v>8.7600000000000004E-3</v>
      </c>
      <c r="D33" s="20">
        <f>'2015'!Z35</f>
        <v>1.291E-2</v>
      </c>
      <c r="E33" s="20">
        <f>'2016'!Z35</f>
        <v>1.183E-2</v>
      </c>
      <c r="F33" s="20">
        <f>'2017'!Z35</f>
        <v>8.5800000000000008E-3</v>
      </c>
      <c r="G33" s="20">
        <f>'2018'!Z35</f>
        <v>6.7400000000000003E-3</v>
      </c>
      <c r="H33" s="20">
        <f>'2019'!Z35</f>
        <v>3.49E-3</v>
      </c>
      <c r="I33" s="20">
        <f t="shared" ref="I33:I48" si="5">ROUND(I10/I$27,5)</f>
        <v>9.5300000000000003E-3</v>
      </c>
      <c r="J33" s="20">
        <f>'2014'!AA35</f>
        <v>8.6700000000000006E-3</v>
      </c>
      <c r="K33" s="20">
        <f>'2015'!AA35</f>
        <v>9.4800000000000006E-3</v>
      </c>
      <c r="L33" s="20">
        <f>'2016'!AA35</f>
        <v>1.1259999999999999E-2</v>
      </c>
      <c r="M33" s="20">
        <f>'2017'!AA35</f>
        <v>7.8399999999999997E-3</v>
      </c>
      <c r="N33" s="20">
        <f>'2018'!AA35</f>
        <v>6.94E-3</v>
      </c>
      <c r="O33" s="20">
        <f>'2019'!AA35</f>
        <v>4.5100000000000001E-3</v>
      </c>
      <c r="P33" s="20">
        <f t="shared" ref="P33:P48" si="6">ROUND(P10/P$27,5)</f>
        <v>8.6999999999999994E-3</v>
      </c>
      <c r="Q33" s="20">
        <f>'2014'!AB35</f>
        <v>9.4500000000000001E-3</v>
      </c>
      <c r="R33" s="20">
        <f>'2015'!AB35</f>
        <v>2.1989999999999999E-2</v>
      </c>
      <c r="S33" s="20">
        <f>'2016'!AB35</f>
        <v>1.277E-2</v>
      </c>
      <c r="T33" s="20">
        <f>'2017'!AB35</f>
        <v>9.5999999999999992E-3</v>
      </c>
      <c r="U33" s="20">
        <f>'2018'!AB35</f>
        <v>6.5300000000000002E-3</v>
      </c>
      <c r="V33" s="20">
        <f>'2019'!AB35</f>
        <v>1.2800000000000001E-3</v>
      </c>
      <c r="W33" s="20">
        <f t="shared" ref="W33:W48" si="7">ROUND(W10/W$27,5)</f>
        <v>1.108E-2</v>
      </c>
      <c r="X33" s="1"/>
      <c r="Y33" s="1"/>
    </row>
    <row r="34" spans="1:25" x14ac:dyDescent="0.25">
      <c r="A34" s="2">
        <f t="shared" si="0"/>
        <v>34</v>
      </c>
      <c r="B34" s="1" t="s">
        <v>48</v>
      </c>
      <c r="C34" s="34">
        <f>'2014'!Z36</f>
        <v>5.5219999999999998E-2</v>
      </c>
      <c r="D34" s="33">
        <f>'2015'!Z36</f>
        <v>8.7760000000000005E-2</v>
      </c>
      <c r="E34" s="33">
        <f>'2016'!Z36</f>
        <v>0.10831</v>
      </c>
      <c r="F34" s="31">
        <f>'2017'!Z36</f>
        <v>9.572E-2</v>
      </c>
      <c r="G34" s="33">
        <f>'2018'!Z36</f>
        <v>0.13100999999999999</v>
      </c>
      <c r="H34" s="33">
        <f>'2019'!Z36</f>
        <v>0.1152</v>
      </c>
      <c r="I34" s="33">
        <f t="shared" si="5"/>
        <v>9.9099999999999994E-2</v>
      </c>
      <c r="J34" s="31">
        <f>'2014'!AA36</f>
        <v>5.3800000000000001E-2</v>
      </c>
      <c r="K34" s="33">
        <f>'2015'!AA36</f>
        <v>7.0019999999999999E-2</v>
      </c>
      <c r="L34" s="33">
        <f>'2016'!AA36</f>
        <v>9.9930000000000005E-2</v>
      </c>
      <c r="M34" s="31">
        <f>'2017'!AA36</f>
        <v>7.331E-2</v>
      </c>
      <c r="N34" s="33">
        <f>'2018'!AA36</f>
        <v>0.13025</v>
      </c>
      <c r="O34" s="33">
        <f>'2019'!AA36</f>
        <v>0.12651999999999999</v>
      </c>
      <c r="P34" s="33">
        <f t="shared" si="6"/>
        <v>8.634E-2</v>
      </c>
      <c r="Q34" s="20">
        <f>'2014'!AB36</f>
        <v>6.7080000000000001E-2</v>
      </c>
      <c r="R34" s="33">
        <f>'2015'!AB36</f>
        <v>0.13486000000000001</v>
      </c>
      <c r="S34" s="33">
        <f>'2016'!AB36</f>
        <v>0.12180000000000001</v>
      </c>
      <c r="T34" s="34">
        <f>'2017'!AB36</f>
        <v>0.12605</v>
      </c>
      <c r="U34" s="31">
        <f>'2018'!AB36</f>
        <v>0.1318</v>
      </c>
      <c r="V34" s="20">
        <f>'2019'!AB36</f>
        <v>9.0459999999999999E-2</v>
      </c>
      <c r="W34" s="31">
        <f t="shared" si="7"/>
        <v>0.12292</v>
      </c>
      <c r="X34" s="1"/>
      <c r="Y34" s="1"/>
    </row>
    <row r="35" spans="1:25" x14ac:dyDescent="0.25">
      <c r="A35" s="2">
        <f t="shared" si="0"/>
        <v>35</v>
      </c>
      <c r="B35" s="1" t="s">
        <v>49</v>
      </c>
      <c r="C35" s="20">
        <f>'2014'!Z37</f>
        <v>1.4019999999999999E-2</v>
      </c>
      <c r="D35" s="20">
        <f>'2015'!Z37</f>
        <v>1.6889999999999999E-2</v>
      </c>
      <c r="E35" s="20">
        <f>'2016'!Z37</f>
        <v>3.1419999999999997E-2</v>
      </c>
      <c r="F35" s="20">
        <f>'2017'!Z37</f>
        <v>2.4510000000000001E-2</v>
      </c>
      <c r="G35" s="20">
        <f>'2018'!Z37</f>
        <v>2.112E-2</v>
      </c>
      <c r="H35" s="20">
        <f>'2019'!Z37</f>
        <v>1.857E-2</v>
      </c>
      <c r="I35" s="20">
        <f t="shared" si="5"/>
        <v>2.2349999999999998E-2</v>
      </c>
      <c r="J35" s="20">
        <f>'2014'!AA37</f>
        <v>1.132E-2</v>
      </c>
      <c r="K35" s="20">
        <f>'2015'!AA37</f>
        <v>8.6199999999999992E-3</v>
      </c>
      <c r="L35" s="20">
        <f>'2016'!AA37</f>
        <v>9.9399999999999992E-3</v>
      </c>
      <c r="M35" s="20">
        <f>'2017'!AA37</f>
        <v>1.6879999999999999E-2</v>
      </c>
      <c r="N35" s="20">
        <f>'2018'!AA37</f>
        <v>1.149E-2</v>
      </c>
      <c r="O35" s="20">
        <f>'2019'!AA37</f>
        <v>1.924E-2</v>
      </c>
      <c r="P35" s="20">
        <f t="shared" si="6"/>
        <v>1.2189999999999999E-2</v>
      </c>
      <c r="Q35" s="20">
        <f>'2014'!AB37</f>
        <v>3.6560000000000002E-2</v>
      </c>
      <c r="R35" s="20">
        <f>'2015'!AB37</f>
        <v>3.8870000000000002E-2</v>
      </c>
      <c r="S35" s="20">
        <f>'2016'!AB37</f>
        <v>6.6030000000000005E-2</v>
      </c>
      <c r="T35" s="20">
        <f>'2017'!AB37</f>
        <v>3.4840000000000003E-2</v>
      </c>
      <c r="U35" s="20">
        <f>'2018'!AB37</f>
        <v>3.1E-2</v>
      </c>
      <c r="V35" s="20">
        <f>'2019'!AB37</f>
        <v>1.7080000000000001E-2</v>
      </c>
      <c r="W35" s="20">
        <f t="shared" si="7"/>
        <v>4.1300000000000003E-2</v>
      </c>
      <c r="X35" s="1"/>
      <c r="Y35" s="1"/>
    </row>
    <row r="36" spans="1:25" x14ac:dyDescent="0.25">
      <c r="A36" s="2">
        <f t="shared" si="0"/>
        <v>36</v>
      </c>
      <c r="B36" s="1" t="s">
        <v>50</v>
      </c>
      <c r="C36" s="20">
        <f>'2014'!Z38</f>
        <v>6.5799999999999999E-3</v>
      </c>
      <c r="D36" s="20">
        <f>'2015'!Z38</f>
        <v>1.1310000000000001E-2</v>
      </c>
      <c r="E36" s="20">
        <f>'2016'!Z38</f>
        <v>1.618E-2</v>
      </c>
      <c r="F36" s="20">
        <f>'2017'!Z38</f>
        <v>1.9980000000000001E-2</v>
      </c>
      <c r="G36" s="20">
        <f>'2018'!Z38</f>
        <v>2.6759999999999999E-2</v>
      </c>
      <c r="H36" s="20">
        <f>'2019'!Z38</f>
        <v>3.2419999999999997E-2</v>
      </c>
      <c r="I36" s="20">
        <f t="shared" si="5"/>
        <v>1.78E-2</v>
      </c>
      <c r="J36" s="20">
        <f>'2014'!AA38</f>
        <v>6.77E-3</v>
      </c>
      <c r="K36" s="20">
        <f>'2015'!AA38</f>
        <v>5.6699999999999997E-3</v>
      </c>
      <c r="L36" s="20">
        <f>'2016'!AA38</f>
        <v>1.304E-2</v>
      </c>
      <c r="M36" s="20">
        <f>'2017'!AA38</f>
        <v>1.8440000000000002E-2</v>
      </c>
      <c r="N36" s="20">
        <f>'2018'!AA38</f>
        <v>2.9420000000000002E-2</v>
      </c>
      <c r="O36" s="20">
        <f>'2019'!AA38</f>
        <v>3.3529999999999997E-2</v>
      </c>
      <c r="P36" s="20">
        <f t="shared" si="6"/>
        <v>1.508E-2</v>
      </c>
      <c r="Q36" s="20">
        <f>'2014'!AB38</f>
        <v>5.0200000000000002E-3</v>
      </c>
      <c r="R36" s="20">
        <f>'2015'!AB38</f>
        <v>2.6259999999999999E-2</v>
      </c>
      <c r="S36" s="20">
        <f>'2016'!AB38</f>
        <v>2.1239999999999998E-2</v>
      </c>
      <c r="T36" s="20">
        <f>'2017'!AB38</f>
        <v>2.2069999999999999E-2</v>
      </c>
      <c r="U36" s="20">
        <f>'2018'!AB38</f>
        <v>2.4039999999999999E-2</v>
      </c>
      <c r="V36" s="20">
        <f>'2019'!AB38</f>
        <v>0.03</v>
      </c>
      <c r="W36" s="20">
        <f t="shared" si="7"/>
        <v>2.2880000000000001E-2</v>
      </c>
      <c r="X36" s="1"/>
      <c r="Y36" s="1"/>
    </row>
    <row r="37" spans="1:25" x14ac:dyDescent="0.25">
      <c r="A37" s="2">
        <f t="shared" si="0"/>
        <v>37</v>
      </c>
      <c r="B37" s="1" t="s">
        <v>51</v>
      </c>
      <c r="C37" s="20">
        <f>'2014'!Z39</f>
        <v>3.0620000000000001E-2</v>
      </c>
      <c r="D37" s="20">
        <f>'2015'!Z39</f>
        <v>2.571E-2</v>
      </c>
      <c r="E37" s="20">
        <f>'2016'!Z39</f>
        <v>2.6870000000000002E-2</v>
      </c>
      <c r="F37" s="20">
        <f>'2017'!Z39</f>
        <v>2.1930000000000002E-2</v>
      </c>
      <c r="G37" s="20">
        <f>'2018'!Z39</f>
        <v>3.3000000000000002E-2</v>
      </c>
      <c r="H37" s="20">
        <f>'2019'!Z39</f>
        <v>1.5570000000000001E-2</v>
      </c>
      <c r="I37" s="20">
        <f t="shared" si="5"/>
        <v>2.6030000000000001E-2</v>
      </c>
      <c r="J37" s="20">
        <f>'2014'!AA39</f>
        <v>1.753E-2</v>
      </c>
      <c r="K37" s="20">
        <f>'2015'!AA39</f>
        <v>1.5970000000000002E-2</v>
      </c>
      <c r="L37" s="20">
        <f>'2016'!AA39</f>
        <v>2.3959999999999999E-2</v>
      </c>
      <c r="M37" s="20">
        <f>'2017'!AA39</f>
        <v>1.6930000000000001E-2</v>
      </c>
      <c r="N37" s="20">
        <f>'2018'!AA39</f>
        <v>3.9269999999999999E-2</v>
      </c>
      <c r="O37" s="20">
        <f>'2019'!AA39</f>
        <v>1.7690000000000001E-2</v>
      </c>
      <c r="P37" s="20">
        <f t="shared" si="6"/>
        <v>2.104E-2</v>
      </c>
      <c r="Q37" s="33">
        <f>'2014'!AB39</f>
        <v>0.13977999999999999</v>
      </c>
      <c r="R37" s="20">
        <f>'2015'!AB39</f>
        <v>5.1569999999999998E-2</v>
      </c>
      <c r="S37" s="20">
        <f>'2016'!AB39</f>
        <v>3.1559999999999998E-2</v>
      </c>
      <c r="T37" s="20">
        <f>'2017'!AB39</f>
        <v>2.87E-2</v>
      </c>
      <c r="U37" s="20">
        <f>'2018'!AB39</f>
        <v>2.656E-2</v>
      </c>
      <c r="V37" s="20">
        <f>'2019'!AB39</f>
        <v>1.095E-2</v>
      </c>
      <c r="W37" s="20">
        <f t="shared" si="7"/>
        <v>3.533E-2</v>
      </c>
      <c r="X37" s="1"/>
      <c r="Y37" s="1"/>
    </row>
    <row r="38" spans="1:25" x14ac:dyDescent="0.25">
      <c r="A38" s="2">
        <f t="shared" si="0"/>
        <v>38</v>
      </c>
      <c r="B38" s="1" t="s">
        <v>52</v>
      </c>
      <c r="C38" s="20">
        <f>'2014'!Z40</f>
        <v>8.1600000000000006E-3</v>
      </c>
      <c r="D38" s="20">
        <f>'2015'!Z40</f>
        <v>1.627E-2</v>
      </c>
      <c r="E38" s="20">
        <f>'2016'!Z40</f>
        <v>1.7319999999999999E-2</v>
      </c>
      <c r="F38" s="20">
        <f>'2017'!Z40</f>
        <v>1.478E-2</v>
      </c>
      <c r="G38" s="20">
        <f>'2018'!Z40</f>
        <v>2.5930000000000002E-2</v>
      </c>
      <c r="H38" s="20">
        <f>'2019'!Z40</f>
        <v>3.39E-2</v>
      </c>
      <c r="I38" s="20">
        <f t="shared" si="5"/>
        <v>1.8069999999999999E-2</v>
      </c>
      <c r="J38" s="20">
        <f>'2014'!AA40</f>
        <v>8.8599999999999998E-3</v>
      </c>
      <c r="K38" s="20">
        <f>'2015'!AA40</f>
        <v>1.171E-2</v>
      </c>
      <c r="L38" s="20">
        <f>'2016'!AA40</f>
        <v>1.3129999999999999E-2</v>
      </c>
      <c r="M38" s="20">
        <f>'2017'!AA40</f>
        <v>7.8799999999999999E-3</v>
      </c>
      <c r="N38" s="20">
        <f>'2018'!AA40</f>
        <v>1.9630000000000002E-2</v>
      </c>
      <c r="O38" s="20">
        <f>'2019'!AA40</f>
        <v>2.2429999999999999E-2</v>
      </c>
      <c r="P38" s="20">
        <f t="shared" si="6"/>
        <v>1.2630000000000001E-2</v>
      </c>
      <c r="Q38" s="20">
        <f>'2014'!AB40</f>
        <v>2.2799999999999999E-3</v>
      </c>
      <c r="R38" s="20">
        <f>'2015'!AB40</f>
        <v>2.8369999999999999E-2</v>
      </c>
      <c r="S38" s="20">
        <f>'2016'!AB40</f>
        <v>2.409E-2</v>
      </c>
      <c r="T38" s="20">
        <f>'2017'!AB40</f>
        <v>2.4129999999999999E-2</v>
      </c>
      <c r="U38" s="20">
        <f>'2018'!AB40</f>
        <v>3.2399999999999998E-2</v>
      </c>
      <c r="V38" s="20">
        <f>'2019'!AB40</f>
        <v>5.8970000000000002E-2</v>
      </c>
      <c r="W38" s="20">
        <f t="shared" si="7"/>
        <v>2.8230000000000002E-2</v>
      </c>
      <c r="X38" s="1"/>
      <c r="Y38" s="1"/>
    </row>
    <row r="39" spans="1:25" x14ac:dyDescent="0.25">
      <c r="A39" s="2">
        <f t="shared" si="0"/>
        <v>39</v>
      </c>
      <c r="B39" s="1" t="s">
        <v>53</v>
      </c>
      <c r="C39" s="20">
        <f>'2014'!Z41</f>
        <v>9.7199999999999995E-3</v>
      </c>
      <c r="D39" s="20">
        <f>'2015'!Z41</f>
        <v>1.272E-2</v>
      </c>
      <c r="E39" s="20">
        <f>'2016'!Z41</f>
        <v>1.7440000000000001E-2</v>
      </c>
      <c r="F39" s="20">
        <f>'2017'!Z41</f>
        <v>1.221E-2</v>
      </c>
      <c r="G39" s="20">
        <f>'2018'!Z41</f>
        <v>1.085E-2</v>
      </c>
      <c r="H39" s="20">
        <f>'2019'!Z41</f>
        <v>1.2789999999999999E-2</v>
      </c>
      <c r="I39" s="20">
        <f t="shared" si="5"/>
        <v>1.3050000000000001E-2</v>
      </c>
      <c r="J39" s="20">
        <f>'2014'!AA41</f>
        <v>7.0499999999999998E-3</v>
      </c>
      <c r="K39" s="20">
        <f>'2015'!AA41</f>
        <v>1.2319999999999999E-2</v>
      </c>
      <c r="L39" s="20">
        <f>'2016'!AA41</f>
        <v>1.418E-2</v>
      </c>
      <c r="M39" s="20">
        <f>'2017'!AA41</f>
        <v>1.213E-2</v>
      </c>
      <c r="N39" s="20">
        <f>'2018'!AA41</f>
        <v>1.4030000000000001E-2</v>
      </c>
      <c r="O39" s="20">
        <f>'2019'!AA41</f>
        <v>1.542E-2</v>
      </c>
      <c r="P39" s="20">
        <f t="shared" si="6"/>
        <v>1.2290000000000001E-2</v>
      </c>
      <c r="Q39" s="20">
        <f>'2014'!AB41</f>
        <v>3.1969999999999998E-2</v>
      </c>
      <c r="R39" s="20">
        <f>'2015'!AB41</f>
        <v>1.3769999999999999E-2</v>
      </c>
      <c r="S39" s="20">
        <f>'2016'!AB41</f>
        <v>2.2689999999999998E-2</v>
      </c>
      <c r="T39" s="20">
        <f>'2017'!AB41</f>
        <v>1.231E-2</v>
      </c>
      <c r="U39" s="20">
        <f>'2018'!AB41</f>
        <v>7.5799999999999999E-3</v>
      </c>
      <c r="V39" s="20">
        <f>'2019'!AB41</f>
        <v>7.0299999999999998E-3</v>
      </c>
      <c r="W39" s="20">
        <f t="shared" si="7"/>
        <v>1.448E-2</v>
      </c>
      <c r="X39" s="1"/>
      <c r="Y39" s="1"/>
    </row>
    <row r="40" spans="1:25" x14ac:dyDescent="0.25">
      <c r="A40" s="2">
        <f t="shared" si="0"/>
        <v>40</v>
      </c>
      <c r="B40" s="1" t="s">
        <v>54</v>
      </c>
      <c r="C40" s="20">
        <f>'2014'!Z42</f>
        <v>1.5129999999999999E-2</v>
      </c>
      <c r="D40" s="20">
        <f>'2015'!Z42</f>
        <v>2.2749999999999999E-2</v>
      </c>
      <c r="E40" s="20">
        <f>'2016'!Z42</f>
        <v>3.313E-2</v>
      </c>
      <c r="F40" s="20">
        <f>'2017'!Z42</f>
        <v>3.739E-2</v>
      </c>
      <c r="G40" s="20">
        <f>'2018'!Z42</f>
        <v>4.2950000000000002E-2</v>
      </c>
      <c r="H40" s="20">
        <f>'2019'!Z42</f>
        <v>5.6309999999999999E-2</v>
      </c>
      <c r="I40" s="20">
        <f t="shared" si="5"/>
        <v>3.3189999999999997E-2</v>
      </c>
      <c r="J40" s="20">
        <f>'2014'!AA42</f>
        <v>1.349E-2</v>
      </c>
      <c r="K40" s="20">
        <f>'2015'!AA42</f>
        <v>9.9600000000000001E-3</v>
      </c>
      <c r="L40" s="20">
        <f>'2016'!AA42</f>
        <v>2.3949999999999999E-2</v>
      </c>
      <c r="M40" s="20">
        <f>'2017'!AA42</f>
        <v>2.9839999999999998E-2</v>
      </c>
      <c r="N40" s="20">
        <f>'2018'!AA42</f>
        <v>3.3160000000000002E-2</v>
      </c>
      <c r="O40" s="20">
        <f>'2019'!AA42</f>
        <v>2.9409999999999999E-2</v>
      </c>
      <c r="P40" s="20">
        <f t="shared" si="6"/>
        <v>2.1829999999999999E-2</v>
      </c>
      <c r="Q40" s="20">
        <f>'2014'!AB42</f>
        <v>2.8850000000000001E-2</v>
      </c>
      <c r="R40" s="20">
        <f>'2015'!AB42</f>
        <v>5.6689999999999997E-2</v>
      </c>
      <c r="S40" s="20">
        <f>'2016'!AB42</f>
        <v>4.7919999999999997E-2</v>
      </c>
      <c r="T40" s="20">
        <f>'2017'!AB42</f>
        <v>4.761E-2</v>
      </c>
      <c r="U40" s="20">
        <f>'2018'!AB42</f>
        <v>5.3010000000000002E-2</v>
      </c>
      <c r="V40" s="20">
        <f>'2019'!AB42</f>
        <v>0.11516</v>
      </c>
      <c r="W40" s="20">
        <f t="shared" si="7"/>
        <v>5.4379999999999998E-2</v>
      </c>
      <c r="X40" s="1"/>
      <c r="Y40" s="1"/>
    </row>
    <row r="41" spans="1:25" x14ac:dyDescent="0.25">
      <c r="A41" s="2">
        <f t="shared" si="0"/>
        <v>41</v>
      </c>
      <c r="B41" s="1" t="s">
        <v>55</v>
      </c>
      <c r="C41" s="31">
        <f>'2014'!Z43</f>
        <v>5.6730000000000003E-2</v>
      </c>
      <c r="D41" s="34">
        <f>'2015'!Z43</f>
        <v>6.7760000000000001E-2</v>
      </c>
      <c r="E41" s="31">
        <f>'2016'!Z43</f>
        <v>8.1570000000000004E-2</v>
      </c>
      <c r="F41" s="33">
        <f>'2017'!Z43</f>
        <v>0.11437</v>
      </c>
      <c r="G41" s="31">
        <f>'2018'!Z43</f>
        <v>9.9919999999999995E-2</v>
      </c>
      <c r="H41" s="20">
        <f>'2019'!Z43</f>
        <v>6.7400000000000003E-3</v>
      </c>
      <c r="I41" s="31">
        <f t="shared" si="5"/>
        <v>8.0019999999999994E-2</v>
      </c>
      <c r="J41" s="33">
        <f>'2014'!AA43</f>
        <v>5.6270000000000001E-2</v>
      </c>
      <c r="K41" s="31">
        <f>'2015'!AA43</f>
        <v>6.633E-2</v>
      </c>
      <c r="L41" s="31">
        <f>'2016'!AA43</f>
        <v>9.4799999999999995E-2</v>
      </c>
      <c r="M41" s="33">
        <f>'2017'!AA43</f>
        <v>0.13474</v>
      </c>
      <c r="N41" s="31">
        <f>'2018'!AA43</f>
        <v>8.5790000000000005E-2</v>
      </c>
      <c r="O41" s="20">
        <f>'2019'!AA43</f>
        <v>7.2100000000000003E-3</v>
      </c>
      <c r="P41" s="31">
        <f t="shared" si="6"/>
        <v>8.1659999999999996E-2</v>
      </c>
      <c r="Q41" s="20">
        <f>'2014'!AB43</f>
        <v>6.0539999999999997E-2</v>
      </c>
      <c r="R41" s="20">
        <f>'2015'!AB43</f>
        <v>7.1550000000000002E-2</v>
      </c>
      <c r="S41" s="20">
        <f>'2016'!AB43</f>
        <v>6.0240000000000002E-2</v>
      </c>
      <c r="T41" s="20">
        <f>'2017'!AB43</f>
        <v>8.6779999999999996E-2</v>
      </c>
      <c r="U41" s="34">
        <f>'2018'!AB43</f>
        <v>0.11441999999999999</v>
      </c>
      <c r="V41" s="20">
        <f>'2019'!AB43</f>
        <v>5.7000000000000002E-3</v>
      </c>
      <c r="W41" s="20">
        <f t="shared" si="7"/>
        <v>7.6939999999999995E-2</v>
      </c>
      <c r="X41" s="1"/>
      <c r="Y41" s="1"/>
    </row>
    <row r="42" spans="1:25" x14ac:dyDescent="0.25">
      <c r="A42" s="2">
        <f t="shared" si="0"/>
        <v>42</v>
      </c>
      <c r="B42" s="1" t="s">
        <v>56</v>
      </c>
      <c r="C42" s="20">
        <f>'2014'!Z44</f>
        <v>1.21E-2</v>
      </c>
      <c r="D42" s="20">
        <f>'2015'!Z44</f>
        <v>8.1799999999999998E-3</v>
      </c>
      <c r="E42" s="20">
        <f>'2016'!Z44</f>
        <v>2.4760000000000001E-2</v>
      </c>
      <c r="F42" s="20">
        <f>'2017'!Z44</f>
        <v>1.3169999999999999E-2</v>
      </c>
      <c r="G42" s="20">
        <f>'2018'!Z44</f>
        <v>1.6369999999999999E-2</v>
      </c>
      <c r="H42" s="20">
        <f>'2019'!Z44</f>
        <v>1.5440000000000001E-2</v>
      </c>
      <c r="I42" s="20">
        <f t="shared" si="5"/>
        <v>1.537E-2</v>
      </c>
      <c r="J42" s="20">
        <f>'2014'!AA44</f>
        <v>1.6900000000000001E-3</v>
      </c>
      <c r="K42" s="20">
        <f>'2015'!AA44</f>
        <v>8.1399999999999997E-3</v>
      </c>
      <c r="L42" s="20">
        <f>'2016'!AA44</f>
        <v>1.333E-2</v>
      </c>
      <c r="M42" s="20">
        <f>'2017'!AA44</f>
        <v>8.9599999999999992E-3</v>
      </c>
      <c r="N42" s="20">
        <f>'2018'!AA44</f>
        <v>1.6889999999999999E-2</v>
      </c>
      <c r="O42" s="20">
        <f>'2019'!AA44</f>
        <v>1.7500000000000002E-2</v>
      </c>
      <c r="P42" s="20">
        <f t="shared" si="6"/>
        <v>1.0189999999999999E-2</v>
      </c>
      <c r="Q42" s="20">
        <f>'2014'!AB44</f>
        <v>9.8830000000000001E-2</v>
      </c>
      <c r="R42" s="20">
        <f>'2015'!AB44</f>
        <v>8.2699999999999996E-3</v>
      </c>
      <c r="S42" s="20">
        <f>'2016'!AB44</f>
        <v>4.317E-2</v>
      </c>
      <c r="T42" s="20">
        <f>'2017'!AB44</f>
        <v>1.8859999999999998E-2</v>
      </c>
      <c r="U42" s="20">
        <f>'2018'!AB44</f>
        <v>1.584E-2</v>
      </c>
      <c r="V42" s="20">
        <f>'2019'!AB44</f>
        <v>1.095E-2</v>
      </c>
      <c r="W42" s="20">
        <f t="shared" si="7"/>
        <v>2.503E-2</v>
      </c>
      <c r="X42" s="1"/>
      <c r="Y42" s="1"/>
    </row>
    <row r="43" spans="1:25" x14ac:dyDescent="0.25">
      <c r="A43" s="2">
        <f t="shared" si="0"/>
        <v>43</v>
      </c>
      <c r="B43" s="1" t="s">
        <v>57</v>
      </c>
      <c r="C43" s="20">
        <f>'2014'!Z45</f>
        <v>2.3199999999999998E-2</v>
      </c>
      <c r="D43" s="20">
        <f>'2015'!Z45</f>
        <v>4.972E-2</v>
      </c>
      <c r="E43" s="20">
        <f>'2016'!Z45</f>
        <v>5.4100000000000002E-2</v>
      </c>
      <c r="F43" s="20">
        <f>'2017'!Z45</f>
        <v>6.5589999999999996E-2</v>
      </c>
      <c r="G43" s="20">
        <f>'2018'!Z45</f>
        <v>7.6149999999999995E-2</v>
      </c>
      <c r="H43" s="34">
        <f>'2019'!Z45</f>
        <v>7.4480000000000005E-2</v>
      </c>
      <c r="I43" s="20">
        <f t="shared" si="5"/>
        <v>5.706E-2</v>
      </c>
      <c r="J43" s="20">
        <f>'2014'!AA45</f>
        <v>2.3699999999999999E-2</v>
      </c>
      <c r="K43" s="20">
        <f>'2015'!AA45</f>
        <v>2.811E-2</v>
      </c>
      <c r="L43" s="20">
        <f>'2016'!AA45</f>
        <v>3.0720000000000001E-2</v>
      </c>
      <c r="M43" s="34">
        <f>'2017'!AA45</f>
        <v>4.5440000000000001E-2</v>
      </c>
      <c r="N43" s="20">
        <f>'2018'!AA45</f>
        <v>4.444E-2</v>
      </c>
      <c r="O43" s="34">
        <f>'2019'!AA45</f>
        <v>4.768E-2</v>
      </c>
      <c r="P43" s="20">
        <f t="shared" si="6"/>
        <v>3.4909999999999997E-2</v>
      </c>
      <c r="Q43" s="20">
        <f>'2014'!AB45</f>
        <v>1.9050000000000001E-2</v>
      </c>
      <c r="R43" s="34">
        <f>'2015'!AB45</f>
        <v>0.10707999999999999</v>
      </c>
      <c r="S43" s="20">
        <f>'2016'!AB45</f>
        <v>9.1789999999999997E-2</v>
      </c>
      <c r="T43" s="20">
        <f>'2017'!AB45</f>
        <v>9.2880000000000004E-2</v>
      </c>
      <c r="U43" s="20">
        <f>'2018'!AB45</f>
        <v>0.1087</v>
      </c>
      <c r="V43" s="33">
        <f>'2019'!AB45</f>
        <v>0.13311000000000001</v>
      </c>
      <c r="W43" s="20">
        <f t="shared" si="7"/>
        <v>9.8379999999999995E-2</v>
      </c>
      <c r="X43" s="1"/>
      <c r="Y43" s="1"/>
    </row>
    <row r="44" spans="1:25" x14ac:dyDescent="0.25">
      <c r="A44" s="2">
        <f t="shared" si="0"/>
        <v>44</v>
      </c>
      <c r="B44" s="1" t="s">
        <v>58</v>
      </c>
      <c r="C44" s="33">
        <f>'2014'!Z46</f>
        <v>5.9389999999999998E-2</v>
      </c>
      <c r="D44" s="31">
        <f>'2015'!Z46</f>
        <v>8.0280000000000004E-2</v>
      </c>
      <c r="E44" s="34">
        <f>'2016'!Z46</f>
        <v>6.9500000000000006E-2</v>
      </c>
      <c r="F44" s="20">
        <f>'2017'!Z46</f>
        <v>6.7400000000000002E-2</v>
      </c>
      <c r="G44" s="34">
        <f>'2018'!Z46</f>
        <v>8.455E-2</v>
      </c>
      <c r="H44" s="20">
        <f>'2019'!Z46</f>
        <v>6.8629999999999997E-2</v>
      </c>
      <c r="I44" s="34">
        <f t="shared" si="5"/>
        <v>7.22E-2</v>
      </c>
      <c r="J44" s="34">
        <f>'2014'!AA46</f>
        <v>4.9939999999999998E-2</v>
      </c>
      <c r="K44" s="34">
        <f>'2015'!AA46</f>
        <v>5.9740000000000001E-2</v>
      </c>
      <c r="L44" s="34">
        <f>'2016'!AA46</f>
        <v>3.2289999999999999E-2</v>
      </c>
      <c r="M44" s="20">
        <f>'2017'!AA46</f>
        <v>1.226E-2</v>
      </c>
      <c r="N44" s="20">
        <f>'2018'!AA46</f>
        <v>2.9049999999999999E-2</v>
      </c>
      <c r="O44" s="20">
        <f>'2019'!AA46</f>
        <v>4.6989999999999997E-2</v>
      </c>
      <c r="P44" s="34">
        <f t="shared" si="6"/>
        <v>3.8190000000000002E-2</v>
      </c>
      <c r="Q44" s="31">
        <f>'2014'!AB46</f>
        <v>0.13814000000000001</v>
      </c>
      <c r="R44" s="31">
        <f>'2015'!AB46</f>
        <v>0.13482</v>
      </c>
      <c r="S44" s="32">
        <f>'2016'!AB46</f>
        <v>0.12945000000000001</v>
      </c>
      <c r="T44" s="33">
        <f>'2017'!AB46</f>
        <v>0.14207</v>
      </c>
      <c r="U44" s="33">
        <f>'2018'!AB46</f>
        <v>0.14151</v>
      </c>
      <c r="V44" s="34">
        <f>'2019'!AB46</f>
        <v>0.11597</v>
      </c>
      <c r="W44" s="32">
        <f t="shared" si="7"/>
        <v>0.13564999999999999</v>
      </c>
      <c r="X44" s="1"/>
      <c r="Y44" s="1"/>
    </row>
    <row r="45" spans="1:25" x14ac:dyDescent="0.25">
      <c r="A45" s="2">
        <f t="shared" si="0"/>
        <v>45</v>
      </c>
      <c r="B45" s="1" t="s">
        <v>59</v>
      </c>
      <c r="C45" s="20">
        <f>'2014'!Z47</f>
        <v>2.435E-2</v>
      </c>
      <c r="D45" s="20">
        <f>'2015'!Z47</f>
        <v>4.0169999999999997E-2</v>
      </c>
      <c r="E45" s="20">
        <f>'2016'!Z47</f>
        <v>5.2089999999999997E-2</v>
      </c>
      <c r="F45" s="34">
        <f>'2017'!Z47</f>
        <v>7.3230000000000003E-2</v>
      </c>
      <c r="G45" s="20">
        <f>'2018'!Z47</f>
        <v>7.3639999999999997E-2</v>
      </c>
      <c r="H45" s="31">
        <f>'2019'!Z47</f>
        <v>8.1220000000000001E-2</v>
      </c>
      <c r="I45" s="20">
        <f t="shared" si="5"/>
        <v>5.6680000000000001E-2</v>
      </c>
      <c r="J45" s="20">
        <f>'2014'!AA47</f>
        <v>2.3619999999999999E-2</v>
      </c>
      <c r="K45" s="20">
        <f>'2015'!AA47</f>
        <v>2.2040000000000001E-2</v>
      </c>
      <c r="L45" s="20">
        <f>'2016'!AA47</f>
        <v>2.095E-2</v>
      </c>
      <c r="M45" s="20">
        <f>'2017'!AA47</f>
        <v>2.29E-2</v>
      </c>
      <c r="N45" s="34">
        <f>'2018'!AA47</f>
        <v>4.7449999999999999E-2</v>
      </c>
      <c r="O45" s="31">
        <f>'2019'!AA47</f>
        <v>6.2179999999999999E-2</v>
      </c>
      <c r="P45" s="20">
        <f t="shared" si="6"/>
        <v>2.8570000000000002E-2</v>
      </c>
      <c r="Q45" s="20">
        <f>'2014'!AB47</f>
        <v>3.039E-2</v>
      </c>
      <c r="R45" s="20">
        <f>'2015'!AB47</f>
        <v>8.8300000000000003E-2</v>
      </c>
      <c r="S45" s="34">
        <f>'2016'!AB47</f>
        <v>0.10226</v>
      </c>
      <c r="T45" s="31">
        <f>'2017'!AB47</f>
        <v>0.14138999999999999</v>
      </c>
      <c r="U45" s="20">
        <f>'2018'!AB47</f>
        <v>0.10052999999999999</v>
      </c>
      <c r="V45" s="31">
        <f>'2019'!AB47</f>
        <v>0.12288</v>
      </c>
      <c r="W45" s="34">
        <f t="shared" si="7"/>
        <v>0.10911</v>
      </c>
      <c r="X45" s="1"/>
      <c r="Y45" s="1"/>
    </row>
    <row r="46" spans="1:25" x14ac:dyDescent="0.25">
      <c r="A46" s="2">
        <f t="shared" si="0"/>
        <v>46</v>
      </c>
      <c r="B46" s="1" t="s">
        <v>60</v>
      </c>
      <c r="C46" s="20">
        <f>'2014'!Z48</f>
        <v>2.2040000000000001E-2</v>
      </c>
      <c r="D46" s="20">
        <f>'2015'!Z48</f>
        <v>2.367E-2</v>
      </c>
      <c r="E46" s="20">
        <f>'2016'!Z48</f>
        <v>2.06E-2</v>
      </c>
      <c r="F46" s="20">
        <f>'2017'!Z48</f>
        <v>2.785E-2</v>
      </c>
      <c r="G46" s="20">
        <f>'2018'!Z48</f>
        <v>1.9650000000000001E-2</v>
      </c>
      <c r="H46" s="20">
        <f>'2019'!Z48</f>
        <v>2.4289999999999999E-2</v>
      </c>
      <c r="I46" s="20">
        <f t="shared" si="5"/>
        <v>2.3140000000000001E-2</v>
      </c>
      <c r="J46" s="20">
        <f>'2014'!AA48</f>
        <v>1.227E-2</v>
      </c>
      <c r="K46" s="20">
        <f>'2015'!AA48</f>
        <v>1.2749999999999999E-2</v>
      </c>
      <c r="L46" s="20">
        <f>'2016'!AA48</f>
        <v>1.6330000000000001E-2</v>
      </c>
      <c r="M46" s="20">
        <f>'2017'!AA48</f>
        <v>1.41E-2</v>
      </c>
      <c r="N46" s="20">
        <f>'2018'!AA48</f>
        <v>1.1939999999999999E-2</v>
      </c>
      <c r="O46" s="20">
        <f>'2019'!AA48</f>
        <v>2.1090000000000001E-2</v>
      </c>
      <c r="P46" s="20">
        <f t="shared" si="6"/>
        <v>1.431E-2</v>
      </c>
      <c r="Q46" s="34">
        <f>'2014'!AB48</f>
        <v>0.10351</v>
      </c>
      <c r="R46" s="20">
        <f>'2015'!AB48</f>
        <v>5.2679999999999998E-2</v>
      </c>
      <c r="S46" s="20">
        <f>'2016'!AB48</f>
        <v>2.7480000000000001E-2</v>
      </c>
      <c r="T46" s="20">
        <f>'2017'!AB48</f>
        <v>4.6469999999999997E-2</v>
      </c>
      <c r="U46" s="20">
        <f>'2018'!AB48</f>
        <v>2.758E-2</v>
      </c>
      <c r="V46" s="20">
        <f>'2019'!AB48</f>
        <v>3.1289999999999998E-2</v>
      </c>
      <c r="W46" s="20">
        <f t="shared" si="7"/>
        <v>3.9609999999999999E-2</v>
      </c>
      <c r="X46" s="1"/>
      <c r="Y46" s="1"/>
    </row>
    <row r="47" spans="1:25" x14ac:dyDescent="0.25">
      <c r="A47" s="2">
        <f t="shared" si="0"/>
        <v>47</v>
      </c>
      <c r="B47" s="1" t="s">
        <v>61</v>
      </c>
      <c r="C47" s="32">
        <f>'2014'!Z49</f>
        <v>7.6980000000000007E-2</v>
      </c>
      <c r="D47" s="32">
        <f>'2015'!Z49</f>
        <v>0.10101</v>
      </c>
      <c r="E47" s="32">
        <f>'2016'!Z49</f>
        <v>0.1598</v>
      </c>
      <c r="F47" s="32">
        <f>'2017'!Z49</f>
        <v>0.1908</v>
      </c>
      <c r="G47" s="32">
        <f>'2018'!Z49</f>
        <v>0.13707</v>
      </c>
      <c r="H47" s="32">
        <f>'2019'!Z49</f>
        <v>0.16772999999999999</v>
      </c>
      <c r="I47" s="32">
        <f t="shared" si="5"/>
        <v>0.14229</v>
      </c>
      <c r="J47" s="32">
        <f>'2014'!AA49</f>
        <v>7.9310000000000005E-2</v>
      </c>
      <c r="K47" s="32">
        <f>'2015'!AA49</f>
        <v>8.7849999999999998E-2</v>
      </c>
      <c r="L47" s="32">
        <f>'2016'!AA49</f>
        <v>0.19375000000000001</v>
      </c>
      <c r="M47" s="32">
        <f>'2017'!AA49</f>
        <v>0.22566</v>
      </c>
      <c r="N47" s="32">
        <f>'2018'!AA49</f>
        <v>0.13117999999999999</v>
      </c>
      <c r="O47" s="32">
        <f>'2019'!AA49</f>
        <v>0.14574999999999999</v>
      </c>
      <c r="P47" s="32">
        <f t="shared" si="6"/>
        <v>0.14641000000000001</v>
      </c>
      <c r="Q47" s="20">
        <f>'2014'!AB49</f>
        <v>5.7630000000000001E-2</v>
      </c>
      <c r="R47" s="32">
        <f>'2015'!AB49</f>
        <v>0.13594000000000001</v>
      </c>
      <c r="S47" s="31">
        <f>'2016'!AB49</f>
        <v>0.1051</v>
      </c>
      <c r="T47" s="32">
        <f>'2017'!AB49</f>
        <v>0.14358000000000001</v>
      </c>
      <c r="U47" s="32">
        <f>'2018'!AB49</f>
        <v>0.14310999999999999</v>
      </c>
      <c r="V47" s="32">
        <f>'2019'!AB49</f>
        <v>0.21579000000000001</v>
      </c>
      <c r="W47" s="33">
        <f t="shared" si="7"/>
        <v>0.13458999999999999</v>
      </c>
      <c r="X47" s="1"/>
      <c r="Y47" s="1"/>
    </row>
    <row r="48" spans="1:25" x14ac:dyDescent="0.25">
      <c r="A48" s="2">
        <f t="shared" si="0"/>
        <v>48</v>
      </c>
      <c r="B48" s="1" t="s">
        <v>62</v>
      </c>
      <c r="C48" s="20">
        <f>'2014'!Z50</f>
        <v>3.0259999999999999E-2</v>
      </c>
      <c r="D48" s="20">
        <f>'2015'!Z50</f>
        <v>1.8149999999999999E-2</v>
      </c>
      <c r="E48" s="20">
        <f>'2016'!Z50</f>
        <v>4.9599999999999998E-2</v>
      </c>
      <c r="F48" s="20">
        <f>'2017'!Z50</f>
        <v>2.18E-2</v>
      </c>
      <c r="G48" s="20">
        <f>'2018'!Z50</f>
        <v>3.0290000000000001E-2</v>
      </c>
      <c r="H48" s="20">
        <f>'2019'!Z50</f>
        <v>3.0939999999999999E-2</v>
      </c>
      <c r="I48" s="20">
        <f t="shared" si="5"/>
        <v>3.0460000000000001E-2</v>
      </c>
      <c r="J48" s="20">
        <f>'2014'!AA50</f>
        <v>1.3390000000000001E-2</v>
      </c>
      <c r="K48" s="20">
        <f>'2015'!AA50</f>
        <v>1.4069999999999999E-2</v>
      </c>
      <c r="L48" s="20">
        <f>'2016'!AA50</f>
        <v>2.3040000000000001E-2</v>
      </c>
      <c r="M48" s="20">
        <f>'2017'!AA50</f>
        <v>2.1180000000000001E-2</v>
      </c>
      <c r="N48" s="20">
        <f>'2018'!AA50</f>
        <v>2.5329999999999998E-2</v>
      </c>
      <c r="O48" s="20">
        <f>'2019'!AA50</f>
        <v>2.981E-2</v>
      </c>
      <c r="P48" s="20">
        <f t="shared" si="6"/>
        <v>1.9939999999999999E-2</v>
      </c>
      <c r="Q48" s="32">
        <f>'2014'!AB50</f>
        <v>0.17091999999999999</v>
      </c>
      <c r="R48" s="20">
        <f>'2015'!AB50</f>
        <v>2.8979999999999999E-2</v>
      </c>
      <c r="S48" s="20">
        <f>'2016'!AB50</f>
        <v>9.2399999999999996E-2</v>
      </c>
      <c r="T48" s="20">
        <f>'2017'!AB50</f>
        <v>2.265E-2</v>
      </c>
      <c r="U48" s="20">
        <f>'2018'!AB50</f>
        <v>3.5380000000000002E-2</v>
      </c>
      <c r="V48" s="20">
        <f>'2019'!AB50</f>
        <v>3.3390000000000003E-2</v>
      </c>
      <c r="W48" s="20">
        <f t="shared" si="7"/>
        <v>5.0099999999999999E-2</v>
      </c>
      <c r="X48" s="1"/>
      <c r="Y48" s="1"/>
    </row>
    <row r="49" spans="1:25" x14ac:dyDescent="0.25">
      <c r="A49" s="2">
        <f t="shared" si="0"/>
        <v>49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thickBot="1" x14ac:dyDescent="0.3">
      <c r="A50" s="2">
        <f t="shared" si="0"/>
        <v>50</v>
      </c>
      <c r="B50" s="1" t="s">
        <v>63</v>
      </c>
      <c r="C50" s="24">
        <f>SUM(C32:C48)</f>
        <v>1</v>
      </c>
      <c r="D50" s="24">
        <f t="shared" ref="D50:W50" si="8">SUM(D32:D48)</f>
        <v>1.0000200000000001</v>
      </c>
      <c r="E50" s="24">
        <f t="shared" si="8"/>
        <v>0.99999999999999989</v>
      </c>
      <c r="F50" s="24">
        <f t="shared" si="8"/>
        <v>1.0000100000000001</v>
      </c>
      <c r="G50" s="24">
        <f t="shared" si="8"/>
        <v>1</v>
      </c>
      <c r="H50" s="24">
        <f t="shared" si="8"/>
        <v>0.99997999999999987</v>
      </c>
      <c r="I50" s="24">
        <f t="shared" si="8"/>
        <v>1.0000099999999998</v>
      </c>
      <c r="J50" s="24">
        <f t="shared" si="8"/>
        <v>0.99999999999999989</v>
      </c>
      <c r="K50" s="24">
        <f t="shared" si="8"/>
        <v>0.99997999999999998</v>
      </c>
      <c r="L50" s="24">
        <f t="shared" si="8"/>
        <v>1.0000199999999999</v>
      </c>
      <c r="M50" s="24">
        <f t="shared" si="8"/>
        <v>1</v>
      </c>
      <c r="N50" s="24">
        <f t="shared" si="8"/>
        <v>1</v>
      </c>
      <c r="O50" s="24">
        <f t="shared" si="8"/>
        <v>1</v>
      </c>
      <c r="P50" s="24">
        <f t="shared" ref="P50" si="9">SUM(P32:P48)</f>
        <v>1</v>
      </c>
      <c r="Q50" s="24">
        <f t="shared" si="8"/>
        <v>0.99999999999999989</v>
      </c>
      <c r="R50" s="24">
        <f t="shared" si="8"/>
        <v>1</v>
      </c>
      <c r="S50" s="24">
        <f t="shared" si="8"/>
        <v>0.99998999999999993</v>
      </c>
      <c r="T50" s="24">
        <f t="shared" si="8"/>
        <v>0.99998999999999993</v>
      </c>
      <c r="U50" s="24">
        <f t="shared" si="8"/>
        <v>0.99998999999999993</v>
      </c>
      <c r="V50" s="24">
        <f t="shared" si="8"/>
        <v>1.0000100000000001</v>
      </c>
      <c r="W50" s="24">
        <f t="shared" si="8"/>
        <v>1.0000100000000001</v>
      </c>
      <c r="X50" s="1"/>
      <c r="Y50" s="1"/>
    </row>
    <row r="51" spans="1:25" ht="15.75" thickTop="1" x14ac:dyDescent="0.25">
      <c r="A51" s="2">
        <f t="shared" si="0"/>
        <v>51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A52" s="2">
        <f t="shared" si="0"/>
        <v>52</v>
      </c>
      <c r="B52" s="1"/>
      <c r="C52" s="1" t="s">
        <v>86</v>
      </c>
      <c r="D52" s="27" t="s">
        <v>87</v>
      </c>
      <c r="E52" s="28" t="s">
        <v>88</v>
      </c>
      <c r="F52" s="30" t="s">
        <v>89</v>
      </c>
      <c r="G52" s="29" t="s">
        <v>90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</sheetData>
  <mergeCells count="3">
    <mergeCell ref="C4:H4"/>
    <mergeCell ref="J4:O4"/>
    <mergeCell ref="Q4:W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Analysis</vt:lpstr>
      <vt:lpstr>2014</vt:lpstr>
      <vt:lpstr>2015</vt:lpstr>
      <vt:lpstr>2016</vt:lpstr>
      <vt:lpstr>2017</vt:lpstr>
      <vt:lpstr>2018</vt:lpstr>
      <vt:lpstr>2019</vt:lpstr>
      <vt:lpstr>Recap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Isaac Scott</cp:lastModifiedBy>
  <dcterms:created xsi:type="dcterms:W3CDTF">2021-01-21T12:56:21Z</dcterms:created>
  <dcterms:modified xsi:type="dcterms:W3CDTF">2021-05-21T16:00:41Z</dcterms:modified>
</cp:coreProperties>
</file>