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x-19\home\Monica.Braun\"/>
    </mc:Choice>
  </mc:AlternateContent>
  <xr:revisionPtr revIDLastSave="0" documentId="8_{F2D71A67-7815-4305-9E82-AD032FA136A6}" xr6:coauthVersionLast="36" xr6:coauthVersionMax="36" xr10:uidLastSave="{00000000-0000-0000-0000-000000000000}"/>
  <bookViews>
    <workbookView xWindow="0" yWindow="0" windowWidth="20490" windowHeight="5865" tabRatio="948" firstSheet="1" activeTab="1" xr2:uid="{00000000-000D-0000-FFFF-FFFF00000000}"/>
  </bookViews>
  <sheets>
    <sheet name="Summary" sheetId="5" r:id="rId1"/>
    <sheet name="2010" sheetId="3" r:id="rId2"/>
    <sheet name="2011" sheetId="6" r:id="rId3"/>
    <sheet name="2012" sheetId="8" r:id="rId4"/>
    <sheet name="2013" sheetId="10" r:id="rId5"/>
    <sheet name="2014" sheetId="11" r:id="rId6"/>
    <sheet name="2015" sheetId="12" r:id="rId7"/>
    <sheet name="2016" sheetId="13" r:id="rId8"/>
    <sheet name="2017" sheetId="17" r:id="rId9"/>
    <sheet name="2018" sheetId="18" r:id="rId10"/>
    <sheet name="2019" sheetId="27" r:id="rId11"/>
    <sheet name="2020" sheetId="31" r:id="rId12"/>
    <sheet name="Schedule III" sheetId="26" r:id="rId13"/>
    <sheet name="Schedule IV" sheetId="22" r:id="rId14"/>
    <sheet name="Schedule VI" sheetId="32" r:id="rId15"/>
    <sheet name="Schedule VII" sheetId="16" r:id="rId16"/>
    <sheet name="Schedule VIII" sheetId="24" r:id="rId17"/>
    <sheet name="Schedule IX" sheetId="33" r:id="rId18"/>
    <sheet name="Tax Rates" sheetId="4" r:id="rId19"/>
  </sheets>
  <externalReferences>
    <externalReference r:id="rId20"/>
  </externalReferences>
  <definedNames>
    <definedName name="_xlnm.Print_Area" localSheetId="12">'Schedule III'!$A$1:$G$47</definedName>
    <definedName name="_xlnm.Print_Area" localSheetId="17">'Schedule IX'!$A$1:$F$35</definedName>
    <definedName name="_xlnm.Print_Area" localSheetId="14">'Schedule VI'!$A$1:$BP$155</definedName>
    <definedName name="_xlnm.Print_Titles" localSheetId="13">'Schedule IV'!$1:$6</definedName>
    <definedName name="_xlnm.Print_Titles" localSheetId="17">'Schedule IX'!$1:$7</definedName>
    <definedName name="_xlnm.Print_Titles" localSheetId="14">'Schedule VI'!$A:$A,'Schedule VI'!$1:$4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31" l="1"/>
  <c r="E29" i="33" l="1"/>
  <c r="D29" i="33"/>
  <c r="E28" i="33"/>
  <c r="D28" i="33"/>
  <c r="E27" i="33"/>
  <c r="D27" i="33"/>
  <c r="E26" i="33"/>
  <c r="D26" i="33"/>
  <c r="D30" i="33" s="1"/>
  <c r="E25" i="33"/>
  <c r="D25" i="33"/>
  <c r="E22" i="33"/>
  <c r="D22" i="33"/>
  <c r="E21" i="33"/>
  <c r="D21" i="33"/>
  <c r="E20" i="33"/>
  <c r="E23" i="33" s="1"/>
  <c r="D20" i="33"/>
  <c r="E19" i="33"/>
  <c r="D19" i="33"/>
  <c r="E16" i="33"/>
  <c r="E17" i="33" s="1"/>
  <c r="D16" i="33"/>
  <c r="E15" i="33"/>
  <c r="D15" i="33"/>
  <c r="E12" i="33"/>
  <c r="D12" i="33"/>
  <c r="E11" i="33"/>
  <c r="D11" i="33"/>
  <c r="E10" i="33"/>
  <c r="D10" i="33"/>
  <c r="E9" i="33"/>
  <c r="D9" i="33"/>
  <c r="C30" i="33"/>
  <c r="C23" i="33"/>
  <c r="C17" i="33"/>
  <c r="C13" i="33"/>
  <c r="D17" i="33" l="1"/>
  <c r="E30" i="33"/>
  <c r="D13" i="33"/>
  <c r="E13" i="33"/>
  <c r="C32" i="33"/>
  <c r="D23" i="33"/>
  <c r="E32" i="33" l="1"/>
  <c r="D32" i="33"/>
  <c r="BP147" i="32"/>
  <c r="BO147" i="32"/>
  <c r="BN147" i="32"/>
  <c r="BM147" i="32"/>
  <c r="BL147" i="32"/>
  <c r="BK147" i="32"/>
  <c r="BJ147" i="32"/>
  <c r="BI147" i="32"/>
  <c r="BH147" i="32"/>
  <c r="BG147" i="32"/>
  <c r="BF147" i="32"/>
  <c r="BE147" i="32"/>
  <c r="BD147" i="32"/>
  <c r="BC147" i="32"/>
  <c r="BB147" i="32"/>
  <c r="BA147" i="32"/>
  <c r="AZ147" i="32"/>
  <c r="AY147" i="32"/>
  <c r="AX147" i="32"/>
  <c r="AW147" i="32"/>
  <c r="AV147" i="32"/>
  <c r="AU147" i="32"/>
  <c r="AT147" i="32"/>
  <c r="AS147" i="32"/>
  <c r="AR147" i="32"/>
  <c r="AQ147" i="32"/>
  <c r="AP147" i="32"/>
  <c r="AO147" i="32"/>
  <c r="AN147" i="32"/>
  <c r="AM147" i="32"/>
  <c r="AL147" i="32"/>
  <c r="AK147" i="32"/>
  <c r="AJ147" i="32"/>
  <c r="AI147" i="32"/>
  <c r="AH147" i="32"/>
  <c r="AG147" i="32"/>
  <c r="AF147" i="32"/>
  <c r="AE147" i="32"/>
  <c r="AD147" i="32"/>
  <c r="AC147" i="32"/>
  <c r="AB147" i="32"/>
  <c r="AA147" i="32"/>
  <c r="Z147" i="32"/>
  <c r="Y147" i="32"/>
  <c r="X147" i="32"/>
  <c r="W147" i="32"/>
  <c r="V147" i="32"/>
  <c r="U147" i="32"/>
  <c r="T147" i="32"/>
  <c r="S147" i="32"/>
  <c r="R147" i="32"/>
  <c r="Q147" i="32"/>
  <c r="P147" i="32"/>
  <c r="O147" i="32"/>
  <c r="N147" i="32"/>
  <c r="M147" i="32"/>
  <c r="L147" i="32"/>
  <c r="K147" i="32"/>
  <c r="J147" i="32"/>
  <c r="I147" i="32"/>
  <c r="H147" i="32"/>
  <c r="G147" i="32"/>
  <c r="F147" i="32"/>
  <c r="E147" i="32"/>
  <c r="D147" i="32"/>
  <c r="C147" i="32"/>
  <c r="BP146" i="32"/>
  <c r="BO146" i="32"/>
  <c r="BN146" i="32"/>
  <c r="BM146" i="32"/>
  <c r="BL146" i="32"/>
  <c r="BK146" i="32"/>
  <c r="BJ146" i="32"/>
  <c r="BI146" i="32"/>
  <c r="BH146" i="32"/>
  <c r="BG146" i="32"/>
  <c r="BF146" i="32"/>
  <c r="BE146" i="32"/>
  <c r="BD146" i="32"/>
  <c r="BC146" i="32"/>
  <c r="BB146" i="32"/>
  <c r="BA146" i="32"/>
  <c r="AZ146" i="32"/>
  <c r="AY146" i="32"/>
  <c r="AX146" i="32"/>
  <c r="AW146" i="32"/>
  <c r="AV146" i="32"/>
  <c r="AU146" i="32"/>
  <c r="AT146" i="32"/>
  <c r="AS146" i="32"/>
  <c r="AR146" i="32"/>
  <c r="AQ146" i="32"/>
  <c r="AP146" i="32"/>
  <c r="AO146" i="32"/>
  <c r="AN146" i="32"/>
  <c r="AM146" i="32"/>
  <c r="AL146" i="32"/>
  <c r="AK146" i="32"/>
  <c r="AJ146" i="32"/>
  <c r="AI146" i="32"/>
  <c r="AH146" i="32"/>
  <c r="AG146" i="32"/>
  <c r="AF146" i="32"/>
  <c r="AE146" i="32"/>
  <c r="AD146" i="32"/>
  <c r="AC146" i="32"/>
  <c r="AB146" i="32"/>
  <c r="AA146" i="32"/>
  <c r="Z146" i="32"/>
  <c r="Y146" i="32"/>
  <c r="X146" i="32"/>
  <c r="W146" i="32"/>
  <c r="V146" i="32"/>
  <c r="U146" i="32"/>
  <c r="T146" i="32"/>
  <c r="S146" i="32"/>
  <c r="R146" i="32"/>
  <c r="Q146" i="32"/>
  <c r="P146" i="32"/>
  <c r="O146" i="32"/>
  <c r="N146" i="32"/>
  <c r="M146" i="32"/>
  <c r="L146" i="32"/>
  <c r="K146" i="32"/>
  <c r="J146" i="32"/>
  <c r="I146" i="32"/>
  <c r="H146" i="32"/>
  <c r="G146" i="32"/>
  <c r="F146" i="32"/>
  <c r="E146" i="32"/>
  <c r="D146" i="32"/>
  <c r="C146" i="32"/>
  <c r="BP145" i="32"/>
  <c r="BO145" i="32"/>
  <c r="BN145" i="32"/>
  <c r="BM145" i="32"/>
  <c r="BL145" i="32"/>
  <c r="BK145" i="32"/>
  <c r="BJ145" i="32"/>
  <c r="BI145" i="32"/>
  <c r="BH145" i="32"/>
  <c r="BG145" i="32"/>
  <c r="BF145" i="32"/>
  <c r="BE145" i="32"/>
  <c r="BD145" i="32"/>
  <c r="BC145" i="32"/>
  <c r="BB145" i="32"/>
  <c r="BA145" i="32"/>
  <c r="AZ145" i="32"/>
  <c r="AY145" i="32"/>
  <c r="AX145" i="32"/>
  <c r="AW145" i="32"/>
  <c r="AV145" i="32"/>
  <c r="AU145" i="32"/>
  <c r="AT145" i="32"/>
  <c r="AS145" i="32"/>
  <c r="AR145" i="32"/>
  <c r="AQ145" i="32"/>
  <c r="AP145" i="32"/>
  <c r="AO145" i="32"/>
  <c r="AN145" i="32"/>
  <c r="AM145" i="32"/>
  <c r="AL145" i="32"/>
  <c r="AK145" i="32"/>
  <c r="AJ145" i="32"/>
  <c r="AI145" i="32"/>
  <c r="AH145" i="32"/>
  <c r="AG145" i="32"/>
  <c r="AF145" i="32"/>
  <c r="AE145" i="32"/>
  <c r="AD145" i="32"/>
  <c r="AC145" i="32"/>
  <c r="AB145" i="32"/>
  <c r="AA145" i="32"/>
  <c r="Z145" i="32"/>
  <c r="Y145" i="32"/>
  <c r="X145" i="32"/>
  <c r="W145" i="32"/>
  <c r="V145" i="32"/>
  <c r="U145" i="32"/>
  <c r="T145" i="32"/>
  <c r="S145" i="32"/>
  <c r="R145" i="32"/>
  <c r="Q145" i="32"/>
  <c r="P145" i="32"/>
  <c r="O145" i="32"/>
  <c r="N145" i="32"/>
  <c r="M145" i="32"/>
  <c r="L145" i="32"/>
  <c r="K145" i="32"/>
  <c r="J145" i="32"/>
  <c r="I145" i="32"/>
  <c r="H145" i="32"/>
  <c r="G145" i="32"/>
  <c r="F145" i="32"/>
  <c r="E145" i="32"/>
  <c r="D145" i="32"/>
  <c r="C145" i="32"/>
  <c r="B145" i="32" s="1"/>
  <c r="BP144" i="32"/>
  <c r="BO144" i="32"/>
  <c r="BN144" i="32"/>
  <c r="BM144" i="32"/>
  <c r="BL144" i="32"/>
  <c r="BK144" i="32"/>
  <c r="BJ144" i="32"/>
  <c r="BI144" i="32"/>
  <c r="BH144" i="32"/>
  <c r="BG144" i="32"/>
  <c r="BF144" i="32"/>
  <c r="BE144" i="32"/>
  <c r="BD144" i="32"/>
  <c r="BC144" i="32"/>
  <c r="BB144" i="32"/>
  <c r="BA144" i="32"/>
  <c r="AZ144" i="32"/>
  <c r="AY144" i="32"/>
  <c r="AX144" i="32"/>
  <c r="AW144" i="32"/>
  <c r="AV144" i="32"/>
  <c r="AU144" i="32"/>
  <c r="AT144" i="32"/>
  <c r="AS144" i="32"/>
  <c r="AR144" i="32"/>
  <c r="AQ144" i="32"/>
  <c r="AP144" i="32"/>
  <c r="AO144" i="32"/>
  <c r="AN144" i="32"/>
  <c r="AM144" i="32"/>
  <c r="AL144" i="32"/>
  <c r="AK144" i="32"/>
  <c r="AJ144" i="32"/>
  <c r="AI144" i="32"/>
  <c r="AH144" i="32"/>
  <c r="AG144" i="32"/>
  <c r="AF144" i="32"/>
  <c r="AE144" i="32"/>
  <c r="AD144" i="32"/>
  <c r="AC144" i="32"/>
  <c r="AB144" i="32"/>
  <c r="AA144" i="32"/>
  <c r="Z144" i="32"/>
  <c r="Y144" i="32"/>
  <c r="X144" i="32"/>
  <c r="W144" i="32"/>
  <c r="V144" i="32"/>
  <c r="U144" i="32"/>
  <c r="T144" i="32"/>
  <c r="S144" i="32"/>
  <c r="R144" i="32"/>
  <c r="Q144" i="32"/>
  <c r="P144" i="32"/>
  <c r="O144" i="32"/>
  <c r="N144" i="32"/>
  <c r="M144" i="32"/>
  <c r="L144" i="32"/>
  <c r="K144" i="32"/>
  <c r="J144" i="32"/>
  <c r="I144" i="32"/>
  <c r="H144" i="32"/>
  <c r="G144" i="32"/>
  <c r="F144" i="32"/>
  <c r="E144" i="32"/>
  <c r="D144" i="32"/>
  <c r="C144" i="32"/>
  <c r="BP143" i="32"/>
  <c r="BO143" i="32"/>
  <c r="BN143" i="32"/>
  <c r="BM143" i="32"/>
  <c r="BL143" i="32"/>
  <c r="BK143" i="32"/>
  <c r="BJ143" i="32"/>
  <c r="BI143" i="32"/>
  <c r="BH143" i="32"/>
  <c r="BG143" i="32"/>
  <c r="BF143" i="32"/>
  <c r="BE143" i="32"/>
  <c r="BD143" i="32"/>
  <c r="BC143" i="32"/>
  <c r="BB143" i="32"/>
  <c r="BA143" i="32"/>
  <c r="AZ143" i="32"/>
  <c r="AY143" i="32"/>
  <c r="AX143" i="32"/>
  <c r="AW143" i="32"/>
  <c r="AV143" i="32"/>
  <c r="AU143" i="32"/>
  <c r="AT143" i="32"/>
  <c r="AS143" i="32"/>
  <c r="AR143" i="32"/>
  <c r="AQ143" i="32"/>
  <c r="AP143" i="32"/>
  <c r="AO143" i="32"/>
  <c r="AN143" i="32"/>
  <c r="AM143" i="32"/>
  <c r="AL143" i="32"/>
  <c r="AK143" i="32"/>
  <c r="AJ143" i="32"/>
  <c r="AI143" i="32"/>
  <c r="AH143" i="32"/>
  <c r="AG143" i="32"/>
  <c r="AF143" i="32"/>
  <c r="AE143" i="32"/>
  <c r="AD143" i="32"/>
  <c r="AC143" i="32"/>
  <c r="AB143" i="32"/>
  <c r="AA143" i="32"/>
  <c r="Z143" i="32"/>
  <c r="Y143" i="32"/>
  <c r="X143" i="32"/>
  <c r="W143" i="32"/>
  <c r="V143" i="32"/>
  <c r="U143" i="32"/>
  <c r="T143" i="32"/>
  <c r="S143" i="32"/>
  <c r="R143" i="32"/>
  <c r="Q143" i="32"/>
  <c r="P143" i="32"/>
  <c r="O143" i="32"/>
  <c r="N143" i="32"/>
  <c r="M143" i="32"/>
  <c r="L143" i="32"/>
  <c r="K143" i="32"/>
  <c r="J143" i="32"/>
  <c r="I143" i="32"/>
  <c r="H143" i="32"/>
  <c r="G143" i="32"/>
  <c r="F143" i="32"/>
  <c r="E143" i="32"/>
  <c r="D143" i="32"/>
  <c r="C143" i="32"/>
  <c r="B143" i="32" s="1"/>
  <c r="BP142" i="32"/>
  <c r="BO142" i="32"/>
  <c r="BN142" i="32"/>
  <c r="BM142" i="32"/>
  <c r="BL142" i="32"/>
  <c r="BK142" i="32"/>
  <c r="BJ142" i="32"/>
  <c r="BI142" i="32"/>
  <c r="BH142" i="32"/>
  <c r="BG142" i="32"/>
  <c r="BF142" i="32"/>
  <c r="BE142" i="32"/>
  <c r="BD142" i="32"/>
  <c r="BC142" i="32"/>
  <c r="BB142" i="32"/>
  <c r="BA142" i="32"/>
  <c r="AZ142" i="32"/>
  <c r="AY142" i="32"/>
  <c r="AX142" i="32"/>
  <c r="AW142" i="32"/>
  <c r="AV142" i="32"/>
  <c r="AU142" i="32"/>
  <c r="AT142" i="32"/>
  <c r="AS142" i="32"/>
  <c r="AR142" i="32"/>
  <c r="AQ142" i="32"/>
  <c r="AP142" i="32"/>
  <c r="AO142" i="32"/>
  <c r="AN142" i="32"/>
  <c r="AM142" i="32"/>
  <c r="AL142" i="32"/>
  <c r="AK142" i="32"/>
  <c r="AJ142" i="32"/>
  <c r="AI142" i="32"/>
  <c r="AH142" i="32"/>
  <c r="AG142" i="32"/>
  <c r="AF142" i="32"/>
  <c r="AE142" i="32"/>
  <c r="AD142" i="32"/>
  <c r="AC142" i="32"/>
  <c r="AB142" i="32"/>
  <c r="AA142" i="32"/>
  <c r="Z142" i="32"/>
  <c r="Y142" i="32"/>
  <c r="X142" i="32"/>
  <c r="W142" i="32"/>
  <c r="V142" i="32"/>
  <c r="U142" i="32"/>
  <c r="T142" i="32"/>
  <c r="S142" i="32"/>
  <c r="R142" i="32"/>
  <c r="Q142" i="32"/>
  <c r="P142" i="32"/>
  <c r="O142" i="32"/>
  <c r="N142" i="32"/>
  <c r="M142" i="32"/>
  <c r="L142" i="32"/>
  <c r="K142" i="32"/>
  <c r="J142" i="32"/>
  <c r="I142" i="32"/>
  <c r="H142" i="32"/>
  <c r="G142" i="32"/>
  <c r="F142" i="32"/>
  <c r="E142" i="32"/>
  <c r="D142" i="32"/>
  <c r="C142" i="32"/>
  <c r="BP141" i="32"/>
  <c r="BO141" i="32"/>
  <c r="BN141" i="32"/>
  <c r="BM141" i="32"/>
  <c r="BL141" i="32"/>
  <c r="BK141" i="32"/>
  <c r="BJ141" i="32"/>
  <c r="BI141" i="32"/>
  <c r="BH141" i="32"/>
  <c r="BG141" i="32"/>
  <c r="BF141" i="32"/>
  <c r="BE141" i="32"/>
  <c r="BD141" i="32"/>
  <c r="BC141" i="32"/>
  <c r="BB141" i="32"/>
  <c r="BA141" i="32"/>
  <c r="AZ141" i="32"/>
  <c r="AY141" i="32"/>
  <c r="AX141" i="32"/>
  <c r="AW141" i="32"/>
  <c r="AV141" i="32"/>
  <c r="AU141" i="32"/>
  <c r="AT141" i="32"/>
  <c r="AS141" i="32"/>
  <c r="AR141" i="32"/>
  <c r="AQ141" i="32"/>
  <c r="AP141" i="32"/>
  <c r="AO141" i="32"/>
  <c r="AN141" i="32"/>
  <c r="AM141" i="32"/>
  <c r="AL141" i="32"/>
  <c r="AK141" i="32"/>
  <c r="AJ141" i="32"/>
  <c r="AI141" i="32"/>
  <c r="AH141" i="32"/>
  <c r="AG141" i="32"/>
  <c r="AF141" i="32"/>
  <c r="AE141" i="32"/>
  <c r="AD141" i="32"/>
  <c r="AC141" i="32"/>
  <c r="AB141" i="32"/>
  <c r="AA141" i="32"/>
  <c r="Z141" i="32"/>
  <c r="Y141" i="32"/>
  <c r="X141" i="32"/>
  <c r="W141" i="32"/>
  <c r="V141" i="32"/>
  <c r="U141" i="32"/>
  <c r="T141" i="32"/>
  <c r="S141" i="32"/>
  <c r="R141" i="32"/>
  <c r="Q141" i="32"/>
  <c r="P141" i="32"/>
  <c r="O141" i="32"/>
  <c r="N141" i="32"/>
  <c r="M141" i="32"/>
  <c r="L141" i="32"/>
  <c r="K141" i="32"/>
  <c r="J141" i="32"/>
  <c r="I141" i="32"/>
  <c r="H141" i="32"/>
  <c r="G141" i="32"/>
  <c r="F141" i="32"/>
  <c r="E141" i="32"/>
  <c r="D141" i="32"/>
  <c r="C141" i="32"/>
  <c r="BP140" i="32"/>
  <c r="BO140" i="32"/>
  <c r="BN140" i="32"/>
  <c r="BM140" i="32"/>
  <c r="BL140" i="32"/>
  <c r="BK140" i="32"/>
  <c r="BJ140" i="32"/>
  <c r="BI140" i="32"/>
  <c r="BH140" i="32"/>
  <c r="BG140" i="32"/>
  <c r="BF140" i="32"/>
  <c r="BE140" i="32"/>
  <c r="BD140" i="32"/>
  <c r="BC140" i="32"/>
  <c r="BB140" i="32"/>
  <c r="BA140" i="32"/>
  <c r="AZ140" i="32"/>
  <c r="AY140" i="32"/>
  <c r="AX140" i="32"/>
  <c r="AW140" i="32"/>
  <c r="AV140" i="32"/>
  <c r="AU140" i="32"/>
  <c r="AT140" i="32"/>
  <c r="AS140" i="32"/>
  <c r="AR140" i="32"/>
  <c r="AQ140" i="32"/>
  <c r="AP140" i="32"/>
  <c r="AO140" i="32"/>
  <c r="AN140" i="32"/>
  <c r="AM140" i="32"/>
  <c r="AL140" i="32"/>
  <c r="AK140" i="32"/>
  <c r="AJ140" i="32"/>
  <c r="AI140" i="32"/>
  <c r="AH140" i="32"/>
  <c r="AG140" i="32"/>
  <c r="AF140" i="32"/>
  <c r="AE140" i="32"/>
  <c r="AD140" i="32"/>
  <c r="AC140" i="32"/>
  <c r="AB140" i="32"/>
  <c r="AA140" i="32"/>
  <c r="Z140" i="32"/>
  <c r="Y140" i="32"/>
  <c r="X140" i="32"/>
  <c r="W140" i="32"/>
  <c r="V140" i="32"/>
  <c r="U140" i="32"/>
  <c r="T140" i="32"/>
  <c r="S140" i="32"/>
  <c r="R140" i="32"/>
  <c r="Q140" i="32"/>
  <c r="P140" i="32"/>
  <c r="O140" i="32"/>
  <c r="N140" i="32"/>
  <c r="M140" i="32"/>
  <c r="L140" i="32"/>
  <c r="K140" i="32"/>
  <c r="J140" i="32"/>
  <c r="I140" i="32"/>
  <c r="H140" i="32"/>
  <c r="G140" i="32"/>
  <c r="F140" i="32"/>
  <c r="E140" i="32"/>
  <c r="D140" i="32"/>
  <c r="C140" i="32"/>
  <c r="BP139" i="32"/>
  <c r="BO139" i="32"/>
  <c r="BN139" i="32"/>
  <c r="BM139" i="32"/>
  <c r="BL139" i="32"/>
  <c r="BK139" i="32"/>
  <c r="BJ139" i="32"/>
  <c r="BI139" i="32"/>
  <c r="BH139" i="32"/>
  <c r="BG139" i="32"/>
  <c r="BF139" i="32"/>
  <c r="BE139" i="32"/>
  <c r="BD139" i="32"/>
  <c r="BC139" i="32"/>
  <c r="BB139" i="32"/>
  <c r="BA139" i="32"/>
  <c r="AZ139" i="32"/>
  <c r="AY139" i="32"/>
  <c r="AX139" i="32"/>
  <c r="AW139" i="32"/>
  <c r="AV139" i="32"/>
  <c r="AU139" i="32"/>
  <c r="AT139" i="32"/>
  <c r="AS139" i="32"/>
  <c r="AR139" i="32"/>
  <c r="AQ139" i="32"/>
  <c r="AP139" i="32"/>
  <c r="AO139" i="32"/>
  <c r="AN139" i="32"/>
  <c r="AM139" i="32"/>
  <c r="AL139" i="32"/>
  <c r="AK139" i="32"/>
  <c r="AJ139" i="32"/>
  <c r="AI139" i="32"/>
  <c r="AH139" i="32"/>
  <c r="AG139" i="32"/>
  <c r="AF139" i="32"/>
  <c r="AE139" i="32"/>
  <c r="AD139" i="32"/>
  <c r="AC139" i="32"/>
  <c r="AB139" i="32"/>
  <c r="AA139" i="32"/>
  <c r="Z139" i="32"/>
  <c r="Y139" i="32"/>
  <c r="X139" i="32"/>
  <c r="W139" i="32"/>
  <c r="V139" i="32"/>
  <c r="U139" i="32"/>
  <c r="T139" i="32"/>
  <c r="S139" i="32"/>
  <c r="R139" i="32"/>
  <c r="Q139" i="32"/>
  <c r="P139" i="32"/>
  <c r="O139" i="32"/>
  <c r="N139" i="32"/>
  <c r="M139" i="32"/>
  <c r="L139" i="32"/>
  <c r="K139" i="32"/>
  <c r="J139" i="32"/>
  <c r="I139" i="32"/>
  <c r="H139" i="32"/>
  <c r="G139" i="32"/>
  <c r="F139" i="32"/>
  <c r="E139" i="32"/>
  <c r="D139" i="32"/>
  <c r="C139" i="32"/>
  <c r="BP138" i="32"/>
  <c r="BO138" i="32"/>
  <c r="BN138" i="32"/>
  <c r="BM138" i="32"/>
  <c r="BL138" i="32"/>
  <c r="BK138" i="32"/>
  <c r="BJ138" i="32"/>
  <c r="BI138" i="32"/>
  <c r="BH138" i="32"/>
  <c r="BG138" i="32"/>
  <c r="BF138" i="32"/>
  <c r="BE138" i="32"/>
  <c r="BD138" i="32"/>
  <c r="BC138" i="32"/>
  <c r="BB138" i="32"/>
  <c r="BA138" i="32"/>
  <c r="AZ138" i="32"/>
  <c r="AY138" i="32"/>
  <c r="AX138" i="32"/>
  <c r="AW138" i="32"/>
  <c r="AV138" i="32"/>
  <c r="AU138" i="32"/>
  <c r="AT138" i="32"/>
  <c r="AS138" i="32"/>
  <c r="AR138" i="32"/>
  <c r="AQ138" i="32"/>
  <c r="AP138" i="32"/>
  <c r="AO138" i="32"/>
  <c r="AN138" i="32"/>
  <c r="AM138" i="32"/>
  <c r="AL138" i="32"/>
  <c r="AK138" i="32"/>
  <c r="AJ138" i="32"/>
  <c r="AI138" i="32"/>
  <c r="AH138" i="32"/>
  <c r="AG138" i="32"/>
  <c r="AF138" i="32"/>
  <c r="AE138" i="32"/>
  <c r="AD138" i="32"/>
  <c r="AC138" i="32"/>
  <c r="AB138" i="32"/>
  <c r="AA138" i="32"/>
  <c r="Z138" i="32"/>
  <c r="Y138" i="32"/>
  <c r="X138" i="32"/>
  <c r="W138" i="32"/>
  <c r="V138" i="32"/>
  <c r="U138" i="32"/>
  <c r="T138" i="32"/>
  <c r="S138" i="32"/>
  <c r="R138" i="32"/>
  <c r="Q138" i="32"/>
  <c r="P138" i="32"/>
  <c r="O138" i="32"/>
  <c r="N138" i="32"/>
  <c r="M138" i="32"/>
  <c r="L138" i="32"/>
  <c r="K138" i="32"/>
  <c r="J138" i="32"/>
  <c r="I138" i="32"/>
  <c r="H138" i="32"/>
  <c r="G138" i="32"/>
  <c r="F138" i="32"/>
  <c r="E138" i="32"/>
  <c r="D138" i="32"/>
  <c r="C138" i="32"/>
  <c r="BP137" i="32"/>
  <c r="BO137" i="32"/>
  <c r="BN137" i="32"/>
  <c r="BM137" i="32"/>
  <c r="BL137" i="32"/>
  <c r="BK137" i="32"/>
  <c r="BJ137" i="32"/>
  <c r="BI137" i="32"/>
  <c r="BH137" i="32"/>
  <c r="BG137" i="32"/>
  <c r="BF137" i="32"/>
  <c r="BE137" i="32"/>
  <c r="BD137" i="32"/>
  <c r="BC137" i="32"/>
  <c r="BB137" i="32"/>
  <c r="BA137" i="32"/>
  <c r="AZ137" i="32"/>
  <c r="AY137" i="32"/>
  <c r="AX137" i="32"/>
  <c r="AW137" i="32"/>
  <c r="AV137" i="32"/>
  <c r="AU137" i="32"/>
  <c r="AT137" i="32"/>
  <c r="AS137" i="32"/>
  <c r="AR137" i="32"/>
  <c r="AQ137" i="32"/>
  <c r="AP137" i="32"/>
  <c r="AO137" i="32"/>
  <c r="AN137" i="32"/>
  <c r="AM137" i="32"/>
  <c r="AL137" i="32"/>
  <c r="AK137" i="32"/>
  <c r="AJ137" i="32"/>
  <c r="AI137" i="32"/>
  <c r="AH137" i="32"/>
  <c r="AG137" i="32"/>
  <c r="AF137" i="32"/>
  <c r="AE137" i="32"/>
  <c r="AD137" i="32"/>
  <c r="AC137" i="32"/>
  <c r="AB137" i="32"/>
  <c r="Z137" i="32"/>
  <c r="Y137" i="32"/>
  <c r="X137" i="32"/>
  <c r="W137" i="32"/>
  <c r="U137" i="32"/>
  <c r="T137" i="32"/>
  <c r="S137" i="32"/>
  <c r="R137" i="32"/>
  <c r="O137" i="32"/>
  <c r="N137" i="32"/>
  <c r="M137" i="32"/>
  <c r="L137" i="32"/>
  <c r="K137" i="32"/>
  <c r="J137" i="32"/>
  <c r="I137" i="32"/>
  <c r="H137" i="32"/>
  <c r="G137" i="32"/>
  <c r="F137" i="32"/>
  <c r="E137" i="32"/>
  <c r="D137" i="32"/>
  <c r="C137" i="32"/>
  <c r="BP136" i="32"/>
  <c r="BO136" i="32"/>
  <c r="BN136" i="32"/>
  <c r="BM136" i="32"/>
  <c r="BL136" i="32"/>
  <c r="BK136" i="32"/>
  <c r="BJ136" i="32"/>
  <c r="BI136" i="32"/>
  <c r="BH136" i="32"/>
  <c r="BG136" i="32"/>
  <c r="BF136" i="32"/>
  <c r="BE136" i="32"/>
  <c r="BD136" i="32"/>
  <c r="BC136" i="32"/>
  <c r="BB136" i="32"/>
  <c r="BA136" i="32"/>
  <c r="AZ136" i="32"/>
  <c r="AY136" i="32"/>
  <c r="AX136" i="32"/>
  <c r="AW136" i="32"/>
  <c r="AV136" i="32"/>
  <c r="AU136" i="32"/>
  <c r="AT136" i="32"/>
  <c r="AS136" i="32"/>
  <c r="AR136" i="32"/>
  <c r="AQ136" i="32"/>
  <c r="AP136" i="32"/>
  <c r="AO136" i="32"/>
  <c r="AN136" i="32"/>
  <c r="AM136" i="32"/>
  <c r="AL136" i="32"/>
  <c r="AK136" i="32"/>
  <c r="AJ136" i="32"/>
  <c r="AI136" i="32"/>
  <c r="AH136" i="32"/>
  <c r="AG136" i="32"/>
  <c r="AF136" i="32"/>
  <c r="AE136" i="32"/>
  <c r="AD136" i="32"/>
  <c r="AC136" i="32"/>
  <c r="AB136" i="32"/>
  <c r="AA136" i="32"/>
  <c r="Z136" i="32"/>
  <c r="Y136" i="32"/>
  <c r="X136" i="32"/>
  <c r="W136" i="32"/>
  <c r="V136" i="32"/>
  <c r="U136" i="32"/>
  <c r="T136" i="32"/>
  <c r="S136" i="32"/>
  <c r="R136" i="32"/>
  <c r="Q136" i="32"/>
  <c r="P136" i="32"/>
  <c r="O136" i="32"/>
  <c r="N136" i="32"/>
  <c r="M136" i="32"/>
  <c r="L136" i="32"/>
  <c r="K136" i="32"/>
  <c r="J136" i="32"/>
  <c r="I136" i="32"/>
  <c r="H136" i="32"/>
  <c r="G136" i="32"/>
  <c r="F136" i="32"/>
  <c r="E136" i="32"/>
  <c r="D136" i="32"/>
  <c r="C136" i="32"/>
  <c r="BP135" i="32"/>
  <c r="BO135" i="32"/>
  <c r="BN135" i="32"/>
  <c r="BM135" i="32"/>
  <c r="BL135" i="32"/>
  <c r="BK135" i="32"/>
  <c r="BJ135" i="32"/>
  <c r="BI135" i="32"/>
  <c r="BH135" i="32"/>
  <c r="BG135" i="32"/>
  <c r="BF135" i="32"/>
  <c r="BE135" i="32"/>
  <c r="BD135" i="32"/>
  <c r="BC135" i="32"/>
  <c r="BB135" i="32"/>
  <c r="BA135" i="32"/>
  <c r="AZ135" i="32"/>
  <c r="AY135" i="32"/>
  <c r="AX135" i="32"/>
  <c r="AW135" i="32"/>
  <c r="AV135" i="32"/>
  <c r="AU135" i="32"/>
  <c r="AT135" i="32"/>
  <c r="AS135" i="32"/>
  <c r="AR135" i="32"/>
  <c r="AQ135" i="32"/>
  <c r="AP135" i="32"/>
  <c r="AO135" i="32"/>
  <c r="AN135" i="32"/>
  <c r="AM135" i="32"/>
  <c r="AL135" i="32"/>
  <c r="AK135" i="32"/>
  <c r="AJ135" i="32"/>
  <c r="AI135" i="32"/>
  <c r="AH135" i="32"/>
  <c r="AG135" i="32"/>
  <c r="AF135" i="32"/>
  <c r="AE135" i="32"/>
  <c r="AD135" i="32"/>
  <c r="AC135" i="32"/>
  <c r="AA135" i="32"/>
  <c r="Z135" i="32"/>
  <c r="Y135" i="32"/>
  <c r="X135" i="32"/>
  <c r="W135" i="32"/>
  <c r="V135" i="32"/>
  <c r="U135" i="32"/>
  <c r="T135" i="32"/>
  <c r="S135" i="32"/>
  <c r="R135" i="32"/>
  <c r="Q135" i="32"/>
  <c r="P135" i="32"/>
  <c r="O135" i="32"/>
  <c r="N135" i="32"/>
  <c r="M135" i="32"/>
  <c r="L135" i="32"/>
  <c r="K135" i="32"/>
  <c r="J135" i="32"/>
  <c r="I135" i="32"/>
  <c r="H135" i="32"/>
  <c r="G135" i="32"/>
  <c r="F135" i="32"/>
  <c r="E135" i="32"/>
  <c r="D135" i="32"/>
  <c r="C135" i="32"/>
  <c r="BP134" i="32"/>
  <c r="BO134" i="32"/>
  <c r="BN134" i="32"/>
  <c r="BM134" i="32"/>
  <c r="BL134" i="32"/>
  <c r="BK134" i="32"/>
  <c r="BJ134" i="32"/>
  <c r="BI134" i="32"/>
  <c r="BH134" i="32"/>
  <c r="BG134" i="32"/>
  <c r="BF134" i="32"/>
  <c r="BE134" i="32"/>
  <c r="BD134" i="32"/>
  <c r="BC134" i="32"/>
  <c r="BB134" i="32"/>
  <c r="BA134" i="32"/>
  <c r="AZ134" i="32"/>
  <c r="AY134" i="32"/>
  <c r="AX134" i="32"/>
  <c r="AW134" i="32"/>
  <c r="AV134" i="32"/>
  <c r="AU134" i="32"/>
  <c r="AT134" i="32"/>
  <c r="AS134" i="32"/>
  <c r="AR134" i="32"/>
  <c r="AQ134" i="32"/>
  <c r="AP134" i="32"/>
  <c r="AO134" i="32"/>
  <c r="AN134" i="32"/>
  <c r="AM134" i="32"/>
  <c r="AL134" i="32"/>
  <c r="AK134" i="32"/>
  <c r="AJ134" i="32"/>
  <c r="AI134" i="32"/>
  <c r="AH134" i="32"/>
  <c r="AG134" i="32"/>
  <c r="AF134" i="32"/>
  <c r="AE134" i="32"/>
  <c r="AD134" i="32"/>
  <c r="AC134" i="32"/>
  <c r="AB134" i="32"/>
  <c r="AA134" i="32"/>
  <c r="Z134" i="32"/>
  <c r="Y134" i="32"/>
  <c r="X134" i="32"/>
  <c r="W134" i="32"/>
  <c r="V134" i="32"/>
  <c r="U134" i="32"/>
  <c r="T134" i="32"/>
  <c r="S134" i="32"/>
  <c r="R134" i="32"/>
  <c r="Q134" i="32"/>
  <c r="P134" i="32"/>
  <c r="O134" i="32"/>
  <c r="N134" i="32"/>
  <c r="M134" i="32"/>
  <c r="L134" i="32"/>
  <c r="K134" i="32"/>
  <c r="J134" i="32"/>
  <c r="I134" i="32"/>
  <c r="H134" i="32"/>
  <c r="G134" i="32"/>
  <c r="F134" i="32"/>
  <c r="E134" i="32"/>
  <c r="D134" i="32"/>
  <c r="C134" i="32"/>
  <c r="BP133" i="32"/>
  <c r="BO133" i="32"/>
  <c r="BN133" i="32"/>
  <c r="BM133" i="32"/>
  <c r="BL133" i="32"/>
  <c r="BK133" i="32"/>
  <c r="BJ133" i="32"/>
  <c r="BI133" i="32"/>
  <c r="BH133" i="32"/>
  <c r="BG133" i="32"/>
  <c r="BF133" i="32"/>
  <c r="BE133" i="32"/>
  <c r="BD133" i="32"/>
  <c r="BC133" i="32"/>
  <c r="BB133" i="32"/>
  <c r="BA133" i="32"/>
  <c r="AZ133" i="32"/>
  <c r="AY133" i="32"/>
  <c r="AX133" i="32"/>
  <c r="AW133" i="32"/>
  <c r="AV133" i="32"/>
  <c r="AU133" i="32"/>
  <c r="AT133" i="32"/>
  <c r="AS133" i="32"/>
  <c r="AR133" i="32"/>
  <c r="AQ133" i="32"/>
  <c r="AP133" i="32"/>
  <c r="AO133" i="32"/>
  <c r="AN133" i="32"/>
  <c r="AM133" i="32"/>
  <c r="AL133" i="32"/>
  <c r="AK133" i="32"/>
  <c r="AJ133" i="32"/>
  <c r="AI133" i="32"/>
  <c r="AH133" i="32"/>
  <c r="AG133" i="32"/>
  <c r="AF133" i="32"/>
  <c r="AE133" i="32"/>
  <c r="AD133" i="32"/>
  <c r="AC133" i="32"/>
  <c r="AB133" i="32"/>
  <c r="AA133" i="32"/>
  <c r="Z133" i="32"/>
  <c r="Y133" i="32"/>
  <c r="X133" i="32"/>
  <c r="W133" i="32"/>
  <c r="V133" i="32"/>
  <c r="U133" i="32"/>
  <c r="T133" i="32"/>
  <c r="S133" i="32"/>
  <c r="R133" i="32"/>
  <c r="Q133" i="32"/>
  <c r="P133" i="32"/>
  <c r="O133" i="32"/>
  <c r="N133" i="32"/>
  <c r="M133" i="32"/>
  <c r="L133" i="32"/>
  <c r="K133" i="32"/>
  <c r="J133" i="32"/>
  <c r="I133" i="32"/>
  <c r="H133" i="32"/>
  <c r="G133" i="32"/>
  <c r="F133" i="32"/>
  <c r="E133" i="32"/>
  <c r="D133" i="32"/>
  <c r="C133" i="32"/>
  <c r="C132" i="32"/>
  <c r="B132" i="32" s="1"/>
  <c r="BP131" i="32"/>
  <c r="BO131" i="32"/>
  <c r="BN131" i="32"/>
  <c r="BM131" i="32"/>
  <c r="BL131" i="32"/>
  <c r="BK131" i="32"/>
  <c r="BJ131" i="32"/>
  <c r="BI131" i="32"/>
  <c r="BH131" i="32"/>
  <c r="BG131" i="32"/>
  <c r="BF131" i="32"/>
  <c r="BE131" i="32"/>
  <c r="BD131" i="32"/>
  <c r="BC131" i="32"/>
  <c r="BB131" i="32"/>
  <c r="BA131" i="32"/>
  <c r="AZ131" i="32"/>
  <c r="AY131" i="32"/>
  <c r="AX131" i="32"/>
  <c r="AW131" i="32"/>
  <c r="AV131" i="32"/>
  <c r="AU131" i="32"/>
  <c r="AT131" i="32"/>
  <c r="AS131" i="32"/>
  <c r="AR131" i="32"/>
  <c r="AQ131" i="32"/>
  <c r="AP131" i="32"/>
  <c r="AO131" i="32"/>
  <c r="AN131" i="32"/>
  <c r="AM131" i="32"/>
  <c r="AL131" i="32"/>
  <c r="AK131" i="32"/>
  <c r="AJ131" i="32"/>
  <c r="AI131" i="32"/>
  <c r="AH131" i="32"/>
  <c r="AG131" i="32"/>
  <c r="AF131" i="32"/>
  <c r="AE131" i="32"/>
  <c r="AD131" i="32"/>
  <c r="AC131" i="32"/>
  <c r="AB131" i="32"/>
  <c r="AA131" i="32"/>
  <c r="Z131" i="32"/>
  <c r="Y131" i="32"/>
  <c r="X131" i="32"/>
  <c r="W131" i="32"/>
  <c r="V131" i="32"/>
  <c r="U131" i="32"/>
  <c r="T131" i="32"/>
  <c r="S131" i="32"/>
  <c r="R131" i="32"/>
  <c r="Q131" i="32"/>
  <c r="P131" i="32"/>
  <c r="O131" i="32"/>
  <c r="N131" i="32"/>
  <c r="M131" i="32"/>
  <c r="L131" i="32"/>
  <c r="K131" i="32"/>
  <c r="J131" i="32"/>
  <c r="I131" i="32"/>
  <c r="H131" i="32"/>
  <c r="G131" i="32"/>
  <c r="F131" i="32"/>
  <c r="E131" i="32"/>
  <c r="D131" i="32"/>
  <c r="C131" i="32"/>
  <c r="BP130" i="32"/>
  <c r="BO130" i="32"/>
  <c r="BN130" i="32"/>
  <c r="BM130" i="32"/>
  <c r="BL130" i="32"/>
  <c r="BK130" i="32"/>
  <c r="BJ130" i="32"/>
  <c r="BI130" i="32"/>
  <c r="BH130" i="32"/>
  <c r="BG130" i="32"/>
  <c r="BF130" i="32"/>
  <c r="BE130" i="32"/>
  <c r="BD130" i="32"/>
  <c r="BC130" i="32"/>
  <c r="BB130" i="32"/>
  <c r="BA130" i="32"/>
  <c r="AZ130" i="32"/>
  <c r="AY130" i="32"/>
  <c r="AX130" i="32"/>
  <c r="AW130" i="32"/>
  <c r="AV130" i="32"/>
  <c r="AU130" i="32"/>
  <c r="AT130" i="32"/>
  <c r="AS130" i="32"/>
  <c r="AR130" i="32"/>
  <c r="AQ130" i="32"/>
  <c r="AP130" i="32"/>
  <c r="AO130" i="32"/>
  <c r="AN130" i="32"/>
  <c r="AM130" i="32"/>
  <c r="AL130" i="32"/>
  <c r="AK130" i="32"/>
  <c r="AJ130" i="32"/>
  <c r="AI130" i="32"/>
  <c r="AH130" i="32"/>
  <c r="AG130" i="32"/>
  <c r="AF130" i="32"/>
  <c r="AE130" i="32"/>
  <c r="AD130" i="32"/>
  <c r="AC130" i="32"/>
  <c r="AB130" i="32"/>
  <c r="AA130" i="32"/>
  <c r="Z130" i="32"/>
  <c r="Y130" i="32"/>
  <c r="X130" i="32"/>
  <c r="W130" i="32"/>
  <c r="V130" i="32"/>
  <c r="U130" i="32"/>
  <c r="T130" i="32"/>
  <c r="S130" i="32"/>
  <c r="R130" i="32"/>
  <c r="Q130" i="32"/>
  <c r="P130" i="32"/>
  <c r="O130" i="32"/>
  <c r="N130" i="32"/>
  <c r="M130" i="32"/>
  <c r="L130" i="32"/>
  <c r="K130" i="32"/>
  <c r="J130" i="32"/>
  <c r="I130" i="32"/>
  <c r="H130" i="32"/>
  <c r="G130" i="32"/>
  <c r="F130" i="32"/>
  <c r="E130" i="32"/>
  <c r="D130" i="32"/>
  <c r="BP129" i="32"/>
  <c r="BO129" i="32"/>
  <c r="BN129" i="32"/>
  <c r="BM129" i="32"/>
  <c r="BL129" i="32"/>
  <c r="BK129" i="32"/>
  <c r="BJ129" i="32"/>
  <c r="BI129" i="32"/>
  <c r="BH129" i="32"/>
  <c r="BG129" i="32"/>
  <c r="BF129" i="32"/>
  <c r="BE129" i="32"/>
  <c r="BD129" i="32"/>
  <c r="BC129" i="32"/>
  <c r="BB129" i="32"/>
  <c r="BA129" i="32"/>
  <c r="AZ129" i="32"/>
  <c r="AY129" i="32"/>
  <c r="AX129" i="32"/>
  <c r="AW129" i="32"/>
  <c r="AV129" i="32"/>
  <c r="AU129" i="32"/>
  <c r="AT129" i="32"/>
  <c r="AS129" i="32"/>
  <c r="AR129" i="32"/>
  <c r="AQ129" i="32"/>
  <c r="AP129" i="32"/>
  <c r="AO129" i="32"/>
  <c r="AN129" i="32"/>
  <c r="AM129" i="32"/>
  <c r="AL129" i="32"/>
  <c r="AK129" i="32"/>
  <c r="AJ129" i="32"/>
  <c r="AI129" i="32"/>
  <c r="AH129" i="32"/>
  <c r="AG129" i="32"/>
  <c r="AF129" i="32"/>
  <c r="AE129" i="32"/>
  <c r="AD129" i="32"/>
  <c r="AC129" i="32"/>
  <c r="AB129" i="32"/>
  <c r="AA129" i="32"/>
  <c r="Z129" i="32"/>
  <c r="Y129" i="32"/>
  <c r="X129" i="32"/>
  <c r="W129" i="32"/>
  <c r="V129" i="32"/>
  <c r="U129" i="32"/>
  <c r="T129" i="32"/>
  <c r="S129" i="32"/>
  <c r="R129" i="32"/>
  <c r="Q129" i="32"/>
  <c r="P129" i="32"/>
  <c r="O129" i="32"/>
  <c r="N129" i="32"/>
  <c r="M129" i="32"/>
  <c r="L129" i="32"/>
  <c r="K129" i="32"/>
  <c r="J129" i="32"/>
  <c r="I129" i="32"/>
  <c r="H129" i="32"/>
  <c r="G129" i="32"/>
  <c r="F129" i="32"/>
  <c r="E129" i="32"/>
  <c r="D129" i="32"/>
  <c r="BP128" i="32"/>
  <c r="BO128" i="32"/>
  <c r="BN128" i="32"/>
  <c r="BM128" i="32"/>
  <c r="BL128" i="32"/>
  <c r="BK128" i="32"/>
  <c r="BJ128" i="32"/>
  <c r="BI128" i="32"/>
  <c r="BH128" i="32"/>
  <c r="BG128" i="32"/>
  <c r="BF128" i="32"/>
  <c r="BE128" i="32"/>
  <c r="BD128" i="32"/>
  <c r="BC128" i="32"/>
  <c r="BB128" i="32"/>
  <c r="BA128" i="32"/>
  <c r="AZ128" i="32"/>
  <c r="AY128" i="32"/>
  <c r="AX128" i="32"/>
  <c r="AW128" i="32"/>
  <c r="AV128" i="32"/>
  <c r="AU128" i="32"/>
  <c r="AT128" i="32"/>
  <c r="AS128" i="32"/>
  <c r="AR128" i="32"/>
  <c r="AQ128" i="32"/>
  <c r="AP128" i="32"/>
  <c r="AO128" i="32"/>
  <c r="AN128" i="32"/>
  <c r="AM128" i="32"/>
  <c r="AL128" i="32"/>
  <c r="AK128" i="32"/>
  <c r="AJ128" i="32"/>
  <c r="AI128" i="32"/>
  <c r="AH128" i="32"/>
  <c r="AG128" i="32"/>
  <c r="AF128" i="32"/>
  <c r="AE128" i="32"/>
  <c r="AD128" i="32"/>
  <c r="AC128" i="32"/>
  <c r="AB128" i="32"/>
  <c r="AA128" i="32"/>
  <c r="Z128" i="32"/>
  <c r="Y128" i="32"/>
  <c r="X128" i="32"/>
  <c r="W128" i="32"/>
  <c r="V128" i="32"/>
  <c r="U128" i="32"/>
  <c r="T128" i="32"/>
  <c r="S128" i="32"/>
  <c r="R128" i="32"/>
  <c r="Q128" i="32"/>
  <c r="P128" i="32"/>
  <c r="O128" i="32"/>
  <c r="N128" i="32"/>
  <c r="M128" i="32"/>
  <c r="L128" i="32"/>
  <c r="K128" i="32"/>
  <c r="J128" i="32"/>
  <c r="I128" i="32"/>
  <c r="H128" i="32"/>
  <c r="G128" i="32"/>
  <c r="F128" i="32"/>
  <c r="E128" i="32"/>
  <c r="D128" i="32"/>
  <c r="BP127" i="32"/>
  <c r="BO127" i="32"/>
  <c r="BN127" i="32"/>
  <c r="BM127" i="32"/>
  <c r="BL127" i="32"/>
  <c r="BK127" i="32"/>
  <c r="BJ127" i="32"/>
  <c r="BI127" i="32"/>
  <c r="BH127" i="32"/>
  <c r="BG127" i="32"/>
  <c r="BF127" i="32"/>
  <c r="BE127" i="32"/>
  <c r="BD127" i="32"/>
  <c r="BC127" i="32"/>
  <c r="BB127" i="32"/>
  <c r="BA127" i="32"/>
  <c r="AZ127" i="32"/>
  <c r="AY127" i="32"/>
  <c r="AX127" i="32"/>
  <c r="AW127" i="32"/>
  <c r="AV127" i="32"/>
  <c r="AU127" i="32"/>
  <c r="AT127" i="32"/>
  <c r="AS127" i="32"/>
  <c r="AR127" i="32"/>
  <c r="AQ127" i="32"/>
  <c r="AP127" i="32"/>
  <c r="AO127" i="32"/>
  <c r="AN127" i="32"/>
  <c r="AM127" i="32"/>
  <c r="AL127" i="32"/>
  <c r="AK127" i="32"/>
  <c r="AJ127" i="32"/>
  <c r="AI127" i="32"/>
  <c r="AH127" i="32"/>
  <c r="AG127" i="32"/>
  <c r="AF127" i="32"/>
  <c r="AE127" i="32"/>
  <c r="AD127" i="32"/>
  <c r="AC127" i="32"/>
  <c r="AB127" i="32"/>
  <c r="AA127" i="32"/>
  <c r="Z127" i="32"/>
  <c r="Y127" i="32"/>
  <c r="X127" i="32"/>
  <c r="W127" i="32"/>
  <c r="V127" i="32"/>
  <c r="U127" i="32"/>
  <c r="T127" i="32"/>
  <c r="S127" i="32"/>
  <c r="R127" i="32"/>
  <c r="Q127" i="32"/>
  <c r="P127" i="32"/>
  <c r="O127" i="32"/>
  <c r="N127" i="32"/>
  <c r="M127" i="32"/>
  <c r="L127" i="32"/>
  <c r="K127" i="32"/>
  <c r="J127" i="32"/>
  <c r="I127" i="32"/>
  <c r="H127" i="32"/>
  <c r="G127" i="32"/>
  <c r="F127" i="32"/>
  <c r="E127" i="32"/>
  <c r="D127" i="32"/>
  <c r="BP126" i="32"/>
  <c r="BO126" i="32"/>
  <c r="BN126" i="32"/>
  <c r="BM126" i="32"/>
  <c r="BL126" i="32"/>
  <c r="BK126" i="32"/>
  <c r="BJ126" i="32"/>
  <c r="BI126" i="32"/>
  <c r="BH126" i="32"/>
  <c r="BG126" i="32"/>
  <c r="BF126" i="32"/>
  <c r="BE126" i="32"/>
  <c r="BD126" i="32"/>
  <c r="BC126" i="32"/>
  <c r="BB126" i="32"/>
  <c r="BA126" i="32"/>
  <c r="AZ126" i="32"/>
  <c r="AY126" i="32"/>
  <c r="AX126" i="32"/>
  <c r="AW126" i="32"/>
  <c r="AV126" i="32"/>
  <c r="AU126" i="32"/>
  <c r="AT126" i="32"/>
  <c r="AS126" i="32"/>
  <c r="AR126" i="32"/>
  <c r="AQ126" i="32"/>
  <c r="AP126" i="32"/>
  <c r="AO126" i="32"/>
  <c r="AN126" i="32"/>
  <c r="AM126" i="32"/>
  <c r="AL126" i="32"/>
  <c r="AK126" i="32"/>
  <c r="AJ126" i="32"/>
  <c r="AI126" i="32"/>
  <c r="AH126" i="32"/>
  <c r="AG126" i="32"/>
  <c r="AF126" i="32"/>
  <c r="AE126" i="32"/>
  <c r="AD126" i="32"/>
  <c r="AC126" i="32"/>
  <c r="AB126" i="32"/>
  <c r="AA126" i="32"/>
  <c r="Z126" i="32"/>
  <c r="Y126" i="32"/>
  <c r="X126" i="32"/>
  <c r="W126" i="32"/>
  <c r="V126" i="32"/>
  <c r="U126" i="32"/>
  <c r="T126" i="32"/>
  <c r="S126" i="32"/>
  <c r="R126" i="32"/>
  <c r="Q126" i="32"/>
  <c r="P126" i="32"/>
  <c r="O126" i="32"/>
  <c r="N126" i="32"/>
  <c r="M126" i="32"/>
  <c r="L126" i="32"/>
  <c r="K126" i="32"/>
  <c r="J126" i="32"/>
  <c r="I126" i="32"/>
  <c r="H126" i="32"/>
  <c r="G126" i="32"/>
  <c r="F126" i="32"/>
  <c r="E126" i="32"/>
  <c r="D126" i="32"/>
  <c r="C126" i="32"/>
  <c r="BP125" i="32"/>
  <c r="BO125" i="32"/>
  <c r="BN125" i="32"/>
  <c r="BM125" i="32"/>
  <c r="BL125" i="32"/>
  <c r="BK125" i="32"/>
  <c r="BJ125" i="32"/>
  <c r="BI125" i="32"/>
  <c r="BH125" i="32"/>
  <c r="BG125" i="32"/>
  <c r="BF125" i="32"/>
  <c r="BE125" i="32"/>
  <c r="BD125" i="32"/>
  <c r="BC125" i="32"/>
  <c r="BB125" i="32"/>
  <c r="BA125" i="32"/>
  <c r="AZ125" i="32"/>
  <c r="AY125" i="32"/>
  <c r="AX125" i="32"/>
  <c r="AW125" i="32"/>
  <c r="AV125" i="32"/>
  <c r="AU125" i="32"/>
  <c r="AT125" i="32"/>
  <c r="AS125" i="32"/>
  <c r="AR125" i="32"/>
  <c r="AQ125" i="32"/>
  <c r="AP125" i="32"/>
  <c r="AO125" i="32"/>
  <c r="AN125" i="32"/>
  <c r="AM125" i="32"/>
  <c r="AL125" i="32"/>
  <c r="AK125" i="32"/>
  <c r="AJ125" i="32"/>
  <c r="AI125" i="32"/>
  <c r="AH125" i="32"/>
  <c r="AG125" i="32"/>
  <c r="AF125" i="32"/>
  <c r="AE125" i="32"/>
  <c r="AD125" i="32"/>
  <c r="AC125" i="32"/>
  <c r="AB125" i="32"/>
  <c r="AA125" i="32"/>
  <c r="Z125" i="32"/>
  <c r="Y125" i="32"/>
  <c r="X125" i="32"/>
  <c r="W125" i="32"/>
  <c r="V125" i="32"/>
  <c r="U125" i="32"/>
  <c r="T125" i="32"/>
  <c r="S125" i="32"/>
  <c r="R125" i="32"/>
  <c r="Q125" i="32"/>
  <c r="P125" i="32"/>
  <c r="O125" i="32"/>
  <c r="N125" i="32"/>
  <c r="M125" i="32"/>
  <c r="L125" i="32"/>
  <c r="K125" i="32"/>
  <c r="J125" i="32"/>
  <c r="I125" i="32"/>
  <c r="H125" i="32"/>
  <c r="G125" i="32"/>
  <c r="F125" i="32"/>
  <c r="E125" i="32"/>
  <c r="D125" i="32"/>
  <c r="C125" i="32"/>
  <c r="BP122" i="32"/>
  <c r="BO122" i="32"/>
  <c r="BN122" i="32"/>
  <c r="BM122" i="32"/>
  <c r="BL122" i="32"/>
  <c r="BK122" i="32"/>
  <c r="BJ122" i="32"/>
  <c r="BI122" i="32"/>
  <c r="BH122" i="32"/>
  <c r="BG122" i="32"/>
  <c r="BF122" i="32"/>
  <c r="BE122" i="32"/>
  <c r="BD122" i="32"/>
  <c r="BC122" i="32"/>
  <c r="BB122" i="32"/>
  <c r="BA122" i="32"/>
  <c r="AZ122" i="32"/>
  <c r="AY122" i="32"/>
  <c r="AX122" i="32"/>
  <c r="AW122" i="32"/>
  <c r="AV122" i="32"/>
  <c r="AU122" i="32"/>
  <c r="AT122" i="32"/>
  <c r="AS122" i="32"/>
  <c r="AR122" i="32"/>
  <c r="AQ122" i="32"/>
  <c r="AP122" i="32"/>
  <c r="AO122" i="32"/>
  <c r="AN122" i="32"/>
  <c r="AM122" i="32"/>
  <c r="AL122" i="32"/>
  <c r="AK122" i="32"/>
  <c r="AJ122" i="32"/>
  <c r="AI122" i="32"/>
  <c r="AH122" i="32"/>
  <c r="AG122" i="32"/>
  <c r="AF122" i="32"/>
  <c r="AE122" i="32"/>
  <c r="AD122" i="32"/>
  <c r="AC122" i="32"/>
  <c r="AB122" i="32"/>
  <c r="AA122" i="32"/>
  <c r="Z122" i="32"/>
  <c r="Y122" i="32"/>
  <c r="X122" i="32"/>
  <c r="W122" i="32"/>
  <c r="V122" i="32"/>
  <c r="U122" i="32"/>
  <c r="T122" i="32"/>
  <c r="S122" i="32"/>
  <c r="R122" i="32"/>
  <c r="Q122" i="32"/>
  <c r="P122" i="32"/>
  <c r="O122" i="32"/>
  <c r="N122" i="32"/>
  <c r="M122" i="32"/>
  <c r="L122" i="32"/>
  <c r="K122" i="32"/>
  <c r="J122" i="32"/>
  <c r="I122" i="32"/>
  <c r="H122" i="32"/>
  <c r="G122" i="32"/>
  <c r="F122" i="32"/>
  <c r="E122" i="32"/>
  <c r="D122" i="32"/>
  <c r="C122" i="32"/>
  <c r="B122" i="32"/>
  <c r="BP113" i="32"/>
  <c r="BO113" i="32"/>
  <c r="BN113" i="32"/>
  <c r="BM113" i="32"/>
  <c r="BL113" i="32"/>
  <c r="BK113" i="32"/>
  <c r="BJ113" i="32"/>
  <c r="BI113" i="32"/>
  <c r="BH113" i="32"/>
  <c r="BG113" i="32"/>
  <c r="BF113" i="32"/>
  <c r="BE113" i="32"/>
  <c r="BD113" i="32"/>
  <c r="BC113" i="32"/>
  <c r="BB113" i="32"/>
  <c r="BA113" i="32"/>
  <c r="AZ113" i="32"/>
  <c r="AY113" i="32"/>
  <c r="AX113" i="32"/>
  <c r="AW113" i="32"/>
  <c r="AV113" i="32"/>
  <c r="AU113" i="32"/>
  <c r="AT113" i="32"/>
  <c r="AS113" i="32"/>
  <c r="AR113" i="32"/>
  <c r="AQ113" i="32"/>
  <c r="AP113" i="32"/>
  <c r="AO113" i="32"/>
  <c r="AN113" i="32"/>
  <c r="AM113" i="32"/>
  <c r="AL113" i="32"/>
  <c r="AK113" i="32"/>
  <c r="AJ113" i="32"/>
  <c r="AI113" i="32"/>
  <c r="AH113" i="32"/>
  <c r="AG113" i="32"/>
  <c r="AF113" i="32"/>
  <c r="AE113" i="32"/>
  <c r="AD113" i="32"/>
  <c r="AC113" i="32"/>
  <c r="AB113" i="32"/>
  <c r="AA113" i="32"/>
  <c r="Z113" i="32"/>
  <c r="Y113" i="32"/>
  <c r="X113" i="32"/>
  <c r="W113" i="32"/>
  <c r="V113" i="32"/>
  <c r="U113" i="32"/>
  <c r="T113" i="32"/>
  <c r="S113" i="32"/>
  <c r="R113" i="32"/>
  <c r="Q113" i="32"/>
  <c r="P113" i="32"/>
  <c r="O113" i="32"/>
  <c r="N113" i="32"/>
  <c r="M113" i="32"/>
  <c r="L113" i="32"/>
  <c r="K113" i="32"/>
  <c r="J113" i="32"/>
  <c r="I113" i="32"/>
  <c r="H113" i="32"/>
  <c r="G113" i="32"/>
  <c r="F113" i="32"/>
  <c r="E113" i="32"/>
  <c r="D113" i="32"/>
  <c r="C113" i="32"/>
  <c r="B112" i="32"/>
  <c r="B111" i="32"/>
  <c r="B113" i="32" s="1"/>
  <c r="BP108" i="32"/>
  <c r="BO108" i="32"/>
  <c r="BN108" i="32"/>
  <c r="BM108" i="32"/>
  <c r="BL108" i="32"/>
  <c r="BK108" i="32"/>
  <c r="BJ108" i="32"/>
  <c r="BI108" i="32"/>
  <c r="BH108" i="32"/>
  <c r="BG108" i="32"/>
  <c r="BF108" i="32"/>
  <c r="BE108" i="32"/>
  <c r="BD108" i="32"/>
  <c r="BC108" i="32"/>
  <c r="BB108" i="32"/>
  <c r="BA108" i="32"/>
  <c r="AZ108" i="32"/>
  <c r="AY108" i="32"/>
  <c r="AX108" i="32"/>
  <c r="AW108" i="32"/>
  <c r="AV108" i="32"/>
  <c r="AU108" i="32"/>
  <c r="AT108" i="32"/>
  <c r="AS108" i="32"/>
  <c r="AR108" i="32"/>
  <c r="AQ108" i="32"/>
  <c r="AP108" i="32"/>
  <c r="AO108" i="32"/>
  <c r="AN108" i="32"/>
  <c r="AM108" i="32"/>
  <c r="AL108" i="32"/>
  <c r="AK108" i="32"/>
  <c r="AJ108" i="32"/>
  <c r="AI108" i="32"/>
  <c r="AH108" i="32"/>
  <c r="AG108" i="32"/>
  <c r="AF108" i="32"/>
  <c r="AE108" i="32"/>
  <c r="AD108" i="32"/>
  <c r="AC108" i="32"/>
  <c r="AB108" i="32"/>
  <c r="AA108" i="32"/>
  <c r="Z108" i="32"/>
  <c r="Y108" i="32"/>
  <c r="X108" i="32"/>
  <c r="W108" i="32"/>
  <c r="V108" i="32"/>
  <c r="U108" i="32"/>
  <c r="T108" i="32"/>
  <c r="S108" i="32"/>
  <c r="R108" i="32"/>
  <c r="Q108" i="32"/>
  <c r="P108" i="32"/>
  <c r="O108" i="32"/>
  <c r="N108" i="32"/>
  <c r="M108" i="32"/>
  <c r="L108" i="32"/>
  <c r="K108" i="32"/>
  <c r="J108" i="32"/>
  <c r="I108" i="32"/>
  <c r="H108" i="32"/>
  <c r="G108" i="32"/>
  <c r="F108" i="32"/>
  <c r="E108" i="32"/>
  <c r="D108" i="32"/>
  <c r="C108" i="32"/>
  <c r="B107" i="32"/>
  <c r="B106" i="32"/>
  <c r="B105" i="32"/>
  <c r="B104" i="32"/>
  <c r="B103" i="32"/>
  <c r="B102" i="32"/>
  <c r="B101" i="32"/>
  <c r="BP98" i="32"/>
  <c r="BO98" i="32"/>
  <c r="BN98" i="32"/>
  <c r="BM98" i="32"/>
  <c r="BL98" i="32"/>
  <c r="BK98" i="32"/>
  <c r="BJ98" i="32"/>
  <c r="BI98" i="32"/>
  <c r="BH98" i="32"/>
  <c r="BG98" i="32"/>
  <c r="BF98" i="32"/>
  <c r="BE98" i="32"/>
  <c r="BD98" i="32"/>
  <c r="BC98" i="32"/>
  <c r="BB98" i="32"/>
  <c r="BA98" i="32"/>
  <c r="AZ98" i="32"/>
  <c r="AY98" i="32"/>
  <c r="AX98" i="32"/>
  <c r="AW98" i="32"/>
  <c r="AV98" i="32"/>
  <c r="AU98" i="32"/>
  <c r="AT98" i="32"/>
  <c r="AS98" i="32"/>
  <c r="AR98" i="32"/>
  <c r="AQ98" i="32"/>
  <c r="AP98" i="32"/>
  <c r="AO98" i="32"/>
  <c r="AN98" i="32"/>
  <c r="AM98" i="32"/>
  <c r="AL98" i="32"/>
  <c r="AK98" i="32"/>
  <c r="AJ98" i="32"/>
  <c r="AI98" i="32"/>
  <c r="AH98" i="32"/>
  <c r="AG98" i="32"/>
  <c r="AF98" i="32"/>
  <c r="AE98" i="32"/>
  <c r="AD98" i="32"/>
  <c r="AC98" i="32"/>
  <c r="AB98" i="32"/>
  <c r="AA98" i="32"/>
  <c r="Z98" i="32"/>
  <c r="Y98" i="32"/>
  <c r="X98" i="32"/>
  <c r="W98" i="32"/>
  <c r="V98" i="32"/>
  <c r="U98" i="32"/>
  <c r="T98" i="32"/>
  <c r="S98" i="32"/>
  <c r="R98" i="32"/>
  <c r="Q98" i="32"/>
  <c r="P98" i="32"/>
  <c r="O98" i="32"/>
  <c r="N98" i="32"/>
  <c r="M98" i="32"/>
  <c r="L98" i="32"/>
  <c r="K98" i="32"/>
  <c r="J98" i="32"/>
  <c r="I98" i="32"/>
  <c r="H98" i="32"/>
  <c r="G98" i="32"/>
  <c r="F98" i="32"/>
  <c r="E98" i="32"/>
  <c r="D98" i="32"/>
  <c r="C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P82" i="32"/>
  <c r="BO82" i="32"/>
  <c r="BN82" i="32"/>
  <c r="BM82" i="32"/>
  <c r="BL82" i="32"/>
  <c r="BK82" i="32"/>
  <c r="BJ82" i="32"/>
  <c r="BI82" i="32"/>
  <c r="BH82" i="32"/>
  <c r="BG82" i="32"/>
  <c r="BF82" i="32"/>
  <c r="BE82" i="32"/>
  <c r="BD82" i="32"/>
  <c r="BC82" i="32"/>
  <c r="BB82" i="32"/>
  <c r="BA82" i="32"/>
  <c r="AZ82" i="32"/>
  <c r="AY82" i="32"/>
  <c r="AX82" i="32"/>
  <c r="AW82" i="32"/>
  <c r="AV82" i="32"/>
  <c r="AU82" i="32"/>
  <c r="AT82" i="32"/>
  <c r="AS82" i="32"/>
  <c r="AR82" i="32"/>
  <c r="AQ82" i="32"/>
  <c r="AP82" i="32"/>
  <c r="AO82" i="32"/>
  <c r="AN82" i="32"/>
  <c r="AM82" i="32"/>
  <c r="AL82" i="32"/>
  <c r="AK82" i="32"/>
  <c r="AJ82" i="32"/>
  <c r="AI82" i="32"/>
  <c r="AH82" i="32"/>
  <c r="AG82" i="32"/>
  <c r="AF82" i="32"/>
  <c r="AE82" i="32"/>
  <c r="AD82" i="32"/>
  <c r="AC82" i="32"/>
  <c r="AA82" i="32"/>
  <c r="Z82" i="32"/>
  <c r="Y82" i="32"/>
  <c r="X82" i="32"/>
  <c r="W82" i="32"/>
  <c r="V82" i="32"/>
  <c r="U82" i="32"/>
  <c r="T82" i="32"/>
  <c r="S82" i="32"/>
  <c r="R82" i="32"/>
  <c r="Q82" i="32"/>
  <c r="P82" i="32"/>
  <c r="O82" i="32"/>
  <c r="N82" i="32"/>
  <c r="M82" i="32"/>
  <c r="L82" i="32"/>
  <c r="K82" i="32"/>
  <c r="J82" i="32"/>
  <c r="I82" i="32"/>
  <c r="H82" i="32"/>
  <c r="G82" i="32"/>
  <c r="F82" i="32"/>
  <c r="E82" i="32"/>
  <c r="D82" i="32"/>
  <c r="C82" i="32"/>
  <c r="B81" i="32"/>
  <c r="B80" i="32"/>
  <c r="B79" i="32"/>
  <c r="B78" i="32"/>
  <c r="B77" i="32"/>
  <c r="AB76" i="32"/>
  <c r="AB135" i="32" s="1"/>
  <c r="B75" i="32"/>
  <c r="B74" i="32"/>
  <c r="B73" i="32"/>
  <c r="BP70" i="32"/>
  <c r="BO70" i="32"/>
  <c r="BN70" i="32"/>
  <c r="BM70" i="32"/>
  <c r="BL70" i="32"/>
  <c r="BK70" i="32"/>
  <c r="BJ70" i="32"/>
  <c r="BI70" i="32"/>
  <c r="BH70" i="32"/>
  <c r="BG70" i="32"/>
  <c r="BF70" i="32"/>
  <c r="BE70" i="32"/>
  <c r="BD70" i="32"/>
  <c r="BC70" i="32"/>
  <c r="BB70" i="32"/>
  <c r="BA70" i="32"/>
  <c r="AZ70" i="32"/>
  <c r="AY70" i="32"/>
  <c r="AX70" i="32"/>
  <c r="AW70" i="32"/>
  <c r="AV70" i="32"/>
  <c r="AU70" i="32"/>
  <c r="AT70" i="32"/>
  <c r="AS70" i="32"/>
  <c r="AR70" i="32"/>
  <c r="AQ70" i="32"/>
  <c r="AP70" i="32"/>
  <c r="AO70" i="32"/>
  <c r="AN70" i="32"/>
  <c r="AM70" i="32"/>
  <c r="AL70" i="32"/>
  <c r="AK70" i="32"/>
  <c r="AJ70" i="32"/>
  <c r="AI70" i="32"/>
  <c r="AH70" i="32"/>
  <c r="AG70" i="32"/>
  <c r="AF70" i="32"/>
  <c r="AE70" i="32"/>
  <c r="AD70" i="32"/>
  <c r="AC70" i="32"/>
  <c r="AB70" i="32"/>
  <c r="AA70" i="32"/>
  <c r="Z70" i="32"/>
  <c r="Y70" i="32"/>
  <c r="X70" i="32"/>
  <c r="W70" i="32"/>
  <c r="V70" i="32"/>
  <c r="U70" i="32"/>
  <c r="T70" i="32"/>
  <c r="S70" i="32"/>
  <c r="R70" i="32"/>
  <c r="Q70" i="32"/>
  <c r="P70" i="32"/>
  <c r="O70" i="32"/>
  <c r="N70" i="32"/>
  <c r="M70" i="32"/>
  <c r="L70" i="32"/>
  <c r="K70" i="32"/>
  <c r="J70" i="32"/>
  <c r="I70" i="32"/>
  <c r="H70" i="32"/>
  <c r="G70" i="32"/>
  <c r="F70" i="32"/>
  <c r="E70" i="32"/>
  <c r="D70" i="32"/>
  <c r="B69" i="32"/>
  <c r="C68" i="32"/>
  <c r="B68" i="32" s="1"/>
  <c r="C67" i="32"/>
  <c r="C128" i="32" s="1"/>
  <c r="C66" i="32"/>
  <c r="C127" i="32" s="1"/>
  <c r="BP63" i="32"/>
  <c r="BO63" i="32"/>
  <c r="BN63" i="32"/>
  <c r="BM63" i="32"/>
  <c r="BL63" i="32"/>
  <c r="BK63" i="32"/>
  <c r="BJ63" i="32"/>
  <c r="BI63" i="32"/>
  <c r="BH63" i="32"/>
  <c r="BG63" i="32"/>
  <c r="BF63" i="32"/>
  <c r="BE63" i="32"/>
  <c r="BD63" i="32"/>
  <c r="BC63" i="32"/>
  <c r="BB63" i="32"/>
  <c r="BA63" i="32"/>
  <c r="AZ63" i="32"/>
  <c r="AY63" i="32"/>
  <c r="AX63" i="32"/>
  <c r="AW63" i="32"/>
  <c r="AV63" i="32"/>
  <c r="AU63" i="32"/>
  <c r="AT63" i="32"/>
  <c r="AS63" i="32"/>
  <c r="AR63" i="32"/>
  <c r="AQ63" i="32"/>
  <c r="AP63" i="32"/>
  <c r="AO63" i="32"/>
  <c r="AN63" i="32"/>
  <c r="AM63" i="32"/>
  <c r="AL63" i="32"/>
  <c r="AK63" i="32"/>
  <c r="AJ63" i="32"/>
  <c r="AI63" i="32"/>
  <c r="AH63" i="32"/>
  <c r="AG63" i="32"/>
  <c r="AF63" i="32"/>
  <c r="AE63" i="32"/>
  <c r="AD63" i="32"/>
  <c r="AC63" i="32"/>
  <c r="AB63" i="32"/>
  <c r="AA63" i="32"/>
  <c r="Z63" i="32"/>
  <c r="Y63" i="32"/>
  <c r="X63" i="32"/>
  <c r="W63" i="32"/>
  <c r="V63" i="32"/>
  <c r="U63" i="32"/>
  <c r="T63" i="32"/>
  <c r="S63" i="32"/>
  <c r="R63" i="32"/>
  <c r="Q63" i="32"/>
  <c r="P63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B62" i="32"/>
  <c r="B61" i="32"/>
  <c r="B60" i="32"/>
  <c r="BP57" i="32"/>
  <c r="BO57" i="32"/>
  <c r="BN57" i="32"/>
  <c r="BM57" i="32"/>
  <c r="BL57" i="32"/>
  <c r="BK57" i="32"/>
  <c r="BJ57" i="32"/>
  <c r="BI57" i="32"/>
  <c r="BH57" i="32"/>
  <c r="BG57" i="32"/>
  <c r="BF57" i="32"/>
  <c r="BE57" i="32"/>
  <c r="BD57" i="32"/>
  <c r="BC57" i="32"/>
  <c r="BB57" i="32"/>
  <c r="BA57" i="32"/>
  <c r="AZ57" i="32"/>
  <c r="AY57" i="32"/>
  <c r="AX57" i="32"/>
  <c r="AW57" i="32"/>
  <c r="AV57" i="32"/>
  <c r="AU57" i="32"/>
  <c r="AT57" i="32"/>
  <c r="AS57" i="32"/>
  <c r="AR57" i="32"/>
  <c r="AQ57" i="32"/>
  <c r="AP57" i="32"/>
  <c r="AO57" i="32"/>
  <c r="AN57" i="32"/>
  <c r="AM57" i="32"/>
  <c r="AL57" i="32"/>
  <c r="AK57" i="32"/>
  <c r="AJ57" i="32"/>
  <c r="AI57" i="32"/>
  <c r="AH57" i="32"/>
  <c r="AG57" i="32"/>
  <c r="AF57" i="32"/>
  <c r="AE57" i="32"/>
  <c r="AD57" i="32"/>
  <c r="AC57" i="32"/>
  <c r="AB57" i="32"/>
  <c r="AA57" i="32"/>
  <c r="Z57" i="32"/>
  <c r="Y57" i="32"/>
  <c r="X57" i="32"/>
  <c r="W57" i="32"/>
  <c r="V57" i="32"/>
  <c r="U57" i="32"/>
  <c r="T57" i="32"/>
  <c r="S57" i="32"/>
  <c r="R57" i="32"/>
  <c r="Q57" i="32"/>
  <c r="P57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B56" i="32"/>
  <c r="B55" i="32"/>
  <c r="B54" i="32"/>
  <c r="B53" i="32"/>
  <c r="B52" i="32"/>
  <c r="BP49" i="32"/>
  <c r="BO49" i="32"/>
  <c r="BN49" i="32"/>
  <c r="BM49" i="32"/>
  <c r="BL49" i="32"/>
  <c r="BK49" i="32"/>
  <c r="BJ49" i="32"/>
  <c r="BI49" i="32"/>
  <c r="BH49" i="32"/>
  <c r="BG49" i="32"/>
  <c r="BF49" i="32"/>
  <c r="BE49" i="32"/>
  <c r="BD49" i="32"/>
  <c r="BC49" i="32"/>
  <c r="BB49" i="32"/>
  <c r="BA49" i="32"/>
  <c r="AZ49" i="32"/>
  <c r="AY49" i="32"/>
  <c r="AX49" i="32"/>
  <c r="AW49" i="32"/>
  <c r="AV49" i="32"/>
  <c r="AU49" i="32"/>
  <c r="AT49" i="32"/>
  <c r="AS49" i="32"/>
  <c r="AR49" i="32"/>
  <c r="AQ49" i="32"/>
  <c r="AP49" i="32"/>
  <c r="AO49" i="32"/>
  <c r="AN49" i="32"/>
  <c r="AM49" i="32"/>
  <c r="AL49" i="32"/>
  <c r="AK49" i="32"/>
  <c r="AJ49" i="32"/>
  <c r="AI49" i="32"/>
  <c r="AH49" i="32"/>
  <c r="AG49" i="32"/>
  <c r="AF49" i="32"/>
  <c r="AE49" i="32"/>
  <c r="AD49" i="32"/>
  <c r="AC49" i="32"/>
  <c r="AB49" i="32"/>
  <c r="Z49" i="32"/>
  <c r="Y49" i="32"/>
  <c r="X49" i="32"/>
  <c r="W49" i="32"/>
  <c r="V49" i="32"/>
  <c r="U49" i="32"/>
  <c r="T49" i="32"/>
  <c r="S49" i="32"/>
  <c r="R49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8" i="32"/>
  <c r="B47" i="32"/>
  <c r="AA46" i="32"/>
  <c r="AA49" i="32" s="1"/>
  <c r="Q46" i="32"/>
  <c r="Q137" i="32" s="1"/>
  <c r="P46" i="32"/>
  <c r="P137" i="32" s="1"/>
  <c r="B45" i="32"/>
  <c r="B44" i="32"/>
  <c r="B43" i="32"/>
  <c r="B42" i="32"/>
  <c r="B41" i="32"/>
  <c r="B40" i="32"/>
  <c r="BP37" i="32"/>
  <c r="BO37" i="32"/>
  <c r="BN37" i="32"/>
  <c r="BM37" i="32"/>
  <c r="BL37" i="32"/>
  <c r="BK37" i="32"/>
  <c r="BJ37" i="32"/>
  <c r="BI37" i="32"/>
  <c r="BH37" i="32"/>
  <c r="BG37" i="32"/>
  <c r="BF37" i="32"/>
  <c r="BE37" i="32"/>
  <c r="BD37" i="32"/>
  <c r="BC37" i="32"/>
  <c r="BB37" i="32"/>
  <c r="BA37" i="32"/>
  <c r="AZ37" i="32"/>
  <c r="AY37" i="32"/>
  <c r="AX37" i="32"/>
  <c r="AW37" i="32"/>
  <c r="AV37" i="32"/>
  <c r="AU37" i="32"/>
  <c r="AT37" i="32"/>
  <c r="AS37" i="32"/>
  <c r="AR37" i="32"/>
  <c r="AQ37" i="32"/>
  <c r="AP37" i="32"/>
  <c r="AO37" i="32"/>
  <c r="AN37" i="32"/>
  <c r="AM37" i="32"/>
  <c r="AL37" i="32"/>
  <c r="AK37" i="32"/>
  <c r="AJ37" i="32"/>
  <c r="AI37" i="32"/>
  <c r="AH37" i="32"/>
  <c r="AG37" i="32"/>
  <c r="AF37" i="32"/>
  <c r="AE37" i="32"/>
  <c r="AD37" i="32"/>
  <c r="AC37" i="32"/>
  <c r="AB37" i="32"/>
  <c r="AA37" i="32"/>
  <c r="Z37" i="32"/>
  <c r="Y37" i="32"/>
  <c r="X37" i="32"/>
  <c r="W37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6" i="32"/>
  <c r="B35" i="32"/>
  <c r="B34" i="32"/>
  <c r="B33" i="32"/>
  <c r="B32" i="32"/>
  <c r="B31" i="32"/>
  <c r="BP28" i="32"/>
  <c r="BO28" i="32"/>
  <c r="BN28" i="32"/>
  <c r="BM28" i="32"/>
  <c r="BL28" i="32"/>
  <c r="BK28" i="32"/>
  <c r="BJ28" i="32"/>
  <c r="BI28" i="32"/>
  <c r="BH28" i="32"/>
  <c r="BG28" i="32"/>
  <c r="BF28" i="32"/>
  <c r="BE28" i="32"/>
  <c r="BD28" i="32"/>
  <c r="BC28" i="32"/>
  <c r="BB28" i="32"/>
  <c r="BA28" i="32"/>
  <c r="AZ28" i="32"/>
  <c r="AY28" i="32"/>
  <c r="AX28" i="32"/>
  <c r="AW28" i="32"/>
  <c r="AV28" i="32"/>
  <c r="AU28" i="32"/>
  <c r="AT28" i="32"/>
  <c r="AS28" i="32"/>
  <c r="AR28" i="32"/>
  <c r="AQ28" i="32"/>
  <c r="AP28" i="32"/>
  <c r="AO28" i="32"/>
  <c r="AN28" i="32"/>
  <c r="AM28" i="32"/>
  <c r="AL28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B27" i="32"/>
  <c r="V26" i="32"/>
  <c r="V137" i="32" s="1"/>
  <c r="B25" i="32"/>
  <c r="B24" i="32"/>
  <c r="B23" i="32"/>
  <c r="B22" i="32"/>
  <c r="BP19" i="32"/>
  <c r="BO19" i="32"/>
  <c r="BN19" i="32"/>
  <c r="BM19" i="32"/>
  <c r="BL19" i="32"/>
  <c r="BK19" i="32"/>
  <c r="BJ19" i="32"/>
  <c r="BI19" i="32"/>
  <c r="BH19" i="32"/>
  <c r="BG19" i="32"/>
  <c r="BF19" i="32"/>
  <c r="BE19" i="32"/>
  <c r="BD19" i="32"/>
  <c r="BC19" i="32"/>
  <c r="BB19" i="32"/>
  <c r="BA19" i="32"/>
  <c r="AZ19" i="32"/>
  <c r="AY19" i="32"/>
  <c r="AX19" i="32"/>
  <c r="AW19" i="32"/>
  <c r="AV19" i="32"/>
  <c r="AU19" i="32"/>
  <c r="AT19" i="32"/>
  <c r="AS19" i="32"/>
  <c r="AR19" i="32"/>
  <c r="AQ19" i="32"/>
  <c r="AP19" i="32"/>
  <c r="AO19" i="32"/>
  <c r="AN19" i="32"/>
  <c r="AM19" i="32"/>
  <c r="AL19" i="32"/>
  <c r="AK19" i="32"/>
  <c r="AJ19" i="32"/>
  <c r="AI19" i="32"/>
  <c r="AH19" i="32"/>
  <c r="AG19" i="32"/>
  <c r="AF19" i="32"/>
  <c r="AE19" i="32"/>
  <c r="AD19" i="32"/>
  <c r="AC19" i="32"/>
  <c r="AB19" i="32"/>
  <c r="AA19" i="32"/>
  <c r="Z19" i="32"/>
  <c r="Y19" i="32"/>
  <c r="X19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B18" i="32"/>
  <c r="B17" i="32"/>
  <c r="B16" i="32"/>
  <c r="B15" i="32"/>
  <c r="B14" i="32"/>
  <c r="B13" i="32"/>
  <c r="B12" i="32"/>
  <c r="B11" i="32"/>
  <c r="C10" i="32"/>
  <c r="C130" i="32" s="1"/>
  <c r="B10" i="32"/>
  <c r="B9" i="32"/>
  <c r="B8" i="32"/>
  <c r="B7" i="32"/>
  <c r="B6" i="32"/>
  <c r="D148" i="32" l="1"/>
  <c r="L148" i="32"/>
  <c r="T148" i="32"/>
  <c r="AJ148" i="32"/>
  <c r="AR148" i="32"/>
  <c r="AZ148" i="32"/>
  <c r="BH148" i="32"/>
  <c r="BP148" i="32"/>
  <c r="B136" i="32"/>
  <c r="B139" i="32"/>
  <c r="H148" i="32"/>
  <c r="X148" i="32"/>
  <c r="AF148" i="32"/>
  <c r="AN148" i="32"/>
  <c r="AV148" i="32"/>
  <c r="BD148" i="32"/>
  <c r="BL148" i="32"/>
  <c r="B57" i="32"/>
  <c r="B127" i="32"/>
  <c r="B146" i="32"/>
  <c r="B67" i="32"/>
  <c r="B140" i="32"/>
  <c r="F148" i="32"/>
  <c r="J148" i="32"/>
  <c r="N148" i="32"/>
  <c r="R148" i="32"/>
  <c r="V148" i="32"/>
  <c r="Z148" i="32"/>
  <c r="AD148" i="32"/>
  <c r="AH148" i="32"/>
  <c r="AL148" i="32"/>
  <c r="AP148" i="32"/>
  <c r="AT148" i="32"/>
  <c r="AX148" i="32"/>
  <c r="BB148" i="32"/>
  <c r="BF148" i="32"/>
  <c r="BJ148" i="32"/>
  <c r="BN148" i="32"/>
  <c r="B126" i="32"/>
  <c r="B138" i="32"/>
  <c r="B144" i="32"/>
  <c r="B37" i="32"/>
  <c r="Q49" i="32"/>
  <c r="B135" i="32"/>
  <c r="B98" i="32"/>
  <c r="E148" i="32"/>
  <c r="I148" i="32"/>
  <c r="M148" i="32"/>
  <c r="Q148" i="32"/>
  <c r="U148" i="32"/>
  <c r="Y148" i="32"/>
  <c r="AC148" i="32"/>
  <c r="AG148" i="32"/>
  <c r="AK148" i="32"/>
  <c r="AO148" i="32"/>
  <c r="AS148" i="32"/>
  <c r="AW148" i="32"/>
  <c r="BA148" i="32"/>
  <c r="BE148" i="32"/>
  <c r="BI148" i="32"/>
  <c r="BM148" i="32"/>
  <c r="B131" i="32"/>
  <c r="B147" i="32"/>
  <c r="B19" i="32"/>
  <c r="B128" i="32"/>
  <c r="B153" i="32"/>
  <c r="B108" i="32"/>
  <c r="B130" i="32"/>
  <c r="B63" i="32"/>
  <c r="G148" i="32"/>
  <c r="K148" i="32"/>
  <c r="O148" i="32"/>
  <c r="S148" i="32"/>
  <c r="W148" i="32"/>
  <c r="AE148" i="32"/>
  <c r="AI148" i="32"/>
  <c r="AM148" i="32"/>
  <c r="AQ148" i="32"/>
  <c r="AU148" i="32"/>
  <c r="AY148" i="32"/>
  <c r="BC148" i="32"/>
  <c r="BG148" i="32"/>
  <c r="BK148" i="32"/>
  <c r="BO148" i="32"/>
  <c r="B133" i="32"/>
  <c r="B134" i="32"/>
  <c r="B141" i="32"/>
  <c r="B142" i="32"/>
  <c r="P148" i="32"/>
  <c r="AB148" i="32"/>
  <c r="B46" i="32"/>
  <c r="B49" i="32" s="1"/>
  <c r="P49" i="32"/>
  <c r="B76" i="32"/>
  <c r="B82" i="32" s="1"/>
  <c r="B125" i="32"/>
  <c r="AA137" i="32"/>
  <c r="B137" i="32" s="1"/>
  <c r="AB82" i="32"/>
  <c r="C129" i="32"/>
  <c r="B129" i="32" s="1"/>
  <c r="V28" i="32"/>
  <c r="B26" i="32"/>
  <c r="B28" i="32" s="1"/>
  <c r="B66" i="32"/>
  <c r="B70" i="32" s="1"/>
  <c r="C70" i="32"/>
  <c r="B152" i="32" l="1"/>
  <c r="B151" i="32"/>
  <c r="AA148" i="32"/>
  <c r="C148" i="32"/>
  <c r="B154" i="32"/>
  <c r="B148" i="32"/>
  <c r="B155" i="32" l="1"/>
  <c r="E41" i="22"/>
  <c r="E21" i="22"/>
  <c r="G36" i="31" l="1"/>
  <c r="E36" i="31"/>
  <c r="G35" i="31"/>
  <c r="G34" i="31"/>
  <c r="G33" i="31"/>
  <c r="G32" i="31"/>
  <c r="L25" i="31"/>
  <c r="M24" i="31"/>
  <c r="G24" i="31"/>
  <c r="H24" i="31" s="1"/>
  <c r="C24" i="31"/>
  <c r="C23" i="31"/>
  <c r="C22" i="31"/>
  <c r="E22" i="31" s="1"/>
  <c r="M22" i="31" s="1"/>
  <c r="C21" i="31"/>
  <c r="E21" i="31" s="1"/>
  <c r="M20" i="31"/>
  <c r="F20" i="31"/>
  <c r="G20" i="31" s="1"/>
  <c r="N20" i="31" s="1"/>
  <c r="C19" i="31"/>
  <c r="E19" i="31" s="1"/>
  <c r="K18" i="31"/>
  <c r="K22" i="31" s="1"/>
  <c r="F12" i="31"/>
  <c r="C12" i="31"/>
  <c r="N8" i="5" s="1"/>
  <c r="P11" i="31"/>
  <c r="P10" i="31"/>
  <c r="G10" i="31"/>
  <c r="H10" i="31" s="1"/>
  <c r="J10" i="31" s="1"/>
  <c r="D35" i="31" s="1"/>
  <c r="P9" i="31"/>
  <c r="G9" i="31"/>
  <c r="H9" i="31" s="1"/>
  <c r="J9" i="31" s="1"/>
  <c r="D34" i="31" s="1"/>
  <c r="P8" i="31"/>
  <c r="G8" i="31"/>
  <c r="H8" i="31" s="1"/>
  <c r="J8" i="31" s="1"/>
  <c r="D33" i="31" s="1"/>
  <c r="P7" i="31"/>
  <c r="G7" i="31"/>
  <c r="H7" i="31" s="1"/>
  <c r="J7" i="31" s="1"/>
  <c r="D32" i="31" s="1"/>
  <c r="P6" i="31"/>
  <c r="G6" i="31"/>
  <c r="H6" i="31" s="1"/>
  <c r="K20" i="31" l="1"/>
  <c r="K23" i="31"/>
  <c r="K19" i="31"/>
  <c r="P12" i="31"/>
  <c r="J6" i="31"/>
  <c r="M21" i="31"/>
  <c r="F21" i="31"/>
  <c r="F19" i="31"/>
  <c r="C25" i="31"/>
  <c r="H20" i="31"/>
  <c r="K21" i="31"/>
  <c r="F22" i="31"/>
  <c r="N24" i="31"/>
  <c r="P24" i="31" s="1"/>
  <c r="E23" i="31"/>
  <c r="M23" i="31" s="1"/>
  <c r="W4" i="4"/>
  <c r="W3" i="4"/>
  <c r="W2" i="4"/>
  <c r="G11" i="31" l="1"/>
  <c r="H11" i="31" s="1"/>
  <c r="G12" i="31"/>
  <c r="C18" i="26" s="1"/>
  <c r="O20" i="31"/>
  <c r="P20" i="31" s="1"/>
  <c r="R20" i="31" s="1"/>
  <c r="E32" i="31" s="1"/>
  <c r="F32" i="31" s="1"/>
  <c r="H32" i="31" s="1"/>
  <c r="G22" i="31"/>
  <c r="N22" i="31" s="1"/>
  <c r="E25" i="31"/>
  <c r="M19" i="31"/>
  <c r="D31" i="31"/>
  <c r="G19" i="31"/>
  <c r="F23" i="31"/>
  <c r="F25" i="31" s="1"/>
  <c r="G21" i="31"/>
  <c r="N21" i="31" s="1"/>
  <c r="J11" i="31" l="1"/>
  <c r="H12" i="31"/>
  <c r="N10" i="5" s="1"/>
  <c r="N19" i="31"/>
  <c r="H21" i="31"/>
  <c r="O21" i="31" s="1"/>
  <c r="P21" i="31" s="1"/>
  <c r="R21" i="31" s="1"/>
  <c r="E33" i="31" s="1"/>
  <c r="F33" i="31" s="1"/>
  <c r="H33" i="31" s="1"/>
  <c r="H22" i="31"/>
  <c r="O22" i="31" s="1"/>
  <c r="P22" i="31" s="1"/>
  <c r="R22" i="31" s="1"/>
  <c r="E34" i="31" s="1"/>
  <c r="F34" i="31" s="1"/>
  <c r="H34" i="31" s="1"/>
  <c r="G23" i="31"/>
  <c r="N23" i="31" s="1"/>
  <c r="H19" i="31"/>
  <c r="M25" i="31"/>
  <c r="D36" i="31" l="1"/>
  <c r="J12" i="31"/>
  <c r="O19" i="31"/>
  <c r="H23" i="31"/>
  <c r="O23" i="31" s="1"/>
  <c r="P23" i="31" s="1"/>
  <c r="R23" i="31" s="1"/>
  <c r="E35" i="31" s="1"/>
  <c r="F35" i="31" s="1"/>
  <c r="H35" i="31" s="1"/>
  <c r="N25" i="31"/>
  <c r="G25" i="31"/>
  <c r="F36" i="31" l="1"/>
  <c r="H36" i="31" s="1"/>
  <c r="D37" i="31"/>
  <c r="O25" i="31"/>
  <c r="P19" i="31"/>
  <c r="H25" i="31"/>
  <c r="P25" i="31" l="1"/>
  <c r="R19" i="31"/>
  <c r="E31" i="31" l="1"/>
  <c r="R25" i="31"/>
  <c r="E37" i="31" l="1"/>
  <c r="F31" i="31"/>
  <c r="F37" i="31" l="1"/>
  <c r="H31" i="31"/>
  <c r="H37" i="31" s="1"/>
  <c r="N11" i="5" s="1"/>
  <c r="N12" i="5" s="1"/>
  <c r="N15" i="5" s="1"/>
  <c r="N17" i="5" s="1"/>
  <c r="G36" i="27"/>
  <c r="E36" i="27"/>
  <c r="G35" i="27"/>
  <c r="G34" i="27"/>
  <c r="G33" i="27"/>
  <c r="G32" i="27"/>
  <c r="L25" i="27"/>
  <c r="M24" i="27"/>
  <c r="G24" i="27"/>
  <c r="N24" i="27" s="1"/>
  <c r="C24" i="27"/>
  <c r="C23" i="27"/>
  <c r="E23" i="27" s="1"/>
  <c r="M23" i="27" s="1"/>
  <c r="C22" i="27"/>
  <c r="E22" i="27" s="1"/>
  <c r="M22" i="27" s="1"/>
  <c r="C21" i="27"/>
  <c r="C20" i="27"/>
  <c r="C19" i="27"/>
  <c r="E19" i="27" s="1"/>
  <c r="K18" i="27"/>
  <c r="K22" i="27" s="1"/>
  <c r="F12" i="27"/>
  <c r="C12" i="27"/>
  <c r="M8" i="5" s="1"/>
  <c r="P11" i="27"/>
  <c r="P10" i="27"/>
  <c r="G10" i="27"/>
  <c r="H10" i="27" s="1"/>
  <c r="J10" i="27" s="1"/>
  <c r="D35" i="27" s="1"/>
  <c r="P9" i="27"/>
  <c r="G9" i="27"/>
  <c r="H9" i="27" s="1"/>
  <c r="J9" i="27" s="1"/>
  <c r="D34" i="27" s="1"/>
  <c r="P8" i="27"/>
  <c r="G8" i="27"/>
  <c r="H8" i="27" s="1"/>
  <c r="J8" i="27" s="1"/>
  <c r="D33" i="27" s="1"/>
  <c r="P7" i="27"/>
  <c r="G7" i="27"/>
  <c r="H7" i="27" s="1"/>
  <c r="J7" i="27" s="1"/>
  <c r="D32" i="27" s="1"/>
  <c r="P6" i="27"/>
  <c r="G6" i="27"/>
  <c r="K19" i="27" l="1"/>
  <c r="F20" i="27"/>
  <c r="G20" i="27" s="1"/>
  <c r="N20" i="27" s="1"/>
  <c r="D20" i="27"/>
  <c r="H24" i="27"/>
  <c r="K23" i="27"/>
  <c r="K20" i="27"/>
  <c r="P12" i="27"/>
  <c r="G11" i="27" s="1"/>
  <c r="H11" i="27" s="1"/>
  <c r="J11" i="27" s="1"/>
  <c r="D36" i="27" s="1"/>
  <c r="F36" i="27" s="1"/>
  <c r="H36" i="27" s="1"/>
  <c r="P24" i="27"/>
  <c r="F19" i="27"/>
  <c r="H6" i="27"/>
  <c r="H20" i="27"/>
  <c r="O20" i="27" s="1"/>
  <c r="P20" i="27" s="1"/>
  <c r="R20" i="27" s="1"/>
  <c r="E32" i="27" s="1"/>
  <c r="F32" i="27" s="1"/>
  <c r="H32" i="27" s="1"/>
  <c r="E21" i="27"/>
  <c r="K21" i="27"/>
  <c r="F22" i="27"/>
  <c r="C25" i="27"/>
  <c r="F23" i="27"/>
  <c r="E47" i="18"/>
  <c r="E48" i="18" s="1"/>
  <c r="G12" i="27" l="1"/>
  <c r="C17" i="26" s="1"/>
  <c r="G23" i="27"/>
  <c r="N23" i="27" s="1"/>
  <c r="G22" i="27"/>
  <c r="N22" i="27" s="1"/>
  <c r="G19" i="27"/>
  <c r="H19" i="27" s="1"/>
  <c r="E25" i="27"/>
  <c r="F21" i="27"/>
  <c r="J6" i="27"/>
  <c r="D31" i="27" s="1"/>
  <c r="H12" i="27"/>
  <c r="M10" i="5" s="1"/>
  <c r="H22" i="27" l="1"/>
  <c r="O22" i="27" s="1"/>
  <c r="O19" i="27"/>
  <c r="G21" i="27"/>
  <c r="N21" i="27" s="1"/>
  <c r="N19" i="27"/>
  <c r="M25" i="27"/>
  <c r="F25" i="27"/>
  <c r="H23" i="27"/>
  <c r="O23" i="27" s="1"/>
  <c r="P23" i="27" s="1"/>
  <c r="R23" i="27" s="1"/>
  <c r="E35" i="27" s="1"/>
  <c r="F35" i="27" s="1"/>
  <c r="H35" i="27" s="1"/>
  <c r="D37" i="27"/>
  <c r="J12" i="27"/>
  <c r="P22" i="27"/>
  <c r="R22" i="27" s="1"/>
  <c r="E34" i="27" s="1"/>
  <c r="F34" i="27" s="1"/>
  <c r="H34" i="27" s="1"/>
  <c r="H21" i="27" l="1"/>
  <c r="N25" i="27"/>
  <c r="P19" i="27"/>
  <c r="G25" i="27"/>
  <c r="R19" i="27" l="1"/>
  <c r="E31" i="27" s="1"/>
  <c r="O21" i="27"/>
  <c r="H25" i="27"/>
  <c r="C38" i="26"/>
  <c r="C29" i="26"/>
  <c r="P21" i="27" l="1"/>
  <c r="O25" i="27"/>
  <c r="F31" i="27" l="1"/>
  <c r="R21" i="27"/>
  <c r="P25" i="27"/>
  <c r="E45" i="22"/>
  <c r="E61" i="22"/>
  <c r="E12" i="22"/>
  <c r="E22" i="22"/>
  <c r="E17" i="22"/>
  <c r="E27" i="22"/>
  <c r="E34" i="22"/>
  <c r="D61" i="22"/>
  <c r="E56" i="22"/>
  <c r="D56" i="22"/>
  <c r="E52" i="22"/>
  <c r="D52" i="22"/>
  <c r="D45" i="22"/>
  <c r="D41" i="22"/>
  <c r="D34" i="22"/>
  <c r="D27" i="22"/>
  <c r="D22" i="22"/>
  <c r="D17" i="22"/>
  <c r="D12" i="22"/>
  <c r="D64" i="22" l="1"/>
  <c r="E33" i="27"/>
  <c r="R25" i="27"/>
  <c r="H31" i="27"/>
  <c r="E64" i="22"/>
  <c r="F33" i="27" l="1"/>
  <c r="E37" i="27"/>
  <c r="G36" i="18"/>
  <c r="E36" i="18"/>
  <c r="G35" i="18"/>
  <c r="G34" i="18"/>
  <c r="G33" i="18"/>
  <c r="G32" i="18"/>
  <c r="L25" i="18"/>
  <c r="M24" i="18"/>
  <c r="G24" i="18"/>
  <c r="N24" i="18" s="1"/>
  <c r="P24" i="18" s="1"/>
  <c r="C24" i="18"/>
  <c r="C23" i="18"/>
  <c r="C22" i="18"/>
  <c r="E22" i="18" s="1"/>
  <c r="M22" i="18" s="1"/>
  <c r="C21" i="18"/>
  <c r="E21" i="18" s="1"/>
  <c r="C20" i="18"/>
  <c r="C19" i="18"/>
  <c r="K18" i="18"/>
  <c r="K21" i="18" s="1"/>
  <c r="F12" i="18"/>
  <c r="C12" i="18"/>
  <c r="L8" i="5" s="1"/>
  <c r="P11" i="18"/>
  <c r="P10" i="18"/>
  <c r="G10" i="18"/>
  <c r="H10" i="18" s="1"/>
  <c r="J10" i="18" s="1"/>
  <c r="D35" i="18" s="1"/>
  <c r="P9" i="18"/>
  <c r="G9" i="18"/>
  <c r="H9" i="18" s="1"/>
  <c r="J9" i="18" s="1"/>
  <c r="D34" i="18" s="1"/>
  <c r="P8" i="18"/>
  <c r="G8" i="18"/>
  <c r="H8" i="18" s="1"/>
  <c r="J8" i="18" s="1"/>
  <c r="D33" i="18" s="1"/>
  <c r="P7" i="18"/>
  <c r="G7" i="18"/>
  <c r="H7" i="18" s="1"/>
  <c r="J7" i="18" s="1"/>
  <c r="D32" i="18" s="1"/>
  <c r="P6" i="18"/>
  <c r="G6" i="18"/>
  <c r="K20" i="18" l="1"/>
  <c r="H33" i="27"/>
  <c r="H37" i="27" s="1"/>
  <c r="M11" i="5" s="1"/>
  <c r="F37" i="27"/>
  <c r="K19" i="18"/>
  <c r="K22" i="18"/>
  <c r="P12" i="18"/>
  <c r="G11" i="18" s="1"/>
  <c r="H11" i="18" s="1"/>
  <c r="J11" i="18" s="1"/>
  <c r="D36" i="18" s="1"/>
  <c r="F36" i="18" s="1"/>
  <c r="H36" i="18" s="1"/>
  <c r="F21" i="18"/>
  <c r="E23" i="18"/>
  <c r="M23" i="18" s="1"/>
  <c r="K23" i="18"/>
  <c r="H24" i="18"/>
  <c r="C25" i="18"/>
  <c r="E19" i="18"/>
  <c r="F19" i="18" s="1"/>
  <c r="H6" i="18"/>
  <c r="F22" i="18"/>
  <c r="M12" i="5" l="1"/>
  <c r="M15" i="5" s="1"/>
  <c r="M17" i="5" s="1"/>
  <c r="G12" i="18"/>
  <c r="C16" i="26" s="1"/>
  <c r="G19" i="18"/>
  <c r="H19" i="18" s="1"/>
  <c r="H12" i="18"/>
  <c r="L10" i="5" s="1"/>
  <c r="J6" i="18"/>
  <c r="G22" i="18"/>
  <c r="N22" i="18" s="1"/>
  <c r="G21" i="18"/>
  <c r="N21" i="18" s="1"/>
  <c r="F23" i="18"/>
  <c r="O19" i="18" l="1"/>
  <c r="D31" i="18"/>
  <c r="D37" i="18" s="1"/>
  <c r="J12" i="18"/>
  <c r="H21" i="18"/>
  <c r="O21" i="18" s="1"/>
  <c r="P21" i="18" s="1"/>
  <c r="R21" i="18" s="1"/>
  <c r="E33" i="18" s="1"/>
  <c r="F33" i="18" s="1"/>
  <c r="H33" i="18" s="1"/>
  <c r="H22" i="18"/>
  <c r="O22" i="18" s="1"/>
  <c r="P22" i="18" s="1"/>
  <c r="R22" i="18" s="1"/>
  <c r="E34" i="18" s="1"/>
  <c r="F34" i="18" s="1"/>
  <c r="H34" i="18" s="1"/>
  <c r="N19" i="18"/>
  <c r="G23" i="18"/>
  <c r="N23" i="18" s="1"/>
  <c r="M25" i="18"/>
  <c r="P19" i="18" l="1"/>
  <c r="R19" i="18" s="1"/>
  <c r="H23" i="18"/>
  <c r="O23" i="18" s="1"/>
  <c r="P23" i="18" s="1"/>
  <c r="C14" i="16"/>
  <c r="E14" i="16" l="1"/>
  <c r="R23" i="18"/>
  <c r="E35" i="18" s="1"/>
  <c r="F35" i="18" s="1"/>
  <c r="H35" i="18" s="1"/>
  <c r="E31" i="18"/>
  <c r="F31" i="18" l="1"/>
  <c r="H31" i="18" s="1"/>
  <c r="G36" i="17"/>
  <c r="E36" i="17"/>
  <c r="G35" i="17"/>
  <c r="G34" i="17"/>
  <c r="G33" i="17"/>
  <c r="G32" i="17"/>
  <c r="L25" i="17"/>
  <c r="G24" i="17"/>
  <c r="P24" i="17" s="1"/>
  <c r="C24" i="17"/>
  <c r="C23" i="17"/>
  <c r="C22" i="17"/>
  <c r="C21" i="17"/>
  <c r="E21" i="17" s="1"/>
  <c r="M20" i="17"/>
  <c r="C20" i="17"/>
  <c r="D20" i="17" s="1"/>
  <c r="C19" i="17"/>
  <c r="K18" i="17"/>
  <c r="K21" i="17" s="1"/>
  <c r="F12" i="17"/>
  <c r="C12" i="17"/>
  <c r="P11" i="17"/>
  <c r="P10" i="17"/>
  <c r="G10" i="17"/>
  <c r="H10" i="17" s="1"/>
  <c r="J10" i="17" s="1"/>
  <c r="D35" i="17" s="1"/>
  <c r="P9" i="17"/>
  <c r="G9" i="17"/>
  <c r="H9" i="17" s="1"/>
  <c r="J9" i="17" s="1"/>
  <c r="D34" i="17" s="1"/>
  <c r="P8" i="17"/>
  <c r="G8" i="17"/>
  <c r="H8" i="17" s="1"/>
  <c r="J8" i="17" s="1"/>
  <c r="D33" i="17" s="1"/>
  <c r="P7" i="17"/>
  <c r="G7" i="17"/>
  <c r="H7" i="17" s="1"/>
  <c r="J7" i="17" s="1"/>
  <c r="D32" i="17" s="1"/>
  <c r="P6" i="17"/>
  <c r="G6" i="17"/>
  <c r="F20" i="17" l="1"/>
  <c r="K20" i="17"/>
  <c r="K22" i="17"/>
  <c r="K19" i="17"/>
  <c r="K23" i="17"/>
  <c r="K8" i="5"/>
  <c r="P12" i="17"/>
  <c r="G11" i="17" s="1"/>
  <c r="H11" i="17" s="1"/>
  <c r="J11" i="17" s="1"/>
  <c r="D36" i="17" s="1"/>
  <c r="F36" i="17" s="1"/>
  <c r="H36" i="17" s="1"/>
  <c r="F21" i="17"/>
  <c r="E19" i="17"/>
  <c r="F19" i="17" s="1"/>
  <c r="H24" i="17"/>
  <c r="C25" i="17"/>
  <c r="E23" i="17"/>
  <c r="H6" i="17"/>
  <c r="G20" i="17"/>
  <c r="E22" i="17"/>
  <c r="G12" i="17" l="1"/>
  <c r="C15" i="26" s="1"/>
  <c r="H20" i="17"/>
  <c r="O20" i="17" s="1"/>
  <c r="P20" i="17" s="1"/>
  <c r="R20" i="17" s="1"/>
  <c r="E32" i="17" s="1"/>
  <c r="F32" i="17" s="1"/>
  <c r="H32" i="17" s="1"/>
  <c r="G21" i="17"/>
  <c r="F22" i="17"/>
  <c r="G19" i="17"/>
  <c r="H19" i="17" s="1"/>
  <c r="F23" i="17"/>
  <c r="H12" i="17"/>
  <c r="K10" i="5" s="1"/>
  <c r="J6" i="17"/>
  <c r="E25" i="17"/>
  <c r="O19" i="17" l="1"/>
  <c r="G22" i="17"/>
  <c r="H22" i="17"/>
  <c r="O22" i="17" s="1"/>
  <c r="M25" i="17"/>
  <c r="G23" i="17"/>
  <c r="D31" i="17"/>
  <c r="D37" i="17" s="1"/>
  <c r="J12" i="17"/>
  <c r="N25" i="17"/>
  <c r="F25" i="17"/>
  <c r="H21" i="17"/>
  <c r="O21" i="17" s="1"/>
  <c r="P21" i="17" s="1"/>
  <c r="R21" i="17" s="1"/>
  <c r="E33" i="17" s="1"/>
  <c r="F33" i="17" s="1"/>
  <c r="H33" i="17" s="1"/>
  <c r="G25" i="17" l="1"/>
  <c r="H23" i="17"/>
  <c r="O23" i="17" s="1"/>
  <c r="O25" i="17" s="1"/>
  <c r="P22" i="17"/>
  <c r="R22" i="17" s="1"/>
  <c r="E34" i="17" s="1"/>
  <c r="F34" i="17" s="1"/>
  <c r="H34" i="17" s="1"/>
  <c r="P19" i="17"/>
  <c r="G36" i="13"/>
  <c r="E36" i="13"/>
  <c r="G35" i="13"/>
  <c r="G34" i="13"/>
  <c r="G33" i="13"/>
  <c r="G32" i="13"/>
  <c r="L25" i="13"/>
  <c r="M24" i="13"/>
  <c r="G24" i="13"/>
  <c r="N24" i="13" s="1"/>
  <c r="C24" i="13"/>
  <c r="C23" i="13"/>
  <c r="C22" i="13"/>
  <c r="C21" i="13"/>
  <c r="E21" i="13" s="1"/>
  <c r="C20" i="13"/>
  <c r="F20" i="13" s="1"/>
  <c r="C19" i="13"/>
  <c r="K18" i="13"/>
  <c r="K21" i="13" s="1"/>
  <c r="F12" i="13"/>
  <c r="C12" i="13"/>
  <c r="P11" i="13"/>
  <c r="P10" i="13"/>
  <c r="G10" i="13"/>
  <c r="H10" i="13" s="1"/>
  <c r="J10" i="13" s="1"/>
  <c r="D35" i="13" s="1"/>
  <c r="P9" i="13"/>
  <c r="G9" i="13"/>
  <c r="H9" i="13" s="1"/>
  <c r="J9" i="13" s="1"/>
  <c r="D34" i="13" s="1"/>
  <c r="P8" i="13"/>
  <c r="G8" i="13"/>
  <c r="H8" i="13" s="1"/>
  <c r="J8" i="13" s="1"/>
  <c r="D33" i="13" s="1"/>
  <c r="P7" i="13"/>
  <c r="G7" i="13"/>
  <c r="H7" i="13" s="1"/>
  <c r="J7" i="13" s="1"/>
  <c r="D32" i="13" s="1"/>
  <c r="P6" i="13"/>
  <c r="G6" i="13"/>
  <c r="P24" i="13" l="1"/>
  <c r="H25" i="17"/>
  <c r="P23" i="17"/>
  <c r="R23" i="17" s="1"/>
  <c r="E35" i="17" s="1"/>
  <c r="F35" i="17" s="1"/>
  <c r="H35" i="17" s="1"/>
  <c r="K19" i="13"/>
  <c r="K23" i="13"/>
  <c r="K20" i="13"/>
  <c r="K22" i="13"/>
  <c r="R19" i="17"/>
  <c r="J8" i="5"/>
  <c r="P12" i="13"/>
  <c r="G11" i="13" s="1"/>
  <c r="H11" i="13" s="1"/>
  <c r="J11" i="13" s="1"/>
  <c r="D36" i="13" s="1"/>
  <c r="F36" i="13" s="1"/>
  <c r="H36" i="13" s="1"/>
  <c r="D20" i="13"/>
  <c r="F21" i="13"/>
  <c r="E19" i="13"/>
  <c r="H24" i="13"/>
  <c r="C25" i="13"/>
  <c r="E23" i="13"/>
  <c r="M23" i="13" s="1"/>
  <c r="H6" i="13"/>
  <c r="G20" i="13"/>
  <c r="E22" i="13"/>
  <c r="M22" i="13" s="1"/>
  <c r="F23" i="13"/>
  <c r="P25" i="17" l="1"/>
  <c r="R25" i="17"/>
  <c r="E31" i="17"/>
  <c r="G12" i="13"/>
  <c r="C14" i="26" s="1"/>
  <c r="H12" i="13"/>
  <c r="J10" i="5" s="1"/>
  <c r="J6" i="13"/>
  <c r="E25" i="13"/>
  <c r="G21" i="13"/>
  <c r="N21" i="13" s="1"/>
  <c r="G23" i="13"/>
  <c r="N23" i="13" s="1"/>
  <c r="H20" i="13"/>
  <c r="O20" i="13" s="1"/>
  <c r="P20" i="13" s="1"/>
  <c r="R20" i="13" s="1"/>
  <c r="E32" i="13" s="1"/>
  <c r="F32" i="13" s="1"/>
  <c r="H32" i="13" s="1"/>
  <c r="F22" i="13"/>
  <c r="F19" i="13"/>
  <c r="H23" i="13" l="1"/>
  <c r="O23" i="13" s="1"/>
  <c r="P23" i="13"/>
  <c r="R23" i="13" s="1"/>
  <c r="E35" i="13" s="1"/>
  <c r="F35" i="13" s="1"/>
  <c r="H35" i="13" s="1"/>
  <c r="E37" i="17"/>
  <c r="F31" i="17"/>
  <c r="H21" i="13"/>
  <c r="O21" i="13" s="1"/>
  <c r="P21" i="13" s="1"/>
  <c r="R21" i="13" s="1"/>
  <c r="E33" i="13" s="1"/>
  <c r="F33" i="13" s="1"/>
  <c r="H33" i="13" s="1"/>
  <c r="M25" i="13"/>
  <c r="F25" i="13"/>
  <c r="G19" i="13"/>
  <c r="G22" i="13"/>
  <c r="N22" i="13" s="1"/>
  <c r="H22" i="13"/>
  <c r="O22" i="13" s="1"/>
  <c r="D31" i="13"/>
  <c r="D37" i="13" s="1"/>
  <c r="J12" i="13"/>
  <c r="G36" i="12"/>
  <c r="E36" i="12"/>
  <c r="G35" i="12"/>
  <c r="G34" i="12"/>
  <c r="G33" i="12"/>
  <c r="G32" i="12"/>
  <c r="L25" i="12"/>
  <c r="M24" i="12"/>
  <c r="G24" i="12"/>
  <c r="H24" i="12" s="1"/>
  <c r="C24" i="12"/>
  <c r="C23" i="12"/>
  <c r="C22" i="12"/>
  <c r="E22" i="12" s="1"/>
  <c r="C21" i="12"/>
  <c r="E21" i="12" s="1"/>
  <c r="F21" i="12" s="1"/>
  <c r="C20" i="12"/>
  <c r="D20" i="12" s="1"/>
  <c r="C19" i="12"/>
  <c r="K18" i="12"/>
  <c r="K22" i="12" s="1"/>
  <c r="F12" i="12"/>
  <c r="C12" i="12"/>
  <c r="I8" i="5" s="1"/>
  <c r="P11" i="12"/>
  <c r="P10" i="12"/>
  <c r="G10" i="12"/>
  <c r="H10" i="12" s="1"/>
  <c r="J10" i="12" s="1"/>
  <c r="D35" i="12" s="1"/>
  <c r="P9" i="12"/>
  <c r="G9" i="12"/>
  <c r="H9" i="12" s="1"/>
  <c r="J9" i="12" s="1"/>
  <c r="D34" i="12" s="1"/>
  <c r="P8" i="12"/>
  <c r="G8" i="12"/>
  <c r="H8" i="12" s="1"/>
  <c r="J8" i="12" s="1"/>
  <c r="D33" i="12" s="1"/>
  <c r="P7" i="12"/>
  <c r="G7" i="12"/>
  <c r="H7" i="12" s="1"/>
  <c r="J7" i="12" s="1"/>
  <c r="D32" i="12" s="1"/>
  <c r="P6" i="12"/>
  <c r="G6" i="12"/>
  <c r="H6" i="12" s="1"/>
  <c r="N24" i="12" l="1"/>
  <c r="P24" i="12" s="1"/>
  <c r="F37" i="17"/>
  <c r="H31" i="17"/>
  <c r="H37" i="17" s="1"/>
  <c r="K11" i="5" s="1"/>
  <c r="K12" i="5" s="1"/>
  <c r="K15" i="5" s="1"/>
  <c r="K17" i="5" s="1"/>
  <c r="G25" i="13"/>
  <c r="H19" i="13"/>
  <c r="P22" i="13"/>
  <c r="R22" i="13" s="1"/>
  <c r="E34" i="13" s="1"/>
  <c r="F34" i="13" s="1"/>
  <c r="H34" i="13" s="1"/>
  <c r="P12" i="12"/>
  <c r="G11" i="12" s="1"/>
  <c r="H11" i="12" s="1"/>
  <c r="J11" i="12" s="1"/>
  <c r="D36" i="12" s="1"/>
  <c r="F36" i="12" s="1"/>
  <c r="H36" i="12" s="1"/>
  <c r="J6" i="12"/>
  <c r="M22" i="12"/>
  <c r="F22" i="12"/>
  <c r="G21" i="12"/>
  <c r="N21" i="12" s="1"/>
  <c r="E19" i="12"/>
  <c r="F19" i="12" s="1"/>
  <c r="E23" i="12"/>
  <c r="M23" i="12" s="1"/>
  <c r="K23" i="12"/>
  <c r="C25" i="12"/>
  <c r="K21" i="12"/>
  <c r="K20" i="12"/>
  <c r="K19" i="12"/>
  <c r="H25" i="13" l="1"/>
  <c r="O19" i="13"/>
  <c r="O25" i="13" s="1"/>
  <c r="N25" i="13"/>
  <c r="G12" i="12"/>
  <c r="C13" i="26" s="1"/>
  <c r="H12" i="12"/>
  <c r="I10" i="5" s="1"/>
  <c r="F23" i="12"/>
  <c r="F20" i="12"/>
  <c r="G19" i="12"/>
  <c r="E25" i="12"/>
  <c r="H21" i="12"/>
  <c r="O21" i="12" s="1"/>
  <c r="P21" i="12" s="1"/>
  <c r="R21" i="12" s="1"/>
  <c r="E33" i="12" s="1"/>
  <c r="F33" i="12" s="1"/>
  <c r="H33" i="12" s="1"/>
  <c r="G22" i="12"/>
  <c r="N22" i="12" s="1"/>
  <c r="D31" i="12"/>
  <c r="D37" i="12" s="1"/>
  <c r="J12" i="12"/>
  <c r="P19" i="13" l="1"/>
  <c r="G20" i="12"/>
  <c r="H22" i="12"/>
  <c r="O22" i="12" s="1"/>
  <c r="P22" i="12" s="1"/>
  <c r="R22" i="12" s="1"/>
  <c r="E34" i="12" s="1"/>
  <c r="F34" i="12" s="1"/>
  <c r="H34" i="12" s="1"/>
  <c r="F25" i="12"/>
  <c r="G23" i="12"/>
  <c r="N23" i="12" s="1"/>
  <c r="H23" i="12"/>
  <c r="O23" i="12" s="1"/>
  <c r="M25" i="12"/>
  <c r="H19" i="12"/>
  <c r="P25" i="13" l="1"/>
  <c r="R19" i="13"/>
  <c r="N25" i="12"/>
  <c r="G25" i="12"/>
  <c r="O19" i="12"/>
  <c r="P19" i="12" s="1"/>
  <c r="P23" i="12"/>
  <c r="R23" i="12" s="1"/>
  <c r="E35" i="12" s="1"/>
  <c r="F35" i="12" s="1"/>
  <c r="H35" i="12" s="1"/>
  <c r="H20" i="12"/>
  <c r="O20" i="12" s="1"/>
  <c r="P20" i="12" s="1"/>
  <c r="R20" i="12" s="1"/>
  <c r="E32" i="12" s="1"/>
  <c r="F32" i="12" s="1"/>
  <c r="H32" i="12" s="1"/>
  <c r="G36" i="11"/>
  <c r="E36" i="11"/>
  <c r="G35" i="11"/>
  <c r="G34" i="11"/>
  <c r="G33" i="11"/>
  <c r="G32" i="11"/>
  <c r="L25" i="11"/>
  <c r="M24" i="11"/>
  <c r="G24" i="11"/>
  <c r="N24" i="11" s="1"/>
  <c r="C24" i="11"/>
  <c r="C23" i="11"/>
  <c r="E23" i="11" s="1"/>
  <c r="M23" i="11" s="1"/>
  <c r="C22" i="11"/>
  <c r="C21" i="11"/>
  <c r="E21" i="11" s="1"/>
  <c r="C20" i="11"/>
  <c r="E20" i="11" s="1"/>
  <c r="M20" i="11" s="1"/>
  <c r="C19" i="11"/>
  <c r="E19" i="11" s="1"/>
  <c r="K18" i="11"/>
  <c r="K21" i="11" s="1"/>
  <c r="F12" i="11"/>
  <c r="C12" i="11"/>
  <c r="H8" i="5" s="1"/>
  <c r="P11" i="11"/>
  <c r="P10" i="11"/>
  <c r="G10" i="11"/>
  <c r="H10" i="11" s="1"/>
  <c r="J10" i="11" s="1"/>
  <c r="D35" i="11" s="1"/>
  <c r="P9" i="11"/>
  <c r="G9" i="11"/>
  <c r="H9" i="11" s="1"/>
  <c r="J9" i="11" s="1"/>
  <c r="D34" i="11" s="1"/>
  <c r="P8" i="11"/>
  <c r="G8" i="11"/>
  <c r="H8" i="11" s="1"/>
  <c r="J8" i="11" s="1"/>
  <c r="D33" i="11" s="1"/>
  <c r="P7" i="11"/>
  <c r="G7" i="11"/>
  <c r="H7" i="11" s="1"/>
  <c r="J7" i="11" s="1"/>
  <c r="D32" i="11" s="1"/>
  <c r="P6" i="11"/>
  <c r="G6" i="11"/>
  <c r="P24" i="11" l="1"/>
  <c r="K19" i="11"/>
  <c r="K23" i="11"/>
  <c r="R25" i="13"/>
  <c r="E31" i="13"/>
  <c r="K22" i="11"/>
  <c r="K20" i="11"/>
  <c r="P25" i="12"/>
  <c r="R19" i="12"/>
  <c r="O25" i="12"/>
  <c r="H25" i="12"/>
  <c r="P12" i="11"/>
  <c r="G11" i="11" s="1"/>
  <c r="H11" i="11" s="1"/>
  <c r="J11" i="11" s="1"/>
  <c r="D36" i="11" s="1"/>
  <c r="F36" i="11" s="1"/>
  <c r="H36" i="11" s="1"/>
  <c r="F21" i="11"/>
  <c r="F20" i="11"/>
  <c r="H24" i="11"/>
  <c r="C25" i="11"/>
  <c r="H6" i="11"/>
  <c r="F19" i="11"/>
  <c r="E22" i="11"/>
  <c r="M22" i="11" s="1"/>
  <c r="F23" i="11"/>
  <c r="E37" i="13" l="1"/>
  <c r="F31" i="13"/>
  <c r="H31" i="13" s="1"/>
  <c r="E31" i="12"/>
  <c r="R25" i="12"/>
  <c r="G12" i="11"/>
  <c r="C12" i="26" s="1"/>
  <c r="G23" i="11"/>
  <c r="N23" i="11" s="1"/>
  <c r="M25" i="11"/>
  <c r="F22" i="11"/>
  <c r="F25" i="11" s="1"/>
  <c r="G19" i="11"/>
  <c r="H19" i="11" s="1"/>
  <c r="G20" i="11"/>
  <c r="E25" i="11"/>
  <c r="J6" i="11"/>
  <c r="H12" i="11"/>
  <c r="H10" i="5" s="1"/>
  <c r="G21" i="11"/>
  <c r="N21" i="11" s="1"/>
  <c r="G10" i="6"/>
  <c r="G9" i="6"/>
  <c r="G7" i="6"/>
  <c r="P11" i="3"/>
  <c r="P10" i="3"/>
  <c r="P9" i="3"/>
  <c r="G10" i="3"/>
  <c r="G9" i="3"/>
  <c r="G10" i="10"/>
  <c r="G9" i="10"/>
  <c r="G8" i="10"/>
  <c r="G7" i="10"/>
  <c r="G6" i="10"/>
  <c r="G10" i="8"/>
  <c r="G9" i="8"/>
  <c r="G7" i="8"/>
  <c r="F37" i="13" l="1"/>
  <c r="H37" i="13"/>
  <c r="J11" i="5" s="1"/>
  <c r="J12" i="5" s="1"/>
  <c r="J15" i="5" s="1"/>
  <c r="J17" i="5" s="1"/>
  <c r="E37" i="12"/>
  <c r="F31" i="12"/>
  <c r="H21" i="11"/>
  <c r="O21" i="11" s="1"/>
  <c r="P21" i="11" s="1"/>
  <c r="R21" i="11" s="1"/>
  <c r="E33" i="11" s="1"/>
  <c r="F33" i="11" s="1"/>
  <c r="H33" i="11" s="1"/>
  <c r="H20" i="11"/>
  <c r="O20" i="11" s="1"/>
  <c r="P20" i="11" s="1"/>
  <c r="R20" i="11" s="1"/>
  <c r="E32" i="11" s="1"/>
  <c r="F32" i="11" s="1"/>
  <c r="H32" i="11" s="1"/>
  <c r="D31" i="11"/>
  <c r="D37" i="11" s="1"/>
  <c r="J12" i="11"/>
  <c r="O19" i="11"/>
  <c r="G22" i="11"/>
  <c r="N22" i="11" s="1"/>
  <c r="N19" i="11"/>
  <c r="H23" i="11"/>
  <c r="O23" i="11" s="1"/>
  <c r="P23" i="11" s="1"/>
  <c r="R23" i="11" s="1"/>
  <c r="E35" i="11" s="1"/>
  <c r="F35" i="11" s="1"/>
  <c r="H35" i="11" s="1"/>
  <c r="H31" i="12" l="1"/>
  <c r="H37" i="12" s="1"/>
  <c r="I11" i="5" s="1"/>
  <c r="I12" i="5" s="1"/>
  <c r="I15" i="5" s="1"/>
  <c r="I17" i="5" s="1"/>
  <c r="F37" i="12"/>
  <c r="N25" i="11"/>
  <c r="P19" i="11"/>
  <c r="G25" i="11"/>
  <c r="H22" i="11"/>
  <c r="G36" i="10"/>
  <c r="E36" i="10"/>
  <c r="G35" i="10"/>
  <c r="G34" i="10"/>
  <c r="G33" i="10"/>
  <c r="G32" i="10"/>
  <c r="L25" i="10"/>
  <c r="M24" i="10"/>
  <c r="G24" i="10"/>
  <c r="N24" i="10" s="1"/>
  <c r="P24" i="10" s="1"/>
  <c r="C24" i="10"/>
  <c r="C23" i="10"/>
  <c r="E23" i="10" s="1"/>
  <c r="M23" i="10" s="1"/>
  <c r="C22" i="10"/>
  <c r="C20" i="10"/>
  <c r="E20" i="10" s="1"/>
  <c r="M20" i="10" s="1"/>
  <c r="C19" i="10"/>
  <c r="K18" i="10"/>
  <c r="K21" i="10" s="1"/>
  <c r="F12" i="10"/>
  <c r="P11" i="10"/>
  <c r="P10" i="10"/>
  <c r="H10" i="10"/>
  <c r="J10" i="10" s="1"/>
  <c r="D35" i="10" s="1"/>
  <c r="P9" i="10"/>
  <c r="H9" i="10"/>
  <c r="J9" i="10" s="1"/>
  <c r="D34" i="10" s="1"/>
  <c r="P8" i="10"/>
  <c r="P7" i="10"/>
  <c r="H7" i="10"/>
  <c r="J7" i="10" s="1"/>
  <c r="D32" i="10" s="1"/>
  <c r="P6" i="10"/>
  <c r="K23" i="10" l="1"/>
  <c r="K20" i="10"/>
  <c r="K19" i="10"/>
  <c r="R19" i="11"/>
  <c r="O22" i="11"/>
  <c r="H25" i="11"/>
  <c r="P12" i="10"/>
  <c r="H6" i="10"/>
  <c r="H8" i="10"/>
  <c r="J8" i="10" s="1"/>
  <c r="D33" i="10" s="1"/>
  <c r="C12" i="10"/>
  <c r="G8" i="5" s="1"/>
  <c r="E19" i="10"/>
  <c r="F19" i="10" s="1"/>
  <c r="H24" i="10"/>
  <c r="C21" i="10"/>
  <c r="E22" i="10"/>
  <c r="M22" i="10" s="1"/>
  <c r="K22" i="10"/>
  <c r="F23" i="10"/>
  <c r="F20" i="10"/>
  <c r="F22" i="10"/>
  <c r="G11" i="10" l="1"/>
  <c r="G12" i="10" s="1"/>
  <c r="C11" i="26" s="1"/>
  <c r="O25" i="11"/>
  <c r="P22" i="11"/>
  <c r="E31" i="11"/>
  <c r="E21" i="10"/>
  <c r="J6" i="10"/>
  <c r="G20" i="10"/>
  <c r="N20" i="10" s="1"/>
  <c r="C25" i="10"/>
  <c r="G22" i="10"/>
  <c r="N22" i="10" s="1"/>
  <c r="G23" i="10"/>
  <c r="N23" i="10" s="1"/>
  <c r="H23" i="10"/>
  <c r="O23" i="10" s="1"/>
  <c r="G19" i="10"/>
  <c r="H11" i="10" l="1"/>
  <c r="F31" i="11"/>
  <c r="H31" i="11" s="1"/>
  <c r="R22" i="11"/>
  <c r="P25" i="11"/>
  <c r="E25" i="10"/>
  <c r="H20" i="10"/>
  <c r="O20" i="10" s="1"/>
  <c r="P20" i="10" s="1"/>
  <c r="R20" i="10" s="1"/>
  <c r="E32" i="10" s="1"/>
  <c r="F32" i="10" s="1"/>
  <c r="H32" i="10" s="1"/>
  <c r="N19" i="10"/>
  <c r="M25" i="10"/>
  <c r="H19" i="10"/>
  <c r="H22" i="10"/>
  <c r="O22" i="10" s="1"/>
  <c r="P22" i="10" s="1"/>
  <c r="R22" i="10" s="1"/>
  <c r="E34" i="10" s="1"/>
  <c r="F34" i="10" s="1"/>
  <c r="H34" i="10" s="1"/>
  <c r="F21" i="10"/>
  <c r="P23" i="10"/>
  <c r="R23" i="10" s="1"/>
  <c r="E35" i="10" s="1"/>
  <c r="F35" i="10" s="1"/>
  <c r="H35" i="10" s="1"/>
  <c r="D31" i="10"/>
  <c r="J11" i="10" l="1"/>
  <c r="H12" i="10"/>
  <c r="G10" i="5" s="1"/>
  <c r="E34" i="11"/>
  <c r="R25" i="11"/>
  <c r="G21" i="10"/>
  <c r="H21" i="10" s="1"/>
  <c r="O21" i="10" s="1"/>
  <c r="F25" i="10"/>
  <c r="O19" i="10"/>
  <c r="D36" i="10" l="1"/>
  <c r="J12" i="10"/>
  <c r="F34" i="11"/>
  <c r="H34" i="11" s="1"/>
  <c r="E37" i="11"/>
  <c r="H25" i="10"/>
  <c r="O25" i="10"/>
  <c r="P19" i="10"/>
  <c r="N21" i="10"/>
  <c r="G25" i="10"/>
  <c r="G24" i="8"/>
  <c r="P7" i="6"/>
  <c r="P7" i="8"/>
  <c r="F36" i="10" l="1"/>
  <c r="H36" i="10" s="1"/>
  <c r="D37" i="10"/>
  <c r="H37" i="11"/>
  <c r="H11" i="5" s="1"/>
  <c r="H12" i="5" s="1"/>
  <c r="H15" i="5" s="1"/>
  <c r="H17" i="5" s="1"/>
  <c r="F37" i="11"/>
  <c r="P21" i="10"/>
  <c r="R21" i="10" s="1"/>
  <c r="E33" i="10" s="1"/>
  <c r="F33" i="10" s="1"/>
  <c r="H33" i="10" s="1"/>
  <c r="N25" i="10"/>
  <c r="R19" i="10"/>
  <c r="R25" i="10" l="1"/>
  <c r="E31" i="10"/>
  <c r="P25" i="10"/>
  <c r="C8" i="8"/>
  <c r="G8" i="8" l="1"/>
  <c r="H8" i="8" s="1"/>
  <c r="J8" i="8" s="1"/>
  <c r="D33" i="8" s="1"/>
  <c r="P8" i="8"/>
  <c r="E37" i="10"/>
  <c r="F31" i="10"/>
  <c r="H31" i="10" s="1"/>
  <c r="C6" i="8"/>
  <c r="G36" i="8"/>
  <c r="E36" i="8"/>
  <c r="G35" i="8"/>
  <c r="G34" i="8"/>
  <c r="G33" i="8"/>
  <c r="G32" i="8"/>
  <c r="L25" i="8"/>
  <c r="N24" i="8"/>
  <c r="M24" i="8"/>
  <c r="P24" i="8" s="1"/>
  <c r="H24" i="8"/>
  <c r="C23" i="8"/>
  <c r="C22" i="8"/>
  <c r="E22" i="8" s="1"/>
  <c r="C20" i="8"/>
  <c r="E20" i="8" s="1"/>
  <c r="K18" i="8"/>
  <c r="K21" i="8" s="1"/>
  <c r="F12" i="8"/>
  <c r="C12" i="8"/>
  <c r="F8" i="5" s="1"/>
  <c r="C24" i="8"/>
  <c r="P10" i="8"/>
  <c r="H10" i="8"/>
  <c r="J10" i="8" s="1"/>
  <c r="D35" i="8" s="1"/>
  <c r="P9" i="8"/>
  <c r="H9" i="8"/>
  <c r="J9" i="8" s="1"/>
  <c r="D34" i="8" s="1"/>
  <c r="H7" i="8"/>
  <c r="J7" i="8" s="1"/>
  <c r="D32" i="8" s="1"/>
  <c r="C19" i="8" l="1"/>
  <c r="E19" i="8" s="1"/>
  <c r="F19" i="8" s="1"/>
  <c r="G19" i="8" s="1"/>
  <c r="H19" i="8" s="1"/>
  <c r="G6" i="8"/>
  <c r="P6" i="8"/>
  <c r="E23" i="8"/>
  <c r="M23" i="8" s="1"/>
  <c r="K20" i="8"/>
  <c r="K23" i="8"/>
  <c r="K19" i="8"/>
  <c r="F37" i="10"/>
  <c r="H37" i="10"/>
  <c r="G11" i="5" s="1"/>
  <c r="G12" i="5" s="1"/>
  <c r="G15" i="5" s="1"/>
  <c r="G17" i="5" s="1"/>
  <c r="C21" i="8"/>
  <c r="E21" i="8" s="1"/>
  <c r="M22" i="8"/>
  <c r="K22" i="8"/>
  <c r="F23" i="8"/>
  <c r="G23" i="8" s="1"/>
  <c r="F20" i="8"/>
  <c r="G20" i="8" s="1"/>
  <c r="P11" i="8"/>
  <c r="F22" i="8"/>
  <c r="G22" i="8" s="1"/>
  <c r="P12" i="8" l="1"/>
  <c r="G11" i="8" s="1"/>
  <c r="H6" i="8"/>
  <c r="N22" i="8"/>
  <c r="C25" i="8"/>
  <c r="N23" i="8"/>
  <c r="E25" i="8"/>
  <c r="G12" i="8" l="1"/>
  <c r="C10" i="26" s="1"/>
  <c r="H20" i="8"/>
  <c r="O20" i="8" s="1"/>
  <c r="P20" i="8" s="1"/>
  <c r="R20" i="8" s="1"/>
  <c r="E32" i="8" s="1"/>
  <c r="F32" i="8" s="1"/>
  <c r="H32" i="8" s="1"/>
  <c r="M25" i="8"/>
  <c r="J6" i="8"/>
  <c r="H23" i="8"/>
  <c r="O23" i="8" s="1"/>
  <c r="P23" i="8" s="1"/>
  <c r="R23" i="8" s="1"/>
  <c r="E35" i="8" s="1"/>
  <c r="F35" i="8" s="1"/>
  <c r="H35" i="8" s="1"/>
  <c r="F21" i="8"/>
  <c r="G21" i="8" s="1"/>
  <c r="H22" i="8"/>
  <c r="O22" i="8" s="1"/>
  <c r="P22" i="8" s="1"/>
  <c r="R22" i="8" s="1"/>
  <c r="E34" i="8" s="1"/>
  <c r="F34" i="8" s="1"/>
  <c r="H34" i="8" s="1"/>
  <c r="H11" i="8" l="1"/>
  <c r="H21" i="8"/>
  <c r="F25" i="8"/>
  <c r="D31" i="8"/>
  <c r="O19" i="8"/>
  <c r="C11" i="6"/>
  <c r="C8" i="3"/>
  <c r="C7" i="3"/>
  <c r="C6" i="3"/>
  <c r="G6" i="3" l="1"/>
  <c r="P6" i="3"/>
  <c r="P7" i="3"/>
  <c r="G7" i="3"/>
  <c r="P8" i="3"/>
  <c r="G8" i="3"/>
  <c r="J11" i="8"/>
  <c r="H12" i="8"/>
  <c r="F10" i="5" s="1"/>
  <c r="O21" i="8"/>
  <c r="O25" i="8" s="1"/>
  <c r="H25" i="8"/>
  <c r="P19" i="8"/>
  <c r="N21" i="8"/>
  <c r="G25" i="8"/>
  <c r="D36" i="8" l="1"/>
  <c r="J12" i="8"/>
  <c r="P21" i="8"/>
  <c r="R21" i="8" s="1"/>
  <c r="E33" i="8" s="1"/>
  <c r="F33" i="8" s="1"/>
  <c r="H33" i="8" s="1"/>
  <c r="N25" i="8"/>
  <c r="R19" i="8"/>
  <c r="P11" i="6"/>
  <c r="P10" i="6"/>
  <c r="P9" i="6"/>
  <c r="F36" i="8" l="1"/>
  <c r="H36" i="8" s="1"/>
  <c r="D37" i="8"/>
  <c r="P25" i="8"/>
  <c r="E31" i="8"/>
  <c r="R25" i="8"/>
  <c r="E37" i="8" l="1"/>
  <c r="F31" i="8"/>
  <c r="H31" i="8" s="1"/>
  <c r="F37" i="8" l="1"/>
  <c r="H37" i="8"/>
  <c r="F11" i="5" s="1"/>
  <c r="F12" i="5" s="1"/>
  <c r="F15" i="5" s="1"/>
  <c r="F17" i="5" s="1"/>
  <c r="P12" i="3"/>
  <c r="G11" i="3" s="1"/>
  <c r="E20" i="6"/>
  <c r="C8" i="6" l="1"/>
  <c r="G8" i="6" l="1"/>
  <c r="P8" i="6"/>
  <c r="C6" i="6"/>
  <c r="C24" i="6"/>
  <c r="C23" i="6"/>
  <c r="C22" i="6"/>
  <c r="C21" i="6"/>
  <c r="C20" i="6"/>
  <c r="D20" i="6" s="1"/>
  <c r="E36" i="6"/>
  <c r="G6" i="6" l="1"/>
  <c r="P6" i="6"/>
  <c r="P12" i="6" s="1"/>
  <c r="G11" i="6" s="1"/>
  <c r="H11" i="6" s="1"/>
  <c r="J11" i="6" s="1"/>
  <c r="D36" i="6" s="1"/>
  <c r="C12" i="6"/>
  <c r="E8" i="5" s="1"/>
  <c r="C19" i="6"/>
  <c r="G36" i="6"/>
  <c r="G35" i="6"/>
  <c r="G34" i="6"/>
  <c r="G33" i="6"/>
  <c r="G32" i="6"/>
  <c r="L25" i="6"/>
  <c r="N24" i="6"/>
  <c r="M24" i="6"/>
  <c r="H24" i="6"/>
  <c r="E21" i="6"/>
  <c r="K18" i="6"/>
  <c r="F12" i="6"/>
  <c r="H10" i="6"/>
  <c r="J10" i="6" s="1"/>
  <c r="D35" i="6" s="1"/>
  <c r="H9" i="6"/>
  <c r="J9" i="6" s="1"/>
  <c r="D34" i="6" s="1"/>
  <c r="H8" i="6"/>
  <c r="J8" i="6" s="1"/>
  <c r="D33" i="6" s="1"/>
  <c r="H7" i="6"/>
  <c r="J7" i="6" s="1"/>
  <c r="D32" i="6" s="1"/>
  <c r="P24" i="6" l="1"/>
  <c r="K20" i="6"/>
  <c r="K19" i="6"/>
  <c r="K21" i="6"/>
  <c r="K22" i="6"/>
  <c r="K23" i="6"/>
  <c r="F21" i="6"/>
  <c r="C25" i="6"/>
  <c r="E19" i="6"/>
  <c r="F19" i="6" s="1"/>
  <c r="F20" i="6"/>
  <c r="E23" i="6"/>
  <c r="M23" i="6" s="1"/>
  <c r="E22" i="6"/>
  <c r="M22" i="6" s="1"/>
  <c r="F23" i="6" l="1"/>
  <c r="G12" i="3"/>
  <c r="C8" i="26" s="1"/>
  <c r="C19" i="26" s="1"/>
  <c r="F22" i="6"/>
  <c r="G22" i="6" s="1"/>
  <c r="H6" i="6"/>
  <c r="G12" i="6"/>
  <c r="C9" i="26" s="1"/>
  <c r="G23" i="6"/>
  <c r="G20" i="6"/>
  <c r="G21" i="6"/>
  <c r="G19" i="6"/>
  <c r="H19" i="6" s="1"/>
  <c r="O19" i="6" s="1"/>
  <c r="E25" i="6"/>
  <c r="K18" i="3"/>
  <c r="F25" i="6" l="1"/>
  <c r="H23" i="6"/>
  <c r="O23" i="6"/>
  <c r="P23" i="6" s="1"/>
  <c r="R23" i="6" s="1"/>
  <c r="E35" i="6" s="1"/>
  <c r="H21" i="6"/>
  <c r="H12" i="6"/>
  <c r="E10" i="5" s="1"/>
  <c r="J6" i="6"/>
  <c r="M25" i="6"/>
  <c r="G25" i="6"/>
  <c r="N25" i="6"/>
  <c r="H20" i="6"/>
  <c r="O20" i="6" s="1"/>
  <c r="P20" i="6" s="1"/>
  <c r="R20" i="6" s="1"/>
  <c r="E32" i="6" s="1"/>
  <c r="H22" i="6"/>
  <c r="O22" i="6" s="1"/>
  <c r="P22" i="6" s="1"/>
  <c r="R22" i="6" s="1"/>
  <c r="E34" i="6" s="1"/>
  <c r="G36" i="3"/>
  <c r="G35" i="3"/>
  <c r="G34" i="3"/>
  <c r="G33" i="3"/>
  <c r="G32" i="3"/>
  <c r="J12" i="6" l="1"/>
  <c r="D31" i="6"/>
  <c r="O21" i="6"/>
  <c r="P21" i="6" s="1"/>
  <c r="R21" i="6" s="1"/>
  <c r="E33" i="6" s="1"/>
  <c r="P19" i="6"/>
  <c r="H25" i="6"/>
  <c r="F34" i="5"/>
  <c r="C34" i="5"/>
  <c r="D31" i="5" l="1"/>
  <c r="D30" i="5"/>
  <c r="O25" i="6"/>
  <c r="P25" i="6"/>
  <c r="R19" i="6"/>
  <c r="D33" i="5"/>
  <c r="D32" i="5"/>
  <c r="R25" i="6" l="1"/>
  <c r="E31" i="6"/>
  <c r="D34" i="5"/>
  <c r="C20" i="3" l="1"/>
  <c r="C21" i="3"/>
  <c r="E21" i="3" s="1"/>
  <c r="F21" i="3" s="1"/>
  <c r="C22" i="3"/>
  <c r="E22" i="3" s="1"/>
  <c r="F22" i="3" s="1"/>
  <c r="C23" i="3"/>
  <c r="E23" i="3" s="1"/>
  <c r="F23" i="3" s="1"/>
  <c r="C24" i="3"/>
  <c r="L25" i="3"/>
  <c r="K19" i="3"/>
  <c r="H11" i="3"/>
  <c r="J11" i="3" s="1"/>
  <c r="D36" i="3" s="1"/>
  <c r="H9" i="3"/>
  <c r="J9" i="3" s="1"/>
  <c r="D34" i="3" s="1"/>
  <c r="H8" i="3"/>
  <c r="J8" i="3" s="1"/>
  <c r="D33" i="3" s="1"/>
  <c r="F12" i="3"/>
  <c r="H10" i="3"/>
  <c r="J10" i="3" s="1"/>
  <c r="D35" i="3" s="1"/>
  <c r="E20" i="3" l="1"/>
  <c r="F20" i="3" s="1"/>
  <c r="F36" i="3"/>
  <c r="H36" i="3" s="1"/>
  <c r="F36" i="6"/>
  <c r="H36" i="6" s="1"/>
  <c r="C19" i="3"/>
  <c r="C25" i="3" s="1"/>
  <c r="H6" i="3"/>
  <c r="K22" i="3"/>
  <c r="K20" i="3"/>
  <c r="K23" i="3"/>
  <c r="K21" i="3"/>
  <c r="C12" i="3"/>
  <c r="D8" i="5" s="1"/>
  <c r="H7" i="3"/>
  <c r="J7" i="3" s="1"/>
  <c r="D32" i="3" s="1"/>
  <c r="E19" i="3" l="1"/>
  <c r="F19" i="3" s="1"/>
  <c r="G19" i="3" s="1"/>
  <c r="G20" i="3"/>
  <c r="G22" i="3"/>
  <c r="J6" i="3"/>
  <c r="D31" i="3" s="1"/>
  <c r="G21" i="3"/>
  <c r="G23" i="3"/>
  <c r="H12" i="3"/>
  <c r="D10" i="5" s="1"/>
  <c r="C40" i="26" l="1"/>
  <c r="C42" i="26" s="1"/>
  <c r="C45" i="26" s="1"/>
  <c r="O18" i="5" s="1"/>
  <c r="E25" i="3"/>
  <c r="D37" i="3"/>
  <c r="D37" i="6"/>
  <c r="H24" i="3"/>
  <c r="P24" i="3" s="1"/>
  <c r="H22" i="3"/>
  <c r="H20" i="3"/>
  <c r="F25" i="3"/>
  <c r="M25" i="3"/>
  <c r="H23" i="3"/>
  <c r="H21" i="3"/>
  <c r="J12" i="3"/>
  <c r="O21" i="3" l="1"/>
  <c r="P21" i="3" s="1"/>
  <c r="R21" i="3" s="1"/>
  <c r="O20" i="3"/>
  <c r="P20" i="3" s="1"/>
  <c r="R20" i="3" s="1"/>
  <c r="O23" i="3"/>
  <c r="P23" i="3" s="1"/>
  <c r="R23" i="3" s="1"/>
  <c r="O22" i="3"/>
  <c r="P22" i="3" s="1"/>
  <c r="R22" i="3" s="1"/>
  <c r="G25" i="3"/>
  <c r="H19" i="3"/>
  <c r="O19" i="3" s="1"/>
  <c r="E33" i="3" l="1"/>
  <c r="F33" i="3" s="1"/>
  <c r="H33" i="3" s="1"/>
  <c r="F33" i="6"/>
  <c r="H33" i="6" s="1"/>
  <c r="E35" i="3"/>
  <c r="F35" i="3" s="1"/>
  <c r="H35" i="3" s="1"/>
  <c r="F35" i="6"/>
  <c r="H35" i="6" s="1"/>
  <c r="E34" i="3"/>
  <c r="F34" i="3" s="1"/>
  <c r="H34" i="3" s="1"/>
  <c r="F34" i="6"/>
  <c r="H34" i="6" s="1"/>
  <c r="E32" i="3"/>
  <c r="F32" i="3" s="1"/>
  <c r="H32" i="3" s="1"/>
  <c r="F32" i="6"/>
  <c r="H32" i="6" s="1"/>
  <c r="H25" i="3"/>
  <c r="O25" i="3"/>
  <c r="N25" i="3"/>
  <c r="P19" i="3" l="1"/>
  <c r="R19" i="3" s="1"/>
  <c r="P25" i="3" l="1"/>
  <c r="E31" i="3" l="1"/>
  <c r="F31" i="3" s="1"/>
  <c r="F31" i="6"/>
  <c r="E37" i="6"/>
  <c r="R25" i="3"/>
  <c r="H31" i="3" l="1"/>
  <c r="H37" i="3" s="1"/>
  <c r="D11" i="5" s="1"/>
  <c r="D12" i="5" s="1"/>
  <c r="D15" i="5" s="1"/>
  <c r="D17" i="5" s="1"/>
  <c r="E37" i="3"/>
  <c r="F37" i="3"/>
  <c r="F37" i="6"/>
  <c r="H31" i="6"/>
  <c r="H37" i="6" s="1"/>
  <c r="E11" i="5" l="1"/>
  <c r="E12" i="5" s="1"/>
  <c r="E15" i="5" s="1"/>
  <c r="E17" i="5" l="1"/>
  <c r="E25" i="18"/>
  <c r="D20" i="18"/>
  <c r="F20" i="18"/>
  <c r="F25" i="18" s="1"/>
  <c r="G20" i="18" l="1"/>
  <c r="N20" i="18" s="1"/>
  <c r="N25" i="18" s="1"/>
  <c r="G25" i="18" l="1"/>
  <c r="H20" i="18"/>
  <c r="O20" i="18" s="1"/>
  <c r="H25" i="18" l="1"/>
  <c r="O25" i="18"/>
  <c r="P20" i="18"/>
  <c r="P25" i="18" l="1"/>
  <c r="R20" i="18"/>
  <c r="R25" i="18" l="1"/>
  <c r="E32" i="18"/>
  <c r="F32" i="18" l="1"/>
  <c r="E37" i="18"/>
  <c r="F37" i="18" l="1"/>
  <c r="H32" i="18"/>
  <c r="H37" i="18" s="1"/>
  <c r="L11" i="5" s="1"/>
  <c r="L12" i="5" s="1"/>
  <c r="L15" i="5" s="1"/>
  <c r="L17" i="5" s="1"/>
  <c r="O17" i="5" s="1"/>
  <c r="O19" i="5" s="1"/>
  <c r="O24" i="5" s="1"/>
  <c r="E32" i="5" l="1"/>
  <c r="E31" i="5"/>
  <c r="E33" i="5"/>
  <c r="G33" i="5" s="1"/>
  <c r="E30" i="5"/>
  <c r="G30" i="5" s="1"/>
  <c r="G32" i="5"/>
  <c r="G31" i="5"/>
  <c r="E3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A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A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B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B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B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6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6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7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8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8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8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8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6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0" shapeId="0" xr:uid="{00000000-0006-0000-09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0" shapeId="0" xr:uid="{00000000-0006-0000-09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0" shapeId="0" xr:uid="{00000000-0006-0000-09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sharedStrings.xml><?xml version="1.0" encoding="utf-8"?>
<sst xmlns="http://schemas.openxmlformats.org/spreadsheetml/2006/main" count="1381" uniqueCount="261">
  <si>
    <t>Transmission Mains</t>
  </si>
  <si>
    <t>Services</t>
  </si>
  <si>
    <t>Depreciation</t>
  </si>
  <si>
    <t>Income Taxes</t>
  </si>
  <si>
    <t>Residential</t>
  </si>
  <si>
    <t>Small Non-Residential</t>
  </si>
  <si>
    <t>Large Non-Residential</t>
  </si>
  <si>
    <t>Interruptible</t>
  </si>
  <si>
    <t>per Case No. 2010-00116</t>
  </si>
  <si>
    <t>Class</t>
  </si>
  <si>
    <t>Allocation</t>
  </si>
  <si>
    <t>Allocated</t>
  </si>
  <si>
    <t>Monthly</t>
  </si>
  <si>
    <t>WACOC, per case no 2010-00116</t>
  </si>
  <si>
    <t>Rate</t>
  </si>
  <si>
    <t>Tax</t>
  </si>
  <si>
    <t>Depr</t>
  </si>
  <si>
    <t>Expense</t>
  </si>
  <si>
    <t>Storage Lines</t>
  </si>
  <si>
    <t>Gathering Lines</t>
  </si>
  <si>
    <t>Tax Life</t>
  </si>
  <si>
    <t>Investment</t>
  </si>
  <si>
    <t>Beginning</t>
  </si>
  <si>
    <t>Ending</t>
  </si>
  <si>
    <t>MACRS</t>
  </si>
  <si>
    <t>Year</t>
  </si>
  <si>
    <t xml:space="preserve">Calendar Year </t>
  </si>
  <si>
    <t>YEAR</t>
  </si>
  <si>
    <t>Bonus</t>
  </si>
  <si>
    <t>Qualifying Tax</t>
  </si>
  <si>
    <t>Percentage</t>
  </si>
  <si>
    <t>Additions</t>
  </si>
  <si>
    <t>Depreciable</t>
  </si>
  <si>
    <t>Base</t>
  </si>
  <si>
    <t>Book</t>
  </si>
  <si>
    <t xml:space="preserve"> Book Depreciation Reserve</t>
  </si>
  <si>
    <t>Tax Depreciation Reserve</t>
  </si>
  <si>
    <t>Book Depr</t>
  </si>
  <si>
    <t>Net Book Value</t>
  </si>
  <si>
    <t>Deferred</t>
  </si>
  <si>
    <t>Timing</t>
  </si>
  <si>
    <t>Difference</t>
  </si>
  <si>
    <t>Net Book</t>
  </si>
  <si>
    <t>Value</t>
  </si>
  <si>
    <t>Less:</t>
  </si>
  <si>
    <t>Accumulated depreciation</t>
  </si>
  <si>
    <t>Accumulated deferred income taxes</t>
  </si>
  <si>
    <t>PRP Worksheet</t>
  </si>
  <si>
    <t>Distribution Mains</t>
  </si>
  <si>
    <t xml:space="preserve">Cumulative </t>
  </si>
  <si>
    <t>2010</t>
  </si>
  <si>
    <t>Delta Natural Gas Company, Inc.</t>
  </si>
  <si>
    <t>Pipe Replacement Program Filing</t>
  </si>
  <si>
    <t>Tax expansion factor, w PSC (per Case No. 2010-00116)</t>
  </si>
  <si>
    <t>Calculated Net Revenue</t>
  </si>
  <si>
    <t>Allowed Return</t>
  </si>
  <si>
    <t>Return, grossed up for income taxes</t>
  </si>
  <si>
    <t>Current Year PRP Adjustment</t>
  </si>
  <si>
    <t>Prior Year PRP Adjustment</t>
  </si>
  <si>
    <t>Total PRP Adjustment</t>
  </si>
  <si>
    <t>@ Approved Rates</t>
  </si>
  <si>
    <t>Statutory</t>
  </si>
  <si>
    <t>various</t>
  </si>
  <si>
    <t>Cost of Removal</t>
  </si>
  <si>
    <t>NA</t>
  </si>
  <si>
    <t>PRP</t>
  </si>
  <si>
    <t xml:space="preserve"> </t>
  </si>
  <si>
    <t>2011</t>
  </si>
  <si>
    <t>Total</t>
  </si>
  <si>
    <t>Balancing Adjustment</t>
  </si>
  <si>
    <t>COR</t>
  </si>
  <si>
    <t>A</t>
  </si>
  <si>
    <t>B</t>
  </si>
  <si>
    <t xml:space="preserve">Year 1 for PRP assets assumes a half year of depreciation expense. </t>
  </si>
  <si>
    <t>Depreciation rate for lines 1-5 exclude cost of removal rate. Provision for cost of removal on PRP assets is reflected on line 6.</t>
  </si>
  <si>
    <t>Operating expense reductions</t>
  </si>
  <si>
    <t>Cost of Service Impact from PRP</t>
  </si>
  <si>
    <t>Increased property tax expense</t>
  </si>
  <si>
    <t>Average ad valorem tax rate</t>
  </si>
  <si>
    <t>Total annual expenditures under the PRP (Schedule II)</t>
  </si>
  <si>
    <t>Cost of Service Items (Schedule III)</t>
  </si>
  <si>
    <t>2012</t>
  </si>
  <si>
    <t>Adjustment</t>
  </si>
  <si>
    <t>DELTA NATURAL GAS</t>
  </si>
  <si>
    <t>AND TYPE</t>
  </si>
  <si>
    <t>FOOTAGE</t>
  </si>
  <si>
    <t>UNDER 2" PLASTIC</t>
  </si>
  <si>
    <t>2" PLASTIC</t>
  </si>
  <si>
    <t>4" PLASTIC</t>
  </si>
  <si>
    <t>2013</t>
  </si>
  <si>
    <t># of Customers</t>
  </si>
  <si>
    <t>for the 12 months</t>
  </si>
  <si>
    <t>2014</t>
  </si>
  <si>
    <t xml:space="preserve">( A )    Represents cost of removal incurred.  No pipe installed. </t>
  </si>
  <si>
    <t>2015</t>
  </si>
  <si>
    <t>8" STEEL</t>
  </si>
  <si>
    <t>2016</t>
  </si>
  <si>
    <t>{1}</t>
  </si>
  <si>
    <t>{2}</t>
  </si>
  <si>
    <t>Service line removals</t>
  </si>
  <si>
    <t>{4}</t>
  </si>
  <si>
    <t>Service line replacements</t>
  </si>
  <si>
    <t>Schedule VII</t>
  </si>
  <si>
    <t>Increased depreciation expense (Schedule II)</t>
  </si>
  <si>
    <t>ended</t>
  </si>
  <si>
    <t>2017</t>
  </si>
  <si>
    <t>Main &amp; service relocations</t>
  </si>
  <si>
    <t>Low</t>
  </si>
  <si>
    <t>Estimate Range</t>
  </si>
  <si>
    <t>Main replacements &amp; retirements (unprotected &amp; Aldyl A)</t>
  </si>
  <si>
    <t>High</t>
  </si>
  <si>
    <t>Delta remeasured its deferred income taxes using the 21% federal rate as of December 31, 2017, including deferred taxes on PRP assets.</t>
  </si>
  <si>
    <t>In December, 2017, tax law was enacted to reduce the federal corporate income tax rate to 21%.</t>
  </si>
  <si>
    <t>2018</t>
  </si>
  <si>
    <t>DISTRICT</t>
  </si>
  <si>
    <t>Owingsville</t>
  </si>
  <si>
    <t>Berea</t>
  </si>
  <si>
    <t>Stanton</t>
  </si>
  <si>
    <t>London</t>
  </si>
  <si>
    <t>Williamsburg</t>
  </si>
  <si>
    <t>Barbourville</t>
  </si>
  <si>
    <t>Middlesboro</t>
  </si>
  <si>
    <t>Corbin</t>
  </si>
  <si>
    <t>Manchester</t>
  </si>
  <si>
    <t>PIPE SIZE</t>
  </si>
  <si>
    <t xml:space="preserve">TO BE </t>
  </si>
  <si>
    <t>REPLACED</t>
  </si>
  <si>
    <t>ESTIMATED</t>
  </si>
  <si>
    <t>1" Bare Steel</t>
  </si>
  <si>
    <t>2" Bare Steel</t>
  </si>
  <si>
    <t>4" Bare Steel</t>
  </si>
  <si>
    <t>3/4" Bare Steel</t>
  </si>
  <si>
    <t>6" Bare Steel</t>
  </si>
  <si>
    <t xml:space="preserve">PLANT </t>
  </si>
  <si>
    <t>DISTRICT BRANCH</t>
  </si>
  <si>
    <t>CLASSIFICATION</t>
  </si>
  <si>
    <t>SIZE AND PIPE INSTALLED</t>
  </si>
  <si>
    <t>TOTAL COST</t>
  </si>
  <si>
    <t>(A)</t>
  </si>
  <si>
    <t>(B)</t>
  </si>
  <si>
    <t>Estimated Future PRP Surcharges</t>
  </si>
  <si>
    <t>District Location</t>
  </si>
  <si>
    <t>Unknown Year</t>
  </si>
  <si>
    <t>3/4" Aldyl-A</t>
  </si>
  <si>
    <t>1" Aldyl-A</t>
  </si>
  <si>
    <t>1-1/4" Aldyl-A</t>
  </si>
  <si>
    <t>2" Aldyl-A</t>
  </si>
  <si>
    <t>Owingsville Total</t>
  </si>
  <si>
    <t>Berea Total</t>
  </si>
  <si>
    <t>Nicholasville</t>
  </si>
  <si>
    <t>Nicholasville Total</t>
  </si>
  <si>
    <t>Stanton Total</t>
  </si>
  <si>
    <t>1/2" Vintage Plastic</t>
  </si>
  <si>
    <t>3/4" Vintage Plastic</t>
  </si>
  <si>
    <t>1" Vintage Plastic</t>
  </si>
  <si>
    <t>2" Vintage Plastic</t>
  </si>
  <si>
    <t>3" Vintage Plastic</t>
  </si>
  <si>
    <t>4" Vintage Plastic</t>
  </si>
  <si>
    <t>London Total</t>
  </si>
  <si>
    <t>Williamsburg Total</t>
  </si>
  <si>
    <t>Barbourville Total</t>
  </si>
  <si>
    <t>Middlesboro Total</t>
  </si>
  <si>
    <t>Corbin Total</t>
  </si>
  <si>
    <t>Manchester Total</t>
  </si>
  <si>
    <t>Delta Total System</t>
  </si>
  <si>
    <t>Bare Steel</t>
  </si>
  <si>
    <t>Aldyl-A / Vintage Plastic</t>
  </si>
  <si>
    <t>Total PRP Eligble Footage</t>
  </si>
  <si>
    <t>Maintenance of Transmission and Distribution Mains, per Case 2010-0116</t>
  </si>
  <si>
    <t>Current Year Actual Expense</t>
  </si>
  <si>
    <t>Decrease in Operating Expense</t>
  </si>
  <si>
    <t>Net Book Value, PSC Report Page 110</t>
  </si>
  <si>
    <t>PRP Net Book Value</t>
  </si>
  <si>
    <t>PRP Property Tax</t>
  </si>
  <si>
    <t>Total increased cost of service</t>
  </si>
  <si>
    <t>Property tax expense for current year is based on plant balances at the end of the prior year</t>
  </si>
  <si>
    <t>Schedule III</t>
  </si>
  <si>
    <t>ESTIMATE RANGE</t>
  </si>
  <si>
    <t>PRP Adjustment</t>
  </si>
  <si>
    <t>Class Allocation</t>
  </si>
  <si>
    <t>Number of Customers</t>
  </si>
  <si>
    <t>Monthly PRP Rate</t>
  </si>
  <si>
    <t>Currently</t>
  </si>
  <si>
    <t>Effective</t>
  </si>
  <si>
    <t>Proposed</t>
  </si>
  <si>
    <t>Schedule VIII</t>
  </si>
  <si>
    <t>Schedule IV</t>
  </si>
  <si>
    <t xml:space="preserve">The reduction in deferred taxes is being returned to customers through Case No. 2018-00040. </t>
  </si>
  <si>
    <t xml:space="preserve">PRP assets for years subsequent to 2017 have been measured at the reduced tax rate. </t>
  </si>
  <si>
    <t>Effective Tax Rate Calculation</t>
  </si>
  <si>
    <t>In December, 2017, tax law was enacted to reduce the federal corporate income tax rate to 21%. (See effective tax rate calculation below.)</t>
  </si>
  <si>
    <t>Statutory federal income tax rate</t>
  </si>
  <si>
    <t>State income taxes, net of federal benefit</t>
  </si>
  <si>
    <t xml:space="preserve">Effective income tax rate </t>
  </si>
  <si>
    <t>Schedule IX</t>
  </si>
  <si>
    <t>Estimated Remaining PRP Costs Per Year</t>
  </si>
  <si>
    <t xml:space="preserve">                        -  </t>
  </si>
  <si>
    <t xml:space="preserve">                    -  </t>
  </si>
  <si>
    <t>2019</t>
  </si>
  <si>
    <t>46</t>
  </si>
  <si>
    <t>5</t>
  </si>
  <si>
    <t>2" Plastic</t>
  </si>
  <si>
    <t>4" Coated Steel</t>
  </si>
  <si>
    <t>1" Coated Steel</t>
  </si>
  <si>
    <t>3/4" Plastic</t>
  </si>
  <si>
    <t>1" Unprotected Coated</t>
  </si>
  <si>
    <t>6" Coated Steel (Exposed or Shallow Depth)</t>
  </si>
  <si>
    <t>6" Coated Steel (Exposed)</t>
  </si>
  <si>
    <t>Coated Steel (Exposed or Shallow Depth)</t>
  </si>
  <si>
    <r>
      <t xml:space="preserve">Program Year Ended: </t>
    </r>
    <r>
      <rPr>
        <b/>
        <u/>
        <sz val="11"/>
        <color theme="1"/>
        <rFont val="Calibri"/>
        <family val="2"/>
        <scheme val="minor"/>
      </rPr>
      <t>December 31, 2020</t>
    </r>
  </si>
  <si>
    <r>
      <t xml:space="preserve">Rates Effective: </t>
    </r>
    <r>
      <rPr>
        <b/>
        <u/>
        <sz val="11"/>
        <color theme="1"/>
        <rFont val="Calibri"/>
        <family val="2"/>
        <scheme val="minor"/>
      </rPr>
      <t>May 1, 2021</t>
    </r>
  </si>
  <si>
    <t>Based on average monthly PRP billings for the six-months ended February 2021.</t>
  </si>
  <si>
    <t>October 31, 2020</t>
  </si>
  <si>
    <t>2020</t>
  </si>
  <si>
    <t>Less: Actual Collections of Prior Year PRP Adjustment May 2020 through February 2021</t>
  </si>
  <si>
    <t>Less: Estimated Collections March 2021 and April 2021</t>
  </si>
  <si>
    <t>2020 Property Tax Expense</t>
  </si>
  <si>
    <t>Cost of Removal and Replacement Projects for 2020</t>
  </si>
  <si>
    <t>6" PLASTIC</t>
  </si>
  <si>
    <t>3" PLASTIC</t>
  </si>
  <si>
    <t>66</t>
  </si>
  <si>
    <t>98</t>
  </si>
  <si>
    <t>7</t>
  </si>
  <si>
    <t>19</t>
  </si>
  <si>
    <t>34</t>
  </si>
  <si>
    <t>The average cost per foot, net of relocations, has been $56.72, but has been as high $95.38 per foot. Delta used these prices in estimating the high and low estimates, escalated annually for inflation.</t>
  </si>
  <si>
    <t>Performed as needed. Mandatory relocations have averaged $446,000 per year with a range of $32,000 - $1,527,000 per year.</t>
  </si>
  <si>
    <t xml:space="preserve">Delta has spent an average of $243,000 per year over the last five years removing services that have been inactive for five years or longer.  There are 2,300 inactive services remaining in Delta’s system.  </t>
  </si>
  <si>
    <t>1" Unprotected Coated Steel</t>
  </si>
  <si>
    <t>1 1/4" Vintage Plastic</t>
  </si>
  <si>
    <t>1 1/2" Vintage Plastic</t>
  </si>
  <si>
    <t>2" Unprotected Coated Steel</t>
  </si>
  <si>
    <t>4" Unprotected Coated Steel</t>
  </si>
  <si>
    <t>3" Unprotected Coated Steel</t>
  </si>
  <si>
    <t>8" Unprotected Coated Steel</t>
  </si>
  <si>
    <t>1 1/4" Unprotected Coated Steel</t>
  </si>
  <si>
    <t>6" Unprotected Coated Steel</t>
  </si>
  <si>
    <t>1 1/4" Bare Steel</t>
  </si>
  <si>
    <t xml:space="preserve">3" Bare Steel </t>
  </si>
  <si>
    <t>DOT Transmission</t>
  </si>
  <si>
    <t>Dot Transmission Total</t>
  </si>
  <si>
    <t>Gathering</t>
  </si>
  <si>
    <t>Gathering Total</t>
  </si>
  <si>
    <t>Systems total</t>
  </si>
  <si>
    <t>Systems Total</t>
  </si>
  <si>
    <t>Unprotected Coated Steel</t>
  </si>
  <si>
    <t>2021 PRP Estimate</t>
  </si>
  <si>
    <t>Total 2021 PRP Estimate</t>
  </si>
  <si>
    <t>This pipe is only being replaced due to a KYTC Roadway Project</t>
  </si>
  <si>
    <t xml:space="preserve">To calculate the estimate range, Delta utilized the average and highest cost per foot experienced under the PRP, net of relocations, of $56.72 and 95.38. </t>
  </si>
  <si>
    <r>
      <t>Delta has approximately</t>
    </r>
    <r>
      <rPr>
        <sz val="11"/>
        <rFont val="Calibri"/>
        <family val="2"/>
        <scheme val="minor"/>
      </rPr>
      <t xml:space="preserve"> 9,015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bare steel and Aldyl-A services and will need to average approximately 700 per year over the remaining life of the PRP to replace the remaining services.  The average cost to replace a service has been $877.  Delta estimates an average cost of $228,000-623,000 per year. 
</t>
    </r>
  </si>
  <si>
    <t>{3}</t>
  </si>
  <si>
    <t xml:space="preserve">2" PLASTIC   </t>
  </si>
  <si>
    <t>(C)</t>
  </si>
  <si>
    <t xml:space="preserve">( C )    Delta does not track the footage of each individual service line. </t>
  </si>
  <si>
    <t>(D)</t>
  </si>
  <si>
    <t>( D )    These projects are not yet complete.  Footages will be reported in next year’s filing when projects are closed to plant.</t>
  </si>
  <si>
    <t>( B )    Charges relating to footage reported in prior year.</t>
  </si>
  <si>
    <t>Pipe Remaining to be Replaced</t>
  </si>
  <si>
    <t>Net PRP Rate Base, as of December 31, 2020</t>
  </si>
  <si>
    <t>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</si>
</sst>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0%"/>
    <numFmt numFmtId="168" formatCode="_(* #,##0.00000_);_(* \(#,##0.00000\);_(* &quot;-&quot;??_);_(@_)"/>
    <numFmt numFmtId="169" formatCode="0.000%"/>
    <numFmt numFmtId="170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4" fillId="0" borderId="0" xfId="1" applyNumberFormat="1" applyFont="1" applyFill="1"/>
    <xf numFmtId="164" fontId="4" fillId="0" borderId="1" xfId="1" applyNumberFormat="1" applyFont="1" applyFill="1" applyBorder="1"/>
    <xf numFmtId="165" fontId="0" fillId="0" borderId="0" xfId="3" applyNumberFormat="1" applyFont="1" applyFill="1"/>
    <xf numFmtId="169" fontId="0" fillId="0" borderId="0" xfId="2" applyNumberFormat="1" applyFont="1"/>
    <xf numFmtId="10" fontId="4" fillId="0" borderId="0" xfId="0" applyNumberFormat="1" applyFont="1" applyFill="1"/>
    <xf numFmtId="164" fontId="4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0" fontId="0" fillId="0" borderId="0" xfId="0" applyFill="1" applyBorder="1"/>
    <xf numFmtId="164" fontId="0" fillId="0" borderId="1" xfId="1" applyNumberFormat="1" applyFon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0" fontId="10" fillId="0" borderId="0" xfId="0" applyFont="1" applyFill="1" applyAlignment="1" applyProtection="1">
      <alignment horizontal="left"/>
    </xf>
    <xf numFmtId="0" fontId="1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5" fontId="0" fillId="0" borderId="0" xfId="0" applyNumberFormat="1" applyFill="1"/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0" fillId="0" borderId="0" xfId="2" applyNumberFormat="1" applyFont="1" applyFill="1"/>
    <xf numFmtId="0" fontId="9" fillId="0" borderId="0" xfId="0" applyFont="1" applyFill="1" applyAlignment="1">
      <alignment horizontal="right"/>
    </xf>
    <xf numFmtId="10" fontId="0" fillId="0" borderId="1" xfId="2" applyNumberFormat="1" applyFont="1" applyFill="1" applyBorder="1"/>
    <xf numFmtId="164" fontId="0" fillId="0" borderId="1" xfId="0" applyNumberForma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3" applyNumberFormat="1" applyFont="1" applyFill="1"/>
    <xf numFmtId="164" fontId="0" fillId="0" borderId="0" xfId="1" applyNumberFormat="1" applyFont="1" applyFill="1"/>
    <xf numFmtId="0" fontId="0" fillId="0" borderId="0" xfId="0" applyFill="1"/>
    <xf numFmtId="0" fontId="0" fillId="0" borderId="0" xfId="0" applyFill="1" applyBorder="1"/>
    <xf numFmtId="164" fontId="0" fillId="0" borderId="1" xfId="1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0" fontId="0" fillId="0" borderId="1" xfId="2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0" fontId="2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2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3" fontId="1" fillId="0" borderId="0" xfId="1" applyFont="1" applyFill="1"/>
    <xf numFmtId="43" fontId="1" fillId="0" borderId="0" xfId="1" applyFont="1"/>
    <xf numFmtId="0" fontId="5" fillId="0" borderId="0" xfId="0" applyFont="1" applyFill="1" applyAlignment="1">
      <alignment horizontal="center"/>
    </xf>
    <xf numFmtId="164" fontId="1" fillId="0" borderId="0" xfId="1" applyNumberFormat="1" applyFont="1" applyBorder="1"/>
    <xf numFmtId="164" fontId="1" fillId="0" borderId="0" xfId="1" applyNumberFormat="1" applyFont="1"/>
    <xf numFmtId="164" fontId="1" fillId="0" borderId="0" xfId="1" applyNumberFormat="1" applyFont="1" applyFill="1" applyBorder="1"/>
    <xf numFmtId="164" fontId="1" fillId="0" borderId="3" xfId="1" applyNumberFormat="1" applyFont="1" applyFill="1" applyBorder="1"/>
    <xf numFmtId="49" fontId="0" fillId="0" borderId="0" xfId="0" quotePrefix="1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4" fillId="0" borderId="0" xfId="0" applyFont="1" applyFill="1"/>
    <xf numFmtId="164" fontId="18" fillId="2" borderId="0" xfId="1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6" fillId="2" borderId="0" xfId="1" applyNumberFormat="1" applyFont="1" applyFill="1" applyAlignment="1">
      <alignment horizontal="center" vertical="center"/>
    </xf>
    <xf numFmtId="43" fontId="0" fillId="0" borderId="0" xfId="1" applyFont="1" applyFill="1" applyAlignment="1">
      <alignment horizontal="right"/>
    </xf>
    <xf numFmtId="164" fontId="0" fillId="0" borderId="0" xfId="1" applyNumberFormat="1" applyFont="1" applyFill="1" applyAlignment="1">
      <alignment horizontal="center" vertical="center"/>
    </xf>
    <xf numFmtId="165" fontId="1" fillId="0" borderId="0" xfId="3" applyNumberFormat="1" applyFont="1" applyFill="1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5" fontId="1" fillId="0" borderId="3" xfId="3" applyNumberFormat="1" applyFont="1" applyFill="1" applyBorder="1"/>
    <xf numFmtId="165" fontId="1" fillId="0" borderId="0" xfId="1" applyNumberFormat="1" applyFont="1" applyFill="1"/>
    <xf numFmtId="49" fontId="0" fillId="0" borderId="0" xfId="0" applyNumberFormat="1" applyFill="1" applyAlignment="1">
      <alignment vertical="center"/>
    </xf>
    <xf numFmtId="49" fontId="0" fillId="0" borderId="0" xfId="0" quotePrefix="1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quotePrefix="1" applyNumberForma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5" fontId="21" fillId="0" borderId="0" xfId="3" applyNumberFormat="1" applyFont="1" applyBorder="1" applyAlignment="1">
      <alignment vertical="center"/>
    </xf>
    <xf numFmtId="43" fontId="2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165" fontId="0" fillId="0" borderId="0" xfId="3" applyNumberFormat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0" fontId="0" fillId="0" borderId="0" xfId="0" applyFill="1" applyAlignment="1">
      <alignment horizontal="left" vertical="center"/>
    </xf>
    <xf numFmtId="164" fontId="0" fillId="0" borderId="1" xfId="1" applyNumberFormat="1" applyFont="1" applyFill="1" applyBorder="1" applyAlignment="1">
      <alignment vertical="center"/>
    </xf>
    <xf numFmtId="167" fontId="0" fillId="0" borderId="1" xfId="2" applyNumberFormat="1" applyFont="1" applyFill="1" applyBorder="1" applyAlignment="1">
      <alignment vertical="center"/>
    </xf>
    <xf numFmtId="168" fontId="0" fillId="0" borderId="1" xfId="1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165" fontId="1" fillId="0" borderId="0" xfId="3" applyNumberFormat="1" applyFont="1" applyFill="1" applyAlignment="1">
      <alignment vertical="center"/>
    </xf>
    <xf numFmtId="165" fontId="2" fillId="0" borderId="0" xfId="3" applyNumberFormat="1" applyFont="1" applyFill="1" applyAlignment="1">
      <alignment vertical="center"/>
    </xf>
    <xf numFmtId="164" fontId="1" fillId="0" borderId="0" xfId="1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165" fontId="0" fillId="0" borderId="0" xfId="0" applyNumberForma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65" fontId="4" fillId="0" borderId="0" xfId="3" applyNumberFormat="1" applyFont="1" applyFill="1" applyAlignment="1">
      <alignment vertical="center"/>
    </xf>
    <xf numFmtId="166" fontId="0" fillId="0" borderId="0" xfId="2" applyNumberFormat="1" applyFont="1" applyFill="1" applyAlignment="1">
      <alignment vertical="center"/>
    </xf>
    <xf numFmtId="44" fontId="0" fillId="0" borderId="0" xfId="0" applyNumberFormat="1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44" fontId="0" fillId="0" borderId="0" xfId="0" applyNumberFormat="1" applyFill="1" applyBorder="1" applyAlignment="1">
      <alignment vertical="center"/>
    </xf>
    <xf numFmtId="166" fontId="0" fillId="0" borderId="0" xfId="2" applyNumberFormat="1" applyFont="1" applyFill="1" applyBorder="1" applyAlignment="1">
      <alignment vertical="center"/>
    </xf>
    <xf numFmtId="166" fontId="0" fillId="0" borderId="1" xfId="2" applyNumberFormat="1" applyFont="1" applyFill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164" fontId="0" fillId="0" borderId="1" xfId="1" applyNumberFormat="1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9" fontId="0" fillId="0" borderId="0" xfId="0" applyNumberForma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66" fontId="8" fillId="0" borderId="0" xfId="0" applyNumberFormat="1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43" fontId="0" fillId="0" borderId="1" xfId="0" applyNumberForma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0" fillId="0" borderId="0" xfId="0" applyNumberForma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/>
    <xf numFmtId="0" fontId="12" fillId="0" borderId="0" xfId="0" applyFont="1"/>
    <xf numFmtId="10" fontId="0" fillId="0" borderId="0" xfId="2" applyNumberFormat="1" applyFont="1"/>
    <xf numFmtId="10" fontId="0" fillId="0" borderId="1" xfId="2" applyNumberFormat="1" applyFont="1" applyBorder="1"/>
    <xf numFmtId="0" fontId="9" fillId="0" borderId="0" xfId="0" applyFont="1" applyFill="1" applyBorder="1" applyAlignment="1">
      <alignment horizontal="right" vertical="center"/>
    </xf>
    <xf numFmtId="0" fontId="23" fillId="0" borderId="0" xfId="0" applyFont="1" applyAlignment="1">
      <alignment horizontal="right" vertical="top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165" fontId="0" fillId="0" borderId="0" xfId="3" applyNumberFormat="1" applyFon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165" fontId="0" fillId="0" borderId="1" xfId="3" applyNumberFormat="1" applyFont="1" applyFill="1" applyBorder="1" applyAlignment="1">
      <alignment vertical="center"/>
    </xf>
    <xf numFmtId="15" fontId="0" fillId="0" borderId="0" xfId="0" quotePrefix="1" applyNumberFormat="1" applyFont="1" applyFill="1" applyAlignment="1">
      <alignment vertical="center"/>
    </xf>
    <xf numFmtId="169" fontId="0" fillId="0" borderId="0" xfId="2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quotePrefix="1" applyNumberFormat="1" applyFill="1" applyAlignment="1">
      <alignment vertical="center"/>
    </xf>
    <xf numFmtId="43" fontId="0" fillId="0" borderId="0" xfId="0" applyNumberFormat="1" applyFill="1"/>
    <xf numFmtId="49" fontId="0" fillId="0" borderId="0" xfId="0" quotePrefix="1" applyNumberFormat="1" applyFill="1"/>
    <xf numFmtId="164" fontId="0" fillId="0" borderId="0" xfId="1" applyNumberFormat="1" applyFont="1"/>
    <xf numFmtId="0" fontId="17" fillId="2" borderId="0" xfId="0" applyFont="1" applyFill="1" applyAlignment="1">
      <alignment horizontal="center" vertical="center"/>
    </xf>
    <xf numFmtId="16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1" fillId="0" borderId="1" xfId="1" applyNumberFormat="1" applyFont="1" applyFill="1" applyBorder="1"/>
    <xf numFmtId="49" fontId="2" fillId="0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9" fontId="5" fillId="0" borderId="0" xfId="0" applyNumberFormat="1" applyFont="1" applyFill="1"/>
    <xf numFmtId="43" fontId="15" fillId="0" borderId="0" xfId="1" applyFont="1" applyFill="1" applyAlignment="1">
      <alignment horizontal="center"/>
    </xf>
    <xf numFmtId="165" fontId="1" fillId="0" borderId="1" xfId="3" applyNumberFormat="1" applyFont="1" applyFill="1" applyBorder="1"/>
    <xf numFmtId="0" fontId="0" fillId="0" borderId="0" xfId="0" applyFill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wrapText="1"/>
    </xf>
    <xf numFmtId="0" fontId="14" fillId="0" borderId="0" xfId="0" applyFont="1" applyFill="1" applyAlignment="1">
      <alignment horizontal="right"/>
    </xf>
    <xf numFmtId="0" fontId="0" fillId="0" borderId="0" xfId="0" applyFont="1" applyFill="1" applyBorder="1"/>
    <xf numFmtId="164" fontId="0" fillId="0" borderId="0" xfId="0" applyNumberForma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3" fontId="0" fillId="0" borderId="0" xfId="0" applyNumberFormat="1" applyFill="1" applyBorder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164" fontId="25" fillId="0" borderId="0" xfId="1" applyNumberFormat="1" applyFont="1" applyFill="1" applyAlignment="1">
      <alignment horizontal="center" vertical="center"/>
    </xf>
    <xf numFmtId="164" fontId="16" fillId="0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3" fontId="0" fillId="0" borderId="0" xfId="1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164" fontId="26" fillId="0" borderId="0" xfId="0" applyNumberFormat="1" applyFont="1" applyBorder="1" applyAlignment="1">
      <alignment vertical="center"/>
    </xf>
    <xf numFmtId="165" fontId="26" fillId="0" borderId="0" xfId="3" applyNumberFormat="1" applyFont="1" applyBorder="1" applyAlignment="1">
      <alignment vertical="center"/>
    </xf>
    <xf numFmtId="164" fontId="26" fillId="0" borderId="3" xfId="0" applyNumberFormat="1" applyFont="1" applyBorder="1" applyAlignment="1">
      <alignment vertical="center"/>
    </xf>
    <xf numFmtId="164" fontId="26" fillId="0" borderId="0" xfId="1" applyNumberFormat="1" applyFont="1" applyBorder="1" applyAlignment="1">
      <alignment horizontal="center" vertical="center"/>
    </xf>
    <xf numFmtId="165" fontId="26" fillId="0" borderId="3" xfId="3" applyNumberFormat="1" applyFont="1" applyBorder="1" applyAlignment="1">
      <alignment vertical="center"/>
    </xf>
    <xf numFmtId="170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4" fontId="26" fillId="0" borderId="3" xfId="0" applyNumberFormat="1" applyFont="1" applyFill="1" applyBorder="1" applyAlignment="1">
      <alignment vertical="center"/>
    </xf>
    <xf numFmtId="165" fontId="26" fillId="0" borderId="3" xfId="3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4" fontId="26" fillId="0" borderId="4" xfId="1" applyNumberFormat="1" applyFont="1" applyBorder="1" applyAlignment="1">
      <alignment vertical="center"/>
    </xf>
    <xf numFmtId="165" fontId="26" fillId="0" borderId="4" xfId="3" applyNumberFormat="1" applyFont="1" applyBorder="1" applyAlignment="1">
      <alignment vertical="center"/>
    </xf>
    <xf numFmtId="43" fontId="21" fillId="0" borderId="0" xfId="1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left"/>
    </xf>
    <xf numFmtId="166" fontId="0" fillId="0" borderId="0" xfId="2" applyNumberFormat="1" applyFont="1" applyFill="1"/>
    <xf numFmtId="166" fontId="0" fillId="0" borderId="0" xfId="2" applyNumberFormat="1" applyFont="1" applyFill="1" applyBorder="1"/>
    <xf numFmtId="164" fontId="8" fillId="0" borderId="0" xfId="1" applyNumberFormat="1" applyFont="1" applyFill="1" applyBorder="1"/>
    <xf numFmtId="44" fontId="0" fillId="0" borderId="0" xfId="0" applyNumberFormat="1" applyFill="1" applyBorder="1"/>
    <xf numFmtId="44" fontId="0" fillId="0" borderId="0" xfId="3" applyFont="1" applyFill="1"/>
    <xf numFmtId="0" fontId="0" fillId="0" borderId="0" xfId="1" applyNumberFormat="1" applyFont="1" applyFill="1" applyBorder="1"/>
    <xf numFmtId="43" fontId="0" fillId="0" borderId="0" xfId="1" applyFont="1" applyFill="1"/>
    <xf numFmtId="2" fontId="0" fillId="0" borderId="0" xfId="1" applyNumberFormat="1" applyFont="1" applyFill="1" applyBorder="1"/>
    <xf numFmtId="43" fontId="0" fillId="0" borderId="0" xfId="1" applyFont="1" applyFill="1" applyBorder="1"/>
    <xf numFmtId="44" fontId="0" fillId="0" borderId="0" xfId="0" applyNumberFormat="1"/>
    <xf numFmtId="0" fontId="2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vertical="center" wrapText="1"/>
    </xf>
  </cellXfs>
  <cellStyles count="6">
    <cellStyle name="Comma" xfId="1" builtinId="3"/>
    <cellStyle name="Comma 2" xfId="5" xr:uid="{00000000-0005-0000-0000-000001000000}"/>
    <cellStyle name="Currency" xfId="3" builtinId="4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count\PUBLIC\MWESOLOSKY\Rates\PRP\2021\PRP%20Pipe%20Remaining%202021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VI"/>
      <sheetName val="Distribution Main"/>
      <sheetName val="BELTLINE"/>
      <sheetName val="Delta Transmission"/>
      <sheetName val="DOT TRANSMISSION"/>
      <sheetName val="GATHERING"/>
    </sheetNames>
    <sheetDataSet>
      <sheetData sheetId="0"/>
      <sheetData sheetId="1">
        <row r="486">
          <cell r="H486">
            <v>160</v>
          </cell>
        </row>
        <row r="488">
          <cell r="H488">
            <v>303</v>
          </cell>
        </row>
        <row r="490">
          <cell r="H490">
            <v>34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D13" zoomScale="80" zoomScaleNormal="80" workbookViewId="0">
      <selection activeCell="J36" sqref="J36"/>
    </sheetView>
  </sheetViews>
  <sheetFormatPr defaultColWidth="9.140625" defaultRowHeight="15" x14ac:dyDescent="0.25"/>
  <cols>
    <col min="1" max="1" width="9.140625" style="102"/>
    <col min="2" max="2" width="33.7109375" style="102" customWidth="1"/>
    <col min="3" max="3" width="26" style="102" customWidth="1"/>
    <col min="4" max="5" width="12.7109375" style="102" customWidth="1"/>
    <col min="6" max="6" width="16.7109375" style="102" bestFit="1" customWidth="1"/>
    <col min="7" max="15" width="12.7109375" style="102" customWidth="1"/>
    <col min="16" max="16" width="22.140625" style="102" bestFit="1" customWidth="1"/>
    <col min="17" max="17" width="12.7109375" style="102" customWidth="1"/>
    <col min="18" max="18" width="13.7109375" style="102" bestFit="1" customWidth="1"/>
    <col min="19" max="16384" width="9.140625" style="102"/>
  </cols>
  <sheetData>
    <row r="1" spans="1:15" x14ac:dyDescent="0.25">
      <c r="A1" s="101" t="s">
        <v>51</v>
      </c>
    </row>
    <row r="2" spans="1:15" x14ac:dyDescent="0.25">
      <c r="A2" s="101" t="s">
        <v>52</v>
      </c>
    </row>
    <row r="3" spans="1:15" x14ac:dyDescent="0.25">
      <c r="A3" s="101" t="s">
        <v>209</v>
      </c>
    </row>
    <row r="4" spans="1:15" x14ac:dyDescent="0.25">
      <c r="A4" s="101" t="s">
        <v>210</v>
      </c>
    </row>
    <row r="7" spans="1:15" x14ac:dyDescent="0.25">
      <c r="D7" s="103" t="s">
        <v>50</v>
      </c>
      <c r="E7" s="103" t="s">
        <v>67</v>
      </c>
      <c r="F7" s="103" t="s">
        <v>81</v>
      </c>
      <c r="G7" s="103" t="s">
        <v>89</v>
      </c>
      <c r="H7" s="103" t="s">
        <v>92</v>
      </c>
      <c r="I7" s="103" t="s">
        <v>94</v>
      </c>
      <c r="J7" s="103" t="s">
        <v>96</v>
      </c>
      <c r="K7" s="103" t="s">
        <v>105</v>
      </c>
      <c r="L7" s="103" t="s">
        <v>113</v>
      </c>
      <c r="M7" s="103" t="s">
        <v>198</v>
      </c>
      <c r="N7" s="103" t="s">
        <v>213</v>
      </c>
      <c r="O7" s="103" t="s">
        <v>68</v>
      </c>
    </row>
    <row r="8" spans="1:15" x14ac:dyDescent="0.25">
      <c r="A8" s="102">
        <v>1</v>
      </c>
      <c r="B8" s="102" t="s">
        <v>79</v>
      </c>
      <c r="D8" s="104">
        <f>'2010'!C12</f>
        <v>1574788</v>
      </c>
      <c r="E8" s="104">
        <f>'2011'!C12</f>
        <v>1730104</v>
      </c>
      <c r="F8" s="104">
        <f>'2012'!C12</f>
        <v>3796271</v>
      </c>
      <c r="G8" s="104">
        <f>'2013'!C12</f>
        <v>2961542</v>
      </c>
      <c r="H8" s="104">
        <f>'2014'!C12</f>
        <v>1843366</v>
      </c>
      <c r="I8" s="104">
        <f>'2015'!C12</f>
        <v>1758827</v>
      </c>
      <c r="J8" s="104">
        <f>'2016'!C12</f>
        <v>3190348</v>
      </c>
      <c r="K8" s="104">
        <f>'2017'!C12</f>
        <v>2479950</v>
      </c>
      <c r="L8" s="104">
        <f>'2018'!C12</f>
        <v>3889747</v>
      </c>
      <c r="M8" s="104">
        <f>'2019'!C12</f>
        <v>6201678</v>
      </c>
      <c r="N8" s="104">
        <f>'2020'!C12</f>
        <v>5998720</v>
      </c>
    </row>
    <row r="9" spans="1:15" x14ac:dyDescent="0.25">
      <c r="A9" s="102">
        <v>2</v>
      </c>
      <c r="B9" s="102" t="s">
        <v>44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5" x14ac:dyDescent="0.25">
      <c r="A10" s="102">
        <v>3</v>
      </c>
      <c r="B10" s="106" t="s">
        <v>45</v>
      </c>
      <c r="D10" s="105">
        <f>ROUND('2010'!H12,0)</f>
        <v>-311251</v>
      </c>
      <c r="E10" s="105">
        <f>ROUND('2011'!H12,0)</f>
        <v>-377815</v>
      </c>
      <c r="F10" s="105">
        <f>ROUND('2012'!H12,0)</f>
        <v>-772029</v>
      </c>
      <c r="G10" s="105">
        <f>ROUND('2013'!H12,0)</f>
        <v>-511433</v>
      </c>
      <c r="H10" s="105">
        <f>ROUND('2014'!H12,0)</f>
        <v>-339209</v>
      </c>
      <c r="I10" s="105">
        <f>ROUND('2015'!H12,0)</f>
        <v>-240465</v>
      </c>
      <c r="J10" s="105">
        <f>ROUND('2016'!H12,0)</f>
        <v>-383943</v>
      </c>
      <c r="K10" s="105">
        <f>ROUND('2017'!H12,0)</f>
        <v>-233519</v>
      </c>
      <c r="L10" s="105">
        <f>ROUND('2018'!H12,0)</f>
        <v>-256470</v>
      </c>
      <c r="M10" s="105">
        <f>ROUND('2019'!H12,0)</f>
        <v>-269443</v>
      </c>
      <c r="N10" s="105">
        <f>ROUND('2020'!H12,0)</f>
        <v>-89335</v>
      </c>
    </row>
    <row r="11" spans="1:15" x14ac:dyDescent="0.25">
      <c r="A11" s="102">
        <v>4</v>
      </c>
      <c r="B11" s="106" t="s">
        <v>46</v>
      </c>
      <c r="D11" s="107">
        <f>ROUND('2010'!H37,0)</f>
        <v>-469021</v>
      </c>
      <c r="E11" s="107">
        <f>ROUND('2011'!H37,0)</f>
        <v>-513329</v>
      </c>
      <c r="F11" s="107">
        <f>ROUND('2012'!H37,0)</f>
        <v>-1134693</v>
      </c>
      <c r="G11" s="107">
        <f>ROUND('2013'!H37,0)</f>
        <v>-930061</v>
      </c>
      <c r="H11" s="107">
        <f>ROUND('2014'!H37,0)</f>
        <v>-570930</v>
      </c>
      <c r="I11" s="107">
        <f>ROUND('2015'!H37,0)</f>
        <v>-559066</v>
      </c>
      <c r="J11" s="107">
        <f>ROUND('2016'!H37,0)</f>
        <v>-1032724</v>
      </c>
      <c r="K11" s="107">
        <f>ROUND('2017'!H37,0)</f>
        <v>-837138</v>
      </c>
      <c r="L11" s="107">
        <f>ROUND('2018'!H37,0)</f>
        <v>-771298</v>
      </c>
      <c r="M11" s="107">
        <f>ROUND('2019'!H37,0)</f>
        <v>-1403594</v>
      </c>
      <c r="N11" s="107">
        <f>ROUND('2020'!H37,0)</f>
        <v>-1149907</v>
      </c>
    </row>
    <row r="12" spans="1:15" x14ac:dyDescent="0.25">
      <c r="A12" s="102">
        <v>5</v>
      </c>
      <c r="B12" s="102" t="s">
        <v>259</v>
      </c>
      <c r="D12" s="105">
        <f t="shared" ref="D12:K12" si="0">SUM(D8:D11)</f>
        <v>794516</v>
      </c>
      <c r="E12" s="105">
        <f t="shared" si="0"/>
        <v>838960</v>
      </c>
      <c r="F12" s="105">
        <f t="shared" si="0"/>
        <v>1889549</v>
      </c>
      <c r="G12" s="105">
        <f t="shared" si="0"/>
        <v>1520048</v>
      </c>
      <c r="H12" s="105">
        <f t="shared" si="0"/>
        <v>933227</v>
      </c>
      <c r="I12" s="105">
        <f t="shared" si="0"/>
        <v>959296</v>
      </c>
      <c r="J12" s="105">
        <f t="shared" si="0"/>
        <v>1773681</v>
      </c>
      <c r="K12" s="105">
        <f t="shared" si="0"/>
        <v>1409293</v>
      </c>
      <c r="L12" s="105">
        <f t="shared" ref="L12" si="1">SUM(L8:L11)</f>
        <v>2861979</v>
      </c>
      <c r="M12" s="105">
        <f>SUM(M8:M11)</f>
        <v>4528641</v>
      </c>
      <c r="N12" s="105">
        <f>SUM(N8:N11)</f>
        <v>4759478</v>
      </c>
    </row>
    <row r="13" spans="1:15" x14ac:dyDescent="0.25"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5" x14ac:dyDescent="0.25">
      <c r="A14" s="102">
        <v>6</v>
      </c>
      <c r="B14" s="102" t="s">
        <v>13</v>
      </c>
      <c r="D14" s="108">
        <v>7.9702499999999996E-2</v>
      </c>
      <c r="E14" s="108">
        <v>7.9702499999999996E-2</v>
      </c>
      <c r="F14" s="108">
        <v>7.9702499999999996E-2</v>
      </c>
      <c r="G14" s="108">
        <v>7.9702499999999996E-2</v>
      </c>
      <c r="H14" s="108">
        <v>7.9702499999999996E-2</v>
      </c>
      <c r="I14" s="108">
        <v>7.9702499999999996E-2</v>
      </c>
      <c r="J14" s="108">
        <v>7.9702499999999996E-2</v>
      </c>
      <c r="K14" s="108">
        <v>7.9702499999999996E-2</v>
      </c>
      <c r="L14" s="108">
        <v>7.9702499999999996E-2</v>
      </c>
      <c r="M14" s="108">
        <v>7.9702499999999996E-2</v>
      </c>
      <c r="N14" s="108">
        <v>7.9702499999999996E-2</v>
      </c>
    </row>
    <row r="15" spans="1:15" x14ac:dyDescent="0.25">
      <c r="A15" s="102">
        <v>7</v>
      </c>
      <c r="B15" s="102" t="s">
        <v>55</v>
      </c>
      <c r="D15" s="105">
        <f t="shared" ref="D15:K15" si="2">ROUND(D12*D14,0)</f>
        <v>63325</v>
      </c>
      <c r="E15" s="105">
        <f t="shared" si="2"/>
        <v>66867</v>
      </c>
      <c r="F15" s="105">
        <f t="shared" si="2"/>
        <v>150602</v>
      </c>
      <c r="G15" s="105">
        <f t="shared" si="2"/>
        <v>121152</v>
      </c>
      <c r="H15" s="105">
        <f t="shared" si="2"/>
        <v>74381</v>
      </c>
      <c r="I15" s="105">
        <f t="shared" si="2"/>
        <v>76458</v>
      </c>
      <c r="J15" s="105">
        <f t="shared" si="2"/>
        <v>141367</v>
      </c>
      <c r="K15" s="105">
        <f t="shared" si="2"/>
        <v>112324</v>
      </c>
      <c r="L15" s="105">
        <f t="shared" ref="L15:M15" si="3">ROUND(L12*L14,0)</f>
        <v>228107</v>
      </c>
      <c r="M15" s="105">
        <f t="shared" si="3"/>
        <v>360944</v>
      </c>
      <c r="N15" s="105">
        <f>ROUND(N12*N14,0)</f>
        <v>379342</v>
      </c>
    </row>
    <row r="16" spans="1:15" x14ac:dyDescent="0.25">
      <c r="A16" s="102">
        <v>8</v>
      </c>
      <c r="B16" s="102" t="s">
        <v>53</v>
      </c>
      <c r="D16" s="109">
        <v>1.6065821</v>
      </c>
      <c r="E16" s="109">
        <v>1.6065821</v>
      </c>
      <c r="F16" s="109">
        <v>1.6065821</v>
      </c>
      <c r="G16" s="109">
        <v>1.6065821</v>
      </c>
      <c r="H16" s="109">
        <v>1.6065821</v>
      </c>
      <c r="I16" s="109">
        <v>1.6065821</v>
      </c>
      <c r="J16" s="109">
        <v>1.6065821</v>
      </c>
      <c r="K16" s="109">
        <v>1.6065821</v>
      </c>
      <c r="L16" s="109">
        <v>1.3324499999999999</v>
      </c>
      <c r="M16" s="109">
        <v>1.3324499999999999</v>
      </c>
      <c r="N16" s="109">
        <v>1.3324499999999999</v>
      </c>
    </row>
    <row r="17" spans="1:16" x14ac:dyDescent="0.25">
      <c r="A17" s="102">
        <v>9</v>
      </c>
      <c r="B17" s="102" t="s">
        <v>56</v>
      </c>
      <c r="D17" s="104">
        <f>ROUND(D15*D16,0)</f>
        <v>101737</v>
      </c>
      <c r="E17" s="104">
        <f t="shared" ref="E17:J17" si="4">ROUND(E15*E16,0)</f>
        <v>107427</v>
      </c>
      <c r="F17" s="104">
        <f t="shared" si="4"/>
        <v>241954</v>
      </c>
      <c r="G17" s="104">
        <f t="shared" si="4"/>
        <v>194641</v>
      </c>
      <c r="H17" s="104">
        <f t="shared" si="4"/>
        <v>119499</v>
      </c>
      <c r="I17" s="104">
        <f t="shared" si="4"/>
        <v>122836</v>
      </c>
      <c r="J17" s="104">
        <f t="shared" si="4"/>
        <v>227118</v>
      </c>
      <c r="K17" s="104">
        <f t="shared" ref="K17:L17" si="5">ROUND(K15*K16,0)</f>
        <v>180458</v>
      </c>
      <c r="L17" s="104">
        <f t="shared" si="5"/>
        <v>303941</v>
      </c>
      <c r="M17" s="104">
        <f>ROUND(M15*M16,0)</f>
        <v>480940</v>
      </c>
      <c r="N17" s="104">
        <f>ROUND(N15*N16,0)</f>
        <v>505454</v>
      </c>
      <c r="O17" s="104">
        <f>D17+E17+F17+G17+H17+I17+J17+K17+L17+M17+N17</f>
        <v>2586005</v>
      </c>
    </row>
    <row r="18" spans="1:16" x14ac:dyDescent="0.25">
      <c r="A18" s="102">
        <v>10</v>
      </c>
      <c r="B18" s="102" t="s">
        <v>80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>
        <f>'Schedule III'!C45</f>
        <v>1386759.4587486289</v>
      </c>
    </row>
    <row r="19" spans="1:16" x14ac:dyDescent="0.25">
      <c r="A19" s="102">
        <v>12</v>
      </c>
      <c r="B19" s="102" t="s">
        <v>57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>
        <f>O17+O18</f>
        <v>3972764.4587486289</v>
      </c>
    </row>
    <row r="20" spans="1:16" s="115" customFormat="1" x14ac:dyDescent="0.25">
      <c r="A20" s="102">
        <v>13</v>
      </c>
      <c r="B20" s="102" t="s">
        <v>69</v>
      </c>
      <c r="C20" s="102"/>
      <c r="D20" s="114"/>
      <c r="E20" s="114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16" s="115" customFormat="1" x14ac:dyDescent="0.25">
      <c r="A21" s="102">
        <v>14</v>
      </c>
      <c r="B21" s="106" t="s">
        <v>58</v>
      </c>
      <c r="C21" s="102"/>
      <c r="D21" s="116"/>
      <c r="F21" s="102"/>
      <c r="G21" s="102"/>
      <c r="H21" s="102"/>
      <c r="I21" s="102"/>
      <c r="J21" s="102"/>
      <c r="K21" s="102"/>
      <c r="L21" s="102"/>
      <c r="M21" s="102"/>
      <c r="N21" s="102"/>
      <c r="O21" s="117">
        <v>3370447</v>
      </c>
    </row>
    <row r="22" spans="1:16" s="115" customFormat="1" x14ac:dyDescent="0.25">
      <c r="A22" s="102">
        <v>15</v>
      </c>
      <c r="B22" s="106" t="s">
        <v>214</v>
      </c>
      <c r="C22" s="102"/>
      <c r="D22" s="116"/>
      <c r="F22" s="102"/>
      <c r="G22" s="102"/>
      <c r="H22" s="102"/>
      <c r="I22" s="102"/>
      <c r="J22" s="102"/>
      <c r="K22" s="102"/>
      <c r="L22" s="102"/>
      <c r="M22" s="102"/>
      <c r="N22" s="102"/>
      <c r="O22" s="118">
        <v>-2814894</v>
      </c>
    </row>
    <row r="23" spans="1:16" s="115" customFormat="1" x14ac:dyDescent="0.25">
      <c r="A23" s="102">
        <v>16</v>
      </c>
      <c r="B23" s="106" t="s">
        <v>215</v>
      </c>
      <c r="C23" s="102"/>
      <c r="D23" s="116"/>
      <c r="F23" s="102"/>
      <c r="G23" s="102"/>
      <c r="H23" s="102"/>
      <c r="I23" s="102"/>
      <c r="J23" s="102"/>
      <c r="K23" s="102"/>
      <c r="L23" s="102"/>
      <c r="M23" s="102"/>
      <c r="N23" s="102"/>
      <c r="O23" s="119">
        <v>-571448</v>
      </c>
      <c r="P23" s="120" t="s">
        <v>71</v>
      </c>
    </row>
    <row r="24" spans="1:16" s="115" customFormat="1" x14ac:dyDescent="0.25">
      <c r="A24" s="102">
        <v>17</v>
      </c>
      <c r="B24" s="102" t="s">
        <v>59</v>
      </c>
      <c r="C24" s="102"/>
      <c r="D24" s="121"/>
      <c r="E24" s="121"/>
      <c r="F24" s="102"/>
      <c r="G24" s="102"/>
      <c r="H24" s="102"/>
      <c r="I24" s="102"/>
      <c r="J24" s="102"/>
      <c r="K24" s="102"/>
      <c r="L24" s="102"/>
      <c r="M24" s="102"/>
      <c r="N24" s="102"/>
      <c r="O24" s="122">
        <f>SUM(O19:O23)</f>
        <v>3956869.4587486293</v>
      </c>
    </row>
    <row r="25" spans="1:16" x14ac:dyDescent="0.25">
      <c r="D25" s="115"/>
      <c r="E25" s="115"/>
      <c r="O25" s="115"/>
      <c r="P25" s="115"/>
    </row>
    <row r="26" spans="1:16" x14ac:dyDescent="0.25">
      <c r="F26" s="123" t="s">
        <v>90</v>
      </c>
      <c r="O26" s="115"/>
      <c r="P26" s="115"/>
    </row>
    <row r="27" spans="1:16" x14ac:dyDescent="0.25">
      <c r="C27" s="123" t="s">
        <v>54</v>
      </c>
      <c r="D27" s="123"/>
      <c r="E27" s="123" t="s">
        <v>11</v>
      </c>
      <c r="F27" s="124" t="s">
        <v>91</v>
      </c>
      <c r="G27" s="123" t="s">
        <v>12</v>
      </c>
      <c r="H27" s="123"/>
      <c r="I27" s="123"/>
      <c r="J27" s="123"/>
      <c r="K27" s="123"/>
      <c r="L27" s="123"/>
      <c r="M27" s="123"/>
      <c r="N27" s="123"/>
      <c r="O27" s="124"/>
    </row>
    <row r="28" spans="1:16" x14ac:dyDescent="0.25">
      <c r="C28" s="125" t="s">
        <v>60</v>
      </c>
      <c r="D28" s="124" t="s">
        <v>9</v>
      </c>
      <c r="E28" s="124" t="s">
        <v>65</v>
      </c>
      <c r="F28" s="123" t="s">
        <v>104</v>
      </c>
      <c r="G28" s="124" t="s">
        <v>65</v>
      </c>
      <c r="H28" s="124"/>
      <c r="I28" s="124"/>
      <c r="J28" s="124"/>
      <c r="K28" s="124"/>
      <c r="L28" s="124"/>
      <c r="M28" s="124"/>
      <c r="N28" s="124"/>
      <c r="O28" s="124"/>
    </row>
    <row r="29" spans="1:16" x14ac:dyDescent="0.25">
      <c r="C29" s="126" t="s">
        <v>8</v>
      </c>
      <c r="D29" s="126" t="s">
        <v>10</v>
      </c>
      <c r="E29" s="126" t="s">
        <v>82</v>
      </c>
      <c r="F29" s="127" t="s">
        <v>212</v>
      </c>
      <c r="G29" s="126" t="s">
        <v>14</v>
      </c>
      <c r="H29" s="124"/>
      <c r="I29" s="124"/>
      <c r="J29" s="124"/>
      <c r="K29" s="124"/>
      <c r="L29" s="124"/>
      <c r="M29" s="124"/>
      <c r="N29" s="124"/>
      <c r="O29" s="124"/>
    </row>
    <row r="30" spans="1:16" x14ac:dyDescent="0.25">
      <c r="A30" s="102">
        <v>18</v>
      </c>
      <c r="B30" s="106" t="s">
        <v>4</v>
      </c>
      <c r="C30" s="128">
        <v>14846218</v>
      </c>
      <c r="D30" s="129">
        <f>C30/C34</f>
        <v>0.54322563199912766</v>
      </c>
      <c r="E30" s="110">
        <f>ROUND(D30*$O$24,0)</f>
        <v>2149473</v>
      </c>
      <c r="F30" s="117">
        <v>365361</v>
      </c>
      <c r="G30" s="130">
        <f>E30/F30</f>
        <v>5.8831484476996723</v>
      </c>
      <c r="H30" s="131"/>
      <c r="I30" s="131"/>
      <c r="J30" s="131"/>
      <c r="K30" s="131"/>
      <c r="L30" s="131"/>
      <c r="M30" s="131"/>
      <c r="N30" s="131"/>
      <c r="O30" s="132"/>
    </row>
    <row r="31" spans="1:16" x14ac:dyDescent="0.25">
      <c r="A31" s="102">
        <v>19</v>
      </c>
      <c r="B31" s="106" t="s">
        <v>5</v>
      </c>
      <c r="C31" s="117">
        <v>3991286</v>
      </c>
      <c r="D31" s="129">
        <f>C31/C34</f>
        <v>0.14604183097939627</v>
      </c>
      <c r="E31" s="105">
        <f>ROUND(D31*$O$24,0)</f>
        <v>577868</v>
      </c>
      <c r="F31" s="117">
        <v>51464</v>
      </c>
      <c r="G31" s="130">
        <f>E31/F31</f>
        <v>11.228586973418311</v>
      </c>
      <c r="H31" s="131"/>
      <c r="I31" s="131"/>
      <c r="J31" s="131"/>
      <c r="K31" s="131"/>
      <c r="L31" s="131"/>
      <c r="M31" s="131"/>
      <c r="N31" s="131"/>
      <c r="O31" s="132"/>
    </row>
    <row r="32" spans="1:16" x14ac:dyDescent="0.25">
      <c r="A32" s="102">
        <v>18</v>
      </c>
      <c r="B32" s="106" t="s">
        <v>6</v>
      </c>
      <c r="C32" s="118">
        <v>7008122</v>
      </c>
      <c r="D32" s="133">
        <f>C32/C34</f>
        <v>0.25642837135875218</v>
      </c>
      <c r="E32" s="116">
        <f>ROUND(D32*$O$24,0)</f>
        <v>1014654</v>
      </c>
      <c r="F32" s="118">
        <v>12123</v>
      </c>
      <c r="G32" s="132">
        <f>E32/F32</f>
        <v>83.696609750061867</v>
      </c>
      <c r="H32" s="131"/>
      <c r="I32" s="131"/>
      <c r="J32" s="131"/>
      <c r="K32" s="131"/>
      <c r="L32" s="131"/>
      <c r="M32" s="131"/>
      <c r="N32" s="131"/>
      <c r="O32" s="132"/>
    </row>
    <row r="33" spans="1:16" x14ac:dyDescent="0.25">
      <c r="A33" s="102">
        <v>19</v>
      </c>
      <c r="B33" s="106" t="s">
        <v>7</v>
      </c>
      <c r="C33" s="119">
        <v>1484119</v>
      </c>
      <c r="D33" s="134">
        <f>C33/C34</f>
        <v>5.4304165662723891E-2</v>
      </c>
      <c r="E33" s="107">
        <f>ROUND(D33*$O$24,0)</f>
        <v>214874</v>
      </c>
      <c r="F33" s="119">
        <v>334</v>
      </c>
      <c r="G33" s="135">
        <f>E33/F33</f>
        <v>643.33532934131733</v>
      </c>
      <c r="H33" s="131"/>
      <c r="I33" s="131"/>
      <c r="J33" s="131"/>
      <c r="K33" s="131"/>
      <c r="L33" s="131"/>
      <c r="M33" s="131"/>
      <c r="N33" s="131"/>
      <c r="O33" s="132"/>
    </row>
    <row r="34" spans="1:16" x14ac:dyDescent="0.25">
      <c r="A34" s="102">
        <v>20</v>
      </c>
      <c r="C34" s="104">
        <f>SUM(C30:C33)</f>
        <v>27329745</v>
      </c>
      <c r="D34" s="129">
        <f>SUM(D30:D33)</f>
        <v>1</v>
      </c>
      <c r="E34" s="110">
        <f>SUM(E30:E33)</f>
        <v>3956869</v>
      </c>
      <c r="F34" s="105">
        <f>SUM(F30:F33)</f>
        <v>429282</v>
      </c>
      <c r="G34" s="130"/>
      <c r="H34" s="130"/>
      <c r="I34" s="130"/>
      <c r="J34" s="130"/>
      <c r="K34" s="130"/>
      <c r="L34" s="130"/>
      <c r="M34" s="130"/>
      <c r="N34" s="130"/>
      <c r="O34" s="115"/>
    </row>
    <row r="35" spans="1:16" x14ac:dyDescent="0.25">
      <c r="O35" s="115"/>
      <c r="P35" s="115"/>
    </row>
    <row r="37" spans="1:16" x14ac:dyDescent="0.25">
      <c r="A37" s="136" t="s">
        <v>71</v>
      </c>
      <c r="B37" s="102" t="s">
        <v>211</v>
      </c>
    </row>
  </sheetData>
  <pageMargins left="0.7" right="0.7" top="0.75" bottom="0.75" header="0.3" footer="0.3"/>
  <pageSetup scale="49" orientation="landscape" r:id="rId1"/>
  <headerFooter>
    <oddHeader>&amp;RSchedule 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8"/>
  <sheetViews>
    <sheetView view="pageBreakPreview" zoomScale="60" zoomScaleNormal="100" workbookViewId="0">
      <selection activeCell="E51" sqref="E51"/>
    </sheetView>
  </sheetViews>
  <sheetFormatPr defaultColWidth="9.140625" defaultRowHeight="15" x14ac:dyDescent="0.25"/>
  <cols>
    <col min="1" max="1" width="14.42578125" style="35" customWidth="1"/>
    <col min="2" max="2" width="18.5703125" style="35" bestFit="1" customWidth="1"/>
    <col min="3" max="4" width="12.7109375" style="35" customWidth="1"/>
    <col min="5" max="5" width="11.28515625" style="35" bestFit="1" customWidth="1"/>
    <col min="6" max="6" width="12.7109375" style="35" customWidth="1"/>
    <col min="7" max="7" width="12.42578125" style="35" bestFit="1" customWidth="1"/>
    <col min="8" max="8" width="13.140625" style="35" bestFit="1" customWidth="1"/>
    <col min="9" max="9" width="2.7109375" style="35" customWidth="1"/>
    <col min="10" max="10" width="10.7109375" style="35" customWidth="1"/>
    <col min="11" max="11" width="8.140625" style="35" bestFit="1" customWidth="1"/>
    <col min="12" max="12" width="12.7109375" style="35" customWidth="1"/>
    <col min="13" max="14" width="11.28515625" style="35" bestFit="1" customWidth="1"/>
    <col min="15" max="15" width="8.42578125" style="35" bestFit="1" customWidth="1"/>
    <col min="16" max="16" width="11.28515625" style="35" bestFit="1" customWidth="1"/>
    <col min="17" max="17" width="2.7109375" style="35" customWidth="1"/>
    <col min="18" max="18" width="13.7109375" style="35" bestFit="1" customWidth="1"/>
    <col min="19" max="19" width="7.7109375" style="35" bestFit="1" customWidth="1"/>
    <col min="20" max="20" width="7.42578125" style="35" bestFit="1" customWidth="1"/>
    <col min="21" max="16384" width="9.140625" style="35"/>
  </cols>
  <sheetData>
    <row r="1" spans="1:18" x14ac:dyDescent="0.25">
      <c r="A1" s="38" t="s">
        <v>26</v>
      </c>
      <c r="B1" s="20">
        <v>2018</v>
      </c>
    </row>
    <row r="2" spans="1:18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32" t="s">
        <v>37</v>
      </c>
      <c r="F3" s="36"/>
      <c r="G3" s="29"/>
      <c r="H3" s="36"/>
      <c r="J3" s="39" t="s">
        <v>34</v>
      </c>
    </row>
    <row r="4" spans="1:18" x14ac:dyDescent="0.25">
      <c r="C4" s="32">
        <v>2018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8" x14ac:dyDescent="0.25">
      <c r="C5" s="52" t="s">
        <v>21</v>
      </c>
      <c r="D5" s="24">
        <v>3</v>
      </c>
      <c r="F5" s="52" t="s">
        <v>22</v>
      </c>
      <c r="G5" s="52" t="s">
        <v>17</v>
      </c>
      <c r="H5" s="52" t="s">
        <v>23</v>
      </c>
      <c r="J5" s="52" t="s">
        <v>43</v>
      </c>
      <c r="O5" s="52" t="s">
        <v>14</v>
      </c>
      <c r="P5" s="52" t="s">
        <v>16</v>
      </c>
    </row>
    <row r="6" spans="1:18" x14ac:dyDescent="0.25">
      <c r="A6" s="35">
        <v>1</v>
      </c>
      <c r="B6" s="35" t="s">
        <v>48</v>
      </c>
      <c r="C6" s="3">
        <v>2669534</v>
      </c>
      <c r="D6" s="7">
        <v>3.1E-2</v>
      </c>
      <c r="F6" s="3">
        <v>-124134</v>
      </c>
      <c r="G6" s="34">
        <f>ROUND(IF(D$5=1,-0.5*D6*C6,-D6*C6),0)</f>
        <v>-82756</v>
      </c>
      <c r="H6" s="34">
        <f t="shared" ref="H6:H11" si="0">SUM(F6:G6)</f>
        <v>-206890</v>
      </c>
      <c r="J6" s="13">
        <f t="shared" ref="J6:J11" si="1">C6+H6</f>
        <v>2462644</v>
      </c>
      <c r="O6" s="25">
        <v>1E-4</v>
      </c>
      <c r="P6" s="33">
        <f>ROUND(IF(D$5=1,-0.5*O6*C6,-O6*C6),0)</f>
        <v>-267</v>
      </c>
    </row>
    <row r="7" spans="1:18" x14ac:dyDescent="0.25">
      <c r="A7" s="35">
        <v>2</v>
      </c>
      <c r="B7" s="35" t="s">
        <v>0</v>
      </c>
      <c r="C7" s="3">
        <v>611904</v>
      </c>
      <c r="D7" s="7">
        <v>2.3300000000000001E-2</v>
      </c>
      <c r="F7" s="3">
        <v>-21386</v>
      </c>
      <c r="G7" s="34">
        <f>ROUND(IF(D$5=1,-0.5*D7*C7,-D7*C7),0)</f>
        <v>-14257</v>
      </c>
      <c r="H7" s="34">
        <f t="shared" si="0"/>
        <v>-35643</v>
      </c>
      <c r="J7" s="13">
        <f t="shared" si="1"/>
        <v>576261</v>
      </c>
      <c r="O7" s="25">
        <v>2.0000000000000001E-4</v>
      </c>
      <c r="P7" s="13">
        <f>ROUND(IF(D$5=1,-0.5*O7*C7,-O7*C7),0)</f>
        <v>-122</v>
      </c>
    </row>
    <row r="8" spans="1:18" x14ac:dyDescent="0.25">
      <c r="A8" s="35">
        <v>3</v>
      </c>
      <c r="B8" s="35" t="s">
        <v>1</v>
      </c>
      <c r="C8" s="3">
        <v>166771</v>
      </c>
      <c r="D8" s="7">
        <v>2.69E-2</v>
      </c>
      <c r="F8" s="3">
        <v>-6729</v>
      </c>
      <c r="G8" s="34">
        <f>ROUND(IF(D$5=1,-0.5*D8*C8,-D8*C8),0)</f>
        <v>-4486</v>
      </c>
      <c r="H8" s="34">
        <f t="shared" si="0"/>
        <v>-11215</v>
      </c>
      <c r="J8" s="13">
        <f t="shared" si="1"/>
        <v>155556</v>
      </c>
      <c r="O8" s="25">
        <v>4.1999999999999997E-3</v>
      </c>
      <c r="P8" s="13">
        <f>ROUND(IF(D$5=1,-0.5*O8*C8,-O8*C8),0)</f>
        <v>-700</v>
      </c>
    </row>
    <row r="9" spans="1:18" x14ac:dyDescent="0.25">
      <c r="A9" s="35">
        <v>4</v>
      </c>
      <c r="B9" s="35" t="s">
        <v>19</v>
      </c>
      <c r="C9" s="3">
        <v>0</v>
      </c>
      <c r="D9" s="7">
        <v>2.2499999999999999E-2</v>
      </c>
      <c r="F9" s="3" t="s">
        <v>196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35">
        <v>5</v>
      </c>
      <c r="B10" s="35" t="s">
        <v>18</v>
      </c>
      <c r="C10" s="3">
        <v>0</v>
      </c>
      <c r="D10" s="7">
        <v>2.0500000000000001E-2</v>
      </c>
      <c r="F10" s="3" t="s">
        <v>196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35">
        <v>6</v>
      </c>
      <c r="B11" s="35" t="s">
        <v>63</v>
      </c>
      <c r="C11" s="4">
        <v>441538</v>
      </c>
      <c r="D11" s="8" t="s">
        <v>62</v>
      </c>
      <c r="F11" s="4">
        <v>-1633</v>
      </c>
      <c r="G11" s="37">
        <f>P12</f>
        <v>-1089</v>
      </c>
      <c r="H11" s="37">
        <f t="shared" si="0"/>
        <v>-2722</v>
      </c>
      <c r="J11" s="14">
        <f t="shared" si="1"/>
        <v>438816</v>
      </c>
      <c r="O11" s="40">
        <v>0</v>
      </c>
      <c r="P11" s="14">
        <f>IF(D$5=1,-0.5*O11*C11,-O11*C11)</f>
        <v>0</v>
      </c>
    </row>
    <row r="12" spans="1:18" x14ac:dyDescent="0.25">
      <c r="C12" s="34">
        <f>SUM(C6:C11)</f>
        <v>3889747</v>
      </c>
      <c r="D12" s="34"/>
      <c r="F12" s="3">
        <f>SUM(F5:F11)</f>
        <v>-153882</v>
      </c>
      <c r="G12" s="34">
        <f>SUM(G5:G11)</f>
        <v>-102588</v>
      </c>
      <c r="H12" s="34">
        <f>SUM(H5:H11)</f>
        <v>-256470</v>
      </c>
      <c r="J12" s="13">
        <f>SUM(J6:J11)</f>
        <v>3633277</v>
      </c>
      <c r="O12" s="13"/>
      <c r="P12" s="33">
        <f>SUM(P5:P11)</f>
        <v>-1089</v>
      </c>
    </row>
    <row r="13" spans="1:18" ht="14.25" customHeight="1" x14ac:dyDescent="0.25">
      <c r="C13" s="34"/>
      <c r="D13" s="34"/>
      <c r="E13" s="34"/>
      <c r="F13" s="34"/>
      <c r="M13" s="32"/>
      <c r="N13" s="36"/>
    </row>
    <row r="14" spans="1:18" x14ac:dyDescent="0.25">
      <c r="M14" s="32"/>
      <c r="N14" s="36"/>
    </row>
    <row r="15" spans="1:18" x14ac:dyDescent="0.25">
      <c r="D15" s="32"/>
    </row>
    <row r="16" spans="1:18" s="102" customFormat="1" x14ac:dyDescent="0.25">
      <c r="C16" s="115"/>
      <c r="D16" s="124" t="s">
        <v>29</v>
      </c>
      <c r="E16" s="115"/>
      <c r="F16" s="115"/>
      <c r="G16" s="138">
        <v>0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3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2669534</v>
      </c>
      <c r="D19" s="141">
        <v>0.77700000000000002</v>
      </c>
      <c r="E19" s="105">
        <f>ROUND(C19*-D19,0)</f>
        <v>-2074228</v>
      </c>
      <c r="F19" s="142">
        <f>C19+E19</f>
        <v>595306</v>
      </c>
      <c r="G19" s="142">
        <f t="shared" ref="G19:G24" si="3">ROUND(F19*-$G$16,0)</f>
        <v>0</v>
      </c>
      <c r="H19" s="143">
        <f t="shared" ref="H19:H24" si="4">F19+G19</f>
        <v>595306</v>
      </c>
      <c r="J19" s="102">
        <v>15</v>
      </c>
      <c r="K19" s="144">
        <f>IFERROR(VLOOKUP(J19,'Tax Rates'!$A$1:$AA$12,$K$18+1,FALSE),0)</f>
        <v>8.5500000000000007E-2</v>
      </c>
      <c r="L19" s="145">
        <v>-2160547</v>
      </c>
      <c r="M19" s="142">
        <v>0</v>
      </c>
      <c r="N19" s="142">
        <f t="shared" ref="N19:N24" si="5">G19</f>
        <v>0</v>
      </c>
      <c r="O19" s="105">
        <f>ROUND(K19*-H19,0)</f>
        <v>-50899</v>
      </c>
      <c r="P19" s="146">
        <f t="shared" ref="P19:P24" si="6">SUM(L19:O19)</f>
        <v>-2211446</v>
      </c>
      <c r="R19" s="142">
        <f>C19+P19</f>
        <v>458088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611904</v>
      </c>
      <c r="D20" s="147">
        <f>-E20/C20</f>
        <v>0.82199658770003137</v>
      </c>
      <c r="E20" s="117">
        <v>-502983</v>
      </c>
      <c r="F20" s="142">
        <f>C20+E20</f>
        <v>108921</v>
      </c>
      <c r="G20" s="142">
        <f t="shared" si="3"/>
        <v>0</v>
      </c>
      <c r="H20" s="143">
        <f t="shared" si="4"/>
        <v>108921</v>
      </c>
      <c r="J20" s="102">
        <v>15</v>
      </c>
      <c r="K20" s="144">
        <f>IFERROR(VLOOKUP(J20,'Tax Rates'!$A$1:$AA$12,$K$18+1,FALSE),0)</f>
        <v>8.5500000000000007E-2</v>
      </c>
      <c r="L20" s="145">
        <v>-518776</v>
      </c>
      <c r="M20" s="142">
        <v>0</v>
      </c>
      <c r="N20" s="142">
        <f t="shared" si="5"/>
        <v>0</v>
      </c>
      <c r="O20" s="105">
        <f>ROUND(K20*-H20,0)</f>
        <v>-9313</v>
      </c>
      <c r="P20" s="146">
        <f t="shared" si="6"/>
        <v>-528089</v>
      </c>
      <c r="R20" s="142">
        <f>C20+P20</f>
        <v>83815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166771</v>
      </c>
      <c r="D21" s="141">
        <v>1</v>
      </c>
      <c r="E21" s="105">
        <f>ROUND(C21*-D21,0)</f>
        <v>-166771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6.6769999999999996E-2</v>
      </c>
      <c r="L21" s="145">
        <v>-166771</v>
      </c>
      <c r="M21" s="142">
        <v>0</v>
      </c>
      <c r="N21" s="142">
        <f t="shared" si="5"/>
        <v>0</v>
      </c>
      <c r="O21" s="105">
        <f>ROUND(K21*-H21,0)</f>
        <v>0</v>
      </c>
      <c r="P21" s="146">
        <f t="shared" si="6"/>
        <v>-166771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0.17491999999999999</v>
      </c>
      <c r="L22" s="145">
        <v>0</v>
      </c>
      <c r="M22" s="142">
        <f t="shared" ref="M22:M24" si="7">E22</f>
        <v>0</v>
      </c>
      <c r="N22" s="142">
        <f t="shared" si="5"/>
        <v>0</v>
      </c>
      <c r="O22" s="105">
        <f>ROUND(K22*-H22,0)</f>
        <v>0</v>
      </c>
      <c r="P22" s="146">
        <f t="shared" si="6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8.5500000000000007E-2</v>
      </c>
      <c r="L23" s="145">
        <v>0</v>
      </c>
      <c r="M23" s="142">
        <f t="shared" si="7"/>
        <v>0</v>
      </c>
      <c r="N23" s="142">
        <f t="shared" si="5"/>
        <v>0</v>
      </c>
      <c r="O23" s="105">
        <f>ROUND(K23*-H23,0)</f>
        <v>0</v>
      </c>
      <c r="P23" s="146">
        <f t="shared" si="6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441538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 t="shared" si="7"/>
        <v>0</v>
      </c>
      <c r="N24" s="155">
        <f t="shared" si="5"/>
        <v>0</v>
      </c>
      <c r="O24" s="107">
        <v>0</v>
      </c>
      <c r="P24" s="156">
        <f t="shared" si="6"/>
        <v>0</v>
      </c>
      <c r="R24" s="157" t="s">
        <v>64</v>
      </c>
    </row>
    <row r="25" spans="1:18" s="102" customFormat="1" x14ac:dyDescent="0.25">
      <c r="C25" s="105">
        <f>SUM(C18:C24)</f>
        <v>3889747</v>
      </c>
      <c r="E25" s="105">
        <f>SUM(E19:E24)</f>
        <v>-2743982</v>
      </c>
      <c r="F25" s="105">
        <f>SUM(F19:F24)</f>
        <v>704227</v>
      </c>
      <c r="G25" s="105">
        <f>SUM(G19:G24)</f>
        <v>0</v>
      </c>
      <c r="H25" s="146">
        <f>SUM(H19:H24)</f>
        <v>704227</v>
      </c>
      <c r="L25" s="146">
        <f>SUM(L19:L24)</f>
        <v>-2846094</v>
      </c>
      <c r="M25" s="105">
        <f>SUM(M19:M24)</f>
        <v>0</v>
      </c>
      <c r="N25" s="105">
        <f>SUM(N19:N24)</f>
        <v>0</v>
      </c>
      <c r="O25" s="105">
        <f>SUM(O19:O24)</f>
        <v>-60212</v>
      </c>
      <c r="P25" s="146">
        <f>SUM(P19:P24)</f>
        <v>-2906306</v>
      </c>
      <c r="R25" s="142">
        <f>SUM(R19:R24)</f>
        <v>541903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G28" s="158" t="s">
        <v>72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8">J6</f>
        <v>2462644</v>
      </c>
      <c r="E31" s="142">
        <f t="shared" ref="E31:E36" si="9">R19</f>
        <v>458088</v>
      </c>
      <c r="F31" s="142">
        <f>E31-D31</f>
        <v>-2004556</v>
      </c>
      <c r="G31" s="160">
        <v>0.2495</v>
      </c>
      <c r="H31" s="142">
        <f>ROUND(F31*G31,0)</f>
        <v>-500137</v>
      </c>
    </row>
    <row r="32" spans="1:18" s="102" customFormat="1" x14ac:dyDescent="0.25">
      <c r="A32" s="102">
        <v>14</v>
      </c>
      <c r="B32" s="102" t="s">
        <v>0</v>
      </c>
      <c r="D32" s="148">
        <f t="shared" si="8"/>
        <v>576261</v>
      </c>
      <c r="E32" s="142">
        <f t="shared" si="9"/>
        <v>83815</v>
      </c>
      <c r="F32" s="142">
        <f>E32-D32</f>
        <v>-492446</v>
      </c>
      <c r="G32" s="159">
        <f>G31</f>
        <v>0.2495</v>
      </c>
      <c r="H32" s="142">
        <f t="shared" ref="H32:H36" si="10">ROUND(F32*G32,0)</f>
        <v>-122865</v>
      </c>
    </row>
    <row r="33" spans="1:10" s="102" customFormat="1" x14ac:dyDescent="0.25">
      <c r="A33" s="102">
        <v>15</v>
      </c>
      <c r="B33" s="102" t="s">
        <v>1</v>
      </c>
      <c r="D33" s="148">
        <f t="shared" si="8"/>
        <v>155556</v>
      </c>
      <c r="E33" s="142">
        <f t="shared" si="9"/>
        <v>0</v>
      </c>
      <c r="F33" s="142">
        <f>E33-D33</f>
        <v>-155556</v>
      </c>
      <c r="G33" s="159">
        <f>G31</f>
        <v>0.2495</v>
      </c>
      <c r="H33" s="142">
        <f t="shared" si="10"/>
        <v>-38811</v>
      </c>
    </row>
    <row r="34" spans="1:10" s="102" customFormat="1" x14ac:dyDescent="0.25">
      <c r="A34" s="102">
        <v>16</v>
      </c>
      <c r="B34" s="102" t="s">
        <v>19</v>
      </c>
      <c r="D34" s="148">
        <f t="shared" si="8"/>
        <v>0</v>
      </c>
      <c r="E34" s="142">
        <f t="shared" si="9"/>
        <v>0</v>
      </c>
      <c r="F34" s="142">
        <f>E34-D34</f>
        <v>0</v>
      </c>
      <c r="G34" s="159">
        <f>G31</f>
        <v>0.2495</v>
      </c>
      <c r="H34" s="142">
        <f t="shared" si="10"/>
        <v>0</v>
      </c>
    </row>
    <row r="35" spans="1:10" s="102" customFormat="1" x14ac:dyDescent="0.25">
      <c r="A35" s="102">
        <v>17</v>
      </c>
      <c r="B35" s="102" t="s">
        <v>18</v>
      </c>
      <c r="D35" s="148">
        <f t="shared" si="8"/>
        <v>0</v>
      </c>
      <c r="E35" s="142">
        <f t="shared" si="9"/>
        <v>0</v>
      </c>
      <c r="F35" s="142">
        <f>E35-D35</f>
        <v>0</v>
      </c>
      <c r="G35" s="159">
        <f>G31</f>
        <v>0.2495</v>
      </c>
      <c r="H35" s="142">
        <f t="shared" si="10"/>
        <v>0</v>
      </c>
    </row>
    <row r="36" spans="1:10" s="102" customFormat="1" x14ac:dyDescent="0.25">
      <c r="A36" s="102">
        <v>18</v>
      </c>
      <c r="B36" s="102" t="s">
        <v>63</v>
      </c>
      <c r="D36" s="150">
        <f t="shared" si="8"/>
        <v>438816</v>
      </c>
      <c r="E36" s="157" t="str">
        <f t="shared" si="9"/>
        <v>NA</v>
      </c>
      <c r="F36" s="150">
        <f>-D36</f>
        <v>-438816</v>
      </c>
      <c r="G36" s="161">
        <f>G31</f>
        <v>0.2495</v>
      </c>
      <c r="H36" s="150">
        <f t="shared" si="10"/>
        <v>-109485</v>
      </c>
    </row>
    <row r="37" spans="1:10" s="102" customFormat="1" x14ac:dyDescent="0.25">
      <c r="D37" s="142">
        <f>SUM(D31:D36)</f>
        <v>3633277</v>
      </c>
      <c r="E37" s="142">
        <f>SUM(E31:E36)</f>
        <v>541903</v>
      </c>
      <c r="F37" s="142">
        <f>SUM(F31:F36)</f>
        <v>-3091374</v>
      </c>
      <c r="H37" s="142">
        <f>SUM(H31:H36)</f>
        <v>-771298</v>
      </c>
    </row>
    <row r="39" spans="1:10" s="102" customFormat="1" x14ac:dyDescent="0.25">
      <c r="A39" s="166" t="s">
        <v>71</v>
      </c>
      <c r="B39" s="102" t="s">
        <v>74</v>
      </c>
    </row>
    <row r="40" spans="1:10" s="102" customFormat="1" x14ac:dyDescent="0.25">
      <c r="A40" s="166" t="s">
        <v>72</v>
      </c>
      <c r="B40" s="102" t="s">
        <v>190</v>
      </c>
    </row>
    <row r="41" spans="1:10" s="102" customFormat="1" x14ac:dyDescent="0.25">
      <c r="B41" s="102" t="s">
        <v>111</v>
      </c>
    </row>
    <row r="42" spans="1:10" s="102" customFormat="1" x14ac:dyDescent="0.25">
      <c r="B42" s="102" t="s">
        <v>187</v>
      </c>
    </row>
    <row r="43" spans="1:10" s="102" customFormat="1" x14ac:dyDescent="0.25">
      <c r="B43" s="102" t="s">
        <v>188</v>
      </c>
    </row>
    <row r="44" spans="1:10" s="102" customForma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x14ac:dyDescent="0.25">
      <c r="B45" s="55" t="s">
        <v>189</v>
      </c>
      <c r="C45" s="162"/>
      <c r="D45" s="162"/>
    </row>
    <row r="46" spans="1:10" x14ac:dyDescent="0.25">
      <c r="B46" s="162" t="s">
        <v>191</v>
      </c>
      <c r="E46" s="164">
        <v>0.21</v>
      </c>
      <c r="F46" s="163"/>
    </row>
    <row r="47" spans="1:10" x14ac:dyDescent="0.25">
      <c r="B47" s="162" t="s">
        <v>192</v>
      </c>
      <c r="E47" s="165">
        <f>5%+(E46*-0.05)</f>
        <v>3.95E-2</v>
      </c>
      <c r="F47" s="163"/>
    </row>
    <row r="48" spans="1:10" x14ac:dyDescent="0.25">
      <c r="B48" s="162" t="s">
        <v>193</v>
      </c>
      <c r="E48" s="164">
        <f>SUM(E46:E47)</f>
        <v>0.2495</v>
      </c>
      <c r="F48" s="163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- 2018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4"/>
  <sheetViews>
    <sheetView view="pageBreakPreview" zoomScale="60" zoomScaleNormal="100" workbookViewId="0">
      <selection activeCell="K33" sqref="K33"/>
    </sheetView>
  </sheetViews>
  <sheetFormatPr defaultColWidth="9.140625" defaultRowHeight="15" x14ac:dyDescent="0.25"/>
  <cols>
    <col min="1" max="1" width="14.42578125" style="54" customWidth="1"/>
    <col min="2" max="2" width="18.5703125" style="54" bestFit="1" customWidth="1"/>
    <col min="3" max="4" width="12.7109375" style="54" customWidth="1"/>
    <col min="5" max="5" width="11.28515625" style="54" bestFit="1" customWidth="1"/>
    <col min="6" max="6" width="12.7109375" style="54" customWidth="1"/>
    <col min="7" max="7" width="12.42578125" style="54" bestFit="1" customWidth="1"/>
    <col min="8" max="8" width="13.140625" style="54" bestFit="1" customWidth="1"/>
    <col min="9" max="9" width="2.7109375" style="54" customWidth="1"/>
    <col min="10" max="10" width="10.7109375" style="54" customWidth="1"/>
    <col min="11" max="11" width="8.140625" style="54" bestFit="1" customWidth="1"/>
    <col min="12" max="12" width="12.7109375" style="54" customWidth="1"/>
    <col min="13" max="14" width="11.28515625" style="54" bestFit="1" customWidth="1"/>
    <col min="15" max="15" width="8.42578125" style="54" bestFit="1" customWidth="1"/>
    <col min="16" max="16" width="11.28515625" style="54" bestFit="1" customWidth="1"/>
    <col min="17" max="17" width="2.7109375" style="54" customWidth="1"/>
    <col min="18" max="18" width="13.7109375" style="54" bestFit="1" customWidth="1"/>
    <col min="19" max="19" width="7.7109375" style="54" bestFit="1" customWidth="1"/>
    <col min="20" max="20" width="7.42578125" style="54" bestFit="1" customWidth="1"/>
    <col min="21" max="16384" width="9.140625" style="54"/>
  </cols>
  <sheetData>
    <row r="1" spans="1:18" x14ac:dyDescent="0.25">
      <c r="A1" s="38" t="s">
        <v>26</v>
      </c>
      <c r="B1" s="20">
        <v>2019</v>
      </c>
    </row>
    <row r="2" spans="1:18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32" t="s">
        <v>37</v>
      </c>
      <c r="F3" s="36"/>
      <c r="G3" s="29"/>
      <c r="H3" s="36"/>
      <c r="J3" s="39" t="s">
        <v>34</v>
      </c>
    </row>
    <row r="4" spans="1:18" x14ac:dyDescent="0.25">
      <c r="C4" s="32">
        <v>2019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8" x14ac:dyDescent="0.25">
      <c r="C5" s="177" t="s">
        <v>21</v>
      </c>
      <c r="D5" s="24">
        <v>2</v>
      </c>
      <c r="F5" s="177" t="s">
        <v>22</v>
      </c>
      <c r="G5" s="177" t="s">
        <v>17</v>
      </c>
      <c r="H5" s="177" t="s">
        <v>23</v>
      </c>
      <c r="J5" s="177" t="s">
        <v>43</v>
      </c>
      <c r="O5" s="177" t="s">
        <v>14</v>
      </c>
      <c r="P5" s="177" t="s">
        <v>16</v>
      </c>
    </row>
    <row r="6" spans="1:18" x14ac:dyDescent="0.25">
      <c r="A6" s="54">
        <v>1</v>
      </c>
      <c r="B6" s="54" t="s">
        <v>48</v>
      </c>
      <c r="C6" s="3">
        <v>5352350</v>
      </c>
      <c r="D6" s="7">
        <v>3.1E-2</v>
      </c>
      <c r="F6" s="3">
        <v>-82961</v>
      </c>
      <c r="G6" s="34">
        <f>ROUND(IF(D$5=1,-0.5*D6*C6,-D6*C6),0)</f>
        <v>-165923</v>
      </c>
      <c r="H6" s="34">
        <f t="shared" ref="H6:H11" si="0">SUM(F6:G6)</f>
        <v>-248884</v>
      </c>
      <c r="J6" s="13">
        <f t="shared" ref="J6:J11" si="1">C6+H6</f>
        <v>5103466</v>
      </c>
      <c r="O6" s="25">
        <v>1E-4</v>
      </c>
      <c r="P6" s="33">
        <f>ROUND(IF(D$5=1,-0.5*O6*C6,-O6*C6),0)</f>
        <v>-535</v>
      </c>
    </row>
    <row r="7" spans="1:18" x14ac:dyDescent="0.25">
      <c r="A7" s="54">
        <v>2</v>
      </c>
      <c r="B7" s="54" t="s">
        <v>0</v>
      </c>
      <c r="C7" s="3">
        <v>197537</v>
      </c>
      <c r="D7" s="7">
        <v>2.3300000000000001E-2</v>
      </c>
      <c r="F7" s="3">
        <v>-2301</v>
      </c>
      <c r="G7" s="34">
        <f>ROUND(IF(D$5=1,-0.5*D7*C7,-D7*C7),0)</f>
        <v>-4603</v>
      </c>
      <c r="H7" s="34">
        <f t="shared" si="0"/>
        <v>-6904</v>
      </c>
      <c r="J7" s="13">
        <f t="shared" si="1"/>
        <v>190633</v>
      </c>
      <c r="O7" s="25">
        <v>2.0000000000000001E-4</v>
      </c>
      <c r="P7" s="13">
        <f>ROUND(IF(D$5=1,-0.5*O7*C7,-O7*C7),0)</f>
        <v>-40</v>
      </c>
    </row>
    <row r="8" spans="1:18" x14ac:dyDescent="0.25">
      <c r="A8" s="54">
        <v>3</v>
      </c>
      <c r="B8" s="54" t="s">
        <v>1</v>
      </c>
      <c r="C8" s="3">
        <v>274211</v>
      </c>
      <c r="D8" s="7">
        <v>2.69E-2</v>
      </c>
      <c r="F8" s="3">
        <v>-3688</v>
      </c>
      <c r="G8" s="34">
        <f>ROUND(IF(D$5=1,-0.5*D8*C8,-D8*C8),0)</f>
        <v>-7376</v>
      </c>
      <c r="H8" s="34">
        <f t="shared" si="0"/>
        <v>-11064</v>
      </c>
      <c r="J8" s="13">
        <f t="shared" si="1"/>
        <v>263147</v>
      </c>
      <c r="O8" s="25">
        <v>4.1999999999999997E-3</v>
      </c>
      <c r="P8" s="13">
        <f>ROUND(IF(D$5=1,-0.5*O8*C8,-O8*C8),0)</f>
        <v>-1152</v>
      </c>
    </row>
    <row r="9" spans="1:18" x14ac:dyDescent="0.25">
      <c r="A9" s="54">
        <v>4</v>
      </c>
      <c r="B9" s="54" t="s">
        <v>19</v>
      </c>
      <c r="C9" s="3">
        <v>0</v>
      </c>
      <c r="D9" s="7">
        <v>2.2499999999999999E-2</v>
      </c>
      <c r="F9" s="3">
        <v>0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54">
        <v>5</v>
      </c>
      <c r="B10" s="54" t="s">
        <v>18</v>
      </c>
      <c r="C10" s="3">
        <v>0</v>
      </c>
      <c r="D10" s="7">
        <v>2.0500000000000001E-2</v>
      </c>
      <c r="F10" s="3">
        <v>0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54">
        <v>6</v>
      </c>
      <c r="B11" s="54" t="s">
        <v>63</v>
      </c>
      <c r="C11" s="4">
        <v>377580</v>
      </c>
      <c r="D11" s="8" t="s">
        <v>62</v>
      </c>
      <c r="F11" s="4">
        <v>-864</v>
      </c>
      <c r="G11" s="37">
        <f>P12</f>
        <v>-1727</v>
      </c>
      <c r="H11" s="37">
        <f t="shared" si="0"/>
        <v>-2591</v>
      </c>
      <c r="J11" s="14">
        <f t="shared" si="1"/>
        <v>374989</v>
      </c>
      <c r="O11" s="40">
        <v>0</v>
      </c>
      <c r="P11" s="14">
        <f>IF(D$5=1,-0.5*O11*C11,-O11*C11)</f>
        <v>0</v>
      </c>
    </row>
    <row r="12" spans="1:18" x14ac:dyDescent="0.25">
      <c r="C12" s="34">
        <f>SUM(C6:C11)</f>
        <v>6201678</v>
      </c>
      <c r="D12" s="34"/>
      <c r="F12" s="3">
        <f>SUM(F5:F11)</f>
        <v>-89814</v>
      </c>
      <c r="G12" s="34">
        <f>SUM(G5:G11)</f>
        <v>-179629</v>
      </c>
      <c r="H12" s="34">
        <f>SUM(H5:H11)</f>
        <v>-269443</v>
      </c>
      <c r="J12" s="13">
        <f>SUM(J6:J11)</f>
        <v>5932235</v>
      </c>
      <c r="O12" s="13"/>
      <c r="P12" s="33">
        <f>SUM(P5:P11)</f>
        <v>-1727</v>
      </c>
    </row>
    <row r="13" spans="1:18" ht="14.25" customHeight="1" x14ac:dyDescent="0.25">
      <c r="C13" s="34"/>
      <c r="D13" s="34"/>
      <c r="E13" s="34"/>
      <c r="F13" s="34"/>
      <c r="M13" s="32"/>
      <c r="N13" s="36"/>
    </row>
    <row r="14" spans="1:18" x14ac:dyDescent="0.25">
      <c r="M14" s="32"/>
      <c r="N14" s="36"/>
    </row>
    <row r="15" spans="1:18" x14ac:dyDescent="0.25">
      <c r="D15" s="32"/>
    </row>
    <row r="16" spans="1:18" s="102" customFormat="1" x14ac:dyDescent="0.25">
      <c r="C16" s="115"/>
      <c r="D16" s="124" t="s">
        <v>29</v>
      </c>
      <c r="E16" s="115"/>
      <c r="F16" s="115"/>
      <c r="G16" s="138">
        <v>0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76" t="s">
        <v>21</v>
      </c>
      <c r="D18" s="176" t="s">
        <v>30</v>
      </c>
      <c r="E18" s="176" t="s">
        <v>17</v>
      </c>
      <c r="F18" s="176" t="s">
        <v>31</v>
      </c>
      <c r="G18" s="176" t="s">
        <v>2</v>
      </c>
      <c r="H18" s="176" t="s">
        <v>33</v>
      </c>
      <c r="J18" s="176" t="s">
        <v>20</v>
      </c>
      <c r="K18" s="176">
        <f>D5</f>
        <v>2</v>
      </c>
      <c r="L18" s="176" t="s">
        <v>22</v>
      </c>
      <c r="M18" s="176" t="s">
        <v>17</v>
      </c>
      <c r="N18" s="176" t="s">
        <v>16</v>
      </c>
      <c r="O18" s="176" t="s">
        <v>16</v>
      </c>
      <c r="P18" s="176" t="s">
        <v>23</v>
      </c>
      <c r="R18" s="17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5352350</v>
      </c>
      <c r="D19" s="141">
        <v>0.93300000000000005</v>
      </c>
      <c r="E19" s="105">
        <f>ROUND(C19*-D19,0)</f>
        <v>-4993743</v>
      </c>
      <c r="F19" s="142">
        <f>C19+E19</f>
        <v>358607</v>
      </c>
      <c r="G19" s="142">
        <f t="shared" ref="G19:G24" si="3">ROUND(F19*-$G$16,0)</f>
        <v>0</v>
      </c>
      <c r="H19" s="143">
        <f t="shared" ref="H19:H24" si="4">F19+G19</f>
        <v>358607</v>
      </c>
      <c r="J19" s="102">
        <v>15</v>
      </c>
      <c r="K19" s="144">
        <f>IFERROR(VLOOKUP(J19,'Tax Rates'!$A$1:$AA$12,$K$18+1,FALSE),0)</f>
        <v>9.5000000000000001E-2</v>
      </c>
      <c r="L19" s="145">
        <v>-5011673</v>
      </c>
      <c r="M19" s="142">
        <v>0</v>
      </c>
      <c r="N19" s="142">
        <f t="shared" ref="N19:N24" si="5">G19</f>
        <v>0</v>
      </c>
      <c r="O19" s="105">
        <f>ROUND(K19*-H19,0)</f>
        <v>-34068</v>
      </c>
      <c r="P19" s="146">
        <f t="shared" ref="P19:P24" si="6">SUM(L19:O19)</f>
        <v>-5045741</v>
      </c>
      <c r="R19" s="142">
        <f>C19+P19</f>
        <v>306609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197537</v>
      </c>
      <c r="D20" s="147">
        <f>-E20/C20</f>
        <v>1</v>
      </c>
      <c r="E20" s="117">
        <v>-197537</v>
      </c>
      <c r="F20" s="142">
        <f>C20+E20</f>
        <v>0</v>
      </c>
      <c r="G20" s="142">
        <f t="shared" si="3"/>
        <v>0</v>
      </c>
      <c r="H20" s="143">
        <f t="shared" si="4"/>
        <v>0</v>
      </c>
      <c r="J20" s="102">
        <v>15</v>
      </c>
      <c r="K20" s="144">
        <f>IFERROR(VLOOKUP(J20,'Tax Rates'!$A$1:$AA$12,$K$18+1,FALSE),0)</f>
        <v>9.5000000000000001E-2</v>
      </c>
      <c r="L20" s="145">
        <v>-197537</v>
      </c>
      <c r="M20" s="142">
        <v>0</v>
      </c>
      <c r="N20" s="142">
        <f t="shared" si="5"/>
        <v>0</v>
      </c>
      <c r="O20" s="105">
        <f>ROUND(K20*-H20,0)</f>
        <v>0</v>
      </c>
      <c r="P20" s="146">
        <f t="shared" si="6"/>
        <v>-197537</v>
      </c>
      <c r="R20" s="142">
        <f>C20+P20</f>
        <v>0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274211</v>
      </c>
      <c r="D21" s="141">
        <v>1</v>
      </c>
      <c r="E21" s="105">
        <f>ROUND(C21*-D21,0)</f>
        <v>-274211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7.2190000000000004E-2</v>
      </c>
      <c r="L21" s="145">
        <v>-274211</v>
      </c>
      <c r="M21" s="142">
        <v>0</v>
      </c>
      <c r="N21" s="142">
        <f t="shared" si="5"/>
        <v>0</v>
      </c>
      <c r="O21" s="105">
        <f>ROUND(K21*-H21,0)</f>
        <v>0</v>
      </c>
      <c r="P21" s="146">
        <f t="shared" si="6"/>
        <v>-274211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0.24490000000000001</v>
      </c>
      <c r="L22" s="145">
        <v>0</v>
      </c>
      <c r="M22" s="142">
        <f t="shared" ref="M22:M24" si="7">E22</f>
        <v>0</v>
      </c>
      <c r="N22" s="142">
        <f t="shared" si="5"/>
        <v>0</v>
      </c>
      <c r="O22" s="105">
        <f>ROUND(K22*-H22,0)</f>
        <v>0</v>
      </c>
      <c r="P22" s="146">
        <f t="shared" si="6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9.5000000000000001E-2</v>
      </c>
      <c r="L23" s="145">
        <v>0</v>
      </c>
      <c r="M23" s="142">
        <f t="shared" si="7"/>
        <v>0</v>
      </c>
      <c r="N23" s="142">
        <f t="shared" si="5"/>
        <v>0</v>
      </c>
      <c r="O23" s="105">
        <f>ROUND(K23*-H23,0)</f>
        <v>0</v>
      </c>
      <c r="P23" s="146">
        <f t="shared" si="6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377580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 t="shared" si="7"/>
        <v>0</v>
      </c>
      <c r="N24" s="155">
        <f t="shared" si="5"/>
        <v>0</v>
      </c>
      <c r="O24" s="107">
        <v>0</v>
      </c>
      <c r="P24" s="156">
        <f t="shared" si="6"/>
        <v>0</v>
      </c>
      <c r="R24" s="157" t="s">
        <v>64</v>
      </c>
    </row>
    <row r="25" spans="1:18" s="102" customFormat="1" x14ac:dyDescent="0.25">
      <c r="C25" s="105">
        <f>SUM(C18:C24)</f>
        <v>6201678</v>
      </c>
      <c r="E25" s="105">
        <f>SUM(E19:E24)</f>
        <v>-5465491</v>
      </c>
      <c r="F25" s="105">
        <f>SUM(F19:F24)</f>
        <v>358607</v>
      </c>
      <c r="G25" s="105">
        <f>SUM(G19:G24)</f>
        <v>0</v>
      </c>
      <c r="H25" s="146">
        <f>SUM(H19:H24)</f>
        <v>358607</v>
      </c>
      <c r="L25" s="146">
        <f>SUM(L19:L24)</f>
        <v>-5483421</v>
      </c>
      <c r="M25" s="105">
        <f>SUM(M19:M24)</f>
        <v>0</v>
      </c>
      <c r="N25" s="105">
        <f>SUM(N19:N24)</f>
        <v>0</v>
      </c>
      <c r="O25" s="105">
        <f>SUM(O19:O24)</f>
        <v>-34068</v>
      </c>
      <c r="P25" s="146">
        <f>SUM(P19:P24)</f>
        <v>-5517489</v>
      </c>
      <c r="R25" s="142">
        <f>SUM(R19:R24)</f>
        <v>306609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G28" s="158"/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76" t="s">
        <v>34</v>
      </c>
      <c r="E30" s="176" t="s">
        <v>15</v>
      </c>
      <c r="F30" s="176" t="s">
        <v>41</v>
      </c>
      <c r="G30" s="176" t="s">
        <v>14</v>
      </c>
      <c r="H30" s="176" t="s">
        <v>3</v>
      </c>
    </row>
    <row r="31" spans="1:18" s="102" customFormat="1" x14ac:dyDescent="0.25">
      <c r="A31" s="102">
        <v>13</v>
      </c>
      <c r="B31" s="102" t="s">
        <v>48</v>
      </c>
      <c r="D31" s="142">
        <f>J6</f>
        <v>5103466</v>
      </c>
      <c r="E31" s="142">
        <f>R19</f>
        <v>306609</v>
      </c>
      <c r="F31" s="142">
        <f>E31-D31</f>
        <v>-4796857</v>
      </c>
      <c r="G31" s="160">
        <v>0.2495</v>
      </c>
      <c r="H31" s="142">
        <f>ROUND(F31*G31,0)</f>
        <v>-1196816</v>
      </c>
    </row>
    <row r="32" spans="1:18" s="102" customFormat="1" x14ac:dyDescent="0.25">
      <c r="A32" s="102">
        <v>14</v>
      </c>
      <c r="B32" s="102" t="s">
        <v>0</v>
      </c>
      <c r="D32" s="148">
        <f t="shared" ref="D32:D36" si="8">J7</f>
        <v>190633</v>
      </c>
      <c r="E32" s="142">
        <f t="shared" ref="E32:E36" si="9">R20</f>
        <v>0</v>
      </c>
      <c r="F32" s="142">
        <f>E32-D32</f>
        <v>-190633</v>
      </c>
      <c r="G32" s="159">
        <f>G31</f>
        <v>0.2495</v>
      </c>
      <c r="H32" s="142">
        <f t="shared" ref="H32:H36" si="10">ROUND(F32*G32,0)</f>
        <v>-47563</v>
      </c>
    </row>
    <row r="33" spans="1:10" s="102" customFormat="1" x14ac:dyDescent="0.25">
      <c r="A33" s="102">
        <v>15</v>
      </c>
      <c r="B33" s="102" t="s">
        <v>1</v>
      </c>
      <c r="D33" s="148">
        <f t="shared" si="8"/>
        <v>263147</v>
      </c>
      <c r="E33" s="142">
        <f t="shared" si="9"/>
        <v>0</v>
      </c>
      <c r="F33" s="142">
        <f>E33-D33</f>
        <v>-263147</v>
      </c>
      <c r="G33" s="159">
        <f>G31</f>
        <v>0.2495</v>
      </c>
      <c r="H33" s="142">
        <f t="shared" si="10"/>
        <v>-65655</v>
      </c>
    </row>
    <row r="34" spans="1:10" s="102" customFormat="1" x14ac:dyDescent="0.25">
      <c r="A34" s="102">
        <v>16</v>
      </c>
      <c r="B34" s="102" t="s">
        <v>19</v>
      </c>
      <c r="D34" s="148">
        <f t="shared" si="8"/>
        <v>0</v>
      </c>
      <c r="E34" s="142">
        <f t="shared" si="9"/>
        <v>0</v>
      </c>
      <c r="F34" s="142">
        <f>E34-D34</f>
        <v>0</v>
      </c>
      <c r="G34" s="159">
        <f>G31</f>
        <v>0.2495</v>
      </c>
      <c r="H34" s="142">
        <f t="shared" si="10"/>
        <v>0</v>
      </c>
    </row>
    <row r="35" spans="1:10" s="102" customFormat="1" x14ac:dyDescent="0.25">
      <c r="A35" s="102">
        <v>17</v>
      </c>
      <c r="B35" s="102" t="s">
        <v>18</v>
      </c>
      <c r="D35" s="148">
        <f t="shared" si="8"/>
        <v>0</v>
      </c>
      <c r="E35" s="142">
        <f t="shared" si="9"/>
        <v>0</v>
      </c>
      <c r="F35" s="142">
        <f>E35-D35</f>
        <v>0</v>
      </c>
      <c r="G35" s="159">
        <f>G31</f>
        <v>0.2495</v>
      </c>
      <c r="H35" s="142">
        <f t="shared" si="10"/>
        <v>0</v>
      </c>
    </row>
    <row r="36" spans="1:10" s="102" customFormat="1" x14ac:dyDescent="0.25">
      <c r="A36" s="102">
        <v>18</v>
      </c>
      <c r="B36" s="102" t="s">
        <v>63</v>
      </c>
      <c r="D36" s="150">
        <f t="shared" si="8"/>
        <v>374989</v>
      </c>
      <c r="E36" s="157" t="str">
        <f t="shared" si="9"/>
        <v>NA</v>
      </c>
      <c r="F36" s="150">
        <f>-D36</f>
        <v>-374989</v>
      </c>
      <c r="G36" s="161">
        <f>G31</f>
        <v>0.2495</v>
      </c>
      <c r="H36" s="150">
        <f t="shared" si="10"/>
        <v>-93560</v>
      </c>
    </row>
    <row r="37" spans="1:10" s="102" customFormat="1" x14ac:dyDescent="0.25">
      <c r="D37" s="142">
        <f>SUM(D31:D36)</f>
        <v>5932235</v>
      </c>
      <c r="E37" s="142">
        <f>SUM(E31:E36)</f>
        <v>306609</v>
      </c>
      <c r="F37" s="142">
        <f>SUM(F31:F36)</f>
        <v>-5625626</v>
      </c>
      <c r="H37" s="142">
        <f>SUM(H31:H36)</f>
        <v>-1403594</v>
      </c>
    </row>
    <row r="39" spans="1:10" s="102" customFormat="1" x14ac:dyDescent="0.25">
      <c r="A39" s="166" t="s">
        <v>71</v>
      </c>
      <c r="B39" s="102" t="s">
        <v>74</v>
      </c>
    </row>
    <row r="40" spans="1:10" s="102" customFormat="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s="102" customFormat="1" x14ac:dyDescent="0.25">
      <c r="A41" s="54"/>
      <c r="B41" s="55"/>
      <c r="C41" s="162"/>
      <c r="D41" s="162"/>
      <c r="E41" s="54"/>
      <c r="F41" s="54"/>
      <c r="G41" s="54"/>
      <c r="H41" s="54"/>
      <c r="I41" s="54"/>
      <c r="J41" s="54"/>
    </row>
    <row r="42" spans="1:10" s="102" customFormat="1" x14ac:dyDescent="0.25">
      <c r="A42" s="54"/>
      <c r="B42" s="162"/>
      <c r="C42" s="54"/>
      <c r="D42" s="54"/>
      <c r="E42" s="164"/>
      <c r="F42" s="163"/>
      <c r="G42" s="54"/>
      <c r="H42" s="54"/>
      <c r="I42" s="54"/>
      <c r="J42" s="54"/>
    </row>
    <row r="43" spans="1:10" s="102" customFormat="1" x14ac:dyDescent="0.25">
      <c r="A43" s="54"/>
      <c r="B43" s="162"/>
      <c r="C43" s="54"/>
      <c r="D43" s="54"/>
      <c r="E43" s="165"/>
      <c r="F43" s="163"/>
      <c r="G43" s="54"/>
      <c r="H43" s="54"/>
      <c r="I43" s="54"/>
      <c r="J43" s="54"/>
    </row>
    <row r="44" spans="1:10" s="102" customFormat="1" x14ac:dyDescent="0.25">
      <c r="A44" s="54"/>
      <c r="B44" s="162"/>
      <c r="C44" s="54"/>
      <c r="D44" s="54"/>
      <c r="E44" s="164"/>
      <c r="F44" s="163"/>
      <c r="G44" s="54"/>
      <c r="H44" s="54"/>
      <c r="I44" s="54"/>
      <c r="J44" s="54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- 2019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5"/>
  <sheetViews>
    <sheetView view="pageBreakPreview" topLeftCell="B13" zoomScale="60" zoomScaleNormal="100" workbookViewId="0">
      <selection activeCell="K13" sqref="K13"/>
    </sheetView>
  </sheetViews>
  <sheetFormatPr defaultColWidth="9.140625" defaultRowHeight="15" x14ac:dyDescent="0.25"/>
  <cols>
    <col min="1" max="1" width="14.42578125" style="54" customWidth="1"/>
    <col min="2" max="2" width="18.5703125" style="54" bestFit="1" customWidth="1"/>
    <col min="3" max="4" width="12.7109375" style="54" customWidth="1"/>
    <col min="5" max="5" width="11.28515625" style="54" bestFit="1" customWidth="1"/>
    <col min="6" max="6" width="12.7109375" style="54" customWidth="1"/>
    <col min="7" max="7" width="12.42578125" style="54" bestFit="1" customWidth="1"/>
    <col min="8" max="8" width="13.140625" style="54" bestFit="1" customWidth="1"/>
    <col min="9" max="9" width="2.7109375" style="54" customWidth="1"/>
    <col min="10" max="10" width="10.7109375" style="54" customWidth="1"/>
    <col min="11" max="11" width="8.140625" style="54" bestFit="1" customWidth="1"/>
    <col min="12" max="12" width="12.7109375" style="54" customWidth="1"/>
    <col min="13" max="14" width="11.28515625" style="54" bestFit="1" customWidth="1"/>
    <col min="15" max="15" width="8.42578125" style="54" bestFit="1" customWidth="1"/>
    <col min="16" max="16" width="11.28515625" style="54" bestFit="1" customWidth="1"/>
    <col min="17" max="17" width="2.7109375" style="54" customWidth="1"/>
    <col min="18" max="18" width="13.7109375" style="54" bestFit="1" customWidth="1"/>
    <col min="19" max="19" width="7.7109375" style="54" bestFit="1" customWidth="1"/>
    <col min="20" max="20" width="7.42578125" style="54" bestFit="1" customWidth="1"/>
    <col min="21" max="16384" width="9.140625" style="54"/>
  </cols>
  <sheetData>
    <row r="1" spans="1:18" x14ac:dyDescent="0.25">
      <c r="A1" s="38" t="s">
        <v>26</v>
      </c>
      <c r="B1" s="20">
        <v>2020</v>
      </c>
    </row>
    <row r="2" spans="1:18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32" t="s">
        <v>37</v>
      </c>
      <c r="F3" s="36"/>
      <c r="G3" s="29" t="s">
        <v>72</v>
      </c>
      <c r="H3" s="36"/>
      <c r="J3" s="39" t="s">
        <v>34</v>
      </c>
    </row>
    <row r="4" spans="1:18" x14ac:dyDescent="0.25">
      <c r="C4" s="32">
        <v>2020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8" x14ac:dyDescent="0.25">
      <c r="C5" s="186" t="s">
        <v>21</v>
      </c>
      <c r="D5" s="24">
        <v>1</v>
      </c>
      <c r="F5" s="186" t="s">
        <v>22</v>
      </c>
      <c r="G5" s="186" t="s">
        <v>17</v>
      </c>
      <c r="H5" s="186" t="s">
        <v>23</v>
      </c>
      <c r="J5" s="186" t="s">
        <v>43</v>
      </c>
      <c r="O5" s="186" t="s">
        <v>14</v>
      </c>
      <c r="P5" s="186" t="s">
        <v>16</v>
      </c>
    </row>
    <row r="6" spans="1:18" x14ac:dyDescent="0.25">
      <c r="A6" s="54">
        <v>1</v>
      </c>
      <c r="B6" s="54" t="s">
        <v>48</v>
      </c>
      <c r="C6" s="3">
        <v>5358074</v>
      </c>
      <c r="D6" s="7">
        <v>3.1E-2</v>
      </c>
      <c r="F6" s="3">
        <v>0</v>
      </c>
      <c r="G6" s="34">
        <f>ROUND(IF(D$5=1,-0.5*D6*C6,-D6*C6),0)</f>
        <v>-83050</v>
      </c>
      <c r="H6" s="34">
        <f t="shared" ref="H6:H11" si="0">SUM(F6:G6)</f>
        <v>-83050</v>
      </c>
      <c r="J6" s="13">
        <f t="shared" ref="J6:J11" si="1">C6+H6</f>
        <v>5275024</v>
      </c>
      <c r="O6" s="25">
        <v>1E-4</v>
      </c>
      <c r="P6" s="33">
        <f>ROUND(IF(D$5=1,-0.5*O6*C6,-O6*C6),0)</f>
        <v>-268</v>
      </c>
    </row>
    <row r="7" spans="1:18" x14ac:dyDescent="0.25">
      <c r="A7" s="54">
        <v>2</v>
      </c>
      <c r="B7" s="54" t="s">
        <v>0</v>
      </c>
      <c r="C7" s="3">
        <v>0</v>
      </c>
      <c r="D7" s="7">
        <v>2.3300000000000001E-2</v>
      </c>
      <c r="F7" s="3">
        <v>0</v>
      </c>
      <c r="G7" s="34">
        <f>ROUND(IF(D$5=1,-0.5*D7*C7,-D7*C7),0)</f>
        <v>0</v>
      </c>
      <c r="H7" s="34">
        <f t="shared" si="0"/>
        <v>0</v>
      </c>
      <c r="J7" s="13">
        <f t="shared" si="1"/>
        <v>0</v>
      </c>
      <c r="O7" s="25">
        <v>2.0000000000000001E-4</v>
      </c>
      <c r="P7" s="13">
        <f>ROUND(IF(D$5=1,-0.5*O7*C7,-O7*C7),0)</f>
        <v>0</v>
      </c>
    </row>
    <row r="8" spans="1:18" x14ac:dyDescent="0.25">
      <c r="A8" s="54">
        <v>3</v>
      </c>
      <c r="B8" s="54" t="s">
        <v>1</v>
      </c>
      <c r="C8" s="3">
        <v>386910</v>
      </c>
      <c r="D8" s="7">
        <v>2.69E-2</v>
      </c>
      <c r="F8" s="3">
        <v>0</v>
      </c>
      <c r="G8" s="34">
        <f>ROUND(IF(D$5=1,-0.5*D8*C8,-D8*C8),0)</f>
        <v>-5204</v>
      </c>
      <c r="H8" s="34">
        <f t="shared" si="0"/>
        <v>-5204</v>
      </c>
      <c r="J8" s="13">
        <f t="shared" si="1"/>
        <v>381706</v>
      </c>
      <c r="O8" s="25">
        <v>4.1999999999999997E-3</v>
      </c>
      <c r="P8" s="13">
        <f>ROUND(IF(D$5=1,-0.5*O8*C8,-O8*C8),0)</f>
        <v>-813</v>
      </c>
    </row>
    <row r="9" spans="1:18" x14ac:dyDescent="0.25">
      <c r="A9" s="54">
        <v>4</v>
      </c>
      <c r="B9" s="54" t="s">
        <v>19</v>
      </c>
      <c r="C9" s="3">
        <v>0</v>
      </c>
      <c r="D9" s="7">
        <v>2.2499999999999999E-2</v>
      </c>
      <c r="F9" s="3">
        <v>0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54">
        <v>5</v>
      </c>
      <c r="B10" s="54" t="s">
        <v>18</v>
      </c>
      <c r="C10" s="3">
        <v>0</v>
      </c>
      <c r="D10" s="7">
        <v>2.0500000000000001E-2</v>
      </c>
      <c r="F10" s="3">
        <v>0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54">
        <v>6</v>
      </c>
      <c r="B11" s="54" t="s">
        <v>63</v>
      </c>
      <c r="C11" s="4">
        <v>253736</v>
      </c>
      <c r="D11" s="8" t="s">
        <v>62</v>
      </c>
      <c r="F11" s="4">
        <v>0</v>
      </c>
      <c r="G11" s="37">
        <f>P12</f>
        <v>-1081</v>
      </c>
      <c r="H11" s="37">
        <f t="shared" si="0"/>
        <v>-1081</v>
      </c>
      <c r="J11" s="14">
        <f t="shared" si="1"/>
        <v>252655</v>
      </c>
      <c r="O11" s="40">
        <v>0</v>
      </c>
      <c r="P11" s="14">
        <f>IF(D$5=1,-0.5*O11*C11,-O11*C11)</f>
        <v>0</v>
      </c>
    </row>
    <row r="12" spans="1:18" x14ac:dyDescent="0.25">
      <c r="C12" s="34">
        <f>SUM(C6:C11)</f>
        <v>5998720</v>
      </c>
      <c r="D12" s="34"/>
      <c r="F12" s="3">
        <f>SUM(F5:F11)</f>
        <v>0</v>
      </c>
      <c r="G12" s="34">
        <f>SUM(G5:G11)</f>
        <v>-89335</v>
      </c>
      <c r="H12" s="34">
        <f>SUM(H5:H11)</f>
        <v>-89335</v>
      </c>
      <c r="J12" s="13">
        <f>SUM(J6:J11)</f>
        <v>5909385</v>
      </c>
      <c r="O12" s="13"/>
      <c r="P12" s="33">
        <f>SUM(P5:P11)</f>
        <v>-1081</v>
      </c>
    </row>
    <row r="13" spans="1:18" ht="14.25" customHeight="1" x14ac:dyDescent="0.25">
      <c r="C13" s="34"/>
      <c r="D13" s="34"/>
      <c r="E13" s="34"/>
      <c r="F13" s="34"/>
      <c r="M13" s="32"/>
      <c r="N13" s="36"/>
    </row>
    <row r="14" spans="1:18" x14ac:dyDescent="0.25">
      <c r="M14" s="32"/>
      <c r="N14" s="36"/>
    </row>
    <row r="15" spans="1:18" x14ac:dyDescent="0.25">
      <c r="D15" s="32"/>
    </row>
    <row r="16" spans="1:18" s="102" customFormat="1" x14ac:dyDescent="0.25">
      <c r="C16" s="115"/>
      <c r="D16" s="124" t="s">
        <v>29</v>
      </c>
      <c r="E16" s="115"/>
      <c r="F16" s="115"/>
      <c r="G16" s="138">
        <v>0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85" t="s">
        <v>21</v>
      </c>
      <c r="D18" s="185" t="s">
        <v>30</v>
      </c>
      <c r="E18" s="185" t="s">
        <v>17</v>
      </c>
      <c r="F18" s="185" t="s">
        <v>31</v>
      </c>
      <c r="G18" s="185" t="s">
        <v>2</v>
      </c>
      <c r="H18" s="185" t="s">
        <v>33</v>
      </c>
      <c r="J18" s="185" t="s">
        <v>20</v>
      </c>
      <c r="K18" s="185">
        <f>D5</f>
        <v>1</v>
      </c>
      <c r="L18" s="185" t="s">
        <v>22</v>
      </c>
      <c r="M18" s="185" t="s">
        <v>17</v>
      </c>
      <c r="N18" s="185" t="s">
        <v>16</v>
      </c>
      <c r="O18" s="185" t="s">
        <v>16</v>
      </c>
      <c r="P18" s="185" t="s">
        <v>23</v>
      </c>
      <c r="R18" s="185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5358074</v>
      </c>
      <c r="D19" s="147">
        <v>0.74450000000000005</v>
      </c>
      <c r="E19" s="105">
        <f>ROUND(C19*-D19,0)</f>
        <v>-3989086</v>
      </c>
      <c r="F19" s="142">
        <f>C19+E19</f>
        <v>1368988</v>
      </c>
      <c r="G19" s="142">
        <f t="shared" ref="G19:G24" si="3">ROUND(F19*-$G$16,0)</f>
        <v>0</v>
      </c>
      <c r="H19" s="143">
        <f t="shared" ref="H19:H24" si="4">F19+G19</f>
        <v>1368988</v>
      </c>
      <c r="J19" s="102">
        <v>15</v>
      </c>
      <c r="K19" s="144">
        <f>IFERROR(VLOOKUP(J19,'Tax Rates'!$A$1:$AA$12,$K$18+1,FALSE),0)</f>
        <v>0.05</v>
      </c>
      <c r="L19" s="145">
        <v>0</v>
      </c>
      <c r="M19" s="142">
        <f t="shared" ref="M19:M24" si="5">E19</f>
        <v>-3989086</v>
      </c>
      <c r="N19" s="142">
        <f t="shared" ref="N19:N24" si="6">G19</f>
        <v>0</v>
      </c>
      <c r="O19" s="105">
        <f>ROUND(K19*-H19,0)</f>
        <v>-68449</v>
      </c>
      <c r="P19" s="146">
        <f t="shared" ref="P19:P24" si="7">SUM(L19:O19)</f>
        <v>-4057535</v>
      </c>
      <c r="R19" s="142">
        <f>C19+P19</f>
        <v>1300539</v>
      </c>
    </row>
    <row r="20" spans="1:18" s="102" customFormat="1" x14ac:dyDescent="0.25">
      <c r="A20" s="102">
        <v>8</v>
      </c>
      <c r="B20" s="102" t="s">
        <v>0</v>
      </c>
      <c r="C20" s="116">
        <v>0</v>
      </c>
      <c r="D20" s="147">
        <f>IF(C20=0,0,-E20/C20)</f>
        <v>0</v>
      </c>
      <c r="E20" s="117">
        <v>0</v>
      </c>
      <c r="F20" s="142">
        <f>C20+E20</f>
        <v>0</v>
      </c>
      <c r="G20" s="142">
        <f t="shared" si="3"/>
        <v>0</v>
      </c>
      <c r="H20" s="143">
        <f t="shared" si="4"/>
        <v>0</v>
      </c>
      <c r="J20" s="102">
        <v>15</v>
      </c>
      <c r="K20" s="144">
        <f>IFERROR(VLOOKUP(J20,'Tax Rates'!$A$1:$AA$12,$K$18+1,FALSE),0)</f>
        <v>0.05</v>
      </c>
      <c r="L20" s="145">
        <v>0</v>
      </c>
      <c r="M20" s="142">
        <f t="shared" si="5"/>
        <v>0</v>
      </c>
      <c r="N20" s="142">
        <f t="shared" si="6"/>
        <v>0</v>
      </c>
      <c r="O20" s="105">
        <f>ROUND(K20*-H20,0)</f>
        <v>0</v>
      </c>
      <c r="P20" s="146">
        <f t="shared" si="7"/>
        <v>0</v>
      </c>
      <c r="R20" s="142">
        <f>C20+P20</f>
        <v>0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386910</v>
      </c>
      <c r="D21" s="141">
        <v>1</v>
      </c>
      <c r="E21" s="105">
        <f>ROUND(C21*-D21,0)</f>
        <v>-386910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3.7499999999999999E-2</v>
      </c>
      <c r="L21" s="145">
        <v>0</v>
      </c>
      <c r="M21" s="142">
        <f t="shared" si="5"/>
        <v>-386910</v>
      </c>
      <c r="N21" s="142">
        <f t="shared" si="6"/>
        <v>0</v>
      </c>
      <c r="O21" s="105">
        <f>ROUND(K21*-H21,0)</f>
        <v>0</v>
      </c>
      <c r="P21" s="146">
        <f t="shared" si="7"/>
        <v>-386910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0.14285999999999999</v>
      </c>
      <c r="L22" s="145">
        <v>0</v>
      </c>
      <c r="M22" s="142">
        <f t="shared" si="5"/>
        <v>0</v>
      </c>
      <c r="N22" s="142">
        <f t="shared" si="6"/>
        <v>0</v>
      </c>
      <c r="O22" s="105">
        <f>ROUND(K22*-H22,0)</f>
        <v>0</v>
      </c>
      <c r="P22" s="146">
        <f t="shared" si="7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0.05</v>
      </c>
      <c r="L23" s="145">
        <v>0</v>
      </c>
      <c r="M23" s="142">
        <f t="shared" si="5"/>
        <v>0</v>
      </c>
      <c r="N23" s="142">
        <f t="shared" si="6"/>
        <v>0</v>
      </c>
      <c r="O23" s="105">
        <f>ROUND(K23*-H23,0)</f>
        <v>0</v>
      </c>
      <c r="P23" s="146">
        <f t="shared" si="7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253736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 t="shared" si="5"/>
        <v>0</v>
      </c>
      <c r="N24" s="155">
        <f t="shared" si="6"/>
        <v>0</v>
      </c>
      <c r="O24" s="107">
        <v>0</v>
      </c>
      <c r="P24" s="156">
        <f t="shared" si="7"/>
        <v>0</v>
      </c>
      <c r="R24" s="157" t="s">
        <v>64</v>
      </c>
    </row>
    <row r="25" spans="1:18" s="102" customFormat="1" x14ac:dyDescent="0.25">
      <c r="C25" s="105">
        <f>SUM(C18:C24)</f>
        <v>5998720</v>
      </c>
      <c r="E25" s="105">
        <f>SUM(E19:E24)</f>
        <v>-4375996</v>
      </c>
      <c r="F25" s="105">
        <f>SUM(F19:F24)</f>
        <v>1368988</v>
      </c>
      <c r="G25" s="105">
        <f>SUM(G19:G24)</f>
        <v>0</v>
      </c>
      <c r="H25" s="146">
        <f>SUM(H19:H24)</f>
        <v>1368988</v>
      </c>
      <c r="L25" s="146">
        <f>SUM(L19:L24)</f>
        <v>0</v>
      </c>
      <c r="M25" s="105">
        <f>SUM(M19:M24)</f>
        <v>-4375996</v>
      </c>
      <c r="N25" s="105">
        <f>SUM(N19:N24)</f>
        <v>0</v>
      </c>
      <c r="O25" s="105">
        <f>SUM(O19:O24)</f>
        <v>-68449</v>
      </c>
      <c r="P25" s="146">
        <f>SUM(P19:P24)</f>
        <v>-4444445</v>
      </c>
      <c r="R25" s="142">
        <f>SUM(R19:R24)</f>
        <v>1300539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G28" s="158"/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85" t="s">
        <v>34</v>
      </c>
      <c r="E30" s="185" t="s">
        <v>15</v>
      </c>
      <c r="F30" s="185" t="s">
        <v>41</v>
      </c>
      <c r="G30" s="185" t="s">
        <v>14</v>
      </c>
      <c r="H30" s="185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8">J6</f>
        <v>5275024</v>
      </c>
      <c r="E31" s="142">
        <f t="shared" ref="E31:E36" si="9">R19</f>
        <v>1300539</v>
      </c>
      <c r="F31" s="142">
        <f>E31-D31</f>
        <v>-3974485</v>
      </c>
      <c r="G31" s="160">
        <v>0.2495</v>
      </c>
      <c r="H31" s="142">
        <f>ROUND(F31*G31,0)</f>
        <v>-991634</v>
      </c>
    </row>
    <row r="32" spans="1:18" s="102" customFormat="1" x14ac:dyDescent="0.25">
      <c r="A32" s="102">
        <v>14</v>
      </c>
      <c r="B32" s="102" t="s">
        <v>0</v>
      </c>
      <c r="D32" s="148">
        <f t="shared" si="8"/>
        <v>0</v>
      </c>
      <c r="E32" s="142">
        <f t="shared" si="9"/>
        <v>0</v>
      </c>
      <c r="F32" s="142">
        <f>E32-D32</f>
        <v>0</v>
      </c>
      <c r="G32" s="159">
        <f>G31</f>
        <v>0.2495</v>
      </c>
      <c r="H32" s="142">
        <f t="shared" ref="H32:H36" si="10">ROUND(F32*G32,0)</f>
        <v>0</v>
      </c>
    </row>
    <row r="33" spans="1:10" s="102" customFormat="1" x14ac:dyDescent="0.25">
      <c r="A33" s="102">
        <v>15</v>
      </c>
      <c r="B33" s="102" t="s">
        <v>1</v>
      </c>
      <c r="D33" s="148">
        <f t="shared" si="8"/>
        <v>381706</v>
      </c>
      <c r="E33" s="142">
        <f t="shared" si="9"/>
        <v>0</v>
      </c>
      <c r="F33" s="142">
        <f>E33-D33</f>
        <v>-381706</v>
      </c>
      <c r="G33" s="159">
        <f>G31</f>
        <v>0.2495</v>
      </c>
      <c r="H33" s="142">
        <f t="shared" si="10"/>
        <v>-95236</v>
      </c>
    </row>
    <row r="34" spans="1:10" s="102" customFormat="1" x14ac:dyDescent="0.25">
      <c r="A34" s="102">
        <v>16</v>
      </c>
      <c r="B34" s="102" t="s">
        <v>19</v>
      </c>
      <c r="D34" s="148">
        <f t="shared" si="8"/>
        <v>0</v>
      </c>
      <c r="E34" s="142">
        <f t="shared" si="9"/>
        <v>0</v>
      </c>
      <c r="F34" s="142">
        <f>E34-D34</f>
        <v>0</v>
      </c>
      <c r="G34" s="159">
        <f>G31</f>
        <v>0.2495</v>
      </c>
      <c r="H34" s="142">
        <f t="shared" si="10"/>
        <v>0</v>
      </c>
    </row>
    <row r="35" spans="1:10" s="102" customFormat="1" x14ac:dyDescent="0.25">
      <c r="A35" s="102">
        <v>17</v>
      </c>
      <c r="B35" s="102" t="s">
        <v>18</v>
      </c>
      <c r="D35" s="148">
        <f t="shared" si="8"/>
        <v>0</v>
      </c>
      <c r="E35" s="142">
        <f t="shared" si="9"/>
        <v>0</v>
      </c>
      <c r="F35" s="142">
        <f>E35-D35</f>
        <v>0</v>
      </c>
      <c r="G35" s="159">
        <f>G31</f>
        <v>0.2495</v>
      </c>
      <c r="H35" s="142">
        <f t="shared" si="10"/>
        <v>0</v>
      </c>
    </row>
    <row r="36" spans="1:10" s="102" customFormat="1" x14ac:dyDescent="0.25">
      <c r="A36" s="102">
        <v>18</v>
      </c>
      <c r="B36" s="102" t="s">
        <v>63</v>
      </c>
      <c r="D36" s="150">
        <f t="shared" si="8"/>
        <v>252655</v>
      </c>
      <c r="E36" s="157" t="str">
        <f t="shared" si="9"/>
        <v>NA</v>
      </c>
      <c r="F36" s="150">
        <f>-D36</f>
        <v>-252655</v>
      </c>
      <c r="G36" s="161">
        <f>G31</f>
        <v>0.2495</v>
      </c>
      <c r="H36" s="150">
        <f t="shared" si="10"/>
        <v>-63037</v>
      </c>
    </row>
    <row r="37" spans="1:10" s="102" customFormat="1" x14ac:dyDescent="0.25">
      <c r="D37" s="142">
        <f>SUM(D31:D36)</f>
        <v>5909385</v>
      </c>
      <c r="E37" s="142">
        <f>SUM(E31:E36)</f>
        <v>1300539</v>
      </c>
      <c r="F37" s="142">
        <f>SUM(F31:F36)</f>
        <v>-4608846</v>
      </c>
      <c r="H37" s="142">
        <f>SUM(H31:H36)</f>
        <v>-1149907</v>
      </c>
    </row>
    <row r="39" spans="1:10" s="102" customFormat="1" x14ac:dyDescent="0.25">
      <c r="A39" s="166" t="s">
        <v>71</v>
      </c>
      <c r="B39" s="102" t="s">
        <v>74</v>
      </c>
    </row>
    <row r="40" spans="1:10" s="102" customFormat="1" x14ac:dyDescent="0.25">
      <c r="A40" s="166" t="s">
        <v>72</v>
      </c>
      <c r="B40" s="102" t="s">
        <v>73</v>
      </c>
    </row>
    <row r="41" spans="1:10" s="102" customFormat="1" x14ac:dyDescent="0.25">
      <c r="A41" s="166"/>
      <c r="B41" s="54"/>
      <c r="C41" s="54"/>
      <c r="D41" s="54"/>
      <c r="E41" s="54"/>
      <c r="F41" s="54"/>
      <c r="G41" s="54"/>
      <c r="H41" s="54"/>
      <c r="I41" s="54"/>
      <c r="J41" s="54"/>
    </row>
    <row r="42" spans="1:10" s="102" customFormat="1" x14ac:dyDescent="0.25">
      <c r="B42" s="55"/>
      <c r="C42" s="162"/>
      <c r="D42" s="162"/>
      <c r="E42" s="54"/>
      <c r="F42" s="54"/>
      <c r="G42" s="54"/>
      <c r="H42" s="54"/>
      <c r="I42" s="54"/>
      <c r="J42" s="54"/>
    </row>
    <row r="43" spans="1:10" s="102" customFormat="1" x14ac:dyDescent="0.25">
      <c r="B43" s="162"/>
      <c r="C43" s="54"/>
      <c r="D43" s="54"/>
      <c r="E43" s="164"/>
      <c r="F43" s="163"/>
      <c r="G43" s="54"/>
      <c r="H43" s="54"/>
      <c r="I43" s="54"/>
      <c r="J43" s="54"/>
    </row>
    <row r="44" spans="1:10" s="102" customFormat="1" x14ac:dyDescent="0.25">
      <c r="B44" s="162"/>
      <c r="C44" s="54"/>
      <c r="D44" s="54"/>
      <c r="E44" s="165"/>
      <c r="F44" s="163"/>
      <c r="G44" s="54"/>
      <c r="H44" s="54"/>
      <c r="I44" s="54"/>
      <c r="J44" s="54"/>
    </row>
    <row r="45" spans="1:10" x14ac:dyDescent="0.25">
      <c r="B45" s="162"/>
      <c r="E45" s="164"/>
      <c r="F45" s="163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- 2019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7"/>
  <sheetViews>
    <sheetView view="pageBreakPreview" topLeftCell="A29" zoomScale="60" zoomScaleNormal="80" workbookViewId="0">
      <selection activeCell="G15" sqref="G15"/>
    </sheetView>
  </sheetViews>
  <sheetFormatPr defaultColWidth="9.140625" defaultRowHeight="15" x14ac:dyDescent="0.25"/>
  <cols>
    <col min="1" max="1" width="4.7109375" style="102" customWidth="1"/>
    <col min="2" max="2" width="38.42578125" style="102" customWidth="1"/>
    <col min="3" max="3" width="16" style="102" bestFit="1" customWidth="1"/>
    <col min="4" max="4" width="2.7109375" style="102" customWidth="1"/>
    <col min="5" max="5" width="12.5703125" style="102" customWidth="1"/>
    <col min="6" max="16384" width="9.140625" style="102"/>
  </cols>
  <sheetData>
    <row r="1" spans="1:9" x14ac:dyDescent="0.25">
      <c r="A1" s="101" t="s">
        <v>51</v>
      </c>
      <c r="F1" s="168" t="s">
        <v>176</v>
      </c>
    </row>
    <row r="2" spans="1:9" x14ac:dyDescent="0.25">
      <c r="A2" s="101" t="s">
        <v>76</v>
      </c>
    </row>
    <row r="3" spans="1:9" x14ac:dyDescent="0.25">
      <c r="A3" s="169"/>
      <c r="B3" s="169"/>
      <c r="C3" s="169"/>
      <c r="D3" s="169"/>
      <c r="E3" s="169"/>
      <c r="F3" s="115"/>
      <c r="G3" s="115"/>
      <c r="H3" s="115"/>
    </row>
    <row r="4" spans="1:9" x14ac:dyDescent="0.25">
      <c r="F4" s="115"/>
      <c r="G4" s="115"/>
      <c r="H4" s="115"/>
    </row>
    <row r="5" spans="1:9" x14ac:dyDescent="0.25">
      <c r="A5" s="101" t="s">
        <v>103</v>
      </c>
      <c r="F5" s="115"/>
      <c r="G5" s="115"/>
      <c r="H5" s="115"/>
      <c r="I5" s="115"/>
    </row>
    <row r="6" spans="1:9" x14ac:dyDescent="0.25">
      <c r="B6" s="101"/>
      <c r="F6" s="115"/>
      <c r="G6" s="115"/>
      <c r="H6" s="115"/>
      <c r="I6" s="115"/>
    </row>
    <row r="7" spans="1:9" x14ac:dyDescent="0.25">
      <c r="B7" s="101"/>
      <c r="F7" s="115"/>
      <c r="G7" s="115"/>
      <c r="H7" s="115"/>
      <c r="I7" s="115"/>
    </row>
    <row r="8" spans="1:9" x14ac:dyDescent="0.25">
      <c r="B8" s="101">
        <v>2010</v>
      </c>
      <c r="C8" s="170">
        <f>-'2010'!G12</f>
        <v>29643</v>
      </c>
      <c r="F8" s="115"/>
      <c r="G8" s="115"/>
      <c r="H8" s="115"/>
      <c r="I8" s="115"/>
    </row>
    <row r="9" spans="1:9" x14ac:dyDescent="0.25">
      <c r="B9" s="101">
        <v>2011</v>
      </c>
      <c r="C9" s="170">
        <f>-'2011'!G12</f>
        <v>39770</v>
      </c>
      <c r="F9" s="115"/>
      <c r="G9" s="115"/>
      <c r="H9" s="115"/>
      <c r="I9" s="115"/>
    </row>
    <row r="10" spans="1:9" x14ac:dyDescent="0.25">
      <c r="B10" s="101">
        <v>2012</v>
      </c>
      <c r="C10" s="170">
        <f>-'2012'!G12</f>
        <v>90827</v>
      </c>
      <c r="F10" s="115"/>
      <c r="G10" s="115"/>
      <c r="H10" s="115"/>
    </row>
    <row r="11" spans="1:9" x14ac:dyDescent="0.25">
      <c r="B11" s="101">
        <v>2013</v>
      </c>
      <c r="C11" s="170">
        <f>-'2013'!G12</f>
        <v>68191</v>
      </c>
      <c r="F11" s="115"/>
      <c r="G11" s="115"/>
      <c r="H11" s="115"/>
    </row>
    <row r="12" spans="1:9" x14ac:dyDescent="0.25">
      <c r="B12" s="101">
        <v>2014</v>
      </c>
      <c r="C12" s="170">
        <f>-'2014'!G12</f>
        <v>52186</v>
      </c>
      <c r="F12" s="115"/>
      <c r="G12" s="115"/>
      <c r="H12" s="115"/>
    </row>
    <row r="13" spans="1:9" x14ac:dyDescent="0.25">
      <c r="B13" s="101">
        <v>2015</v>
      </c>
      <c r="C13" s="170">
        <f>-'2015'!G12</f>
        <v>43721</v>
      </c>
      <c r="F13" s="115"/>
      <c r="G13" s="115"/>
      <c r="H13" s="115"/>
    </row>
    <row r="14" spans="1:9" x14ac:dyDescent="0.25">
      <c r="B14" s="101">
        <v>2016</v>
      </c>
      <c r="C14" s="170">
        <f>-'2016'!G12</f>
        <v>85321</v>
      </c>
      <c r="F14" s="115"/>
      <c r="G14" s="115"/>
      <c r="H14" s="115"/>
    </row>
    <row r="15" spans="1:9" x14ac:dyDescent="0.25">
      <c r="B15" s="101">
        <v>2017</v>
      </c>
      <c r="C15" s="170">
        <f>-'2017'!G12</f>
        <v>66719</v>
      </c>
      <c r="F15" s="115"/>
      <c r="G15" s="115"/>
      <c r="H15" s="115"/>
    </row>
    <row r="16" spans="1:9" x14ac:dyDescent="0.25">
      <c r="B16" s="101">
        <v>2018</v>
      </c>
      <c r="C16" s="170">
        <f>-'2018'!G12</f>
        <v>102588</v>
      </c>
      <c r="F16" s="115"/>
      <c r="G16" s="115"/>
      <c r="H16" s="115"/>
    </row>
    <row r="17" spans="1:9" x14ac:dyDescent="0.25">
      <c r="B17" s="101">
        <v>2019</v>
      </c>
      <c r="C17" s="170">
        <f>-'2019'!G12</f>
        <v>179629</v>
      </c>
      <c r="F17" s="115"/>
      <c r="G17" s="115"/>
      <c r="H17" s="115"/>
    </row>
    <row r="18" spans="1:9" x14ac:dyDescent="0.25">
      <c r="B18" s="101">
        <v>2020</v>
      </c>
      <c r="C18" s="170">
        <f>-'2020'!G12</f>
        <v>89335</v>
      </c>
      <c r="F18" s="115"/>
      <c r="G18" s="115"/>
      <c r="H18" s="115"/>
    </row>
    <row r="19" spans="1:9" x14ac:dyDescent="0.25">
      <c r="B19" s="101"/>
      <c r="C19" s="171">
        <f>SUM(C8:C18)</f>
        <v>847930</v>
      </c>
      <c r="F19" s="115"/>
      <c r="G19" s="115"/>
      <c r="H19" s="115"/>
    </row>
    <row r="20" spans="1:9" x14ac:dyDescent="0.25">
      <c r="A20" s="169"/>
      <c r="B20" s="169"/>
      <c r="C20" s="169"/>
      <c r="D20" s="169"/>
      <c r="E20" s="169"/>
      <c r="F20" s="115"/>
      <c r="G20" s="115"/>
      <c r="H20" s="115"/>
    </row>
    <row r="21" spans="1:9" x14ac:dyDescent="0.25">
      <c r="F21" s="115"/>
      <c r="G21" s="115"/>
      <c r="H21" s="115"/>
    </row>
    <row r="22" spans="1:9" x14ac:dyDescent="0.25">
      <c r="A22" s="101" t="s">
        <v>75</v>
      </c>
      <c r="F22" s="115"/>
      <c r="G22" s="115"/>
      <c r="H22" s="115"/>
    </row>
    <row r="23" spans="1:9" x14ac:dyDescent="0.25">
      <c r="E23" s="115"/>
      <c r="F23" s="115"/>
      <c r="G23" s="115"/>
      <c r="H23" s="115"/>
    </row>
    <row r="24" spans="1:9" x14ac:dyDescent="0.25">
      <c r="B24" s="245" t="s">
        <v>168</v>
      </c>
      <c r="E24" s="115"/>
      <c r="F24" s="115"/>
      <c r="G24" s="115"/>
      <c r="H24" s="115"/>
      <c r="I24" s="115"/>
    </row>
    <row r="25" spans="1:9" ht="15" customHeight="1" x14ac:dyDescent="0.25">
      <c r="A25" s="168"/>
      <c r="B25" s="245"/>
      <c r="C25" s="170">
        <v>76450</v>
      </c>
      <c r="D25" s="104"/>
      <c r="E25" s="170"/>
      <c r="F25" s="115"/>
      <c r="G25" s="115"/>
      <c r="H25" s="115"/>
      <c r="I25" s="115"/>
    </row>
    <row r="26" spans="1:9" x14ac:dyDescent="0.25">
      <c r="A26" s="115"/>
      <c r="B26" s="115"/>
      <c r="C26" s="170"/>
      <c r="D26" s="170"/>
      <c r="E26" s="170"/>
      <c r="F26" s="115"/>
      <c r="G26" s="115"/>
      <c r="H26" s="115"/>
      <c r="I26" s="115"/>
    </row>
    <row r="27" spans="1:9" x14ac:dyDescent="0.25">
      <c r="A27" s="115"/>
      <c r="B27" s="115" t="s">
        <v>169</v>
      </c>
      <c r="C27" s="107">
        <v>85990.16</v>
      </c>
      <c r="D27" s="170"/>
      <c r="E27" s="170"/>
      <c r="F27" s="115"/>
      <c r="G27" s="115"/>
      <c r="H27" s="115"/>
    </row>
    <row r="28" spans="1:9" x14ac:dyDescent="0.25">
      <c r="A28" s="115"/>
      <c r="B28" s="115"/>
      <c r="C28" s="170"/>
      <c r="D28" s="170"/>
      <c r="E28" s="170"/>
      <c r="F28" s="115"/>
      <c r="G28" s="115"/>
      <c r="H28" s="115"/>
    </row>
    <row r="29" spans="1:9" x14ac:dyDescent="0.25">
      <c r="A29" s="115"/>
      <c r="B29" s="115" t="s">
        <v>170</v>
      </c>
      <c r="C29" s="170">
        <f>IF(C25&gt;C27,C27-C25,0)</f>
        <v>0</v>
      </c>
      <c r="D29" s="170"/>
      <c r="E29" s="170"/>
      <c r="F29" s="115"/>
      <c r="G29" s="115"/>
      <c r="H29" s="115"/>
    </row>
    <row r="30" spans="1:9" x14ac:dyDescent="0.25">
      <c r="A30" s="169"/>
      <c r="B30" s="169"/>
      <c r="C30" s="172"/>
      <c r="D30" s="172"/>
      <c r="E30" s="172"/>
    </row>
    <row r="31" spans="1:9" x14ac:dyDescent="0.25">
      <c r="A31" s="115"/>
      <c r="B31" s="115"/>
      <c r="C31" s="170"/>
      <c r="D31" s="170"/>
      <c r="E31" s="170"/>
    </row>
    <row r="32" spans="1:9" x14ac:dyDescent="0.25">
      <c r="A32" s="101" t="s">
        <v>77</v>
      </c>
      <c r="C32" s="104"/>
      <c r="D32" s="104"/>
      <c r="E32" s="104"/>
    </row>
    <row r="33" spans="1:5" x14ac:dyDescent="0.25">
      <c r="A33" s="136" t="s">
        <v>71</v>
      </c>
      <c r="B33" s="173" t="s">
        <v>260</v>
      </c>
      <c r="C33" s="101"/>
      <c r="D33" s="101"/>
    </row>
    <row r="34" spans="1:5" x14ac:dyDescent="0.25">
      <c r="B34" s="106" t="s">
        <v>171</v>
      </c>
      <c r="C34" s="105">
        <v>147558610</v>
      </c>
    </row>
    <row r="36" spans="1:5" x14ac:dyDescent="0.25">
      <c r="B36" s="102" t="s">
        <v>216</v>
      </c>
      <c r="C36" s="105">
        <v>3090000</v>
      </c>
    </row>
    <row r="38" spans="1:5" x14ac:dyDescent="0.25">
      <c r="B38" s="102" t="s">
        <v>78</v>
      </c>
      <c r="C38" s="174">
        <f>C36/C34</f>
        <v>2.0940831578719805E-2</v>
      </c>
    </row>
    <row r="40" spans="1:5" x14ac:dyDescent="0.25">
      <c r="A40" s="115"/>
      <c r="B40" s="115" t="s">
        <v>172</v>
      </c>
      <c r="C40" s="107">
        <f>SUM(Summary!D8:M10)</f>
        <v>25731044</v>
      </c>
      <c r="D40" s="115"/>
      <c r="E40" s="115"/>
    </row>
    <row r="41" spans="1:5" x14ac:dyDescent="0.25">
      <c r="A41" s="115"/>
      <c r="B41" s="115"/>
      <c r="C41" s="115"/>
      <c r="D41" s="115"/>
      <c r="E41" s="115"/>
    </row>
    <row r="42" spans="1:5" x14ac:dyDescent="0.25">
      <c r="A42" s="115"/>
      <c r="B42" s="115" t="s">
        <v>173</v>
      </c>
      <c r="C42" s="121">
        <f>C38*C40</f>
        <v>538829.45874862873</v>
      </c>
      <c r="D42" s="115"/>
      <c r="E42" s="115"/>
    </row>
    <row r="43" spans="1:5" x14ac:dyDescent="0.25">
      <c r="A43" s="169"/>
      <c r="B43" s="169"/>
      <c r="C43" s="169"/>
      <c r="D43" s="169"/>
      <c r="E43" s="169"/>
    </row>
    <row r="45" spans="1:5" x14ac:dyDescent="0.25">
      <c r="A45" s="101" t="s">
        <v>174</v>
      </c>
      <c r="B45" s="101"/>
      <c r="C45" s="122">
        <f>C42+C29+C19</f>
        <v>1386759.4587486289</v>
      </c>
    </row>
    <row r="47" spans="1:5" x14ac:dyDescent="0.25">
      <c r="A47" s="136" t="s">
        <v>71</v>
      </c>
      <c r="B47" s="175" t="s">
        <v>175</v>
      </c>
    </row>
  </sheetData>
  <mergeCells count="1">
    <mergeCell ref="B24:B25"/>
  </mergeCells>
  <pageMargins left="0.7" right="0.7" top="0.75" bottom="0.75" header="0.3" footer="0.3"/>
  <pageSetup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"/>
  <sheetViews>
    <sheetView view="pageBreakPreview" zoomScale="60" zoomScaleNormal="100" workbookViewId="0">
      <pane xSplit="1" ySplit="6" topLeftCell="B51" activePane="bottomRight" state="frozen"/>
      <selection activeCell="A6" sqref="A6"/>
      <selection pane="topRight" activeCell="A6" sqref="A6"/>
      <selection pane="bottomLeft" activeCell="A6" sqref="A6"/>
      <selection pane="bottomRight" activeCell="G83" sqref="G83"/>
    </sheetView>
  </sheetViews>
  <sheetFormatPr defaultRowHeight="15" x14ac:dyDescent="0.25"/>
  <cols>
    <col min="1" max="1" width="18.5703125" style="56" customWidth="1"/>
    <col min="2" max="2" width="23.28515625" style="57" customWidth="1"/>
    <col min="3" max="3" width="34" style="58" bestFit="1" customWidth="1"/>
    <col min="4" max="4" width="13.28515625" style="53" customWidth="1"/>
    <col min="5" max="5" width="16.7109375" style="60" customWidth="1"/>
    <col min="6" max="255" width="9.140625" style="53"/>
    <col min="256" max="256" width="32" style="53" customWidth="1"/>
    <col min="257" max="257" width="18.7109375" style="53" customWidth="1"/>
    <col min="258" max="258" width="9.140625" style="53" customWidth="1"/>
    <col min="259" max="259" width="13.28515625" style="53" customWidth="1"/>
    <col min="260" max="260" width="16.7109375" style="53" customWidth="1"/>
    <col min="261" max="261" width="29.140625" style="53" customWidth="1"/>
    <col min="262" max="511" width="9.140625" style="53"/>
    <col min="512" max="512" width="32" style="53" customWidth="1"/>
    <col min="513" max="513" width="18.7109375" style="53" customWidth="1"/>
    <col min="514" max="514" width="9.140625" style="53" customWidth="1"/>
    <col min="515" max="515" width="13.28515625" style="53" customWidth="1"/>
    <col min="516" max="516" width="16.7109375" style="53" customWidth="1"/>
    <col min="517" max="517" width="29.140625" style="53" customWidth="1"/>
    <col min="518" max="767" width="9.140625" style="53"/>
    <col min="768" max="768" width="32" style="53" customWidth="1"/>
    <col min="769" max="769" width="18.7109375" style="53" customWidth="1"/>
    <col min="770" max="770" width="9.140625" style="53" customWidth="1"/>
    <col min="771" max="771" width="13.28515625" style="53" customWidth="1"/>
    <col min="772" max="772" width="16.7109375" style="53" customWidth="1"/>
    <col min="773" max="773" width="29.140625" style="53" customWidth="1"/>
    <col min="774" max="1023" width="9.140625" style="53"/>
    <col min="1024" max="1024" width="32" style="53" customWidth="1"/>
    <col min="1025" max="1025" width="18.7109375" style="53" customWidth="1"/>
    <col min="1026" max="1026" width="9.140625" style="53" customWidth="1"/>
    <col min="1027" max="1027" width="13.28515625" style="53" customWidth="1"/>
    <col min="1028" max="1028" width="16.7109375" style="53" customWidth="1"/>
    <col min="1029" max="1029" width="29.140625" style="53" customWidth="1"/>
    <col min="1030" max="1279" width="9.140625" style="53"/>
    <col min="1280" max="1280" width="32" style="53" customWidth="1"/>
    <col min="1281" max="1281" width="18.7109375" style="53" customWidth="1"/>
    <col min="1282" max="1282" width="9.140625" style="53" customWidth="1"/>
    <col min="1283" max="1283" width="13.28515625" style="53" customWidth="1"/>
    <col min="1284" max="1284" width="16.7109375" style="53" customWidth="1"/>
    <col min="1285" max="1285" width="29.140625" style="53" customWidth="1"/>
    <col min="1286" max="1535" width="9.140625" style="53"/>
    <col min="1536" max="1536" width="32" style="53" customWidth="1"/>
    <col min="1537" max="1537" width="18.7109375" style="53" customWidth="1"/>
    <col min="1538" max="1538" width="9.140625" style="53" customWidth="1"/>
    <col min="1539" max="1539" width="13.28515625" style="53" customWidth="1"/>
    <col min="1540" max="1540" width="16.7109375" style="53" customWidth="1"/>
    <col min="1541" max="1541" width="29.140625" style="53" customWidth="1"/>
    <col min="1542" max="1791" width="9.140625" style="53"/>
    <col min="1792" max="1792" width="32" style="53" customWidth="1"/>
    <col min="1793" max="1793" width="18.7109375" style="53" customWidth="1"/>
    <col min="1794" max="1794" width="9.140625" style="53" customWidth="1"/>
    <col min="1795" max="1795" width="13.28515625" style="53" customWidth="1"/>
    <col min="1796" max="1796" width="16.7109375" style="53" customWidth="1"/>
    <col min="1797" max="1797" width="29.140625" style="53" customWidth="1"/>
    <col min="1798" max="2047" width="9.140625" style="53"/>
    <col min="2048" max="2048" width="32" style="53" customWidth="1"/>
    <col min="2049" max="2049" width="18.7109375" style="53" customWidth="1"/>
    <col min="2050" max="2050" width="9.140625" style="53" customWidth="1"/>
    <col min="2051" max="2051" width="13.28515625" style="53" customWidth="1"/>
    <col min="2052" max="2052" width="16.7109375" style="53" customWidth="1"/>
    <col min="2053" max="2053" width="29.140625" style="53" customWidth="1"/>
    <col min="2054" max="2303" width="9.140625" style="53"/>
    <col min="2304" max="2304" width="32" style="53" customWidth="1"/>
    <col min="2305" max="2305" width="18.7109375" style="53" customWidth="1"/>
    <col min="2306" max="2306" width="9.140625" style="53" customWidth="1"/>
    <col min="2307" max="2307" width="13.28515625" style="53" customWidth="1"/>
    <col min="2308" max="2308" width="16.7109375" style="53" customWidth="1"/>
    <col min="2309" max="2309" width="29.140625" style="53" customWidth="1"/>
    <col min="2310" max="2559" width="9.140625" style="53"/>
    <col min="2560" max="2560" width="32" style="53" customWidth="1"/>
    <col min="2561" max="2561" width="18.7109375" style="53" customWidth="1"/>
    <col min="2562" max="2562" width="9.140625" style="53" customWidth="1"/>
    <col min="2563" max="2563" width="13.28515625" style="53" customWidth="1"/>
    <col min="2564" max="2564" width="16.7109375" style="53" customWidth="1"/>
    <col min="2565" max="2565" width="29.140625" style="53" customWidth="1"/>
    <col min="2566" max="2815" width="9.140625" style="53"/>
    <col min="2816" max="2816" width="32" style="53" customWidth="1"/>
    <col min="2817" max="2817" width="18.7109375" style="53" customWidth="1"/>
    <col min="2818" max="2818" width="9.140625" style="53" customWidth="1"/>
    <col min="2819" max="2819" width="13.28515625" style="53" customWidth="1"/>
    <col min="2820" max="2820" width="16.7109375" style="53" customWidth="1"/>
    <col min="2821" max="2821" width="29.140625" style="53" customWidth="1"/>
    <col min="2822" max="3071" width="9.140625" style="53"/>
    <col min="3072" max="3072" width="32" style="53" customWidth="1"/>
    <col min="3073" max="3073" width="18.7109375" style="53" customWidth="1"/>
    <col min="3074" max="3074" width="9.140625" style="53" customWidth="1"/>
    <col min="3075" max="3075" width="13.28515625" style="53" customWidth="1"/>
    <col min="3076" max="3076" width="16.7109375" style="53" customWidth="1"/>
    <col min="3077" max="3077" width="29.140625" style="53" customWidth="1"/>
    <col min="3078" max="3327" width="9.140625" style="53"/>
    <col min="3328" max="3328" width="32" style="53" customWidth="1"/>
    <col min="3329" max="3329" width="18.7109375" style="53" customWidth="1"/>
    <col min="3330" max="3330" width="9.140625" style="53" customWidth="1"/>
    <col min="3331" max="3331" width="13.28515625" style="53" customWidth="1"/>
    <col min="3332" max="3332" width="16.7109375" style="53" customWidth="1"/>
    <col min="3333" max="3333" width="29.140625" style="53" customWidth="1"/>
    <col min="3334" max="3583" width="9.140625" style="53"/>
    <col min="3584" max="3584" width="32" style="53" customWidth="1"/>
    <col min="3585" max="3585" width="18.7109375" style="53" customWidth="1"/>
    <col min="3586" max="3586" width="9.140625" style="53" customWidth="1"/>
    <col min="3587" max="3587" width="13.28515625" style="53" customWidth="1"/>
    <col min="3588" max="3588" width="16.7109375" style="53" customWidth="1"/>
    <col min="3589" max="3589" width="29.140625" style="53" customWidth="1"/>
    <col min="3590" max="3839" width="9.140625" style="53"/>
    <col min="3840" max="3840" width="32" style="53" customWidth="1"/>
    <col min="3841" max="3841" width="18.7109375" style="53" customWidth="1"/>
    <col min="3842" max="3842" width="9.140625" style="53" customWidth="1"/>
    <col min="3843" max="3843" width="13.28515625" style="53" customWidth="1"/>
    <col min="3844" max="3844" width="16.7109375" style="53" customWidth="1"/>
    <col min="3845" max="3845" width="29.140625" style="53" customWidth="1"/>
    <col min="3846" max="4095" width="9.140625" style="53"/>
    <col min="4096" max="4096" width="32" style="53" customWidth="1"/>
    <col min="4097" max="4097" width="18.7109375" style="53" customWidth="1"/>
    <col min="4098" max="4098" width="9.140625" style="53" customWidth="1"/>
    <col min="4099" max="4099" width="13.28515625" style="53" customWidth="1"/>
    <col min="4100" max="4100" width="16.7109375" style="53" customWidth="1"/>
    <col min="4101" max="4101" width="29.140625" style="53" customWidth="1"/>
    <col min="4102" max="4351" width="9.140625" style="53"/>
    <col min="4352" max="4352" width="32" style="53" customWidth="1"/>
    <col min="4353" max="4353" width="18.7109375" style="53" customWidth="1"/>
    <col min="4354" max="4354" width="9.140625" style="53" customWidth="1"/>
    <col min="4355" max="4355" width="13.28515625" style="53" customWidth="1"/>
    <col min="4356" max="4356" width="16.7109375" style="53" customWidth="1"/>
    <col min="4357" max="4357" width="29.140625" style="53" customWidth="1"/>
    <col min="4358" max="4607" width="9.140625" style="53"/>
    <col min="4608" max="4608" width="32" style="53" customWidth="1"/>
    <col min="4609" max="4609" width="18.7109375" style="53" customWidth="1"/>
    <col min="4610" max="4610" width="9.140625" style="53" customWidth="1"/>
    <col min="4611" max="4611" width="13.28515625" style="53" customWidth="1"/>
    <col min="4612" max="4612" width="16.7109375" style="53" customWidth="1"/>
    <col min="4613" max="4613" width="29.140625" style="53" customWidth="1"/>
    <col min="4614" max="4863" width="9.140625" style="53"/>
    <col min="4864" max="4864" width="32" style="53" customWidth="1"/>
    <col min="4865" max="4865" width="18.7109375" style="53" customWidth="1"/>
    <col min="4866" max="4866" width="9.140625" style="53" customWidth="1"/>
    <col min="4867" max="4867" width="13.28515625" style="53" customWidth="1"/>
    <col min="4868" max="4868" width="16.7109375" style="53" customWidth="1"/>
    <col min="4869" max="4869" width="29.140625" style="53" customWidth="1"/>
    <col min="4870" max="5119" width="9.140625" style="53"/>
    <col min="5120" max="5120" width="32" style="53" customWidth="1"/>
    <col min="5121" max="5121" width="18.7109375" style="53" customWidth="1"/>
    <col min="5122" max="5122" width="9.140625" style="53" customWidth="1"/>
    <col min="5123" max="5123" width="13.28515625" style="53" customWidth="1"/>
    <col min="5124" max="5124" width="16.7109375" style="53" customWidth="1"/>
    <col min="5125" max="5125" width="29.140625" style="53" customWidth="1"/>
    <col min="5126" max="5375" width="9.140625" style="53"/>
    <col min="5376" max="5376" width="32" style="53" customWidth="1"/>
    <col min="5377" max="5377" width="18.7109375" style="53" customWidth="1"/>
    <col min="5378" max="5378" width="9.140625" style="53" customWidth="1"/>
    <col min="5379" max="5379" width="13.28515625" style="53" customWidth="1"/>
    <col min="5380" max="5380" width="16.7109375" style="53" customWidth="1"/>
    <col min="5381" max="5381" width="29.140625" style="53" customWidth="1"/>
    <col min="5382" max="5631" width="9.140625" style="53"/>
    <col min="5632" max="5632" width="32" style="53" customWidth="1"/>
    <col min="5633" max="5633" width="18.7109375" style="53" customWidth="1"/>
    <col min="5634" max="5634" width="9.140625" style="53" customWidth="1"/>
    <col min="5635" max="5635" width="13.28515625" style="53" customWidth="1"/>
    <col min="5636" max="5636" width="16.7109375" style="53" customWidth="1"/>
    <col min="5637" max="5637" width="29.140625" style="53" customWidth="1"/>
    <col min="5638" max="5887" width="9.140625" style="53"/>
    <col min="5888" max="5888" width="32" style="53" customWidth="1"/>
    <col min="5889" max="5889" width="18.7109375" style="53" customWidth="1"/>
    <col min="5890" max="5890" width="9.140625" style="53" customWidth="1"/>
    <col min="5891" max="5891" width="13.28515625" style="53" customWidth="1"/>
    <col min="5892" max="5892" width="16.7109375" style="53" customWidth="1"/>
    <col min="5893" max="5893" width="29.140625" style="53" customWidth="1"/>
    <col min="5894" max="6143" width="9.140625" style="53"/>
    <col min="6144" max="6144" width="32" style="53" customWidth="1"/>
    <col min="6145" max="6145" width="18.7109375" style="53" customWidth="1"/>
    <col min="6146" max="6146" width="9.140625" style="53" customWidth="1"/>
    <col min="6147" max="6147" width="13.28515625" style="53" customWidth="1"/>
    <col min="6148" max="6148" width="16.7109375" style="53" customWidth="1"/>
    <col min="6149" max="6149" width="29.140625" style="53" customWidth="1"/>
    <col min="6150" max="6399" width="9.140625" style="53"/>
    <col min="6400" max="6400" width="32" style="53" customWidth="1"/>
    <col min="6401" max="6401" width="18.7109375" style="53" customWidth="1"/>
    <col min="6402" max="6402" width="9.140625" style="53" customWidth="1"/>
    <col min="6403" max="6403" width="13.28515625" style="53" customWidth="1"/>
    <col min="6404" max="6404" width="16.7109375" style="53" customWidth="1"/>
    <col min="6405" max="6405" width="29.140625" style="53" customWidth="1"/>
    <col min="6406" max="6655" width="9.140625" style="53"/>
    <col min="6656" max="6656" width="32" style="53" customWidth="1"/>
    <col min="6657" max="6657" width="18.7109375" style="53" customWidth="1"/>
    <col min="6658" max="6658" width="9.140625" style="53" customWidth="1"/>
    <col min="6659" max="6659" width="13.28515625" style="53" customWidth="1"/>
    <col min="6660" max="6660" width="16.7109375" style="53" customWidth="1"/>
    <col min="6661" max="6661" width="29.140625" style="53" customWidth="1"/>
    <col min="6662" max="6911" width="9.140625" style="53"/>
    <col min="6912" max="6912" width="32" style="53" customWidth="1"/>
    <col min="6913" max="6913" width="18.7109375" style="53" customWidth="1"/>
    <col min="6914" max="6914" width="9.140625" style="53" customWidth="1"/>
    <col min="6915" max="6915" width="13.28515625" style="53" customWidth="1"/>
    <col min="6916" max="6916" width="16.7109375" style="53" customWidth="1"/>
    <col min="6917" max="6917" width="29.140625" style="53" customWidth="1"/>
    <col min="6918" max="7167" width="9.140625" style="53"/>
    <col min="7168" max="7168" width="32" style="53" customWidth="1"/>
    <col min="7169" max="7169" width="18.7109375" style="53" customWidth="1"/>
    <col min="7170" max="7170" width="9.140625" style="53" customWidth="1"/>
    <col min="7171" max="7171" width="13.28515625" style="53" customWidth="1"/>
    <col min="7172" max="7172" width="16.7109375" style="53" customWidth="1"/>
    <col min="7173" max="7173" width="29.140625" style="53" customWidth="1"/>
    <col min="7174" max="7423" width="9.140625" style="53"/>
    <col min="7424" max="7424" width="32" style="53" customWidth="1"/>
    <col min="7425" max="7425" width="18.7109375" style="53" customWidth="1"/>
    <col min="7426" max="7426" width="9.140625" style="53" customWidth="1"/>
    <col min="7427" max="7427" width="13.28515625" style="53" customWidth="1"/>
    <col min="7428" max="7428" width="16.7109375" style="53" customWidth="1"/>
    <col min="7429" max="7429" width="29.140625" style="53" customWidth="1"/>
    <col min="7430" max="7679" width="9.140625" style="53"/>
    <col min="7680" max="7680" width="32" style="53" customWidth="1"/>
    <col min="7681" max="7681" width="18.7109375" style="53" customWidth="1"/>
    <col min="7682" max="7682" width="9.140625" style="53" customWidth="1"/>
    <col min="7683" max="7683" width="13.28515625" style="53" customWidth="1"/>
    <col min="7684" max="7684" width="16.7109375" style="53" customWidth="1"/>
    <col min="7685" max="7685" width="29.140625" style="53" customWidth="1"/>
    <col min="7686" max="7935" width="9.140625" style="53"/>
    <col min="7936" max="7936" width="32" style="53" customWidth="1"/>
    <col min="7937" max="7937" width="18.7109375" style="53" customWidth="1"/>
    <col min="7938" max="7938" width="9.140625" style="53" customWidth="1"/>
    <col min="7939" max="7939" width="13.28515625" style="53" customWidth="1"/>
    <col min="7940" max="7940" width="16.7109375" style="53" customWidth="1"/>
    <col min="7941" max="7941" width="29.140625" style="53" customWidth="1"/>
    <col min="7942" max="8191" width="9.140625" style="53"/>
    <col min="8192" max="8192" width="32" style="53" customWidth="1"/>
    <col min="8193" max="8193" width="18.7109375" style="53" customWidth="1"/>
    <col min="8194" max="8194" width="9.140625" style="53" customWidth="1"/>
    <col min="8195" max="8195" width="13.28515625" style="53" customWidth="1"/>
    <col min="8196" max="8196" width="16.7109375" style="53" customWidth="1"/>
    <col min="8197" max="8197" width="29.140625" style="53" customWidth="1"/>
    <col min="8198" max="8447" width="9.140625" style="53"/>
    <col min="8448" max="8448" width="32" style="53" customWidth="1"/>
    <col min="8449" max="8449" width="18.7109375" style="53" customWidth="1"/>
    <col min="8450" max="8450" width="9.140625" style="53" customWidth="1"/>
    <col min="8451" max="8451" width="13.28515625" style="53" customWidth="1"/>
    <col min="8452" max="8452" width="16.7109375" style="53" customWidth="1"/>
    <col min="8453" max="8453" width="29.140625" style="53" customWidth="1"/>
    <col min="8454" max="8703" width="9.140625" style="53"/>
    <col min="8704" max="8704" width="32" style="53" customWidth="1"/>
    <col min="8705" max="8705" width="18.7109375" style="53" customWidth="1"/>
    <col min="8706" max="8706" width="9.140625" style="53" customWidth="1"/>
    <col min="8707" max="8707" width="13.28515625" style="53" customWidth="1"/>
    <col min="8708" max="8708" width="16.7109375" style="53" customWidth="1"/>
    <col min="8709" max="8709" width="29.140625" style="53" customWidth="1"/>
    <col min="8710" max="8959" width="9.140625" style="53"/>
    <col min="8960" max="8960" width="32" style="53" customWidth="1"/>
    <col min="8961" max="8961" width="18.7109375" style="53" customWidth="1"/>
    <col min="8962" max="8962" width="9.140625" style="53" customWidth="1"/>
    <col min="8963" max="8963" width="13.28515625" style="53" customWidth="1"/>
    <col min="8964" max="8964" width="16.7109375" style="53" customWidth="1"/>
    <col min="8965" max="8965" width="29.140625" style="53" customWidth="1"/>
    <col min="8966" max="9215" width="9.140625" style="53"/>
    <col min="9216" max="9216" width="32" style="53" customWidth="1"/>
    <col min="9217" max="9217" width="18.7109375" style="53" customWidth="1"/>
    <col min="9218" max="9218" width="9.140625" style="53" customWidth="1"/>
    <col min="9219" max="9219" width="13.28515625" style="53" customWidth="1"/>
    <col min="9220" max="9220" width="16.7109375" style="53" customWidth="1"/>
    <col min="9221" max="9221" width="29.140625" style="53" customWidth="1"/>
    <col min="9222" max="9471" width="9.140625" style="53"/>
    <col min="9472" max="9472" width="32" style="53" customWidth="1"/>
    <col min="9473" max="9473" width="18.7109375" style="53" customWidth="1"/>
    <col min="9474" max="9474" width="9.140625" style="53" customWidth="1"/>
    <col min="9475" max="9475" width="13.28515625" style="53" customWidth="1"/>
    <col min="9476" max="9476" width="16.7109375" style="53" customWidth="1"/>
    <col min="9477" max="9477" width="29.140625" style="53" customWidth="1"/>
    <col min="9478" max="9727" width="9.140625" style="53"/>
    <col min="9728" max="9728" width="32" style="53" customWidth="1"/>
    <col min="9729" max="9729" width="18.7109375" style="53" customWidth="1"/>
    <col min="9730" max="9730" width="9.140625" style="53" customWidth="1"/>
    <col min="9731" max="9731" width="13.28515625" style="53" customWidth="1"/>
    <col min="9732" max="9732" width="16.7109375" style="53" customWidth="1"/>
    <col min="9733" max="9733" width="29.140625" style="53" customWidth="1"/>
    <col min="9734" max="9983" width="9.140625" style="53"/>
    <col min="9984" max="9984" width="32" style="53" customWidth="1"/>
    <col min="9985" max="9985" width="18.7109375" style="53" customWidth="1"/>
    <col min="9986" max="9986" width="9.140625" style="53" customWidth="1"/>
    <col min="9987" max="9987" width="13.28515625" style="53" customWidth="1"/>
    <col min="9988" max="9988" width="16.7109375" style="53" customWidth="1"/>
    <col min="9989" max="9989" width="29.140625" style="53" customWidth="1"/>
    <col min="9990" max="10239" width="9.140625" style="53"/>
    <col min="10240" max="10240" width="32" style="53" customWidth="1"/>
    <col min="10241" max="10241" width="18.7109375" style="53" customWidth="1"/>
    <col min="10242" max="10242" width="9.140625" style="53" customWidth="1"/>
    <col min="10243" max="10243" width="13.28515625" style="53" customWidth="1"/>
    <col min="10244" max="10244" width="16.7109375" style="53" customWidth="1"/>
    <col min="10245" max="10245" width="29.140625" style="53" customWidth="1"/>
    <col min="10246" max="10495" width="9.140625" style="53"/>
    <col min="10496" max="10496" width="32" style="53" customWidth="1"/>
    <col min="10497" max="10497" width="18.7109375" style="53" customWidth="1"/>
    <col min="10498" max="10498" width="9.140625" style="53" customWidth="1"/>
    <col min="10499" max="10499" width="13.28515625" style="53" customWidth="1"/>
    <col min="10500" max="10500" width="16.7109375" style="53" customWidth="1"/>
    <col min="10501" max="10501" width="29.140625" style="53" customWidth="1"/>
    <col min="10502" max="10751" width="9.140625" style="53"/>
    <col min="10752" max="10752" width="32" style="53" customWidth="1"/>
    <col min="10753" max="10753" width="18.7109375" style="53" customWidth="1"/>
    <col min="10754" max="10754" width="9.140625" style="53" customWidth="1"/>
    <col min="10755" max="10755" width="13.28515625" style="53" customWidth="1"/>
    <col min="10756" max="10756" width="16.7109375" style="53" customWidth="1"/>
    <col min="10757" max="10757" width="29.140625" style="53" customWidth="1"/>
    <col min="10758" max="11007" width="9.140625" style="53"/>
    <col min="11008" max="11008" width="32" style="53" customWidth="1"/>
    <col min="11009" max="11009" width="18.7109375" style="53" customWidth="1"/>
    <col min="11010" max="11010" width="9.140625" style="53" customWidth="1"/>
    <col min="11011" max="11011" width="13.28515625" style="53" customWidth="1"/>
    <col min="11012" max="11012" width="16.7109375" style="53" customWidth="1"/>
    <col min="11013" max="11013" width="29.140625" style="53" customWidth="1"/>
    <col min="11014" max="11263" width="9.140625" style="53"/>
    <col min="11264" max="11264" width="32" style="53" customWidth="1"/>
    <col min="11265" max="11265" width="18.7109375" style="53" customWidth="1"/>
    <col min="11266" max="11266" width="9.140625" style="53" customWidth="1"/>
    <col min="11267" max="11267" width="13.28515625" style="53" customWidth="1"/>
    <col min="11268" max="11268" width="16.7109375" style="53" customWidth="1"/>
    <col min="11269" max="11269" width="29.140625" style="53" customWidth="1"/>
    <col min="11270" max="11519" width="9.140625" style="53"/>
    <col min="11520" max="11520" width="32" style="53" customWidth="1"/>
    <col min="11521" max="11521" width="18.7109375" style="53" customWidth="1"/>
    <col min="11522" max="11522" width="9.140625" style="53" customWidth="1"/>
    <col min="11523" max="11523" width="13.28515625" style="53" customWidth="1"/>
    <col min="11524" max="11524" width="16.7109375" style="53" customWidth="1"/>
    <col min="11525" max="11525" width="29.140625" style="53" customWidth="1"/>
    <col min="11526" max="11775" width="9.140625" style="53"/>
    <col min="11776" max="11776" width="32" style="53" customWidth="1"/>
    <col min="11777" max="11777" width="18.7109375" style="53" customWidth="1"/>
    <col min="11778" max="11778" width="9.140625" style="53" customWidth="1"/>
    <col min="11779" max="11779" width="13.28515625" style="53" customWidth="1"/>
    <col min="11780" max="11780" width="16.7109375" style="53" customWidth="1"/>
    <col min="11781" max="11781" width="29.140625" style="53" customWidth="1"/>
    <col min="11782" max="12031" width="9.140625" style="53"/>
    <col min="12032" max="12032" width="32" style="53" customWidth="1"/>
    <col min="12033" max="12033" width="18.7109375" style="53" customWidth="1"/>
    <col min="12034" max="12034" width="9.140625" style="53" customWidth="1"/>
    <col min="12035" max="12035" width="13.28515625" style="53" customWidth="1"/>
    <col min="12036" max="12036" width="16.7109375" style="53" customWidth="1"/>
    <col min="12037" max="12037" width="29.140625" style="53" customWidth="1"/>
    <col min="12038" max="12287" width="9.140625" style="53"/>
    <col min="12288" max="12288" width="32" style="53" customWidth="1"/>
    <col min="12289" max="12289" width="18.7109375" style="53" customWidth="1"/>
    <col min="12290" max="12290" width="9.140625" style="53" customWidth="1"/>
    <col min="12291" max="12291" width="13.28515625" style="53" customWidth="1"/>
    <col min="12292" max="12292" width="16.7109375" style="53" customWidth="1"/>
    <col min="12293" max="12293" width="29.140625" style="53" customWidth="1"/>
    <col min="12294" max="12543" width="9.140625" style="53"/>
    <col min="12544" max="12544" width="32" style="53" customWidth="1"/>
    <col min="12545" max="12545" width="18.7109375" style="53" customWidth="1"/>
    <col min="12546" max="12546" width="9.140625" style="53" customWidth="1"/>
    <col min="12547" max="12547" width="13.28515625" style="53" customWidth="1"/>
    <col min="12548" max="12548" width="16.7109375" style="53" customWidth="1"/>
    <col min="12549" max="12549" width="29.140625" style="53" customWidth="1"/>
    <col min="12550" max="12799" width="9.140625" style="53"/>
    <col min="12800" max="12800" width="32" style="53" customWidth="1"/>
    <col min="12801" max="12801" width="18.7109375" style="53" customWidth="1"/>
    <col min="12802" max="12802" width="9.140625" style="53" customWidth="1"/>
    <col min="12803" max="12803" width="13.28515625" style="53" customWidth="1"/>
    <col min="12804" max="12804" width="16.7109375" style="53" customWidth="1"/>
    <col min="12805" max="12805" width="29.140625" style="53" customWidth="1"/>
    <col min="12806" max="13055" width="9.140625" style="53"/>
    <col min="13056" max="13056" width="32" style="53" customWidth="1"/>
    <col min="13057" max="13057" width="18.7109375" style="53" customWidth="1"/>
    <col min="13058" max="13058" width="9.140625" style="53" customWidth="1"/>
    <col min="13059" max="13059" width="13.28515625" style="53" customWidth="1"/>
    <col min="13060" max="13060" width="16.7109375" style="53" customWidth="1"/>
    <col min="13061" max="13061" width="29.140625" style="53" customWidth="1"/>
    <col min="13062" max="13311" width="9.140625" style="53"/>
    <col min="13312" max="13312" width="32" style="53" customWidth="1"/>
    <col min="13313" max="13313" width="18.7109375" style="53" customWidth="1"/>
    <col min="13314" max="13314" width="9.140625" style="53" customWidth="1"/>
    <col min="13315" max="13315" width="13.28515625" style="53" customWidth="1"/>
    <col min="13316" max="13316" width="16.7109375" style="53" customWidth="1"/>
    <col min="13317" max="13317" width="29.140625" style="53" customWidth="1"/>
    <col min="13318" max="13567" width="9.140625" style="53"/>
    <col min="13568" max="13568" width="32" style="53" customWidth="1"/>
    <col min="13569" max="13569" width="18.7109375" style="53" customWidth="1"/>
    <col min="13570" max="13570" width="9.140625" style="53" customWidth="1"/>
    <col min="13571" max="13571" width="13.28515625" style="53" customWidth="1"/>
    <col min="13572" max="13572" width="16.7109375" style="53" customWidth="1"/>
    <col min="13573" max="13573" width="29.140625" style="53" customWidth="1"/>
    <col min="13574" max="13823" width="9.140625" style="53"/>
    <col min="13824" max="13824" width="32" style="53" customWidth="1"/>
    <col min="13825" max="13825" width="18.7109375" style="53" customWidth="1"/>
    <col min="13826" max="13826" width="9.140625" style="53" customWidth="1"/>
    <col min="13827" max="13827" width="13.28515625" style="53" customWidth="1"/>
    <col min="13828" max="13828" width="16.7109375" style="53" customWidth="1"/>
    <col min="13829" max="13829" width="29.140625" style="53" customWidth="1"/>
    <col min="13830" max="14079" width="9.140625" style="53"/>
    <col min="14080" max="14080" width="32" style="53" customWidth="1"/>
    <col min="14081" max="14081" width="18.7109375" style="53" customWidth="1"/>
    <col min="14082" max="14082" width="9.140625" style="53" customWidth="1"/>
    <col min="14083" max="14083" width="13.28515625" style="53" customWidth="1"/>
    <col min="14084" max="14084" width="16.7109375" style="53" customWidth="1"/>
    <col min="14085" max="14085" width="29.140625" style="53" customWidth="1"/>
    <col min="14086" max="14335" width="9.140625" style="53"/>
    <col min="14336" max="14336" width="32" style="53" customWidth="1"/>
    <col min="14337" max="14337" width="18.7109375" style="53" customWidth="1"/>
    <col min="14338" max="14338" width="9.140625" style="53" customWidth="1"/>
    <col min="14339" max="14339" width="13.28515625" style="53" customWidth="1"/>
    <col min="14340" max="14340" width="16.7109375" style="53" customWidth="1"/>
    <col min="14341" max="14341" width="29.140625" style="53" customWidth="1"/>
    <col min="14342" max="14591" width="9.140625" style="53"/>
    <col min="14592" max="14592" width="32" style="53" customWidth="1"/>
    <col min="14593" max="14593" width="18.7109375" style="53" customWidth="1"/>
    <col min="14594" max="14594" width="9.140625" style="53" customWidth="1"/>
    <col min="14595" max="14595" width="13.28515625" style="53" customWidth="1"/>
    <col min="14596" max="14596" width="16.7109375" style="53" customWidth="1"/>
    <col min="14597" max="14597" width="29.140625" style="53" customWidth="1"/>
    <col min="14598" max="14847" width="9.140625" style="53"/>
    <col min="14848" max="14848" width="32" style="53" customWidth="1"/>
    <col min="14849" max="14849" width="18.7109375" style="53" customWidth="1"/>
    <col min="14850" max="14850" width="9.140625" style="53" customWidth="1"/>
    <col min="14851" max="14851" width="13.28515625" style="53" customWidth="1"/>
    <col min="14852" max="14852" width="16.7109375" style="53" customWidth="1"/>
    <col min="14853" max="14853" width="29.140625" style="53" customWidth="1"/>
    <col min="14854" max="15103" width="9.140625" style="53"/>
    <col min="15104" max="15104" width="32" style="53" customWidth="1"/>
    <col min="15105" max="15105" width="18.7109375" style="53" customWidth="1"/>
    <col min="15106" max="15106" width="9.140625" style="53" customWidth="1"/>
    <col min="15107" max="15107" width="13.28515625" style="53" customWidth="1"/>
    <col min="15108" max="15108" width="16.7109375" style="53" customWidth="1"/>
    <col min="15109" max="15109" width="29.140625" style="53" customWidth="1"/>
    <col min="15110" max="15359" width="9.140625" style="53"/>
    <col min="15360" max="15360" width="32" style="53" customWidth="1"/>
    <col min="15361" max="15361" width="18.7109375" style="53" customWidth="1"/>
    <col min="15362" max="15362" width="9.140625" style="53" customWidth="1"/>
    <col min="15363" max="15363" width="13.28515625" style="53" customWidth="1"/>
    <col min="15364" max="15364" width="16.7109375" style="53" customWidth="1"/>
    <col min="15365" max="15365" width="29.140625" style="53" customWidth="1"/>
    <col min="15366" max="15615" width="9.140625" style="53"/>
    <col min="15616" max="15616" width="32" style="53" customWidth="1"/>
    <col min="15617" max="15617" width="18.7109375" style="53" customWidth="1"/>
    <col min="15618" max="15618" width="9.140625" style="53" customWidth="1"/>
    <col min="15619" max="15619" width="13.28515625" style="53" customWidth="1"/>
    <col min="15620" max="15620" width="16.7109375" style="53" customWidth="1"/>
    <col min="15621" max="15621" width="29.140625" style="53" customWidth="1"/>
    <col min="15622" max="15871" width="9.140625" style="53"/>
    <col min="15872" max="15872" width="32" style="53" customWidth="1"/>
    <col min="15873" max="15873" width="18.7109375" style="53" customWidth="1"/>
    <col min="15874" max="15874" width="9.140625" style="53" customWidth="1"/>
    <col min="15875" max="15875" width="13.28515625" style="53" customWidth="1"/>
    <col min="15876" max="15876" width="16.7109375" style="53" customWidth="1"/>
    <col min="15877" max="15877" width="29.140625" style="53" customWidth="1"/>
    <col min="15878" max="16127" width="9.140625" style="53"/>
    <col min="16128" max="16128" width="32" style="53" customWidth="1"/>
    <col min="16129" max="16129" width="18.7109375" style="53" customWidth="1"/>
    <col min="16130" max="16130" width="9.140625" style="53" customWidth="1"/>
    <col min="16131" max="16131" width="13.28515625" style="53" customWidth="1"/>
    <col min="16132" max="16132" width="16.7109375" style="53" customWidth="1"/>
    <col min="16133" max="16133" width="29.140625" style="53" customWidth="1"/>
    <col min="16134" max="16384" width="9.140625" style="53"/>
  </cols>
  <sheetData>
    <row r="1" spans="1:6" x14ac:dyDescent="0.25">
      <c r="A1" s="15" t="s">
        <v>83</v>
      </c>
      <c r="B1" s="67"/>
      <c r="D1" s="54"/>
      <c r="E1" s="75" t="s">
        <v>186</v>
      </c>
    </row>
    <row r="2" spans="1:6" x14ac:dyDescent="0.25">
      <c r="A2" s="15" t="s">
        <v>217</v>
      </c>
      <c r="B2" s="67"/>
      <c r="D2" s="54"/>
      <c r="E2" s="59"/>
    </row>
    <row r="3" spans="1:6" x14ac:dyDescent="0.25">
      <c r="A3" s="58"/>
      <c r="B3" s="67"/>
      <c r="D3" s="54"/>
      <c r="E3" s="59"/>
    </row>
    <row r="4" spans="1:6" x14ac:dyDescent="0.25">
      <c r="A4" s="58"/>
      <c r="B4" s="67"/>
      <c r="D4" s="54"/>
      <c r="E4" s="59"/>
    </row>
    <row r="5" spans="1:6" x14ac:dyDescent="0.25">
      <c r="A5" s="58"/>
      <c r="B5" s="188" t="s">
        <v>133</v>
      </c>
      <c r="C5" s="67" t="s">
        <v>66</v>
      </c>
      <c r="D5" s="39"/>
      <c r="E5" s="189"/>
    </row>
    <row r="6" spans="1:6" s="55" customFormat="1" ht="17.25" x14ac:dyDescent="0.4">
      <c r="A6" s="190" t="s">
        <v>134</v>
      </c>
      <c r="B6" s="68" t="s">
        <v>135</v>
      </c>
      <c r="C6" s="68" t="s">
        <v>136</v>
      </c>
      <c r="D6" s="61" t="s">
        <v>85</v>
      </c>
      <c r="E6" s="191" t="s">
        <v>137</v>
      </c>
    </row>
    <row r="7" spans="1:6" x14ac:dyDescent="0.25">
      <c r="A7" s="58"/>
      <c r="B7" s="67"/>
      <c r="D7" s="54"/>
      <c r="E7" s="59"/>
    </row>
    <row r="8" spans="1:6" x14ac:dyDescent="0.25">
      <c r="A8" s="82" t="s">
        <v>63</v>
      </c>
      <c r="B8" s="83"/>
      <c r="C8" s="82" t="s">
        <v>138</v>
      </c>
      <c r="D8" s="64">
        <v>0</v>
      </c>
      <c r="E8" s="77">
        <v>253736</v>
      </c>
    </row>
    <row r="9" spans="1:6" x14ac:dyDescent="0.25">
      <c r="A9" s="82"/>
      <c r="B9" s="178"/>
      <c r="C9" s="82"/>
      <c r="D9" s="54"/>
      <c r="E9" s="81"/>
    </row>
    <row r="10" spans="1:6" s="54" customFormat="1" x14ac:dyDescent="0.25">
      <c r="A10" s="82" t="s">
        <v>120</v>
      </c>
      <c r="B10" s="179" t="s">
        <v>48</v>
      </c>
      <c r="C10" s="84" t="s">
        <v>252</v>
      </c>
      <c r="D10" s="229" t="s">
        <v>139</v>
      </c>
      <c r="E10" s="77">
        <v>-4879.0200000000004</v>
      </c>
      <c r="F10" s="180"/>
    </row>
    <row r="11" spans="1:6" s="54" customFormat="1" x14ac:dyDescent="0.25">
      <c r="A11" s="82" t="s">
        <v>120</v>
      </c>
      <c r="B11" s="179" t="s">
        <v>1</v>
      </c>
      <c r="C11" s="82" t="s">
        <v>200</v>
      </c>
      <c r="D11" s="137" t="s">
        <v>253</v>
      </c>
      <c r="E11" s="79">
        <v>7224.2</v>
      </c>
      <c r="F11" s="49"/>
    </row>
    <row r="12" spans="1:6" s="54" customFormat="1" x14ac:dyDescent="0.25">
      <c r="A12" s="82"/>
      <c r="B12" s="179"/>
      <c r="C12" s="82"/>
      <c r="D12" s="65">
        <f>SUM(D10:D11)</f>
        <v>0</v>
      </c>
      <c r="E12" s="80">
        <f>SUM(E10:E11)</f>
        <v>2345.1799999999994</v>
      </c>
      <c r="F12" s="180"/>
    </row>
    <row r="13" spans="1:6" s="54" customFormat="1" x14ac:dyDescent="0.25">
      <c r="A13" s="82"/>
      <c r="B13" s="179"/>
      <c r="C13" s="82"/>
      <c r="D13" s="18"/>
      <c r="E13" s="81"/>
      <c r="F13" s="180"/>
    </row>
    <row r="14" spans="1:6" s="54" customFormat="1" x14ac:dyDescent="0.25">
      <c r="A14" s="82" t="s">
        <v>116</v>
      </c>
      <c r="B14" s="179" t="s">
        <v>48</v>
      </c>
      <c r="C14" s="84" t="s">
        <v>87</v>
      </c>
      <c r="D14" s="64">
        <v>3895</v>
      </c>
      <c r="E14" s="78">
        <v>259385.15</v>
      </c>
      <c r="F14" s="49"/>
    </row>
    <row r="15" spans="1:6" s="54" customFormat="1" x14ac:dyDescent="0.25">
      <c r="A15" s="82" t="s">
        <v>116</v>
      </c>
      <c r="B15" s="179" t="s">
        <v>48</v>
      </c>
      <c r="C15" s="84" t="s">
        <v>88</v>
      </c>
      <c r="D15" s="64">
        <v>6181</v>
      </c>
      <c r="E15" s="78">
        <v>376237.73</v>
      </c>
      <c r="F15" s="49"/>
    </row>
    <row r="16" spans="1:6" s="54" customFormat="1" x14ac:dyDescent="0.25">
      <c r="A16" s="82" t="s">
        <v>116</v>
      </c>
      <c r="B16" s="179" t="s">
        <v>1</v>
      </c>
      <c r="C16" s="82" t="s">
        <v>220</v>
      </c>
      <c r="D16" s="137" t="s">
        <v>253</v>
      </c>
      <c r="E16" s="79">
        <v>58345.04</v>
      </c>
      <c r="F16" s="49"/>
    </row>
    <row r="17" spans="1:6" s="54" customFormat="1" x14ac:dyDescent="0.25">
      <c r="A17" s="82"/>
      <c r="B17" s="179"/>
      <c r="C17" s="84"/>
      <c r="D17" s="65">
        <f>SUM(D14:D16)</f>
        <v>10076</v>
      </c>
      <c r="E17" s="80">
        <f>SUM(E14:E16)</f>
        <v>693967.92</v>
      </c>
      <c r="F17" s="180"/>
    </row>
    <row r="18" spans="1:6" s="54" customFormat="1" x14ac:dyDescent="0.25">
      <c r="A18" s="82"/>
      <c r="B18" s="179"/>
      <c r="C18" s="84"/>
      <c r="D18" s="64"/>
      <c r="E18" s="78"/>
      <c r="F18" s="180"/>
    </row>
    <row r="19" spans="1:6" s="54" customFormat="1" x14ac:dyDescent="0.25">
      <c r="A19" s="82" t="s">
        <v>122</v>
      </c>
      <c r="B19" s="179" t="s">
        <v>48</v>
      </c>
      <c r="C19" s="84" t="s">
        <v>87</v>
      </c>
      <c r="D19" s="64">
        <v>16175</v>
      </c>
      <c r="E19" s="78">
        <v>812915.6</v>
      </c>
      <c r="F19" s="49"/>
    </row>
    <row r="20" spans="1:6" s="54" customFormat="1" x14ac:dyDescent="0.25">
      <c r="A20" s="82" t="s">
        <v>122</v>
      </c>
      <c r="B20" s="179" t="s">
        <v>48</v>
      </c>
      <c r="C20" s="84" t="s">
        <v>88</v>
      </c>
      <c r="D20" s="64">
        <v>18656</v>
      </c>
      <c r="E20" s="78">
        <v>1225531.3700000001</v>
      </c>
      <c r="F20" s="49"/>
    </row>
    <row r="21" spans="1:6" s="54" customFormat="1" x14ac:dyDescent="0.25">
      <c r="A21" s="82" t="s">
        <v>122</v>
      </c>
      <c r="B21" s="179" t="s">
        <v>1</v>
      </c>
      <c r="C21" s="82" t="s">
        <v>221</v>
      </c>
      <c r="D21" s="137" t="s">
        <v>253</v>
      </c>
      <c r="E21" s="79">
        <f>126606.77</f>
        <v>126606.77</v>
      </c>
      <c r="F21" s="49"/>
    </row>
    <row r="22" spans="1:6" s="54" customFormat="1" x14ac:dyDescent="0.25">
      <c r="A22" s="82"/>
      <c r="B22" s="179"/>
      <c r="C22" s="84"/>
      <c r="D22" s="65">
        <f>SUM(D19:D21)</f>
        <v>34831</v>
      </c>
      <c r="E22" s="80">
        <f>SUM(E19:E21)</f>
        <v>2165053.7400000002</v>
      </c>
      <c r="F22" s="180"/>
    </row>
    <row r="23" spans="1:6" s="54" customFormat="1" x14ac:dyDescent="0.25">
      <c r="A23" s="82"/>
      <c r="B23" s="179"/>
      <c r="C23" s="84"/>
      <c r="D23" s="64"/>
      <c r="E23" s="78"/>
      <c r="F23" s="180"/>
    </row>
    <row r="24" spans="1:6" s="54" customFormat="1" x14ac:dyDescent="0.25">
      <c r="A24" s="82" t="s">
        <v>118</v>
      </c>
      <c r="B24" s="179" t="s">
        <v>48</v>
      </c>
      <c r="C24" s="84" t="s">
        <v>87</v>
      </c>
      <c r="D24" s="64">
        <v>6</v>
      </c>
      <c r="E24" s="77">
        <v>1850.51</v>
      </c>
      <c r="F24" s="180"/>
    </row>
    <row r="25" spans="1:6" s="54" customFormat="1" x14ac:dyDescent="0.25">
      <c r="A25" s="82" t="s">
        <v>118</v>
      </c>
      <c r="B25" s="179" t="s">
        <v>48</v>
      </c>
      <c r="C25" s="84" t="s">
        <v>88</v>
      </c>
      <c r="D25" s="64">
        <v>162</v>
      </c>
      <c r="E25" s="77">
        <v>10398.61</v>
      </c>
      <c r="F25" s="180"/>
    </row>
    <row r="26" spans="1:6" s="54" customFormat="1" x14ac:dyDescent="0.25">
      <c r="A26" s="82" t="s">
        <v>118</v>
      </c>
      <c r="B26" s="179" t="s">
        <v>1</v>
      </c>
      <c r="C26" s="82" t="s">
        <v>222</v>
      </c>
      <c r="D26" s="137" t="s">
        <v>253</v>
      </c>
      <c r="E26" s="78">
        <v>10072.049999999999</v>
      </c>
      <c r="F26" s="49"/>
    </row>
    <row r="27" spans="1:6" s="54" customFormat="1" x14ac:dyDescent="0.25">
      <c r="A27" s="82"/>
      <c r="B27" s="179"/>
      <c r="C27" s="84"/>
      <c r="D27" s="65">
        <f>SUM(D24:D26)</f>
        <v>168</v>
      </c>
      <c r="E27" s="80">
        <f>SUM(E24:E26)</f>
        <v>22321.17</v>
      </c>
      <c r="F27" s="180"/>
    </row>
    <row r="28" spans="1:6" s="54" customFormat="1" x14ac:dyDescent="0.25">
      <c r="A28" s="82"/>
      <c r="B28" s="179"/>
      <c r="C28" s="84"/>
      <c r="D28" s="64"/>
      <c r="E28" s="78"/>
      <c r="F28" s="180"/>
    </row>
    <row r="29" spans="1:6" s="54" customFormat="1" x14ac:dyDescent="0.25">
      <c r="A29" s="82" t="s">
        <v>123</v>
      </c>
      <c r="B29" s="179" t="s">
        <v>48</v>
      </c>
      <c r="C29" s="84" t="s">
        <v>86</v>
      </c>
      <c r="D29" s="229" t="s">
        <v>255</v>
      </c>
      <c r="E29" s="77">
        <v>130.93</v>
      </c>
      <c r="F29" s="180"/>
    </row>
    <row r="30" spans="1:6" s="54" customFormat="1" x14ac:dyDescent="0.25">
      <c r="A30" s="82" t="s">
        <v>123</v>
      </c>
      <c r="B30" s="179" t="s">
        <v>48</v>
      </c>
      <c r="C30" s="84" t="s">
        <v>87</v>
      </c>
      <c r="D30" s="64">
        <v>1023</v>
      </c>
      <c r="E30" s="78">
        <v>101014.95</v>
      </c>
      <c r="F30" s="180"/>
    </row>
    <row r="31" spans="1:6" s="54" customFormat="1" x14ac:dyDescent="0.25">
      <c r="A31" s="82" t="s">
        <v>123</v>
      </c>
      <c r="B31" s="179" t="s">
        <v>48</v>
      </c>
      <c r="C31" s="84" t="s">
        <v>88</v>
      </c>
      <c r="D31" s="64">
        <v>1673</v>
      </c>
      <c r="E31" s="78">
        <v>148483.66</v>
      </c>
      <c r="F31" s="180"/>
    </row>
    <row r="32" spans="1:6" s="54" customFormat="1" x14ac:dyDescent="0.25">
      <c r="A32" s="82" t="s">
        <v>123</v>
      </c>
      <c r="B32" s="179" t="s">
        <v>0</v>
      </c>
      <c r="C32" s="84" t="s">
        <v>95</v>
      </c>
      <c r="D32" s="64">
        <v>880</v>
      </c>
      <c r="E32" s="78">
        <v>0</v>
      </c>
      <c r="F32" s="180"/>
    </row>
    <row r="33" spans="1:6" s="54" customFormat="1" x14ac:dyDescent="0.25">
      <c r="A33" s="82" t="s">
        <v>123</v>
      </c>
      <c r="B33" s="179" t="s">
        <v>1</v>
      </c>
      <c r="C33" s="82" t="s">
        <v>222</v>
      </c>
      <c r="D33" s="137" t="s">
        <v>253</v>
      </c>
      <c r="E33" s="79">
        <v>10330.85</v>
      </c>
      <c r="F33" s="49"/>
    </row>
    <row r="34" spans="1:6" s="54" customFormat="1" x14ac:dyDescent="0.25">
      <c r="A34" s="82"/>
      <c r="B34" s="179"/>
      <c r="C34" s="84"/>
      <c r="D34" s="65">
        <f>SUM(D29:D33)</f>
        <v>3576</v>
      </c>
      <c r="E34" s="80">
        <f>SUM(E29:E33)</f>
        <v>259960.38999999998</v>
      </c>
      <c r="F34" s="180"/>
    </row>
    <row r="35" spans="1:6" s="54" customFormat="1" x14ac:dyDescent="0.25">
      <c r="A35" s="82"/>
      <c r="B35" s="179"/>
      <c r="C35" s="84"/>
      <c r="D35" s="64"/>
      <c r="E35" s="78"/>
      <c r="F35" s="180"/>
    </row>
    <row r="36" spans="1:6" s="54" customFormat="1" x14ac:dyDescent="0.25">
      <c r="A36" s="82" t="s">
        <v>121</v>
      </c>
      <c r="B36" s="179" t="s">
        <v>48</v>
      </c>
      <c r="C36" s="84" t="s">
        <v>86</v>
      </c>
      <c r="D36" s="64">
        <v>281</v>
      </c>
      <c r="E36" s="78">
        <v>21399.46</v>
      </c>
      <c r="F36" s="180"/>
    </row>
    <row r="37" spans="1:6" s="54" customFormat="1" x14ac:dyDescent="0.25">
      <c r="A37" s="82" t="s">
        <v>121</v>
      </c>
      <c r="B37" s="179" t="s">
        <v>48</v>
      </c>
      <c r="C37" s="84" t="s">
        <v>87</v>
      </c>
      <c r="D37" s="64">
        <v>10079</v>
      </c>
      <c r="E37" s="78">
        <v>806934.54</v>
      </c>
      <c r="F37" s="180"/>
    </row>
    <row r="38" spans="1:6" s="54" customFormat="1" x14ac:dyDescent="0.25">
      <c r="A38" s="82" t="s">
        <v>121</v>
      </c>
      <c r="B38" s="179" t="s">
        <v>48</v>
      </c>
      <c r="C38" s="84" t="s">
        <v>88</v>
      </c>
      <c r="D38" s="229" t="s">
        <v>255</v>
      </c>
      <c r="E38" s="78">
        <v>47556.45</v>
      </c>
      <c r="F38" s="180"/>
    </row>
    <row r="39" spans="1:6" s="54" customFormat="1" x14ac:dyDescent="0.25">
      <c r="A39" s="82" t="s">
        <v>121</v>
      </c>
      <c r="B39" s="179" t="s">
        <v>48</v>
      </c>
      <c r="C39" s="84" t="s">
        <v>218</v>
      </c>
      <c r="D39" s="229" t="s">
        <v>255</v>
      </c>
      <c r="E39" s="78">
        <v>14000.3</v>
      </c>
      <c r="F39" s="180"/>
    </row>
    <row r="40" spans="1:6" s="54" customFormat="1" x14ac:dyDescent="0.25">
      <c r="A40" s="82" t="s">
        <v>121</v>
      </c>
      <c r="B40" s="179" t="s">
        <v>1</v>
      </c>
      <c r="C40" s="82" t="s">
        <v>223</v>
      </c>
      <c r="D40" s="137" t="s">
        <v>253</v>
      </c>
      <c r="E40" s="79">
        <v>41382.54</v>
      </c>
      <c r="F40" s="49"/>
    </row>
    <row r="41" spans="1:6" s="54" customFormat="1" x14ac:dyDescent="0.25">
      <c r="A41" s="82"/>
      <c r="B41" s="179"/>
      <c r="C41" s="84"/>
      <c r="D41" s="65">
        <f>SUM(D36:D39)</f>
        <v>10360</v>
      </c>
      <c r="E41" s="80">
        <f>SUM(E36:E40)</f>
        <v>931273.29</v>
      </c>
      <c r="F41" s="49"/>
    </row>
    <row r="42" spans="1:6" s="54" customFormat="1" x14ac:dyDescent="0.25">
      <c r="A42" s="82"/>
      <c r="B42" s="179"/>
      <c r="C42" s="84"/>
      <c r="D42" s="64"/>
      <c r="E42" s="78"/>
      <c r="F42" s="180"/>
    </row>
    <row r="43" spans="1:6" s="54" customFormat="1" x14ac:dyDescent="0.25">
      <c r="A43" s="82" t="s">
        <v>149</v>
      </c>
      <c r="B43" s="179" t="s">
        <v>48</v>
      </c>
      <c r="C43" s="84" t="s">
        <v>87</v>
      </c>
      <c r="D43" s="64">
        <v>6646</v>
      </c>
      <c r="E43" s="78">
        <v>516482.75</v>
      </c>
      <c r="F43" s="49"/>
    </row>
    <row r="44" spans="1:6" s="54" customFormat="1" x14ac:dyDescent="0.25">
      <c r="A44" s="82" t="s">
        <v>149</v>
      </c>
      <c r="B44" s="179" t="s">
        <v>1</v>
      </c>
      <c r="C44" s="82" t="s">
        <v>199</v>
      </c>
      <c r="D44" s="137" t="s">
        <v>253</v>
      </c>
      <c r="E44" s="79">
        <v>67461.899999999994</v>
      </c>
      <c r="F44" s="49"/>
    </row>
    <row r="45" spans="1:6" s="54" customFormat="1" x14ac:dyDescent="0.25">
      <c r="A45" s="82"/>
      <c r="B45" s="179"/>
      <c r="C45" s="84"/>
      <c r="D45" s="65">
        <f>SUM(D43:D44)</f>
        <v>6646</v>
      </c>
      <c r="E45" s="80">
        <f>SUM(E43:E44)</f>
        <v>583944.65</v>
      </c>
      <c r="F45" s="49"/>
    </row>
    <row r="46" spans="1:6" s="54" customFormat="1" x14ac:dyDescent="0.25">
      <c r="A46" s="82"/>
      <c r="B46" s="179"/>
      <c r="C46" s="84"/>
      <c r="D46" s="64"/>
      <c r="E46" s="78"/>
      <c r="F46" s="180"/>
    </row>
    <row r="47" spans="1:6" s="54" customFormat="1" x14ac:dyDescent="0.25">
      <c r="A47" s="82" t="s">
        <v>115</v>
      </c>
      <c r="B47" s="179" t="s">
        <v>48</v>
      </c>
      <c r="C47" s="84" t="s">
        <v>86</v>
      </c>
      <c r="D47" s="64">
        <v>82</v>
      </c>
      <c r="E47" s="78">
        <v>1498.77</v>
      </c>
      <c r="F47" s="49"/>
    </row>
    <row r="48" spans="1:6" s="54" customFormat="1" x14ac:dyDescent="0.25">
      <c r="A48" s="82" t="s">
        <v>115</v>
      </c>
      <c r="B48" s="179" t="s">
        <v>48</v>
      </c>
      <c r="C48" s="84" t="s">
        <v>87</v>
      </c>
      <c r="D48" s="64">
        <v>5463</v>
      </c>
      <c r="E48" s="78">
        <v>312155.15999999997</v>
      </c>
      <c r="F48" s="49"/>
    </row>
    <row r="49" spans="1:6" s="54" customFormat="1" x14ac:dyDescent="0.25">
      <c r="A49" s="82" t="s">
        <v>115</v>
      </c>
      <c r="B49" s="179" t="s">
        <v>48</v>
      </c>
      <c r="C49" s="84" t="s">
        <v>219</v>
      </c>
      <c r="D49" s="64">
        <v>35</v>
      </c>
      <c r="E49" s="78">
        <v>4961.75</v>
      </c>
      <c r="F49" s="49"/>
    </row>
    <row r="50" spans="1:6" s="54" customFormat="1" x14ac:dyDescent="0.25">
      <c r="A50" s="82" t="s">
        <v>115</v>
      </c>
      <c r="B50" s="179" t="s">
        <v>48</v>
      </c>
      <c r="C50" s="84" t="s">
        <v>88</v>
      </c>
      <c r="D50" s="64">
        <v>4927</v>
      </c>
      <c r="E50" s="78">
        <v>176430.38</v>
      </c>
      <c r="F50" s="49"/>
    </row>
    <row r="51" spans="1:6" s="54" customFormat="1" x14ac:dyDescent="0.25">
      <c r="A51" s="82" t="s">
        <v>115</v>
      </c>
      <c r="B51" s="179" t="s">
        <v>1</v>
      </c>
      <c r="C51" s="82" t="s">
        <v>224</v>
      </c>
      <c r="D51" s="137" t="s">
        <v>253</v>
      </c>
      <c r="E51" s="79">
        <v>29916.63</v>
      </c>
      <c r="F51" s="49"/>
    </row>
    <row r="52" spans="1:6" s="54" customFormat="1" x14ac:dyDescent="0.25">
      <c r="A52" s="82"/>
      <c r="B52" s="85"/>
      <c r="C52" s="84"/>
      <c r="D52" s="65">
        <f>SUM(D47:D51)</f>
        <v>10507</v>
      </c>
      <c r="E52" s="80">
        <f>SUM(E47:E51)</f>
        <v>524962.68999999994</v>
      </c>
      <c r="F52" s="49"/>
    </row>
    <row r="53" spans="1:6" s="54" customFormat="1" x14ac:dyDescent="0.25">
      <c r="A53" s="82"/>
      <c r="B53" s="85"/>
      <c r="C53" s="84"/>
      <c r="D53" s="64"/>
      <c r="E53" s="78"/>
      <c r="F53" s="180"/>
    </row>
    <row r="54" spans="1:6" s="54" customFormat="1" x14ac:dyDescent="0.25">
      <c r="A54" s="82" t="s">
        <v>117</v>
      </c>
      <c r="B54" s="179" t="s">
        <v>48</v>
      </c>
      <c r="C54" s="82" t="s">
        <v>87</v>
      </c>
      <c r="D54" s="64">
        <v>8040</v>
      </c>
      <c r="E54" s="78">
        <v>385067.04</v>
      </c>
      <c r="F54" s="180"/>
    </row>
    <row r="55" spans="1:6" x14ac:dyDescent="0.25">
      <c r="A55" s="82" t="s">
        <v>117</v>
      </c>
      <c r="B55" s="179" t="s">
        <v>1</v>
      </c>
      <c r="C55" s="82" t="s">
        <v>224</v>
      </c>
      <c r="D55" s="137" t="s">
        <v>253</v>
      </c>
      <c r="E55" s="79">
        <v>26797.759999999998</v>
      </c>
      <c r="F55" s="49"/>
    </row>
    <row r="56" spans="1:6" x14ac:dyDescent="0.25">
      <c r="A56" s="82"/>
      <c r="B56" s="179"/>
      <c r="C56" s="82"/>
      <c r="D56" s="65">
        <f>SUM(D54:D55)</f>
        <v>8040</v>
      </c>
      <c r="E56" s="80">
        <f>SUM(E54:E55)</f>
        <v>411864.8</v>
      </c>
      <c r="F56" s="49"/>
    </row>
    <row r="57" spans="1:6" s="54" customFormat="1" x14ac:dyDescent="0.25">
      <c r="A57" s="82"/>
      <c r="B57" s="179"/>
      <c r="C57" s="82"/>
      <c r="D57" s="64"/>
      <c r="E57" s="78"/>
      <c r="F57" s="180"/>
    </row>
    <row r="58" spans="1:6" x14ac:dyDescent="0.25">
      <c r="A58" s="82" t="s">
        <v>119</v>
      </c>
      <c r="B58" s="179" t="s">
        <v>48</v>
      </c>
      <c r="C58" s="82" t="s">
        <v>87</v>
      </c>
      <c r="D58" s="64">
        <v>4379</v>
      </c>
      <c r="E58" s="78">
        <v>140065.94</v>
      </c>
      <c r="F58" s="49"/>
    </row>
    <row r="59" spans="1:6" x14ac:dyDescent="0.25">
      <c r="A59" s="82" t="s">
        <v>119</v>
      </c>
      <c r="B59" s="179" t="s">
        <v>48</v>
      </c>
      <c r="C59" s="84" t="s">
        <v>218</v>
      </c>
      <c r="D59" s="229" t="s">
        <v>255</v>
      </c>
      <c r="E59" s="78">
        <v>452.05</v>
      </c>
      <c r="F59" s="49"/>
    </row>
    <row r="60" spans="1:6" x14ac:dyDescent="0.25">
      <c r="A60" s="82" t="s">
        <v>119</v>
      </c>
      <c r="B60" s="179" t="s">
        <v>1</v>
      </c>
      <c r="C60" s="82" t="s">
        <v>222</v>
      </c>
      <c r="D60" s="137" t="s">
        <v>253</v>
      </c>
      <c r="E60" s="78">
        <v>8772.4</v>
      </c>
      <c r="F60" s="49"/>
    </row>
    <row r="61" spans="1:6" s="54" customFormat="1" x14ac:dyDescent="0.25">
      <c r="A61" s="58"/>
      <c r="B61" s="181"/>
      <c r="C61" s="58"/>
      <c r="D61" s="65">
        <f>SUM(D58:D60)</f>
        <v>4379</v>
      </c>
      <c r="E61" s="80">
        <f>SUM(E58:E60)</f>
        <v>149290.38999999998</v>
      </c>
      <c r="F61" s="180"/>
    </row>
    <row r="62" spans="1:6" s="54" customFormat="1" x14ac:dyDescent="0.25">
      <c r="A62" s="58"/>
      <c r="B62" s="66"/>
      <c r="C62" s="58"/>
      <c r="D62" s="64"/>
      <c r="E62" s="78"/>
    </row>
    <row r="63" spans="1:6" s="54" customFormat="1" x14ac:dyDescent="0.25">
      <c r="A63" s="58"/>
      <c r="B63" s="67"/>
      <c r="C63" s="58"/>
      <c r="D63" s="18"/>
      <c r="E63" s="81"/>
    </row>
    <row r="64" spans="1:6" x14ac:dyDescent="0.25">
      <c r="A64" s="58"/>
      <c r="B64" s="67" t="s">
        <v>68</v>
      </c>
      <c r="D64" s="187">
        <f>SUM(D61+D56+D52+D45+D41+D34+D27+D22+D17+D12)</f>
        <v>88583</v>
      </c>
      <c r="E64" s="192">
        <f>SUM(E61+E56+E52+E45+E41+E34+E27+E22+E17+E12)+E8</f>
        <v>5998720.2199999997</v>
      </c>
    </row>
    <row r="65" spans="1:4" x14ac:dyDescent="0.25">
      <c r="D65" s="63"/>
    </row>
    <row r="66" spans="1:4" x14ac:dyDescent="0.25">
      <c r="A66" s="16" t="s">
        <v>93</v>
      </c>
      <c r="D66" s="62"/>
    </row>
    <row r="67" spans="1:4" x14ac:dyDescent="0.25">
      <c r="A67" s="16" t="s">
        <v>257</v>
      </c>
      <c r="B67" s="67"/>
    </row>
    <row r="68" spans="1:4" x14ac:dyDescent="0.25">
      <c r="A68" s="16" t="s">
        <v>254</v>
      </c>
    </row>
    <row r="69" spans="1:4" x14ac:dyDescent="0.25">
      <c r="A69" s="16" t="s">
        <v>256</v>
      </c>
    </row>
  </sheetData>
  <pageMargins left="0.7" right="0.7" top="0.75" bottom="0.75" header="0.3" footer="0.3"/>
  <pageSetup scale="62" pageOrder="overThenDown" orientation="portrait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V157"/>
  <sheetViews>
    <sheetView view="pageBreakPreview" zoomScale="60" zoomScaleNormal="100" workbookViewId="0">
      <pane xSplit="2" ySplit="4" topLeftCell="AM5" activePane="bottomRight" state="frozenSplit"/>
      <selection pane="topRight" activeCell="K1" sqref="K1"/>
      <selection pane="bottomLeft" activeCell="A23" sqref="A23"/>
      <selection pane="bottomRight" activeCell="AY24" sqref="AY24"/>
    </sheetView>
  </sheetViews>
  <sheetFormatPr defaultColWidth="9.140625" defaultRowHeight="15" x14ac:dyDescent="0.25"/>
  <cols>
    <col min="1" max="1" width="40.28515625" style="87" customWidth="1"/>
    <col min="2" max="2" width="14.42578125" style="72" bestFit="1" customWidth="1"/>
    <col min="3" max="3" width="14.140625" style="73" bestFit="1" customWidth="1"/>
    <col min="4" max="74" width="9.140625" style="73"/>
    <col min="75" max="16384" width="9.140625" style="87"/>
  </cols>
  <sheetData>
    <row r="1" spans="1:74" x14ac:dyDescent="0.25">
      <c r="A1" s="86" t="s">
        <v>51</v>
      </c>
    </row>
    <row r="2" spans="1:74" x14ac:dyDescent="0.25">
      <c r="A2" s="86" t="s">
        <v>258</v>
      </c>
    </row>
    <row r="4" spans="1:74" s="89" customFormat="1" ht="15.75" x14ac:dyDescent="0.25">
      <c r="A4" s="88" t="s">
        <v>141</v>
      </c>
      <c r="B4" s="70" t="s">
        <v>68</v>
      </c>
      <c r="C4" s="71" t="s">
        <v>142</v>
      </c>
      <c r="D4" s="71">
        <v>1956</v>
      </c>
      <c r="E4" s="71">
        <v>1957</v>
      </c>
      <c r="F4" s="71">
        <v>1958</v>
      </c>
      <c r="G4" s="71">
        <v>1959</v>
      </c>
      <c r="H4" s="71">
        <v>1960</v>
      </c>
      <c r="I4" s="71">
        <v>1961</v>
      </c>
      <c r="J4" s="71">
        <v>1962</v>
      </c>
      <c r="K4" s="71">
        <v>1963</v>
      </c>
      <c r="L4" s="71">
        <v>1964</v>
      </c>
      <c r="M4" s="71">
        <v>1965</v>
      </c>
      <c r="N4" s="71">
        <v>1966</v>
      </c>
      <c r="O4" s="71">
        <v>1967</v>
      </c>
      <c r="P4" s="71">
        <v>1968</v>
      </c>
      <c r="Q4" s="71">
        <v>1969</v>
      </c>
      <c r="R4" s="71">
        <v>1970</v>
      </c>
      <c r="S4" s="71">
        <v>1971</v>
      </c>
      <c r="T4" s="71">
        <v>1972</v>
      </c>
      <c r="U4" s="71">
        <v>1973</v>
      </c>
      <c r="V4" s="71">
        <v>1974</v>
      </c>
      <c r="W4" s="71">
        <v>1975</v>
      </c>
      <c r="X4" s="71">
        <v>1976</v>
      </c>
      <c r="Y4" s="71">
        <v>1977</v>
      </c>
      <c r="Z4" s="71">
        <v>1978</v>
      </c>
      <c r="AA4" s="71">
        <v>1979</v>
      </c>
      <c r="AB4" s="71">
        <v>1980</v>
      </c>
      <c r="AC4" s="71">
        <v>1981</v>
      </c>
      <c r="AD4" s="71">
        <v>1982</v>
      </c>
      <c r="AE4" s="71">
        <v>1983</v>
      </c>
      <c r="AF4" s="71">
        <v>1984</v>
      </c>
      <c r="AG4" s="71">
        <v>1985</v>
      </c>
      <c r="AH4" s="71">
        <v>1986</v>
      </c>
      <c r="AI4" s="71">
        <v>1987</v>
      </c>
      <c r="AJ4" s="71">
        <v>1988</v>
      </c>
      <c r="AK4" s="71">
        <v>1989</v>
      </c>
      <c r="AL4" s="71">
        <v>1990</v>
      </c>
      <c r="AM4" s="71">
        <v>1991</v>
      </c>
      <c r="AN4" s="71">
        <v>1992</v>
      </c>
      <c r="AO4" s="71">
        <v>1993</v>
      </c>
      <c r="AP4" s="71">
        <v>1994</v>
      </c>
      <c r="AQ4" s="71">
        <v>1995</v>
      </c>
      <c r="AR4" s="71">
        <v>1996</v>
      </c>
      <c r="AS4" s="71">
        <v>1997</v>
      </c>
      <c r="AT4" s="71">
        <v>1998</v>
      </c>
      <c r="AU4" s="71">
        <v>1999</v>
      </c>
      <c r="AV4" s="71">
        <v>2000</v>
      </c>
      <c r="AW4" s="71">
        <v>2001</v>
      </c>
      <c r="AX4" s="71">
        <v>2002</v>
      </c>
      <c r="AY4" s="71">
        <v>2003</v>
      </c>
      <c r="AZ4" s="71">
        <v>2004</v>
      </c>
      <c r="BA4" s="71">
        <v>2005</v>
      </c>
      <c r="BB4" s="71">
        <v>2006</v>
      </c>
      <c r="BC4" s="71">
        <v>2007</v>
      </c>
      <c r="BD4" s="71">
        <v>2008</v>
      </c>
      <c r="BE4" s="71">
        <v>2009</v>
      </c>
      <c r="BF4" s="71">
        <v>2010</v>
      </c>
      <c r="BG4" s="71">
        <v>2011</v>
      </c>
      <c r="BH4" s="71">
        <v>2012</v>
      </c>
      <c r="BI4" s="71">
        <v>2013</v>
      </c>
      <c r="BJ4" s="71">
        <v>2014</v>
      </c>
      <c r="BK4" s="71">
        <v>2015</v>
      </c>
      <c r="BL4" s="71">
        <v>2016</v>
      </c>
      <c r="BM4" s="71">
        <v>2017</v>
      </c>
      <c r="BN4" s="71">
        <v>2018</v>
      </c>
      <c r="BO4" s="71">
        <v>2019</v>
      </c>
      <c r="BP4" s="71">
        <v>2020</v>
      </c>
      <c r="BQ4" s="71"/>
      <c r="BR4" s="71"/>
      <c r="BS4" s="71"/>
      <c r="BT4" s="71"/>
      <c r="BU4" s="71"/>
      <c r="BV4" s="71"/>
    </row>
    <row r="5" spans="1:74" x14ac:dyDescent="0.25">
      <c r="A5" s="90" t="s">
        <v>115</v>
      </c>
    </row>
    <row r="6" spans="1:74" s="102" customFormat="1" x14ac:dyDescent="0.25">
      <c r="A6" s="197" t="s">
        <v>152</v>
      </c>
      <c r="B6" s="76">
        <f t="shared" ref="B6:B18" si="0">SUM(C6:BP6)</f>
        <v>38</v>
      </c>
      <c r="C6" s="152">
        <v>38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</row>
    <row r="7" spans="1:74" s="102" customFormat="1" x14ac:dyDescent="0.25">
      <c r="A7" s="197" t="s">
        <v>153</v>
      </c>
      <c r="B7" s="76">
        <f t="shared" si="0"/>
        <v>3251</v>
      </c>
      <c r="C7" s="152">
        <v>5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>
        <v>307</v>
      </c>
      <c r="Q7" s="152">
        <v>663</v>
      </c>
      <c r="R7" s="152">
        <v>707</v>
      </c>
      <c r="S7" s="152">
        <v>200</v>
      </c>
      <c r="T7" s="152">
        <v>168</v>
      </c>
      <c r="U7" s="152"/>
      <c r="V7" s="152"/>
      <c r="W7" s="152">
        <v>60</v>
      </c>
      <c r="X7" s="152">
        <v>110</v>
      </c>
      <c r="Y7" s="152"/>
      <c r="Z7" s="152">
        <v>52</v>
      </c>
      <c r="AA7" s="152"/>
      <c r="AB7" s="152">
        <v>446</v>
      </c>
      <c r="AC7" s="152">
        <v>446</v>
      </c>
      <c r="AD7" s="152">
        <v>87</v>
      </c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</row>
    <row r="8" spans="1:74" s="102" customFormat="1" x14ac:dyDescent="0.25">
      <c r="A8" s="197" t="s">
        <v>128</v>
      </c>
      <c r="B8" s="76">
        <f t="shared" si="0"/>
        <v>168</v>
      </c>
      <c r="C8" s="152">
        <v>168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</row>
    <row r="9" spans="1:74" s="102" customFormat="1" x14ac:dyDescent="0.25">
      <c r="A9" s="197" t="s">
        <v>228</v>
      </c>
      <c r="B9" s="76">
        <f t="shared" si="0"/>
        <v>268</v>
      </c>
      <c r="C9" s="152"/>
      <c r="D9" s="152"/>
      <c r="E9" s="152"/>
      <c r="F9" s="152"/>
      <c r="G9" s="152"/>
      <c r="H9" s="152"/>
      <c r="I9" s="152"/>
      <c r="J9" s="152"/>
      <c r="K9" s="152">
        <v>42</v>
      </c>
      <c r="L9" s="152">
        <v>127</v>
      </c>
      <c r="M9" s="152">
        <v>45</v>
      </c>
      <c r="N9" s="152"/>
      <c r="O9" s="152"/>
      <c r="P9" s="152"/>
      <c r="Q9" s="152"/>
      <c r="R9" s="152"/>
      <c r="S9" s="152"/>
      <c r="T9" s="152">
        <v>54</v>
      </c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</row>
    <row r="10" spans="1:74" s="102" customFormat="1" x14ac:dyDescent="0.25">
      <c r="A10" s="197" t="s">
        <v>154</v>
      </c>
      <c r="B10" s="76">
        <f t="shared" si="0"/>
        <v>4590</v>
      </c>
      <c r="C10" s="152">
        <f>44+2110</f>
        <v>2154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>
        <v>76</v>
      </c>
      <c r="S10" s="152">
        <v>295</v>
      </c>
      <c r="T10" s="152">
        <v>355</v>
      </c>
      <c r="U10" s="152">
        <v>139</v>
      </c>
      <c r="V10" s="152">
        <v>197</v>
      </c>
      <c r="W10" s="152">
        <v>551</v>
      </c>
      <c r="X10" s="152">
        <v>48</v>
      </c>
      <c r="Y10" s="152">
        <v>32</v>
      </c>
      <c r="Z10" s="152"/>
      <c r="AA10" s="152">
        <v>338</v>
      </c>
      <c r="AB10" s="152">
        <v>317</v>
      </c>
      <c r="AC10" s="152"/>
      <c r="AD10" s="152">
        <v>88</v>
      </c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</row>
    <row r="11" spans="1:74" s="102" customFormat="1" x14ac:dyDescent="0.25">
      <c r="A11" s="197" t="s">
        <v>229</v>
      </c>
      <c r="B11" s="76">
        <f t="shared" si="0"/>
        <v>726</v>
      </c>
      <c r="C11" s="152">
        <v>497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>
        <v>45</v>
      </c>
      <c r="U11" s="152"/>
      <c r="V11" s="152">
        <v>98</v>
      </c>
      <c r="W11" s="152"/>
      <c r="X11" s="152">
        <v>86</v>
      </c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</row>
    <row r="12" spans="1:74" s="102" customFormat="1" x14ac:dyDescent="0.25">
      <c r="A12" s="197" t="s">
        <v>230</v>
      </c>
      <c r="B12" s="76">
        <f t="shared" si="0"/>
        <v>3211</v>
      </c>
      <c r="C12" s="152">
        <v>3211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</row>
    <row r="13" spans="1:74" s="102" customFormat="1" x14ac:dyDescent="0.25">
      <c r="A13" s="197" t="s">
        <v>129</v>
      </c>
      <c r="B13" s="76">
        <f t="shared" si="0"/>
        <v>231</v>
      </c>
      <c r="C13" s="152">
        <v>158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>
        <v>73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</row>
    <row r="14" spans="1:74" s="102" customFormat="1" x14ac:dyDescent="0.25">
      <c r="A14" s="197" t="s">
        <v>231</v>
      </c>
      <c r="B14" s="76">
        <f t="shared" si="0"/>
        <v>1144</v>
      </c>
      <c r="C14" s="152"/>
      <c r="D14" s="152"/>
      <c r="E14" s="152"/>
      <c r="F14" s="152"/>
      <c r="G14" s="152"/>
      <c r="H14" s="152"/>
      <c r="I14" s="152"/>
      <c r="J14" s="152"/>
      <c r="K14" s="152">
        <v>794</v>
      </c>
      <c r="L14" s="152"/>
      <c r="M14" s="152"/>
      <c r="N14" s="152"/>
      <c r="O14" s="152"/>
      <c r="P14" s="152"/>
      <c r="Q14" s="152"/>
      <c r="R14" s="152">
        <v>53</v>
      </c>
      <c r="S14" s="152">
        <v>205</v>
      </c>
      <c r="T14" s="152"/>
      <c r="U14" s="152"/>
      <c r="V14" s="152"/>
      <c r="W14" s="152"/>
      <c r="X14" s="152"/>
      <c r="Y14" s="152"/>
      <c r="Z14" s="152">
        <v>52</v>
      </c>
      <c r="AA14" s="152"/>
      <c r="AB14" s="152"/>
      <c r="AC14" s="152">
        <v>40</v>
      </c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</row>
    <row r="15" spans="1:74" s="102" customFormat="1" x14ac:dyDescent="0.25">
      <c r="A15" s="197" t="s">
        <v>155</v>
      </c>
      <c r="B15" s="76">
        <f t="shared" si="0"/>
        <v>138938</v>
      </c>
      <c r="C15" s="152">
        <v>21451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>
        <v>13099</v>
      </c>
      <c r="Q15" s="152">
        <v>57038</v>
      </c>
      <c r="R15" s="152">
        <v>12126</v>
      </c>
      <c r="S15" s="152">
        <v>5318</v>
      </c>
      <c r="T15" s="152">
        <v>4514</v>
      </c>
      <c r="U15" s="152">
        <v>1087</v>
      </c>
      <c r="V15" s="152">
        <v>2511</v>
      </c>
      <c r="W15" s="152">
        <v>750</v>
      </c>
      <c r="X15" s="152">
        <v>1098</v>
      </c>
      <c r="Y15" s="152">
        <v>333</v>
      </c>
      <c r="Z15" s="152">
        <v>3421</v>
      </c>
      <c r="AA15" s="152">
        <v>750</v>
      </c>
      <c r="AB15" s="152">
        <v>7535</v>
      </c>
      <c r="AC15" s="152">
        <v>4082</v>
      </c>
      <c r="AD15" s="152">
        <v>3825</v>
      </c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</row>
    <row r="16" spans="1:74" s="102" customFormat="1" x14ac:dyDescent="0.25">
      <c r="A16" s="197" t="s">
        <v>156</v>
      </c>
      <c r="B16" s="76">
        <f t="shared" si="0"/>
        <v>23935</v>
      </c>
      <c r="C16" s="152">
        <v>19961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>
        <v>3974</v>
      </c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</row>
    <row r="17" spans="1:74" s="102" customFormat="1" x14ac:dyDescent="0.25">
      <c r="A17" s="197" t="s">
        <v>130</v>
      </c>
      <c r="B17" s="76">
        <f t="shared" si="0"/>
        <v>210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>
        <v>210</v>
      </c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</row>
    <row r="18" spans="1:74" s="102" customFormat="1" x14ac:dyDescent="0.25">
      <c r="A18" s="197" t="s">
        <v>232</v>
      </c>
      <c r="B18" s="76">
        <f t="shared" si="0"/>
        <v>360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>
        <v>360</v>
      </c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</row>
    <row r="19" spans="1:74" s="92" customFormat="1" x14ac:dyDescent="0.25">
      <c r="A19" s="91" t="s">
        <v>147</v>
      </c>
      <c r="B19" s="74">
        <f t="shared" ref="B19:BM19" si="1">SUM(B6:B18)</f>
        <v>177070</v>
      </c>
      <c r="C19" s="74">
        <f t="shared" si="1"/>
        <v>47643</v>
      </c>
      <c r="D19" s="74">
        <f t="shared" si="1"/>
        <v>0</v>
      </c>
      <c r="E19" s="74">
        <f t="shared" si="1"/>
        <v>0</v>
      </c>
      <c r="F19" s="74">
        <f t="shared" si="1"/>
        <v>0</v>
      </c>
      <c r="G19" s="74">
        <f t="shared" si="1"/>
        <v>0</v>
      </c>
      <c r="H19" s="74">
        <f t="shared" si="1"/>
        <v>0</v>
      </c>
      <c r="I19" s="74">
        <f t="shared" si="1"/>
        <v>0</v>
      </c>
      <c r="J19" s="74">
        <f t="shared" si="1"/>
        <v>0</v>
      </c>
      <c r="K19" s="74">
        <f t="shared" si="1"/>
        <v>836</v>
      </c>
      <c r="L19" s="74">
        <f t="shared" si="1"/>
        <v>127</v>
      </c>
      <c r="M19" s="74">
        <f t="shared" si="1"/>
        <v>118</v>
      </c>
      <c r="N19" s="74">
        <f t="shared" si="1"/>
        <v>0</v>
      </c>
      <c r="O19" s="74">
        <f t="shared" si="1"/>
        <v>0</v>
      </c>
      <c r="P19" s="74">
        <f t="shared" si="1"/>
        <v>13406</v>
      </c>
      <c r="Q19" s="74">
        <f t="shared" si="1"/>
        <v>57701</v>
      </c>
      <c r="R19" s="74">
        <f t="shared" si="1"/>
        <v>16936</v>
      </c>
      <c r="S19" s="74">
        <f t="shared" si="1"/>
        <v>6378</v>
      </c>
      <c r="T19" s="74">
        <f t="shared" si="1"/>
        <v>5136</v>
      </c>
      <c r="U19" s="74">
        <f t="shared" si="1"/>
        <v>1226</v>
      </c>
      <c r="V19" s="74">
        <f t="shared" si="1"/>
        <v>2806</v>
      </c>
      <c r="W19" s="74">
        <f t="shared" si="1"/>
        <v>1361</v>
      </c>
      <c r="X19" s="74">
        <f t="shared" si="1"/>
        <v>1342</v>
      </c>
      <c r="Y19" s="74">
        <f t="shared" si="1"/>
        <v>365</v>
      </c>
      <c r="Z19" s="74">
        <f t="shared" si="1"/>
        <v>3525</v>
      </c>
      <c r="AA19" s="74">
        <f t="shared" si="1"/>
        <v>1088</v>
      </c>
      <c r="AB19" s="74">
        <f t="shared" si="1"/>
        <v>8298</v>
      </c>
      <c r="AC19" s="74">
        <f t="shared" si="1"/>
        <v>4568</v>
      </c>
      <c r="AD19" s="74">
        <f t="shared" si="1"/>
        <v>4000</v>
      </c>
      <c r="AE19" s="74">
        <f t="shared" si="1"/>
        <v>210</v>
      </c>
      <c r="AF19" s="74">
        <f t="shared" si="1"/>
        <v>0</v>
      </c>
      <c r="AG19" s="74">
        <f t="shared" si="1"/>
        <v>0</v>
      </c>
      <c r="AH19" s="74">
        <f t="shared" si="1"/>
        <v>0</v>
      </c>
      <c r="AI19" s="74">
        <f t="shared" si="1"/>
        <v>0</v>
      </c>
      <c r="AJ19" s="74">
        <f t="shared" si="1"/>
        <v>0</v>
      </c>
      <c r="AK19" s="74">
        <f t="shared" si="1"/>
        <v>0</v>
      </c>
      <c r="AL19" s="74">
        <f t="shared" si="1"/>
        <v>0</v>
      </c>
      <c r="AM19" s="74">
        <f t="shared" si="1"/>
        <v>0</v>
      </c>
      <c r="AN19" s="74">
        <f t="shared" si="1"/>
        <v>0</v>
      </c>
      <c r="AO19" s="74">
        <f t="shared" si="1"/>
        <v>0</v>
      </c>
      <c r="AP19" s="74">
        <f t="shared" si="1"/>
        <v>0</v>
      </c>
      <c r="AQ19" s="74">
        <f t="shared" si="1"/>
        <v>0</v>
      </c>
      <c r="AR19" s="74">
        <f t="shared" si="1"/>
        <v>0</v>
      </c>
      <c r="AS19" s="74">
        <f t="shared" si="1"/>
        <v>0</v>
      </c>
      <c r="AT19" s="74">
        <f t="shared" si="1"/>
        <v>0</v>
      </c>
      <c r="AU19" s="74">
        <f t="shared" si="1"/>
        <v>0</v>
      </c>
      <c r="AV19" s="74">
        <f t="shared" si="1"/>
        <v>0</v>
      </c>
      <c r="AW19" s="74">
        <f t="shared" si="1"/>
        <v>0</v>
      </c>
      <c r="AX19" s="74">
        <f t="shared" si="1"/>
        <v>0</v>
      </c>
      <c r="AY19" s="74">
        <f t="shared" si="1"/>
        <v>0</v>
      </c>
      <c r="AZ19" s="74">
        <f t="shared" si="1"/>
        <v>0</v>
      </c>
      <c r="BA19" s="74">
        <f t="shared" si="1"/>
        <v>0</v>
      </c>
      <c r="BB19" s="74">
        <f t="shared" si="1"/>
        <v>0</v>
      </c>
      <c r="BC19" s="74">
        <f t="shared" si="1"/>
        <v>0</v>
      </c>
      <c r="BD19" s="74">
        <f t="shared" si="1"/>
        <v>0</v>
      </c>
      <c r="BE19" s="74">
        <f t="shared" si="1"/>
        <v>0</v>
      </c>
      <c r="BF19" s="74">
        <f t="shared" si="1"/>
        <v>0</v>
      </c>
      <c r="BG19" s="74">
        <f t="shared" si="1"/>
        <v>0</v>
      </c>
      <c r="BH19" s="74">
        <f t="shared" si="1"/>
        <v>0</v>
      </c>
      <c r="BI19" s="74">
        <f t="shared" si="1"/>
        <v>0</v>
      </c>
      <c r="BJ19" s="74">
        <f t="shared" si="1"/>
        <v>0</v>
      </c>
      <c r="BK19" s="74">
        <f t="shared" si="1"/>
        <v>0</v>
      </c>
      <c r="BL19" s="74">
        <f t="shared" si="1"/>
        <v>0</v>
      </c>
      <c r="BM19" s="74">
        <f t="shared" si="1"/>
        <v>0</v>
      </c>
      <c r="BN19" s="74">
        <f t="shared" ref="BN19:BP19" si="2">SUM(BN6:BN18)</f>
        <v>0</v>
      </c>
      <c r="BO19" s="74">
        <f t="shared" si="2"/>
        <v>0</v>
      </c>
      <c r="BP19" s="74">
        <f t="shared" si="2"/>
        <v>0</v>
      </c>
      <c r="BQ19" s="183"/>
      <c r="BR19" s="183"/>
      <c r="BS19" s="183"/>
      <c r="BT19" s="183"/>
      <c r="BU19" s="183"/>
      <c r="BV19" s="183"/>
    </row>
    <row r="20" spans="1:74" s="102" customFormat="1" x14ac:dyDescent="0.25">
      <c r="B20" s="76"/>
      <c r="C20" s="198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</row>
    <row r="21" spans="1:74" s="102" customFormat="1" x14ac:dyDescent="0.25">
      <c r="A21" s="90" t="s">
        <v>116</v>
      </c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152"/>
      <c r="BR21" s="152"/>
      <c r="BS21" s="152"/>
      <c r="BT21" s="152"/>
      <c r="BU21" s="152"/>
      <c r="BV21" s="152"/>
    </row>
    <row r="22" spans="1:74" s="102" customFormat="1" x14ac:dyDescent="0.25">
      <c r="A22" s="197" t="s">
        <v>153</v>
      </c>
      <c r="B22" s="76">
        <f t="shared" ref="B22:B27" si="3">SUM(C22:BP22)</f>
        <v>3306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>
        <v>450</v>
      </c>
      <c r="P22" s="152">
        <v>634</v>
      </c>
      <c r="Q22" s="152">
        <v>680</v>
      </c>
      <c r="R22" s="152">
        <v>331</v>
      </c>
      <c r="S22" s="152">
        <v>536</v>
      </c>
      <c r="T22" s="152">
        <v>35</v>
      </c>
      <c r="U22" s="152">
        <v>48</v>
      </c>
      <c r="V22" s="152">
        <v>113</v>
      </c>
      <c r="W22" s="152"/>
      <c r="X22" s="152"/>
      <c r="Y22" s="152"/>
      <c r="Z22" s="152">
        <v>75</v>
      </c>
      <c r="AA22" s="152">
        <v>69</v>
      </c>
      <c r="AB22" s="152"/>
      <c r="AC22" s="152">
        <v>271</v>
      </c>
      <c r="AD22" s="152">
        <v>64</v>
      </c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</row>
    <row r="23" spans="1:74" s="102" customFormat="1" x14ac:dyDescent="0.25">
      <c r="A23" s="197" t="s">
        <v>228</v>
      </c>
      <c r="B23" s="76">
        <f t="shared" si="3"/>
        <v>23</v>
      </c>
      <c r="C23" s="152">
        <v>23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</row>
    <row r="24" spans="1:74" s="102" customFormat="1" x14ac:dyDescent="0.25">
      <c r="A24" s="197" t="s">
        <v>154</v>
      </c>
      <c r="B24" s="76">
        <f t="shared" si="3"/>
        <v>3752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>
        <v>40</v>
      </c>
      <c r="P24" s="152"/>
      <c r="Q24" s="152"/>
      <c r="R24" s="152">
        <v>173</v>
      </c>
      <c r="S24" s="152">
        <v>141</v>
      </c>
      <c r="T24" s="152">
        <v>578</v>
      </c>
      <c r="U24" s="152">
        <v>224</v>
      </c>
      <c r="V24" s="152">
        <v>306</v>
      </c>
      <c r="W24" s="152">
        <v>1385</v>
      </c>
      <c r="X24" s="152">
        <v>53</v>
      </c>
      <c r="Y24" s="152">
        <v>145</v>
      </c>
      <c r="Z24" s="152">
        <v>128</v>
      </c>
      <c r="AA24" s="152">
        <v>412</v>
      </c>
      <c r="AB24" s="152"/>
      <c r="AC24" s="152">
        <v>167</v>
      </c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</row>
    <row r="25" spans="1:74" s="102" customFormat="1" x14ac:dyDescent="0.25">
      <c r="A25" s="197" t="s">
        <v>229</v>
      </c>
      <c r="B25" s="76">
        <f t="shared" si="3"/>
        <v>1140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>
        <v>594</v>
      </c>
      <c r="T25" s="152">
        <v>44</v>
      </c>
      <c r="U25" s="152">
        <v>30</v>
      </c>
      <c r="V25" s="152">
        <v>243</v>
      </c>
      <c r="W25" s="152">
        <v>103</v>
      </c>
      <c r="X25" s="152">
        <v>26</v>
      </c>
      <c r="Y25" s="152"/>
      <c r="Z25" s="152">
        <v>75</v>
      </c>
      <c r="AA25" s="152"/>
      <c r="AB25" s="152"/>
      <c r="AC25" s="152"/>
      <c r="AD25" s="152">
        <v>25</v>
      </c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</row>
    <row r="26" spans="1:74" s="102" customFormat="1" x14ac:dyDescent="0.25">
      <c r="A26" s="197" t="s">
        <v>155</v>
      </c>
      <c r="B26" s="76">
        <f t="shared" si="3"/>
        <v>167485</v>
      </c>
      <c r="C26" s="152">
        <v>932</v>
      </c>
      <c r="D26" s="152"/>
      <c r="E26" s="152"/>
      <c r="F26" s="152"/>
      <c r="G26" s="152"/>
      <c r="H26" s="152"/>
      <c r="I26" s="152"/>
      <c r="J26" s="152"/>
      <c r="K26" s="152"/>
      <c r="L26" s="152"/>
      <c r="M26" s="152">
        <v>269</v>
      </c>
      <c r="N26" s="152"/>
      <c r="O26" s="152">
        <v>27716</v>
      </c>
      <c r="P26" s="152">
        <v>16296</v>
      </c>
      <c r="Q26" s="152">
        <v>21952</v>
      </c>
      <c r="R26" s="152">
        <v>8304</v>
      </c>
      <c r="S26" s="152">
        <v>12281</v>
      </c>
      <c r="T26" s="152">
        <v>17603</v>
      </c>
      <c r="U26" s="152">
        <v>9503</v>
      </c>
      <c r="V26" s="152">
        <f>9806+9</f>
        <v>9815</v>
      </c>
      <c r="W26" s="152">
        <v>5960</v>
      </c>
      <c r="X26" s="152">
        <v>1745</v>
      </c>
      <c r="Y26" s="152">
        <v>5331</v>
      </c>
      <c r="AA26" s="152">
        <v>10386</v>
      </c>
      <c r="AB26" s="152">
        <v>6530</v>
      </c>
      <c r="AC26" s="152">
        <v>8072</v>
      </c>
      <c r="AD26" s="152">
        <v>4790</v>
      </c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</row>
    <row r="27" spans="1:74" s="102" customFormat="1" x14ac:dyDescent="0.25">
      <c r="A27" s="197" t="s">
        <v>157</v>
      </c>
      <c r="B27" s="76">
        <f t="shared" si="3"/>
        <v>11608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>
        <v>9283</v>
      </c>
      <c r="AD27" s="152">
        <v>2325</v>
      </c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</row>
    <row r="28" spans="1:74" s="102" customFormat="1" x14ac:dyDescent="0.25">
      <c r="A28" s="91" t="s">
        <v>148</v>
      </c>
      <c r="B28" s="74">
        <f t="shared" ref="B28:BM28" si="4">SUM(B22:B27)</f>
        <v>187314</v>
      </c>
      <c r="C28" s="74">
        <f t="shared" si="4"/>
        <v>955</v>
      </c>
      <c r="D28" s="74">
        <f t="shared" si="4"/>
        <v>0</v>
      </c>
      <c r="E28" s="74">
        <f t="shared" si="4"/>
        <v>0</v>
      </c>
      <c r="F28" s="74">
        <f t="shared" si="4"/>
        <v>0</v>
      </c>
      <c r="G28" s="74">
        <f t="shared" si="4"/>
        <v>0</v>
      </c>
      <c r="H28" s="74">
        <f t="shared" si="4"/>
        <v>0</v>
      </c>
      <c r="I28" s="74">
        <f t="shared" si="4"/>
        <v>0</v>
      </c>
      <c r="J28" s="74">
        <f t="shared" si="4"/>
        <v>0</v>
      </c>
      <c r="K28" s="74">
        <f t="shared" si="4"/>
        <v>0</v>
      </c>
      <c r="L28" s="74">
        <f t="shared" si="4"/>
        <v>0</v>
      </c>
      <c r="M28" s="74">
        <f t="shared" si="4"/>
        <v>269</v>
      </c>
      <c r="N28" s="74">
        <f t="shared" si="4"/>
        <v>0</v>
      </c>
      <c r="O28" s="74">
        <f t="shared" si="4"/>
        <v>28206</v>
      </c>
      <c r="P28" s="74">
        <f t="shared" si="4"/>
        <v>16930</v>
      </c>
      <c r="Q28" s="74">
        <f t="shared" si="4"/>
        <v>22632</v>
      </c>
      <c r="R28" s="74">
        <f t="shared" si="4"/>
        <v>8808</v>
      </c>
      <c r="S28" s="74">
        <f t="shared" si="4"/>
        <v>13552</v>
      </c>
      <c r="T28" s="74">
        <f t="shared" si="4"/>
        <v>18260</v>
      </c>
      <c r="U28" s="74">
        <f t="shared" si="4"/>
        <v>9805</v>
      </c>
      <c r="V28" s="74">
        <f t="shared" si="4"/>
        <v>10477</v>
      </c>
      <c r="W28" s="74">
        <f t="shared" si="4"/>
        <v>7448</v>
      </c>
      <c r="X28" s="74">
        <f t="shared" si="4"/>
        <v>1824</v>
      </c>
      <c r="Y28" s="74">
        <f t="shared" si="4"/>
        <v>5476</v>
      </c>
      <c r="Z28" s="74">
        <f t="shared" si="4"/>
        <v>278</v>
      </c>
      <c r="AA28" s="74">
        <f t="shared" si="4"/>
        <v>10867</v>
      </c>
      <c r="AB28" s="74">
        <f t="shared" si="4"/>
        <v>6530</v>
      </c>
      <c r="AC28" s="74">
        <f t="shared" si="4"/>
        <v>17793</v>
      </c>
      <c r="AD28" s="74">
        <f t="shared" si="4"/>
        <v>7204</v>
      </c>
      <c r="AE28" s="74">
        <f t="shared" si="4"/>
        <v>0</v>
      </c>
      <c r="AF28" s="74">
        <f t="shared" si="4"/>
        <v>0</v>
      </c>
      <c r="AG28" s="74">
        <f t="shared" si="4"/>
        <v>0</v>
      </c>
      <c r="AH28" s="74">
        <f t="shared" si="4"/>
        <v>0</v>
      </c>
      <c r="AI28" s="74">
        <f t="shared" si="4"/>
        <v>0</v>
      </c>
      <c r="AJ28" s="74">
        <f t="shared" si="4"/>
        <v>0</v>
      </c>
      <c r="AK28" s="74">
        <f t="shared" si="4"/>
        <v>0</v>
      </c>
      <c r="AL28" s="74">
        <f t="shared" si="4"/>
        <v>0</v>
      </c>
      <c r="AM28" s="74">
        <f t="shared" si="4"/>
        <v>0</v>
      </c>
      <c r="AN28" s="74">
        <f t="shared" si="4"/>
        <v>0</v>
      </c>
      <c r="AO28" s="74">
        <f t="shared" si="4"/>
        <v>0</v>
      </c>
      <c r="AP28" s="74">
        <f t="shared" si="4"/>
        <v>0</v>
      </c>
      <c r="AQ28" s="74">
        <f t="shared" si="4"/>
        <v>0</v>
      </c>
      <c r="AR28" s="74">
        <f t="shared" si="4"/>
        <v>0</v>
      </c>
      <c r="AS28" s="74">
        <f t="shared" si="4"/>
        <v>0</v>
      </c>
      <c r="AT28" s="74">
        <f t="shared" si="4"/>
        <v>0</v>
      </c>
      <c r="AU28" s="74">
        <f t="shared" si="4"/>
        <v>0</v>
      </c>
      <c r="AV28" s="74">
        <f t="shared" si="4"/>
        <v>0</v>
      </c>
      <c r="AW28" s="74">
        <f t="shared" si="4"/>
        <v>0</v>
      </c>
      <c r="AX28" s="74">
        <f t="shared" si="4"/>
        <v>0</v>
      </c>
      <c r="AY28" s="74">
        <f t="shared" si="4"/>
        <v>0</v>
      </c>
      <c r="AZ28" s="74">
        <f t="shared" si="4"/>
        <v>0</v>
      </c>
      <c r="BA28" s="74">
        <f t="shared" si="4"/>
        <v>0</v>
      </c>
      <c r="BB28" s="74">
        <f t="shared" si="4"/>
        <v>0</v>
      </c>
      <c r="BC28" s="74">
        <f t="shared" si="4"/>
        <v>0</v>
      </c>
      <c r="BD28" s="74">
        <f t="shared" si="4"/>
        <v>0</v>
      </c>
      <c r="BE28" s="74">
        <f t="shared" si="4"/>
        <v>0</v>
      </c>
      <c r="BF28" s="74">
        <f t="shared" si="4"/>
        <v>0</v>
      </c>
      <c r="BG28" s="74">
        <f t="shared" si="4"/>
        <v>0</v>
      </c>
      <c r="BH28" s="74">
        <f t="shared" si="4"/>
        <v>0</v>
      </c>
      <c r="BI28" s="74">
        <f t="shared" si="4"/>
        <v>0</v>
      </c>
      <c r="BJ28" s="74">
        <f t="shared" si="4"/>
        <v>0</v>
      </c>
      <c r="BK28" s="74">
        <f t="shared" si="4"/>
        <v>0</v>
      </c>
      <c r="BL28" s="74">
        <f t="shared" si="4"/>
        <v>0</v>
      </c>
      <c r="BM28" s="74">
        <f t="shared" si="4"/>
        <v>0</v>
      </c>
      <c r="BN28" s="74">
        <f t="shared" ref="BN28:BP28" si="5">SUM(BN22:BN27)</f>
        <v>0</v>
      </c>
      <c r="BO28" s="74">
        <f t="shared" si="5"/>
        <v>0</v>
      </c>
      <c r="BP28" s="74">
        <f t="shared" si="5"/>
        <v>0</v>
      </c>
      <c r="BQ28" s="152"/>
      <c r="BR28" s="152"/>
      <c r="BS28" s="152"/>
      <c r="BT28" s="152"/>
      <c r="BU28" s="152"/>
      <c r="BV28" s="152"/>
    </row>
    <row r="29" spans="1:74" s="102" customFormat="1" x14ac:dyDescent="0.25">
      <c r="B29" s="76"/>
      <c r="C29" s="198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</row>
    <row r="30" spans="1:74" s="102" customFormat="1" x14ac:dyDescent="0.25">
      <c r="A30" s="90" t="s">
        <v>149</v>
      </c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152"/>
      <c r="BR30" s="152"/>
      <c r="BS30" s="152"/>
      <c r="BT30" s="152"/>
      <c r="BU30" s="152"/>
      <c r="BV30" s="152"/>
    </row>
    <row r="31" spans="1:74" s="200" customFormat="1" x14ac:dyDescent="0.25">
      <c r="A31" s="197" t="s">
        <v>153</v>
      </c>
      <c r="B31" s="76">
        <f t="shared" ref="B31:B36" si="6">SUM(C31:BP31)</f>
        <v>967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>
        <v>244</v>
      </c>
      <c r="R31" s="152">
        <v>75</v>
      </c>
      <c r="S31" s="152"/>
      <c r="T31" s="152">
        <v>168</v>
      </c>
      <c r="U31" s="152"/>
      <c r="V31" s="152"/>
      <c r="W31" s="152"/>
      <c r="X31" s="152"/>
      <c r="Y31" s="152"/>
      <c r="Z31" s="152"/>
      <c r="AA31" s="152"/>
      <c r="AB31" s="152">
        <v>480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99"/>
      <c r="BR31" s="199"/>
      <c r="BS31" s="199"/>
      <c r="BT31" s="199"/>
      <c r="BU31" s="199"/>
      <c r="BV31" s="199"/>
    </row>
    <row r="32" spans="1:74" s="102" customFormat="1" x14ac:dyDescent="0.25">
      <c r="A32" s="197" t="s">
        <v>154</v>
      </c>
      <c r="B32" s="76">
        <f t="shared" si="6"/>
        <v>993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>
        <v>94</v>
      </c>
      <c r="T32" s="152">
        <v>133</v>
      </c>
      <c r="U32" s="152"/>
      <c r="V32" s="152"/>
      <c r="W32" s="152"/>
      <c r="X32" s="152">
        <v>65</v>
      </c>
      <c r="Y32" s="152">
        <v>150</v>
      </c>
      <c r="Z32" s="152">
        <v>25</v>
      </c>
      <c r="AA32" s="152">
        <v>270</v>
      </c>
      <c r="AB32" s="152"/>
      <c r="AC32" s="152">
        <v>157</v>
      </c>
      <c r="AD32" s="152">
        <v>99</v>
      </c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</row>
    <row r="33" spans="1:74" s="102" customFormat="1" x14ac:dyDescent="0.25">
      <c r="A33" s="197" t="s">
        <v>229</v>
      </c>
      <c r="B33" s="76">
        <f t="shared" si="6"/>
        <v>513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>
        <v>95</v>
      </c>
      <c r="Y33" s="152">
        <v>252</v>
      </c>
      <c r="Z33" s="152"/>
      <c r="AA33" s="152">
        <v>166</v>
      </c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</row>
    <row r="34" spans="1:74" s="102" customFormat="1" x14ac:dyDescent="0.25">
      <c r="A34" s="197" t="s">
        <v>129</v>
      </c>
      <c r="B34" s="76">
        <f t="shared" si="6"/>
        <v>101</v>
      </c>
      <c r="C34" s="152">
        <v>101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</row>
    <row r="35" spans="1:74" s="102" customFormat="1" x14ac:dyDescent="0.25">
      <c r="A35" s="197" t="s">
        <v>155</v>
      </c>
      <c r="B35" s="76">
        <f t="shared" si="6"/>
        <v>75211</v>
      </c>
      <c r="C35" s="152">
        <v>6</v>
      </c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>
        <v>651</v>
      </c>
      <c r="O35" s="201">
        <v>6984</v>
      </c>
      <c r="P35" s="201">
        <v>2178</v>
      </c>
      <c r="Q35" s="201">
        <v>3081</v>
      </c>
      <c r="R35" s="201">
        <v>3868</v>
      </c>
      <c r="S35" s="201">
        <v>7298</v>
      </c>
      <c r="T35" s="201">
        <v>8074</v>
      </c>
      <c r="U35" s="201">
        <v>12642</v>
      </c>
      <c r="V35" s="201">
        <v>5356</v>
      </c>
      <c r="W35" s="201">
        <v>2500</v>
      </c>
      <c r="X35" s="201">
        <v>446</v>
      </c>
      <c r="Y35" s="201">
        <v>1938</v>
      </c>
      <c r="Z35" s="201">
        <v>1077</v>
      </c>
      <c r="AA35" s="201">
        <v>8798</v>
      </c>
      <c r="AB35" s="201">
        <v>2941</v>
      </c>
      <c r="AC35" s="201">
        <v>3119</v>
      </c>
      <c r="AD35" s="201">
        <v>4238</v>
      </c>
      <c r="AE35" s="152"/>
      <c r="AF35" s="152"/>
      <c r="AG35" s="152"/>
      <c r="AH35" s="152"/>
      <c r="AI35" s="152"/>
      <c r="AJ35" s="152"/>
      <c r="AK35" s="152"/>
      <c r="AL35" s="152"/>
      <c r="AM35" s="152">
        <v>16</v>
      </c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</row>
    <row r="36" spans="1:74" s="102" customFormat="1" x14ac:dyDescent="0.25">
      <c r="A36" s="197" t="s">
        <v>132</v>
      </c>
      <c r="B36" s="76">
        <f t="shared" si="6"/>
        <v>1793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>
        <v>1793</v>
      </c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</row>
    <row r="37" spans="1:74" s="102" customFormat="1" x14ac:dyDescent="0.25">
      <c r="A37" s="91" t="s">
        <v>150</v>
      </c>
      <c r="B37" s="74">
        <f t="shared" ref="B37:BM37" si="7">SUM(B31:B36)</f>
        <v>79578</v>
      </c>
      <c r="C37" s="74">
        <f t="shared" si="7"/>
        <v>107</v>
      </c>
      <c r="D37" s="74">
        <f t="shared" si="7"/>
        <v>0</v>
      </c>
      <c r="E37" s="74">
        <f t="shared" si="7"/>
        <v>0</v>
      </c>
      <c r="F37" s="74">
        <f t="shared" si="7"/>
        <v>0</v>
      </c>
      <c r="G37" s="74">
        <f t="shared" si="7"/>
        <v>0</v>
      </c>
      <c r="H37" s="74">
        <f t="shared" si="7"/>
        <v>0</v>
      </c>
      <c r="I37" s="74">
        <f t="shared" si="7"/>
        <v>0</v>
      </c>
      <c r="J37" s="74">
        <f t="shared" si="7"/>
        <v>0</v>
      </c>
      <c r="K37" s="74">
        <f t="shared" si="7"/>
        <v>0</v>
      </c>
      <c r="L37" s="74">
        <f t="shared" si="7"/>
        <v>0</v>
      </c>
      <c r="M37" s="74">
        <f t="shared" si="7"/>
        <v>0</v>
      </c>
      <c r="N37" s="74">
        <f t="shared" si="7"/>
        <v>651</v>
      </c>
      <c r="O37" s="74">
        <f t="shared" si="7"/>
        <v>6984</v>
      </c>
      <c r="P37" s="74">
        <f t="shared" si="7"/>
        <v>2178</v>
      </c>
      <c r="Q37" s="74">
        <f t="shared" si="7"/>
        <v>3325</v>
      </c>
      <c r="R37" s="74">
        <f t="shared" si="7"/>
        <v>3943</v>
      </c>
      <c r="S37" s="74">
        <f t="shared" si="7"/>
        <v>7392</v>
      </c>
      <c r="T37" s="74">
        <f t="shared" si="7"/>
        <v>8375</v>
      </c>
      <c r="U37" s="74">
        <f t="shared" si="7"/>
        <v>12642</v>
      </c>
      <c r="V37" s="74">
        <f t="shared" si="7"/>
        <v>5356</v>
      </c>
      <c r="W37" s="74">
        <f t="shared" si="7"/>
        <v>4293</v>
      </c>
      <c r="X37" s="74">
        <f t="shared" si="7"/>
        <v>606</v>
      </c>
      <c r="Y37" s="74">
        <f t="shared" si="7"/>
        <v>2340</v>
      </c>
      <c r="Z37" s="74">
        <f t="shared" si="7"/>
        <v>1102</v>
      </c>
      <c r="AA37" s="74">
        <f t="shared" si="7"/>
        <v>9234</v>
      </c>
      <c r="AB37" s="74">
        <f t="shared" si="7"/>
        <v>3421</v>
      </c>
      <c r="AC37" s="74">
        <f t="shared" si="7"/>
        <v>3276</v>
      </c>
      <c r="AD37" s="74">
        <f t="shared" si="7"/>
        <v>4337</v>
      </c>
      <c r="AE37" s="74">
        <f t="shared" si="7"/>
        <v>0</v>
      </c>
      <c r="AF37" s="74">
        <f t="shared" si="7"/>
        <v>0</v>
      </c>
      <c r="AG37" s="74">
        <f t="shared" si="7"/>
        <v>0</v>
      </c>
      <c r="AH37" s="74">
        <f t="shared" si="7"/>
        <v>0</v>
      </c>
      <c r="AI37" s="74">
        <f t="shared" si="7"/>
        <v>0</v>
      </c>
      <c r="AJ37" s="74">
        <f t="shared" si="7"/>
        <v>0</v>
      </c>
      <c r="AK37" s="74">
        <f t="shared" si="7"/>
        <v>0</v>
      </c>
      <c r="AL37" s="74">
        <f t="shared" si="7"/>
        <v>0</v>
      </c>
      <c r="AM37" s="74">
        <f t="shared" si="7"/>
        <v>16</v>
      </c>
      <c r="AN37" s="74">
        <f t="shared" si="7"/>
        <v>0</v>
      </c>
      <c r="AO37" s="74">
        <f t="shared" si="7"/>
        <v>0</v>
      </c>
      <c r="AP37" s="74">
        <f t="shared" si="7"/>
        <v>0</v>
      </c>
      <c r="AQ37" s="74">
        <f t="shared" si="7"/>
        <v>0</v>
      </c>
      <c r="AR37" s="74">
        <f t="shared" si="7"/>
        <v>0</v>
      </c>
      <c r="AS37" s="74">
        <f t="shared" si="7"/>
        <v>0</v>
      </c>
      <c r="AT37" s="74">
        <f t="shared" si="7"/>
        <v>0</v>
      </c>
      <c r="AU37" s="74">
        <f t="shared" si="7"/>
        <v>0</v>
      </c>
      <c r="AV37" s="74">
        <f t="shared" si="7"/>
        <v>0</v>
      </c>
      <c r="AW37" s="74">
        <f t="shared" si="7"/>
        <v>0</v>
      </c>
      <c r="AX37" s="74">
        <f t="shared" si="7"/>
        <v>0</v>
      </c>
      <c r="AY37" s="74">
        <f t="shared" si="7"/>
        <v>0</v>
      </c>
      <c r="AZ37" s="74">
        <f t="shared" si="7"/>
        <v>0</v>
      </c>
      <c r="BA37" s="74">
        <f t="shared" si="7"/>
        <v>0</v>
      </c>
      <c r="BB37" s="74">
        <f t="shared" si="7"/>
        <v>0</v>
      </c>
      <c r="BC37" s="74">
        <f t="shared" si="7"/>
        <v>0</v>
      </c>
      <c r="BD37" s="74">
        <f t="shared" si="7"/>
        <v>0</v>
      </c>
      <c r="BE37" s="74">
        <f t="shared" si="7"/>
        <v>0</v>
      </c>
      <c r="BF37" s="74">
        <f t="shared" si="7"/>
        <v>0</v>
      </c>
      <c r="BG37" s="74">
        <f t="shared" si="7"/>
        <v>0</v>
      </c>
      <c r="BH37" s="74">
        <f t="shared" si="7"/>
        <v>0</v>
      </c>
      <c r="BI37" s="74">
        <f t="shared" si="7"/>
        <v>0</v>
      </c>
      <c r="BJ37" s="74">
        <f t="shared" si="7"/>
        <v>0</v>
      </c>
      <c r="BK37" s="74">
        <f t="shared" si="7"/>
        <v>0</v>
      </c>
      <c r="BL37" s="74">
        <f t="shared" si="7"/>
        <v>0</v>
      </c>
      <c r="BM37" s="74">
        <f t="shared" si="7"/>
        <v>0</v>
      </c>
      <c r="BN37" s="74">
        <f t="shared" ref="BN37:BP37" si="8">SUM(BN31:BN36)</f>
        <v>0</v>
      </c>
      <c r="BO37" s="74">
        <f t="shared" si="8"/>
        <v>0</v>
      </c>
      <c r="BP37" s="74">
        <f t="shared" si="8"/>
        <v>0</v>
      </c>
      <c r="BQ37" s="152"/>
      <c r="BR37" s="152"/>
      <c r="BS37" s="152"/>
      <c r="BT37" s="152"/>
      <c r="BU37" s="152"/>
      <c r="BV37" s="152"/>
    </row>
    <row r="38" spans="1:74" s="102" customFormat="1" x14ac:dyDescent="0.25">
      <c r="B38" s="76"/>
      <c r="C38" s="198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</row>
    <row r="39" spans="1:74" s="102" customFormat="1" x14ac:dyDescent="0.25">
      <c r="A39" s="90" t="s">
        <v>117</v>
      </c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152"/>
      <c r="BR39" s="152"/>
      <c r="BS39" s="152"/>
      <c r="BT39" s="152"/>
      <c r="BU39" s="152"/>
      <c r="BV39" s="152"/>
    </row>
    <row r="40" spans="1:74" s="102" customFormat="1" x14ac:dyDescent="0.25">
      <c r="A40" s="197" t="s">
        <v>153</v>
      </c>
      <c r="B40" s="76">
        <f t="shared" ref="B40:B48" si="9">SUM(C40:BP40)</f>
        <v>3866</v>
      </c>
      <c r="O40" s="201">
        <v>867</v>
      </c>
      <c r="P40" s="201">
        <v>434</v>
      </c>
      <c r="Q40" s="201">
        <v>794</v>
      </c>
      <c r="R40" s="201">
        <v>77</v>
      </c>
      <c r="S40" s="201">
        <v>20</v>
      </c>
      <c r="T40" s="201">
        <v>66</v>
      </c>
      <c r="U40" s="201">
        <v>513</v>
      </c>
      <c r="V40" s="201">
        <v>210</v>
      </c>
      <c r="W40" s="201">
        <v>452</v>
      </c>
      <c r="X40" s="201">
        <v>41</v>
      </c>
      <c r="Y40" s="201">
        <v>29</v>
      </c>
      <c r="AB40" s="102">
        <v>185</v>
      </c>
      <c r="AC40" s="102">
        <v>150</v>
      </c>
      <c r="AD40" s="102">
        <v>28</v>
      </c>
      <c r="BQ40" s="152"/>
      <c r="BR40" s="152"/>
      <c r="BS40" s="152"/>
      <c r="BT40" s="152"/>
      <c r="BU40" s="152"/>
      <c r="BV40" s="152"/>
    </row>
    <row r="41" spans="1:74" s="102" customFormat="1" x14ac:dyDescent="0.25">
      <c r="A41" s="197" t="s">
        <v>228</v>
      </c>
      <c r="B41" s="76">
        <f t="shared" si="9"/>
        <v>327</v>
      </c>
      <c r="C41" s="102">
        <v>272</v>
      </c>
      <c r="Q41" s="102">
        <v>55</v>
      </c>
      <c r="BQ41" s="152"/>
      <c r="BR41" s="152"/>
      <c r="BS41" s="152"/>
      <c r="BT41" s="152"/>
      <c r="BU41" s="152"/>
      <c r="BV41" s="152"/>
    </row>
    <row r="42" spans="1:74" s="102" customFormat="1" x14ac:dyDescent="0.25">
      <c r="A42" s="197" t="s">
        <v>154</v>
      </c>
      <c r="B42" s="76">
        <f t="shared" si="9"/>
        <v>5310</v>
      </c>
      <c r="M42" s="102">
        <v>90</v>
      </c>
      <c r="Q42" s="102">
        <v>32</v>
      </c>
      <c r="R42" s="102">
        <v>1051</v>
      </c>
      <c r="S42" s="102">
        <v>272</v>
      </c>
      <c r="T42" s="102">
        <v>595</v>
      </c>
      <c r="U42" s="102">
        <v>578</v>
      </c>
      <c r="V42" s="102">
        <v>311</v>
      </c>
      <c r="W42" s="102">
        <v>473</v>
      </c>
      <c r="X42" s="102">
        <v>131</v>
      </c>
      <c r="Y42" s="102">
        <v>136</v>
      </c>
      <c r="Z42" s="102">
        <v>174</v>
      </c>
      <c r="AA42" s="102">
        <v>367</v>
      </c>
      <c r="AB42" s="102">
        <v>831</v>
      </c>
      <c r="AC42" s="102">
        <v>124</v>
      </c>
      <c r="AD42" s="102">
        <v>145</v>
      </c>
      <c r="BQ42" s="152"/>
      <c r="BR42" s="152"/>
      <c r="BS42" s="152"/>
      <c r="BT42" s="152"/>
      <c r="BU42" s="152"/>
      <c r="BV42" s="152"/>
    </row>
    <row r="43" spans="1:74" s="102" customFormat="1" x14ac:dyDescent="0.25">
      <c r="A43" s="197" t="s">
        <v>229</v>
      </c>
      <c r="B43" s="76">
        <f t="shared" si="9"/>
        <v>500</v>
      </c>
      <c r="U43" s="102">
        <v>48</v>
      </c>
      <c r="W43" s="102">
        <v>350</v>
      </c>
      <c r="X43" s="102">
        <v>102</v>
      </c>
      <c r="BQ43" s="152"/>
      <c r="BR43" s="152"/>
      <c r="BS43" s="152"/>
      <c r="BT43" s="152"/>
      <c r="BU43" s="152"/>
      <c r="BV43" s="152"/>
    </row>
    <row r="44" spans="1:74" s="102" customFormat="1" x14ac:dyDescent="0.25">
      <c r="A44" s="197" t="s">
        <v>129</v>
      </c>
      <c r="B44" s="76">
        <f t="shared" si="9"/>
        <v>12</v>
      </c>
      <c r="C44" s="102">
        <v>12</v>
      </c>
      <c r="BQ44" s="152"/>
      <c r="BR44" s="152"/>
      <c r="BS44" s="152"/>
      <c r="BT44" s="152"/>
      <c r="BU44" s="152"/>
      <c r="BV44" s="152"/>
    </row>
    <row r="45" spans="1:74" s="102" customFormat="1" x14ac:dyDescent="0.25">
      <c r="A45" s="197" t="s">
        <v>231</v>
      </c>
      <c r="B45" s="76">
        <f t="shared" si="9"/>
        <v>1274</v>
      </c>
      <c r="C45" s="102">
        <v>44</v>
      </c>
      <c r="J45" s="102">
        <v>238</v>
      </c>
      <c r="L45" s="102">
        <v>487</v>
      </c>
      <c r="M45" s="102">
        <v>144</v>
      </c>
      <c r="N45" s="102">
        <v>145</v>
      </c>
      <c r="P45" s="102">
        <v>40</v>
      </c>
      <c r="Q45" s="102">
        <v>113</v>
      </c>
      <c r="Z45" s="102">
        <v>63</v>
      </c>
      <c r="BQ45" s="152"/>
      <c r="BR45" s="152"/>
      <c r="BS45" s="152"/>
      <c r="BT45" s="152"/>
      <c r="BU45" s="152"/>
      <c r="BV45" s="152"/>
    </row>
    <row r="46" spans="1:74" s="102" customFormat="1" x14ac:dyDescent="0.25">
      <c r="A46" s="197" t="s">
        <v>155</v>
      </c>
      <c r="B46" s="76">
        <f t="shared" si="9"/>
        <v>149284</v>
      </c>
      <c r="M46" s="102">
        <v>870</v>
      </c>
      <c r="O46" s="102">
        <v>10857</v>
      </c>
      <c r="P46" s="102">
        <f>376+29610</f>
        <v>29986</v>
      </c>
      <c r="Q46" s="102">
        <f>310+29300</f>
        <v>29610</v>
      </c>
      <c r="R46" s="102">
        <v>12996</v>
      </c>
      <c r="S46" s="102">
        <v>6251</v>
      </c>
      <c r="T46" s="102">
        <v>6101</v>
      </c>
      <c r="U46" s="102">
        <v>5413</v>
      </c>
      <c r="V46" s="102">
        <v>4191</v>
      </c>
      <c r="W46" s="102">
        <v>8640</v>
      </c>
      <c r="X46" s="102">
        <v>2212</v>
      </c>
      <c r="Y46" s="102">
        <v>2107</v>
      </c>
      <c r="Z46" s="102">
        <v>7741</v>
      </c>
      <c r="AA46" s="102">
        <f>216+4422</f>
        <v>4638</v>
      </c>
      <c r="AB46" s="102">
        <v>9580</v>
      </c>
      <c r="AC46" s="102">
        <v>2887</v>
      </c>
      <c r="AD46" s="102">
        <v>5204</v>
      </c>
      <c r="BQ46" s="152"/>
      <c r="BR46" s="152"/>
      <c r="BS46" s="152"/>
      <c r="BT46" s="152"/>
      <c r="BU46" s="152"/>
      <c r="BV46" s="152"/>
    </row>
    <row r="47" spans="1:74" s="102" customFormat="1" x14ac:dyDescent="0.25">
      <c r="A47" s="197" t="s">
        <v>233</v>
      </c>
      <c r="B47" s="76">
        <f t="shared" si="9"/>
        <v>222</v>
      </c>
      <c r="AB47" s="102">
        <v>60</v>
      </c>
      <c r="AZ47" s="102">
        <v>162</v>
      </c>
      <c r="BQ47" s="152"/>
      <c r="BR47" s="152"/>
      <c r="BS47" s="152"/>
      <c r="BT47" s="152"/>
      <c r="BU47" s="152"/>
      <c r="BV47" s="152"/>
    </row>
    <row r="48" spans="1:74" s="203" customFormat="1" x14ac:dyDescent="0.25">
      <c r="A48" s="202" t="s">
        <v>156</v>
      </c>
      <c r="B48" s="76">
        <f t="shared" si="9"/>
        <v>4906</v>
      </c>
      <c r="Y48" s="203">
        <v>2166</v>
      </c>
      <c r="AB48" s="203">
        <v>2740</v>
      </c>
      <c r="BQ48" s="204"/>
      <c r="BR48" s="204"/>
      <c r="BS48" s="204"/>
      <c r="BT48" s="204"/>
      <c r="BU48" s="204"/>
      <c r="BV48" s="204"/>
    </row>
    <row r="49" spans="1:74" x14ac:dyDescent="0.25">
      <c r="A49" s="91" t="s">
        <v>151</v>
      </c>
      <c r="B49" s="74">
        <f t="shared" ref="B49:BM49" si="10">SUM(B40:B48)</f>
        <v>165701</v>
      </c>
      <c r="C49" s="74">
        <f t="shared" si="10"/>
        <v>328</v>
      </c>
      <c r="D49" s="74">
        <f t="shared" si="10"/>
        <v>0</v>
      </c>
      <c r="E49" s="74">
        <f t="shared" si="10"/>
        <v>0</v>
      </c>
      <c r="F49" s="74">
        <f t="shared" si="10"/>
        <v>0</v>
      </c>
      <c r="G49" s="74">
        <f t="shared" si="10"/>
        <v>0</v>
      </c>
      <c r="H49" s="74">
        <f t="shared" si="10"/>
        <v>0</v>
      </c>
      <c r="I49" s="74">
        <f t="shared" si="10"/>
        <v>0</v>
      </c>
      <c r="J49" s="74">
        <f t="shared" si="10"/>
        <v>238</v>
      </c>
      <c r="K49" s="74">
        <f t="shared" si="10"/>
        <v>0</v>
      </c>
      <c r="L49" s="74">
        <f t="shared" si="10"/>
        <v>487</v>
      </c>
      <c r="M49" s="74">
        <f t="shared" si="10"/>
        <v>1104</v>
      </c>
      <c r="N49" s="74">
        <f t="shared" si="10"/>
        <v>145</v>
      </c>
      <c r="O49" s="74">
        <f t="shared" si="10"/>
        <v>11724</v>
      </c>
      <c r="P49" s="74">
        <f t="shared" si="10"/>
        <v>30460</v>
      </c>
      <c r="Q49" s="74">
        <f t="shared" si="10"/>
        <v>30604</v>
      </c>
      <c r="R49" s="74">
        <f t="shared" si="10"/>
        <v>14124</v>
      </c>
      <c r="S49" s="74">
        <f t="shared" si="10"/>
        <v>6543</v>
      </c>
      <c r="T49" s="74">
        <f t="shared" si="10"/>
        <v>6762</v>
      </c>
      <c r="U49" s="74">
        <f t="shared" si="10"/>
        <v>6552</v>
      </c>
      <c r="V49" s="74">
        <f t="shared" si="10"/>
        <v>4712</v>
      </c>
      <c r="W49" s="74">
        <f t="shared" si="10"/>
        <v>9915</v>
      </c>
      <c r="X49" s="74">
        <f t="shared" si="10"/>
        <v>2486</v>
      </c>
      <c r="Y49" s="74">
        <f t="shared" si="10"/>
        <v>4438</v>
      </c>
      <c r="Z49" s="74">
        <f t="shared" si="10"/>
        <v>7978</v>
      </c>
      <c r="AA49" s="74">
        <f t="shared" si="10"/>
        <v>5005</v>
      </c>
      <c r="AB49" s="74">
        <f t="shared" si="10"/>
        <v>13396</v>
      </c>
      <c r="AC49" s="74">
        <f t="shared" si="10"/>
        <v>3161</v>
      </c>
      <c r="AD49" s="74">
        <f t="shared" si="10"/>
        <v>5377</v>
      </c>
      <c r="AE49" s="74">
        <f t="shared" si="10"/>
        <v>0</v>
      </c>
      <c r="AF49" s="74">
        <f t="shared" si="10"/>
        <v>0</v>
      </c>
      <c r="AG49" s="74">
        <f t="shared" si="10"/>
        <v>0</v>
      </c>
      <c r="AH49" s="74">
        <f t="shared" si="10"/>
        <v>0</v>
      </c>
      <c r="AI49" s="74">
        <f t="shared" si="10"/>
        <v>0</v>
      </c>
      <c r="AJ49" s="74">
        <f t="shared" si="10"/>
        <v>0</v>
      </c>
      <c r="AK49" s="74">
        <f t="shared" si="10"/>
        <v>0</v>
      </c>
      <c r="AL49" s="74">
        <f t="shared" si="10"/>
        <v>0</v>
      </c>
      <c r="AM49" s="74">
        <f t="shared" si="10"/>
        <v>0</v>
      </c>
      <c r="AN49" s="74">
        <f t="shared" si="10"/>
        <v>0</v>
      </c>
      <c r="AO49" s="74">
        <f t="shared" si="10"/>
        <v>0</v>
      </c>
      <c r="AP49" s="74">
        <f t="shared" si="10"/>
        <v>0</v>
      </c>
      <c r="AQ49" s="74">
        <f t="shared" si="10"/>
        <v>0</v>
      </c>
      <c r="AR49" s="74">
        <f t="shared" si="10"/>
        <v>0</v>
      </c>
      <c r="AS49" s="74">
        <f t="shared" si="10"/>
        <v>0</v>
      </c>
      <c r="AT49" s="74">
        <f t="shared" si="10"/>
        <v>0</v>
      </c>
      <c r="AU49" s="74">
        <f t="shared" si="10"/>
        <v>0</v>
      </c>
      <c r="AV49" s="74">
        <f t="shared" si="10"/>
        <v>0</v>
      </c>
      <c r="AW49" s="74">
        <f t="shared" si="10"/>
        <v>0</v>
      </c>
      <c r="AX49" s="74">
        <f t="shared" si="10"/>
        <v>0</v>
      </c>
      <c r="AY49" s="74">
        <f t="shared" si="10"/>
        <v>0</v>
      </c>
      <c r="AZ49" s="74">
        <f t="shared" si="10"/>
        <v>162</v>
      </c>
      <c r="BA49" s="74">
        <f t="shared" si="10"/>
        <v>0</v>
      </c>
      <c r="BB49" s="74">
        <f t="shared" si="10"/>
        <v>0</v>
      </c>
      <c r="BC49" s="74">
        <f t="shared" si="10"/>
        <v>0</v>
      </c>
      <c r="BD49" s="74">
        <f t="shared" si="10"/>
        <v>0</v>
      </c>
      <c r="BE49" s="74">
        <f t="shared" si="10"/>
        <v>0</v>
      </c>
      <c r="BF49" s="74">
        <f t="shared" si="10"/>
        <v>0</v>
      </c>
      <c r="BG49" s="74">
        <f t="shared" si="10"/>
        <v>0</v>
      </c>
      <c r="BH49" s="74">
        <f t="shared" si="10"/>
        <v>0</v>
      </c>
      <c r="BI49" s="74">
        <f t="shared" si="10"/>
        <v>0</v>
      </c>
      <c r="BJ49" s="74">
        <f t="shared" si="10"/>
        <v>0</v>
      </c>
      <c r="BK49" s="74">
        <f t="shared" si="10"/>
        <v>0</v>
      </c>
      <c r="BL49" s="74">
        <f t="shared" si="10"/>
        <v>0</v>
      </c>
      <c r="BM49" s="74">
        <f t="shared" si="10"/>
        <v>0</v>
      </c>
      <c r="BN49" s="74">
        <f t="shared" ref="BN49:BP49" si="11">SUM(BN40:BN48)</f>
        <v>0</v>
      </c>
      <c r="BO49" s="74">
        <f t="shared" si="11"/>
        <v>0</v>
      </c>
      <c r="BP49" s="74">
        <f t="shared" si="11"/>
        <v>0</v>
      </c>
    </row>
    <row r="50" spans="1:74" x14ac:dyDescent="0.25">
      <c r="A50" s="102"/>
      <c r="B50" s="76"/>
      <c r="C50" s="198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</row>
    <row r="51" spans="1:74" x14ac:dyDescent="0.25">
      <c r="A51" s="90" t="s">
        <v>118</v>
      </c>
    </row>
    <row r="52" spans="1:74" s="102" customFormat="1" x14ac:dyDescent="0.25">
      <c r="A52" s="197" t="s">
        <v>128</v>
      </c>
      <c r="B52" s="76">
        <f t="shared" ref="B52:B56" si="12">SUM(C52:BP52)</f>
        <v>189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>
        <v>189</v>
      </c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</row>
    <row r="53" spans="1:74" s="102" customFormat="1" x14ac:dyDescent="0.25">
      <c r="A53" s="197" t="s">
        <v>228</v>
      </c>
      <c r="B53" s="76">
        <f t="shared" si="12"/>
        <v>191</v>
      </c>
      <c r="C53" s="152">
        <v>191</v>
      </c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</row>
    <row r="54" spans="1:74" s="102" customFormat="1" x14ac:dyDescent="0.25">
      <c r="A54" s="197" t="s">
        <v>233</v>
      </c>
      <c r="B54" s="76">
        <f t="shared" si="12"/>
        <v>300</v>
      </c>
      <c r="C54" s="152">
        <v>300</v>
      </c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</row>
    <row r="55" spans="1:74" s="102" customFormat="1" x14ac:dyDescent="0.25">
      <c r="A55" s="197" t="s">
        <v>232</v>
      </c>
      <c r="B55" s="76">
        <f t="shared" si="12"/>
        <v>264</v>
      </c>
      <c r="C55" s="152">
        <v>264</v>
      </c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</row>
    <row r="56" spans="1:74" s="102" customFormat="1" x14ac:dyDescent="0.25">
      <c r="A56" s="197" t="s">
        <v>234</v>
      </c>
      <c r="B56" s="76">
        <f t="shared" si="12"/>
        <v>4013</v>
      </c>
      <c r="C56" s="152">
        <v>4013</v>
      </c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</row>
    <row r="57" spans="1:74" x14ac:dyDescent="0.25">
      <c r="A57" s="91" t="s">
        <v>158</v>
      </c>
      <c r="B57" s="74">
        <f>SUM(B52:B56)</f>
        <v>4957</v>
      </c>
      <c r="C57" s="74">
        <f>SUM(C52:C56)</f>
        <v>4768</v>
      </c>
      <c r="D57" s="74">
        <f t="shared" ref="D57:BO57" si="13">SUM(D52:D55)</f>
        <v>0</v>
      </c>
      <c r="E57" s="74">
        <f t="shared" si="13"/>
        <v>0</v>
      </c>
      <c r="F57" s="74">
        <f t="shared" si="13"/>
        <v>0</v>
      </c>
      <c r="G57" s="74">
        <f t="shared" si="13"/>
        <v>0</v>
      </c>
      <c r="H57" s="74">
        <f t="shared" si="13"/>
        <v>0</v>
      </c>
      <c r="I57" s="74">
        <f t="shared" si="13"/>
        <v>0</v>
      </c>
      <c r="J57" s="74">
        <f t="shared" si="13"/>
        <v>0</v>
      </c>
      <c r="K57" s="74">
        <f t="shared" si="13"/>
        <v>0</v>
      </c>
      <c r="L57" s="74">
        <f t="shared" si="13"/>
        <v>0</v>
      </c>
      <c r="M57" s="74">
        <f t="shared" si="13"/>
        <v>0</v>
      </c>
      <c r="N57" s="74">
        <f t="shared" si="13"/>
        <v>0</v>
      </c>
      <c r="O57" s="74">
        <f t="shared" si="13"/>
        <v>0</v>
      </c>
      <c r="P57" s="74">
        <f t="shared" si="13"/>
        <v>0</v>
      </c>
      <c r="Q57" s="74">
        <f t="shared" si="13"/>
        <v>0</v>
      </c>
      <c r="R57" s="74">
        <f t="shared" si="13"/>
        <v>0</v>
      </c>
      <c r="S57" s="74">
        <f t="shared" si="13"/>
        <v>0</v>
      </c>
      <c r="T57" s="74">
        <f t="shared" si="13"/>
        <v>0</v>
      </c>
      <c r="U57" s="74">
        <f t="shared" si="13"/>
        <v>0</v>
      </c>
      <c r="V57" s="74">
        <f t="shared" si="13"/>
        <v>0</v>
      </c>
      <c r="W57" s="74">
        <f t="shared" si="13"/>
        <v>0</v>
      </c>
      <c r="X57" s="74">
        <f t="shared" si="13"/>
        <v>0</v>
      </c>
      <c r="Y57" s="74">
        <f t="shared" si="13"/>
        <v>0</v>
      </c>
      <c r="Z57" s="74">
        <f t="shared" si="13"/>
        <v>0</v>
      </c>
      <c r="AA57" s="74">
        <f t="shared" si="13"/>
        <v>0</v>
      </c>
      <c r="AB57" s="74">
        <f t="shared" si="13"/>
        <v>0</v>
      </c>
      <c r="AC57" s="74">
        <f t="shared" si="13"/>
        <v>0</v>
      </c>
      <c r="AD57" s="74">
        <f t="shared" si="13"/>
        <v>0</v>
      </c>
      <c r="AE57" s="74">
        <f t="shared" si="13"/>
        <v>0</v>
      </c>
      <c r="AF57" s="74">
        <f t="shared" si="13"/>
        <v>0</v>
      </c>
      <c r="AG57" s="74">
        <f t="shared" si="13"/>
        <v>0</v>
      </c>
      <c r="AH57" s="74">
        <f t="shared" si="13"/>
        <v>0</v>
      </c>
      <c r="AI57" s="74">
        <f t="shared" si="13"/>
        <v>0</v>
      </c>
      <c r="AJ57" s="74">
        <f t="shared" si="13"/>
        <v>189</v>
      </c>
      <c r="AK57" s="74">
        <f t="shared" si="13"/>
        <v>0</v>
      </c>
      <c r="AL57" s="74">
        <f t="shared" si="13"/>
        <v>0</v>
      </c>
      <c r="AM57" s="74">
        <f t="shared" si="13"/>
        <v>0</v>
      </c>
      <c r="AN57" s="74">
        <f t="shared" si="13"/>
        <v>0</v>
      </c>
      <c r="AO57" s="74">
        <f t="shared" si="13"/>
        <v>0</v>
      </c>
      <c r="AP57" s="74">
        <f t="shared" si="13"/>
        <v>0</v>
      </c>
      <c r="AQ57" s="74">
        <f t="shared" si="13"/>
        <v>0</v>
      </c>
      <c r="AR57" s="74">
        <f t="shared" si="13"/>
        <v>0</v>
      </c>
      <c r="AS57" s="74">
        <f t="shared" si="13"/>
        <v>0</v>
      </c>
      <c r="AT57" s="74">
        <f t="shared" si="13"/>
        <v>0</v>
      </c>
      <c r="AU57" s="74">
        <f t="shared" si="13"/>
        <v>0</v>
      </c>
      <c r="AV57" s="74">
        <f t="shared" si="13"/>
        <v>0</v>
      </c>
      <c r="AW57" s="74">
        <f t="shared" si="13"/>
        <v>0</v>
      </c>
      <c r="AX57" s="74">
        <f t="shared" si="13"/>
        <v>0</v>
      </c>
      <c r="AY57" s="74">
        <f t="shared" si="13"/>
        <v>0</v>
      </c>
      <c r="AZ57" s="74">
        <f t="shared" si="13"/>
        <v>0</v>
      </c>
      <c r="BA57" s="74">
        <f t="shared" si="13"/>
        <v>0</v>
      </c>
      <c r="BB57" s="74">
        <f t="shared" si="13"/>
        <v>0</v>
      </c>
      <c r="BC57" s="74">
        <f t="shared" si="13"/>
        <v>0</v>
      </c>
      <c r="BD57" s="74">
        <f t="shared" si="13"/>
        <v>0</v>
      </c>
      <c r="BE57" s="74">
        <f t="shared" si="13"/>
        <v>0</v>
      </c>
      <c r="BF57" s="74">
        <f t="shared" si="13"/>
        <v>0</v>
      </c>
      <c r="BG57" s="74">
        <f t="shared" si="13"/>
        <v>0</v>
      </c>
      <c r="BH57" s="74">
        <f t="shared" si="13"/>
        <v>0</v>
      </c>
      <c r="BI57" s="74">
        <f t="shared" si="13"/>
        <v>0</v>
      </c>
      <c r="BJ57" s="74">
        <f t="shared" si="13"/>
        <v>0</v>
      </c>
      <c r="BK57" s="74">
        <f t="shared" si="13"/>
        <v>0</v>
      </c>
      <c r="BL57" s="74">
        <f t="shared" si="13"/>
        <v>0</v>
      </c>
      <c r="BM57" s="74">
        <f t="shared" si="13"/>
        <v>0</v>
      </c>
      <c r="BN57" s="74">
        <f t="shared" si="13"/>
        <v>0</v>
      </c>
      <c r="BO57" s="74">
        <f t="shared" si="13"/>
        <v>0</v>
      </c>
      <c r="BP57" s="74">
        <f t="shared" ref="BP57" si="14">SUM(BP52:BP55)</f>
        <v>0</v>
      </c>
    </row>
    <row r="58" spans="1:74" x14ac:dyDescent="0.25">
      <c r="A58" s="102"/>
      <c r="B58" s="76"/>
      <c r="C58" s="198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</row>
    <row r="59" spans="1:74" x14ac:dyDescent="0.25">
      <c r="A59" s="90" t="s">
        <v>119</v>
      </c>
    </row>
    <row r="60" spans="1:74" s="102" customFormat="1" x14ac:dyDescent="0.25">
      <c r="A60" s="197" t="s">
        <v>129</v>
      </c>
      <c r="B60" s="76">
        <f t="shared" ref="B60:B62" si="15">SUM(C60:BP60)</f>
        <v>666</v>
      </c>
      <c r="C60" s="152">
        <v>666</v>
      </c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</row>
    <row r="61" spans="1:74" s="102" customFormat="1" x14ac:dyDescent="0.25">
      <c r="A61" s="197" t="s">
        <v>231</v>
      </c>
      <c r="B61" s="76">
        <f t="shared" si="15"/>
        <v>941</v>
      </c>
      <c r="C61" s="152">
        <v>941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52"/>
    </row>
    <row r="62" spans="1:74" s="102" customFormat="1" x14ac:dyDescent="0.25">
      <c r="A62" s="197" t="s">
        <v>206</v>
      </c>
      <c r="B62" s="76">
        <f t="shared" si="15"/>
        <v>14683</v>
      </c>
      <c r="C62" s="152">
        <v>14683</v>
      </c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</row>
    <row r="63" spans="1:74" x14ac:dyDescent="0.25">
      <c r="A63" s="91" t="s">
        <v>159</v>
      </c>
      <c r="B63" s="74">
        <f>SUM(B60:B62)</f>
        <v>16290</v>
      </c>
      <c r="C63" s="74">
        <f>SUM(C60:C62)</f>
        <v>16290</v>
      </c>
      <c r="D63" s="74">
        <f t="shared" ref="D63:BO63" si="16">SUM(D60:D61)</f>
        <v>0</v>
      </c>
      <c r="E63" s="74">
        <f t="shared" si="16"/>
        <v>0</v>
      </c>
      <c r="F63" s="74">
        <f t="shared" si="16"/>
        <v>0</v>
      </c>
      <c r="G63" s="74">
        <f t="shared" si="16"/>
        <v>0</v>
      </c>
      <c r="H63" s="74">
        <f t="shared" si="16"/>
        <v>0</v>
      </c>
      <c r="I63" s="74">
        <f t="shared" si="16"/>
        <v>0</v>
      </c>
      <c r="J63" s="74">
        <f t="shared" si="16"/>
        <v>0</v>
      </c>
      <c r="K63" s="74">
        <f t="shared" si="16"/>
        <v>0</v>
      </c>
      <c r="L63" s="74">
        <f t="shared" si="16"/>
        <v>0</v>
      </c>
      <c r="M63" s="74">
        <f t="shared" si="16"/>
        <v>0</v>
      </c>
      <c r="N63" s="74">
        <f t="shared" si="16"/>
        <v>0</v>
      </c>
      <c r="O63" s="74">
        <f t="shared" si="16"/>
        <v>0</v>
      </c>
      <c r="P63" s="74">
        <f t="shared" si="16"/>
        <v>0</v>
      </c>
      <c r="Q63" s="74">
        <f t="shared" si="16"/>
        <v>0</v>
      </c>
      <c r="R63" s="74">
        <f t="shared" si="16"/>
        <v>0</v>
      </c>
      <c r="S63" s="74">
        <f t="shared" si="16"/>
        <v>0</v>
      </c>
      <c r="T63" s="74">
        <f t="shared" si="16"/>
        <v>0</v>
      </c>
      <c r="U63" s="74">
        <f t="shared" si="16"/>
        <v>0</v>
      </c>
      <c r="V63" s="74">
        <f t="shared" si="16"/>
        <v>0</v>
      </c>
      <c r="W63" s="74">
        <f t="shared" si="16"/>
        <v>0</v>
      </c>
      <c r="X63" s="74">
        <f t="shared" si="16"/>
        <v>0</v>
      </c>
      <c r="Y63" s="74">
        <f t="shared" si="16"/>
        <v>0</v>
      </c>
      <c r="Z63" s="74">
        <f t="shared" si="16"/>
        <v>0</v>
      </c>
      <c r="AA63" s="74">
        <f t="shared" si="16"/>
        <v>0</v>
      </c>
      <c r="AB63" s="74">
        <f t="shared" si="16"/>
        <v>0</v>
      </c>
      <c r="AC63" s="74">
        <f t="shared" si="16"/>
        <v>0</v>
      </c>
      <c r="AD63" s="74">
        <f t="shared" si="16"/>
        <v>0</v>
      </c>
      <c r="AE63" s="74">
        <f t="shared" si="16"/>
        <v>0</v>
      </c>
      <c r="AF63" s="74">
        <f t="shared" si="16"/>
        <v>0</v>
      </c>
      <c r="AG63" s="74">
        <f t="shared" si="16"/>
        <v>0</v>
      </c>
      <c r="AH63" s="74">
        <f t="shared" si="16"/>
        <v>0</v>
      </c>
      <c r="AI63" s="74">
        <f t="shared" si="16"/>
        <v>0</v>
      </c>
      <c r="AJ63" s="74">
        <f t="shared" si="16"/>
        <v>0</v>
      </c>
      <c r="AK63" s="74">
        <f t="shared" si="16"/>
        <v>0</v>
      </c>
      <c r="AL63" s="74">
        <f t="shared" si="16"/>
        <v>0</v>
      </c>
      <c r="AM63" s="74">
        <f t="shared" si="16"/>
        <v>0</v>
      </c>
      <c r="AN63" s="74">
        <f t="shared" si="16"/>
        <v>0</v>
      </c>
      <c r="AO63" s="74">
        <f t="shared" si="16"/>
        <v>0</v>
      </c>
      <c r="AP63" s="74">
        <f t="shared" si="16"/>
        <v>0</v>
      </c>
      <c r="AQ63" s="74">
        <f t="shared" si="16"/>
        <v>0</v>
      </c>
      <c r="AR63" s="74">
        <f t="shared" si="16"/>
        <v>0</v>
      </c>
      <c r="AS63" s="74">
        <f t="shared" si="16"/>
        <v>0</v>
      </c>
      <c r="AT63" s="74">
        <f t="shared" si="16"/>
        <v>0</v>
      </c>
      <c r="AU63" s="74">
        <f t="shared" si="16"/>
        <v>0</v>
      </c>
      <c r="AV63" s="74">
        <f t="shared" si="16"/>
        <v>0</v>
      </c>
      <c r="AW63" s="74">
        <f t="shared" si="16"/>
        <v>0</v>
      </c>
      <c r="AX63" s="74">
        <f t="shared" si="16"/>
        <v>0</v>
      </c>
      <c r="AY63" s="74">
        <f t="shared" si="16"/>
        <v>0</v>
      </c>
      <c r="AZ63" s="74">
        <f t="shared" si="16"/>
        <v>0</v>
      </c>
      <c r="BA63" s="74">
        <f t="shared" si="16"/>
        <v>0</v>
      </c>
      <c r="BB63" s="74">
        <f t="shared" si="16"/>
        <v>0</v>
      </c>
      <c r="BC63" s="74">
        <f t="shared" si="16"/>
        <v>0</v>
      </c>
      <c r="BD63" s="74">
        <f t="shared" si="16"/>
        <v>0</v>
      </c>
      <c r="BE63" s="74">
        <f t="shared" si="16"/>
        <v>0</v>
      </c>
      <c r="BF63" s="74">
        <f t="shared" si="16"/>
        <v>0</v>
      </c>
      <c r="BG63" s="74">
        <f t="shared" si="16"/>
        <v>0</v>
      </c>
      <c r="BH63" s="74">
        <f t="shared" si="16"/>
        <v>0</v>
      </c>
      <c r="BI63" s="74">
        <f t="shared" si="16"/>
        <v>0</v>
      </c>
      <c r="BJ63" s="74">
        <f t="shared" si="16"/>
        <v>0</v>
      </c>
      <c r="BK63" s="74">
        <f t="shared" si="16"/>
        <v>0</v>
      </c>
      <c r="BL63" s="74">
        <f t="shared" si="16"/>
        <v>0</v>
      </c>
      <c r="BM63" s="74">
        <f t="shared" si="16"/>
        <v>0</v>
      </c>
      <c r="BN63" s="74">
        <f t="shared" si="16"/>
        <v>0</v>
      </c>
      <c r="BO63" s="74">
        <f t="shared" si="16"/>
        <v>0</v>
      </c>
      <c r="BP63" s="74">
        <f t="shared" ref="BP63" si="17">SUM(BP60:BP61)</f>
        <v>0</v>
      </c>
    </row>
    <row r="64" spans="1:74" x14ac:dyDescent="0.25">
      <c r="A64" s="102"/>
      <c r="B64" s="76"/>
      <c r="C64" s="198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</row>
    <row r="65" spans="1:74" x14ac:dyDescent="0.25">
      <c r="A65" s="90" t="s">
        <v>120</v>
      </c>
    </row>
    <row r="66" spans="1:74" s="102" customFormat="1" x14ac:dyDescent="0.25">
      <c r="A66" s="197" t="s">
        <v>153</v>
      </c>
      <c r="B66" s="76">
        <f t="shared" ref="B66:B69" si="18">SUM(C66:BP66)</f>
        <v>160</v>
      </c>
      <c r="C66" s="152">
        <f>'[1]Distribution Main'!H486</f>
        <v>160</v>
      </c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</row>
    <row r="67" spans="1:74" s="102" customFormat="1" x14ac:dyDescent="0.25">
      <c r="A67" s="197" t="s">
        <v>128</v>
      </c>
      <c r="B67" s="76">
        <f t="shared" si="18"/>
        <v>303</v>
      </c>
      <c r="C67" s="152">
        <f>'[1]Distribution Main'!H488</f>
        <v>303</v>
      </c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52"/>
      <c r="BS67" s="152"/>
      <c r="BT67" s="152"/>
      <c r="BU67" s="152"/>
      <c r="BV67" s="152"/>
    </row>
    <row r="68" spans="1:74" s="102" customFormat="1" x14ac:dyDescent="0.25">
      <c r="A68" s="197" t="s">
        <v>228</v>
      </c>
      <c r="B68" s="76">
        <f t="shared" si="18"/>
        <v>34</v>
      </c>
      <c r="C68" s="152">
        <f>'[1]Distribution Main'!H490</f>
        <v>34</v>
      </c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</row>
    <row r="69" spans="1:74" s="102" customFormat="1" x14ac:dyDescent="0.25">
      <c r="A69" s="197" t="s">
        <v>155</v>
      </c>
      <c r="B69" s="76">
        <f t="shared" si="18"/>
        <v>1754</v>
      </c>
      <c r="C69" s="152">
        <v>1754</v>
      </c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</row>
    <row r="70" spans="1:74" x14ac:dyDescent="0.25">
      <c r="A70" s="91" t="s">
        <v>160</v>
      </c>
      <c r="B70" s="74">
        <f t="shared" ref="B70:BM70" si="19">SUM(B66:B69)</f>
        <v>2251</v>
      </c>
      <c r="C70" s="74">
        <f t="shared" si="19"/>
        <v>2251</v>
      </c>
      <c r="D70" s="74">
        <f t="shared" si="19"/>
        <v>0</v>
      </c>
      <c r="E70" s="74">
        <f t="shared" si="19"/>
        <v>0</v>
      </c>
      <c r="F70" s="74">
        <f t="shared" si="19"/>
        <v>0</v>
      </c>
      <c r="G70" s="74">
        <f t="shared" si="19"/>
        <v>0</v>
      </c>
      <c r="H70" s="74">
        <f t="shared" si="19"/>
        <v>0</v>
      </c>
      <c r="I70" s="74">
        <f t="shared" si="19"/>
        <v>0</v>
      </c>
      <c r="J70" s="74">
        <f t="shared" si="19"/>
        <v>0</v>
      </c>
      <c r="K70" s="74">
        <f t="shared" si="19"/>
        <v>0</v>
      </c>
      <c r="L70" s="74">
        <f t="shared" si="19"/>
        <v>0</v>
      </c>
      <c r="M70" s="74">
        <f t="shared" si="19"/>
        <v>0</v>
      </c>
      <c r="N70" s="74">
        <f t="shared" si="19"/>
        <v>0</v>
      </c>
      <c r="O70" s="74">
        <f t="shared" si="19"/>
        <v>0</v>
      </c>
      <c r="P70" s="74">
        <f t="shared" si="19"/>
        <v>0</v>
      </c>
      <c r="Q70" s="74">
        <f t="shared" si="19"/>
        <v>0</v>
      </c>
      <c r="R70" s="74">
        <f t="shared" si="19"/>
        <v>0</v>
      </c>
      <c r="S70" s="74">
        <f t="shared" si="19"/>
        <v>0</v>
      </c>
      <c r="T70" s="74">
        <f t="shared" si="19"/>
        <v>0</v>
      </c>
      <c r="U70" s="74">
        <f t="shared" si="19"/>
        <v>0</v>
      </c>
      <c r="V70" s="74">
        <f t="shared" si="19"/>
        <v>0</v>
      </c>
      <c r="W70" s="74">
        <f t="shared" si="19"/>
        <v>0</v>
      </c>
      <c r="X70" s="74">
        <f t="shared" si="19"/>
        <v>0</v>
      </c>
      <c r="Y70" s="74">
        <f t="shared" si="19"/>
        <v>0</v>
      </c>
      <c r="Z70" s="74">
        <f t="shared" si="19"/>
        <v>0</v>
      </c>
      <c r="AA70" s="74">
        <f t="shared" si="19"/>
        <v>0</v>
      </c>
      <c r="AB70" s="74">
        <f t="shared" si="19"/>
        <v>0</v>
      </c>
      <c r="AC70" s="74">
        <f t="shared" si="19"/>
        <v>0</v>
      </c>
      <c r="AD70" s="74">
        <f t="shared" si="19"/>
        <v>0</v>
      </c>
      <c r="AE70" s="74">
        <f t="shared" si="19"/>
        <v>0</v>
      </c>
      <c r="AF70" s="74">
        <f t="shared" si="19"/>
        <v>0</v>
      </c>
      <c r="AG70" s="74">
        <f t="shared" si="19"/>
        <v>0</v>
      </c>
      <c r="AH70" s="74">
        <f t="shared" si="19"/>
        <v>0</v>
      </c>
      <c r="AI70" s="74">
        <f t="shared" si="19"/>
        <v>0</v>
      </c>
      <c r="AJ70" s="74">
        <f t="shared" si="19"/>
        <v>0</v>
      </c>
      <c r="AK70" s="74">
        <f t="shared" si="19"/>
        <v>0</v>
      </c>
      <c r="AL70" s="74">
        <f t="shared" si="19"/>
        <v>0</v>
      </c>
      <c r="AM70" s="74">
        <f t="shared" si="19"/>
        <v>0</v>
      </c>
      <c r="AN70" s="74">
        <f t="shared" si="19"/>
        <v>0</v>
      </c>
      <c r="AO70" s="74">
        <f t="shared" si="19"/>
        <v>0</v>
      </c>
      <c r="AP70" s="74">
        <f t="shared" si="19"/>
        <v>0</v>
      </c>
      <c r="AQ70" s="74">
        <f t="shared" si="19"/>
        <v>0</v>
      </c>
      <c r="AR70" s="74">
        <f t="shared" si="19"/>
        <v>0</v>
      </c>
      <c r="AS70" s="74">
        <f t="shared" si="19"/>
        <v>0</v>
      </c>
      <c r="AT70" s="74">
        <f t="shared" si="19"/>
        <v>0</v>
      </c>
      <c r="AU70" s="74">
        <f t="shared" si="19"/>
        <v>0</v>
      </c>
      <c r="AV70" s="74">
        <f t="shared" si="19"/>
        <v>0</v>
      </c>
      <c r="AW70" s="74">
        <f t="shared" si="19"/>
        <v>0</v>
      </c>
      <c r="AX70" s="74">
        <f t="shared" si="19"/>
        <v>0</v>
      </c>
      <c r="AY70" s="74">
        <f t="shared" si="19"/>
        <v>0</v>
      </c>
      <c r="AZ70" s="74">
        <f t="shared" si="19"/>
        <v>0</v>
      </c>
      <c r="BA70" s="74">
        <f t="shared" si="19"/>
        <v>0</v>
      </c>
      <c r="BB70" s="74">
        <f t="shared" si="19"/>
        <v>0</v>
      </c>
      <c r="BC70" s="74">
        <f t="shared" si="19"/>
        <v>0</v>
      </c>
      <c r="BD70" s="74">
        <f t="shared" si="19"/>
        <v>0</v>
      </c>
      <c r="BE70" s="74">
        <f t="shared" si="19"/>
        <v>0</v>
      </c>
      <c r="BF70" s="74">
        <f t="shared" si="19"/>
        <v>0</v>
      </c>
      <c r="BG70" s="74">
        <f t="shared" si="19"/>
        <v>0</v>
      </c>
      <c r="BH70" s="74">
        <f t="shared" si="19"/>
        <v>0</v>
      </c>
      <c r="BI70" s="74">
        <f t="shared" si="19"/>
        <v>0</v>
      </c>
      <c r="BJ70" s="74">
        <f t="shared" si="19"/>
        <v>0</v>
      </c>
      <c r="BK70" s="74">
        <f t="shared" si="19"/>
        <v>0</v>
      </c>
      <c r="BL70" s="74">
        <f t="shared" si="19"/>
        <v>0</v>
      </c>
      <c r="BM70" s="74">
        <f t="shared" si="19"/>
        <v>0</v>
      </c>
      <c r="BN70" s="74">
        <f t="shared" ref="BN70:BP70" si="20">SUM(BN66:BN69)</f>
        <v>0</v>
      </c>
      <c r="BO70" s="74">
        <f t="shared" si="20"/>
        <v>0</v>
      </c>
      <c r="BP70" s="74">
        <f t="shared" si="20"/>
        <v>0</v>
      </c>
    </row>
    <row r="71" spans="1:74" x14ac:dyDescent="0.25">
      <c r="A71" s="102"/>
      <c r="B71" s="76"/>
      <c r="C71" s="198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</row>
    <row r="72" spans="1:74" x14ac:dyDescent="0.25">
      <c r="A72" s="90" t="s">
        <v>121</v>
      </c>
    </row>
    <row r="73" spans="1:74" s="102" customFormat="1" x14ac:dyDescent="0.25">
      <c r="A73" s="197" t="s">
        <v>131</v>
      </c>
      <c r="B73" s="76">
        <f t="shared" ref="B73:B81" si="21">SUM(C73:BP73)</f>
        <v>103</v>
      </c>
      <c r="C73" s="152">
        <v>103</v>
      </c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</row>
    <row r="74" spans="1:74" s="102" customFormat="1" x14ac:dyDescent="0.25">
      <c r="A74" s="197" t="s">
        <v>128</v>
      </c>
      <c r="B74" s="76">
        <f t="shared" si="21"/>
        <v>1420</v>
      </c>
      <c r="C74" s="152">
        <v>1003</v>
      </c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>
        <v>72</v>
      </c>
      <c r="AJ74" s="152">
        <v>118</v>
      </c>
      <c r="AK74" s="152"/>
      <c r="AL74" s="152">
        <v>111</v>
      </c>
      <c r="AM74" s="152"/>
      <c r="AN74" s="152">
        <v>16</v>
      </c>
      <c r="AO74" s="152"/>
      <c r="AP74" s="152"/>
      <c r="AQ74" s="152">
        <v>55</v>
      </c>
      <c r="AR74" s="152"/>
      <c r="AS74" s="152">
        <v>45</v>
      </c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</row>
    <row r="75" spans="1:74" s="102" customFormat="1" x14ac:dyDescent="0.25">
      <c r="A75" s="197" t="s">
        <v>228</v>
      </c>
      <c r="B75" s="76">
        <f t="shared" si="21"/>
        <v>221</v>
      </c>
      <c r="C75" s="152">
        <v>221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</row>
    <row r="76" spans="1:74" s="102" customFormat="1" x14ac:dyDescent="0.25">
      <c r="A76" s="197" t="s">
        <v>129</v>
      </c>
      <c r="B76" s="76">
        <f t="shared" si="21"/>
        <v>7502</v>
      </c>
      <c r="C76" s="152">
        <v>6405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>
        <f>84+170</f>
        <v>254</v>
      </c>
      <c r="AC76" s="152">
        <v>35</v>
      </c>
      <c r="AD76" s="152"/>
      <c r="AE76" s="152">
        <v>206</v>
      </c>
      <c r="AF76" s="152">
        <v>602</v>
      </c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</row>
    <row r="77" spans="1:74" s="102" customFormat="1" x14ac:dyDescent="0.25">
      <c r="A77" s="197" t="s">
        <v>231</v>
      </c>
      <c r="B77" s="76">
        <f t="shared" si="21"/>
        <v>1013</v>
      </c>
      <c r="C77" s="152">
        <v>1006</v>
      </c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>
        <v>7</v>
      </c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</row>
    <row r="78" spans="1:74" s="102" customFormat="1" x14ac:dyDescent="0.25">
      <c r="A78" s="197" t="s">
        <v>130</v>
      </c>
      <c r="B78" s="76">
        <f t="shared" si="21"/>
        <v>628</v>
      </c>
      <c r="C78" s="152">
        <v>628</v>
      </c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</row>
    <row r="79" spans="1:74" s="102" customFormat="1" x14ac:dyDescent="0.25">
      <c r="A79" s="197" t="s">
        <v>232</v>
      </c>
      <c r="B79" s="76">
        <f t="shared" si="21"/>
        <v>1718</v>
      </c>
      <c r="C79" s="152">
        <v>1623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>
        <v>95</v>
      </c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</row>
    <row r="80" spans="1:74" s="102" customFormat="1" x14ac:dyDescent="0.25">
      <c r="A80" s="197" t="s">
        <v>132</v>
      </c>
      <c r="B80" s="76">
        <f t="shared" si="21"/>
        <v>3414</v>
      </c>
      <c r="C80" s="152">
        <v>3300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>
        <v>114</v>
      </c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</row>
    <row r="81" spans="1:74" s="102" customFormat="1" x14ac:dyDescent="0.25">
      <c r="A81" s="197" t="s">
        <v>207</v>
      </c>
      <c r="B81" s="76">
        <f t="shared" si="21"/>
        <v>4700</v>
      </c>
      <c r="C81" s="152">
        <v>4700</v>
      </c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</row>
    <row r="82" spans="1:74" x14ac:dyDescent="0.25">
      <c r="A82" s="91" t="s">
        <v>161</v>
      </c>
      <c r="B82" s="74">
        <f>SUM(B73:B81)</f>
        <v>20719</v>
      </c>
      <c r="C82" s="74">
        <f>SUM(C73:C81)</f>
        <v>18989</v>
      </c>
      <c r="D82" s="74">
        <f t="shared" ref="D82:BO82" si="22">SUM(D73:D80)</f>
        <v>0</v>
      </c>
      <c r="E82" s="74">
        <f t="shared" si="22"/>
        <v>0</v>
      </c>
      <c r="F82" s="74">
        <f t="shared" si="22"/>
        <v>0</v>
      </c>
      <c r="G82" s="74">
        <f t="shared" si="22"/>
        <v>0</v>
      </c>
      <c r="H82" s="74">
        <f t="shared" si="22"/>
        <v>0</v>
      </c>
      <c r="I82" s="74">
        <f t="shared" si="22"/>
        <v>0</v>
      </c>
      <c r="J82" s="74">
        <f t="shared" si="22"/>
        <v>0</v>
      </c>
      <c r="K82" s="74">
        <f t="shared" si="22"/>
        <v>0</v>
      </c>
      <c r="L82" s="74">
        <f t="shared" si="22"/>
        <v>0</v>
      </c>
      <c r="M82" s="74">
        <f t="shared" si="22"/>
        <v>0</v>
      </c>
      <c r="N82" s="74">
        <f t="shared" si="22"/>
        <v>0</v>
      </c>
      <c r="O82" s="74">
        <f t="shared" si="22"/>
        <v>0</v>
      </c>
      <c r="P82" s="74">
        <f t="shared" si="22"/>
        <v>0</v>
      </c>
      <c r="Q82" s="74">
        <f t="shared" si="22"/>
        <v>0</v>
      </c>
      <c r="R82" s="74">
        <f t="shared" si="22"/>
        <v>0</v>
      </c>
      <c r="S82" s="74">
        <f t="shared" si="22"/>
        <v>0</v>
      </c>
      <c r="T82" s="74">
        <f t="shared" si="22"/>
        <v>0</v>
      </c>
      <c r="U82" s="74">
        <f t="shared" si="22"/>
        <v>0</v>
      </c>
      <c r="V82" s="74">
        <f t="shared" si="22"/>
        <v>0</v>
      </c>
      <c r="W82" s="74">
        <f t="shared" si="22"/>
        <v>0</v>
      </c>
      <c r="X82" s="74">
        <f t="shared" si="22"/>
        <v>0</v>
      </c>
      <c r="Y82" s="74">
        <f t="shared" si="22"/>
        <v>0</v>
      </c>
      <c r="Z82" s="74">
        <f t="shared" si="22"/>
        <v>0</v>
      </c>
      <c r="AA82" s="74">
        <f t="shared" si="22"/>
        <v>0</v>
      </c>
      <c r="AB82" s="74">
        <f t="shared" si="22"/>
        <v>254</v>
      </c>
      <c r="AC82" s="74">
        <f t="shared" si="22"/>
        <v>35</v>
      </c>
      <c r="AD82" s="74">
        <f t="shared" si="22"/>
        <v>0</v>
      </c>
      <c r="AE82" s="74">
        <f t="shared" si="22"/>
        <v>206</v>
      </c>
      <c r="AF82" s="74">
        <f t="shared" si="22"/>
        <v>602</v>
      </c>
      <c r="AG82" s="74">
        <f t="shared" si="22"/>
        <v>0</v>
      </c>
      <c r="AH82" s="74">
        <f t="shared" si="22"/>
        <v>0</v>
      </c>
      <c r="AI82" s="74">
        <f t="shared" si="22"/>
        <v>72</v>
      </c>
      <c r="AJ82" s="74">
        <f t="shared" si="22"/>
        <v>118</v>
      </c>
      <c r="AK82" s="74">
        <f t="shared" si="22"/>
        <v>0</v>
      </c>
      <c r="AL82" s="74">
        <f t="shared" si="22"/>
        <v>111</v>
      </c>
      <c r="AM82" s="74">
        <f t="shared" si="22"/>
        <v>95</v>
      </c>
      <c r="AN82" s="74">
        <f t="shared" si="22"/>
        <v>16</v>
      </c>
      <c r="AO82" s="74">
        <f t="shared" si="22"/>
        <v>0</v>
      </c>
      <c r="AP82" s="74">
        <f t="shared" si="22"/>
        <v>7</v>
      </c>
      <c r="AQ82" s="74">
        <f t="shared" si="22"/>
        <v>55</v>
      </c>
      <c r="AR82" s="74">
        <f t="shared" si="22"/>
        <v>0</v>
      </c>
      <c r="AS82" s="74">
        <f t="shared" si="22"/>
        <v>45</v>
      </c>
      <c r="AT82" s="74">
        <f t="shared" si="22"/>
        <v>0</v>
      </c>
      <c r="AU82" s="74">
        <f t="shared" si="22"/>
        <v>0</v>
      </c>
      <c r="AV82" s="74">
        <f t="shared" si="22"/>
        <v>0</v>
      </c>
      <c r="AW82" s="74">
        <f t="shared" si="22"/>
        <v>0</v>
      </c>
      <c r="AX82" s="74">
        <f t="shared" si="22"/>
        <v>0</v>
      </c>
      <c r="AY82" s="74">
        <f t="shared" si="22"/>
        <v>0</v>
      </c>
      <c r="AZ82" s="74">
        <f t="shared" si="22"/>
        <v>0</v>
      </c>
      <c r="BA82" s="74">
        <f t="shared" si="22"/>
        <v>0</v>
      </c>
      <c r="BB82" s="74">
        <f t="shared" si="22"/>
        <v>0</v>
      </c>
      <c r="BC82" s="74">
        <f t="shared" si="22"/>
        <v>0</v>
      </c>
      <c r="BD82" s="74">
        <f t="shared" si="22"/>
        <v>0</v>
      </c>
      <c r="BE82" s="74">
        <f t="shared" si="22"/>
        <v>114</v>
      </c>
      <c r="BF82" s="74">
        <f t="shared" si="22"/>
        <v>0</v>
      </c>
      <c r="BG82" s="74">
        <f t="shared" si="22"/>
        <v>0</v>
      </c>
      <c r="BH82" s="74">
        <f t="shared" si="22"/>
        <v>0</v>
      </c>
      <c r="BI82" s="74">
        <f t="shared" si="22"/>
        <v>0</v>
      </c>
      <c r="BJ82" s="74">
        <f t="shared" si="22"/>
        <v>0</v>
      </c>
      <c r="BK82" s="74">
        <f t="shared" si="22"/>
        <v>0</v>
      </c>
      <c r="BL82" s="74">
        <f t="shared" si="22"/>
        <v>0</v>
      </c>
      <c r="BM82" s="74">
        <f t="shared" si="22"/>
        <v>0</v>
      </c>
      <c r="BN82" s="74">
        <f t="shared" si="22"/>
        <v>0</v>
      </c>
      <c r="BO82" s="74">
        <f t="shared" si="22"/>
        <v>0</v>
      </c>
      <c r="BP82" s="74">
        <f t="shared" ref="BP82" si="23">SUM(BP73:BP80)</f>
        <v>0</v>
      </c>
    </row>
    <row r="83" spans="1:74" x14ac:dyDescent="0.25">
      <c r="A83" s="102"/>
      <c r="B83" s="76"/>
      <c r="C83" s="198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</row>
    <row r="84" spans="1:74" x14ac:dyDescent="0.25">
      <c r="A84" s="90" t="s">
        <v>122</v>
      </c>
    </row>
    <row r="85" spans="1:74" s="102" customFormat="1" x14ac:dyDescent="0.25">
      <c r="A85" s="197" t="s">
        <v>153</v>
      </c>
      <c r="B85" s="76">
        <f t="shared" ref="B85:B97" si="24">SUM(C85:BP85)</f>
        <v>3251</v>
      </c>
      <c r="C85" s="152">
        <v>2696</v>
      </c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>
        <v>130</v>
      </c>
      <c r="V85" s="152"/>
      <c r="W85" s="152"/>
      <c r="X85" s="152"/>
      <c r="Y85" s="152"/>
      <c r="Z85" s="152"/>
      <c r="AA85" s="152"/>
      <c r="AB85" s="152"/>
      <c r="AC85" s="152"/>
      <c r="AD85" s="152">
        <v>348</v>
      </c>
      <c r="AE85" s="152"/>
      <c r="AF85" s="152"/>
      <c r="AG85" s="152"/>
      <c r="AH85" s="152"/>
      <c r="AI85" s="152"/>
      <c r="AJ85" s="152"/>
      <c r="AK85" s="152"/>
      <c r="AL85" s="152"/>
      <c r="AM85" s="152">
        <v>49</v>
      </c>
      <c r="AN85" s="152">
        <v>28</v>
      </c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</row>
    <row r="86" spans="1:74" s="102" customFormat="1" x14ac:dyDescent="0.25">
      <c r="A86" s="197" t="s">
        <v>128</v>
      </c>
      <c r="B86" s="76">
        <f t="shared" si="24"/>
        <v>372</v>
      </c>
      <c r="C86" s="152">
        <v>181</v>
      </c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>
        <v>60</v>
      </c>
      <c r="AG86" s="152"/>
      <c r="AH86" s="152"/>
      <c r="AI86" s="152"/>
      <c r="AJ86" s="152">
        <v>101</v>
      </c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>
        <v>30</v>
      </c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</row>
    <row r="87" spans="1:74" s="102" customFormat="1" x14ac:dyDescent="0.25">
      <c r="A87" s="197" t="s">
        <v>154</v>
      </c>
      <c r="B87" s="76">
        <f t="shared" si="24"/>
        <v>1252</v>
      </c>
      <c r="C87" s="152">
        <v>1122</v>
      </c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>
        <v>130</v>
      </c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</row>
    <row r="88" spans="1:74" s="102" customFormat="1" x14ac:dyDescent="0.25">
      <c r="A88" s="197" t="s">
        <v>229</v>
      </c>
      <c r="B88" s="76">
        <f t="shared" si="24"/>
        <v>715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>
        <v>715</v>
      </c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</row>
    <row r="89" spans="1:74" s="102" customFormat="1" x14ac:dyDescent="0.25">
      <c r="A89" s="197" t="s">
        <v>235</v>
      </c>
      <c r="B89" s="76">
        <f t="shared" si="24"/>
        <v>386</v>
      </c>
      <c r="C89" s="152">
        <v>386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</row>
    <row r="90" spans="1:74" s="102" customFormat="1" x14ac:dyDescent="0.25">
      <c r="A90" s="197" t="s">
        <v>129</v>
      </c>
      <c r="B90" s="76">
        <f t="shared" si="24"/>
        <v>1930</v>
      </c>
      <c r="C90" s="152">
        <v>1837</v>
      </c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>
        <v>93</v>
      </c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2"/>
    </row>
    <row r="91" spans="1:74" s="102" customFormat="1" x14ac:dyDescent="0.25">
      <c r="A91" s="197" t="s">
        <v>231</v>
      </c>
      <c r="B91" s="76">
        <f t="shared" si="24"/>
        <v>74</v>
      </c>
      <c r="C91" s="152">
        <v>74</v>
      </c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</row>
    <row r="92" spans="1:74" s="102" customFormat="1" x14ac:dyDescent="0.25">
      <c r="A92" s="197" t="s">
        <v>155</v>
      </c>
      <c r="B92" s="76">
        <f t="shared" si="24"/>
        <v>59042</v>
      </c>
      <c r="C92" s="152">
        <v>42011</v>
      </c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>
        <v>814</v>
      </c>
      <c r="V92" s="152"/>
      <c r="W92" s="152"/>
      <c r="X92" s="152"/>
      <c r="Y92" s="152"/>
      <c r="Z92" s="152"/>
      <c r="AA92" s="152"/>
      <c r="AB92" s="152"/>
      <c r="AC92" s="152"/>
      <c r="AD92" s="152">
        <v>13794</v>
      </c>
      <c r="AE92" s="152"/>
      <c r="AF92" s="152"/>
      <c r="AG92" s="152"/>
      <c r="AH92" s="152"/>
      <c r="AI92" s="152">
        <v>71</v>
      </c>
      <c r="AJ92" s="152"/>
      <c r="AK92" s="152"/>
      <c r="AL92" s="152"/>
      <c r="AM92" s="152">
        <v>2127</v>
      </c>
      <c r="AN92" s="152"/>
      <c r="AO92" s="152"/>
      <c r="AP92" s="152"/>
      <c r="AQ92" s="152">
        <v>225</v>
      </c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</row>
    <row r="93" spans="1:74" s="102" customFormat="1" x14ac:dyDescent="0.25">
      <c r="A93" s="197" t="s">
        <v>130</v>
      </c>
      <c r="B93" s="76">
        <f t="shared" si="24"/>
        <v>170</v>
      </c>
      <c r="C93" s="152">
        <v>170</v>
      </c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</row>
    <row r="94" spans="1:74" s="102" customFormat="1" x14ac:dyDescent="0.25">
      <c r="A94" s="197" t="s">
        <v>232</v>
      </c>
      <c r="B94" s="76">
        <f t="shared" si="24"/>
        <v>1130</v>
      </c>
      <c r="C94" s="152">
        <v>948</v>
      </c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>
        <v>182</v>
      </c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/>
      <c r="BP94" s="152"/>
      <c r="BQ94" s="152"/>
      <c r="BR94" s="152"/>
      <c r="BS94" s="152"/>
      <c r="BT94" s="152"/>
      <c r="BU94" s="152"/>
      <c r="BV94" s="152"/>
    </row>
    <row r="95" spans="1:74" s="102" customFormat="1" x14ac:dyDescent="0.25">
      <c r="A95" s="197" t="s">
        <v>157</v>
      </c>
      <c r="B95" s="76">
        <f t="shared" si="24"/>
        <v>314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>
        <v>314</v>
      </c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/>
      <c r="BK95" s="152"/>
      <c r="BL95" s="152"/>
      <c r="BM95" s="152"/>
      <c r="BN95" s="152"/>
      <c r="BO95" s="152"/>
      <c r="BP95" s="152"/>
      <c r="BQ95" s="152"/>
      <c r="BR95" s="152"/>
      <c r="BS95" s="152"/>
      <c r="BT95" s="152"/>
      <c r="BU95" s="152"/>
      <c r="BV95" s="152"/>
    </row>
    <row r="96" spans="1:74" s="102" customFormat="1" x14ac:dyDescent="0.25">
      <c r="A96" s="197" t="s">
        <v>236</v>
      </c>
      <c r="B96" s="76">
        <f t="shared" si="24"/>
        <v>493</v>
      </c>
      <c r="C96" s="152">
        <v>493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2"/>
      <c r="BV96" s="152"/>
    </row>
    <row r="97" spans="1:74" s="102" customFormat="1" x14ac:dyDescent="0.25">
      <c r="A97" s="197" t="s">
        <v>234</v>
      </c>
      <c r="B97" s="76">
        <f t="shared" si="24"/>
        <v>1966</v>
      </c>
      <c r="C97" s="152">
        <v>1966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</row>
    <row r="98" spans="1:74" x14ac:dyDescent="0.25">
      <c r="A98" s="91" t="s">
        <v>162</v>
      </c>
      <c r="B98" s="74">
        <f t="shared" ref="B98:BM98" si="25">SUM(B85:B97)</f>
        <v>71095</v>
      </c>
      <c r="C98" s="74">
        <f t="shared" si="25"/>
        <v>51884</v>
      </c>
      <c r="D98" s="74">
        <f t="shared" si="25"/>
        <v>0</v>
      </c>
      <c r="E98" s="74">
        <f t="shared" si="25"/>
        <v>0</v>
      </c>
      <c r="F98" s="74">
        <f t="shared" si="25"/>
        <v>0</v>
      </c>
      <c r="G98" s="74">
        <f t="shared" si="25"/>
        <v>0</v>
      </c>
      <c r="H98" s="74">
        <f t="shared" si="25"/>
        <v>0</v>
      </c>
      <c r="I98" s="74">
        <f t="shared" si="25"/>
        <v>0</v>
      </c>
      <c r="J98" s="74">
        <f t="shared" si="25"/>
        <v>0</v>
      </c>
      <c r="K98" s="74">
        <f t="shared" si="25"/>
        <v>0</v>
      </c>
      <c r="L98" s="74">
        <f t="shared" si="25"/>
        <v>0</v>
      </c>
      <c r="M98" s="74">
        <f t="shared" si="25"/>
        <v>0</v>
      </c>
      <c r="N98" s="74">
        <f t="shared" si="25"/>
        <v>0</v>
      </c>
      <c r="O98" s="74">
        <f t="shared" si="25"/>
        <v>0</v>
      </c>
      <c r="P98" s="74">
        <f t="shared" si="25"/>
        <v>0</v>
      </c>
      <c r="Q98" s="74">
        <f t="shared" si="25"/>
        <v>0</v>
      </c>
      <c r="R98" s="74">
        <f t="shared" si="25"/>
        <v>0</v>
      </c>
      <c r="S98" s="74">
        <f t="shared" si="25"/>
        <v>0</v>
      </c>
      <c r="T98" s="74">
        <f t="shared" si="25"/>
        <v>0</v>
      </c>
      <c r="U98" s="74">
        <f t="shared" si="25"/>
        <v>944</v>
      </c>
      <c r="V98" s="74">
        <f t="shared" si="25"/>
        <v>0</v>
      </c>
      <c r="W98" s="74">
        <f t="shared" si="25"/>
        <v>0</v>
      </c>
      <c r="X98" s="74">
        <f t="shared" si="25"/>
        <v>0</v>
      </c>
      <c r="Y98" s="74">
        <f t="shared" si="25"/>
        <v>0</v>
      </c>
      <c r="Z98" s="74">
        <f t="shared" si="25"/>
        <v>0</v>
      </c>
      <c r="AA98" s="74">
        <f t="shared" si="25"/>
        <v>0</v>
      </c>
      <c r="AB98" s="74">
        <f t="shared" si="25"/>
        <v>0</v>
      </c>
      <c r="AC98" s="74">
        <f t="shared" si="25"/>
        <v>0</v>
      </c>
      <c r="AD98" s="74">
        <f t="shared" si="25"/>
        <v>15301</v>
      </c>
      <c r="AE98" s="74">
        <f t="shared" si="25"/>
        <v>0</v>
      </c>
      <c r="AF98" s="74">
        <f t="shared" si="25"/>
        <v>153</v>
      </c>
      <c r="AG98" s="74">
        <f t="shared" si="25"/>
        <v>0</v>
      </c>
      <c r="AH98" s="74">
        <f t="shared" si="25"/>
        <v>0</v>
      </c>
      <c r="AI98" s="74">
        <f t="shared" si="25"/>
        <v>71</v>
      </c>
      <c r="AJ98" s="74">
        <f t="shared" si="25"/>
        <v>101</v>
      </c>
      <c r="AK98" s="74">
        <f t="shared" si="25"/>
        <v>182</v>
      </c>
      <c r="AL98" s="74">
        <f t="shared" si="25"/>
        <v>0</v>
      </c>
      <c r="AM98" s="74">
        <f t="shared" si="25"/>
        <v>2176</v>
      </c>
      <c r="AN98" s="74">
        <f t="shared" si="25"/>
        <v>28</v>
      </c>
      <c r="AO98" s="74">
        <f t="shared" si="25"/>
        <v>0</v>
      </c>
      <c r="AP98" s="74">
        <f t="shared" si="25"/>
        <v>0</v>
      </c>
      <c r="AQ98" s="74">
        <f t="shared" si="25"/>
        <v>225</v>
      </c>
      <c r="AR98" s="74">
        <f t="shared" si="25"/>
        <v>0</v>
      </c>
      <c r="AS98" s="74">
        <f t="shared" si="25"/>
        <v>0</v>
      </c>
      <c r="AT98" s="74">
        <f t="shared" si="25"/>
        <v>0</v>
      </c>
      <c r="AU98" s="74">
        <f t="shared" si="25"/>
        <v>0</v>
      </c>
      <c r="AV98" s="74">
        <f t="shared" si="25"/>
        <v>0</v>
      </c>
      <c r="AW98" s="74">
        <f t="shared" si="25"/>
        <v>0</v>
      </c>
      <c r="AX98" s="74">
        <f t="shared" si="25"/>
        <v>0</v>
      </c>
      <c r="AY98" s="74">
        <f t="shared" si="25"/>
        <v>0</v>
      </c>
      <c r="AZ98" s="74">
        <f t="shared" si="25"/>
        <v>0</v>
      </c>
      <c r="BA98" s="74">
        <f t="shared" si="25"/>
        <v>0</v>
      </c>
      <c r="BB98" s="74">
        <f t="shared" si="25"/>
        <v>0</v>
      </c>
      <c r="BC98" s="74">
        <f t="shared" si="25"/>
        <v>0</v>
      </c>
      <c r="BD98" s="74">
        <f t="shared" si="25"/>
        <v>0</v>
      </c>
      <c r="BE98" s="74">
        <f t="shared" si="25"/>
        <v>0</v>
      </c>
      <c r="BF98" s="74">
        <f t="shared" si="25"/>
        <v>0</v>
      </c>
      <c r="BG98" s="74">
        <f t="shared" si="25"/>
        <v>0</v>
      </c>
      <c r="BH98" s="74">
        <f t="shared" si="25"/>
        <v>0</v>
      </c>
      <c r="BI98" s="74">
        <f t="shared" si="25"/>
        <v>0</v>
      </c>
      <c r="BJ98" s="74">
        <f t="shared" si="25"/>
        <v>30</v>
      </c>
      <c r="BK98" s="74">
        <f t="shared" si="25"/>
        <v>0</v>
      </c>
      <c r="BL98" s="74">
        <f t="shared" si="25"/>
        <v>0</v>
      </c>
      <c r="BM98" s="74">
        <f t="shared" si="25"/>
        <v>0</v>
      </c>
      <c r="BN98" s="74">
        <f t="shared" ref="BN98:BP98" si="26">SUM(BN85:BN97)</f>
        <v>0</v>
      </c>
      <c r="BO98" s="74">
        <f t="shared" si="26"/>
        <v>0</v>
      </c>
      <c r="BP98" s="74">
        <f t="shared" si="26"/>
        <v>0</v>
      </c>
    </row>
    <row r="99" spans="1:74" x14ac:dyDescent="0.25">
      <c r="A99" s="102"/>
      <c r="B99" s="76"/>
      <c r="C99" s="198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</row>
    <row r="100" spans="1:74" x14ac:dyDescent="0.25">
      <c r="A100" s="90" t="s">
        <v>123</v>
      </c>
    </row>
    <row r="101" spans="1:74" s="102" customFormat="1" x14ac:dyDescent="0.25">
      <c r="A101" s="197" t="s">
        <v>153</v>
      </c>
      <c r="B101" s="76">
        <f t="shared" ref="B101:B107" si="27">SUM(C101:BP101)</f>
        <v>266</v>
      </c>
      <c r="C101" s="152">
        <v>67</v>
      </c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>
        <v>199</v>
      </c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</row>
    <row r="102" spans="1:74" s="102" customFormat="1" x14ac:dyDescent="0.25">
      <c r="A102" s="197" t="s">
        <v>128</v>
      </c>
      <c r="B102" s="76">
        <f t="shared" si="27"/>
        <v>75</v>
      </c>
      <c r="C102" s="152">
        <v>75</v>
      </c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</row>
    <row r="103" spans="1:74" s="102" customFormat="1" x14ac:dyDescent="0.25">
      <c r="A103" s="197" t="s">
        <v>154</v>
      </c>
      <c r="B103" s="76">
        <f t="shared" si="27"/>
        <v>39</v>
      </c>
      <c r="C103" s="152">
        <v>34</v>
      </c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>
        <v>5</v>
      </c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</row>
    <row r="104" spans="1:74" s="102" customFormat="1" x14ac:dyDescent="0.25">
      <c r="A104" s="197" t="s">
        <v>237</v>
      </c>
      <c r="B104" s="76">
        <f t="shared" si="27"/>
        <v>258</v>
      </c>
      <c r="C104" s="152">
        <v>187</v>
      </c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>
        <v>71</v>
      </c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</row>
    <row r="105" spans="1:74" s="102" customFormat="1" x14ac:dyDescent="0.25">
      <c r="A105" s="197" t="s">
        <v>155</v>
      </c>
      <c r="B105" s="76">
        <f t="shared" si="27"/>
        <v>5843</v>
      </c>
      <c r="C105" s="152">
        <v>5421</v>
      </c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>
        <v>150</v>
      </c>
      <c r="AE105" s="152"/>
      <c r="AF105" s="152"/>
      <c r="AG105" s="152"/>
      <c r="AH105" s="152"/>
      <c r="AI105" s="152"/>
      <c r="AJ105" s="152">
        <v>170</v>
      </c>
      <c r="AK105" s="152"/>
      <c r="AL105" s="152">
        <v>44</v>
      </c>
      <c r="AM105" s="152"/>
      <c r="AN105" s="152">
        <v>58</v>
      </c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</row>
    <row r="106" spans="1:74" s="102" customFormat="1" x14ac:dyDescent="0.25">
      <c r="A106" s="197" t="s">
        <v>238</v>
      </c>
      <c r="B106" s="76">
        <f t="shared" si="27"/>
        <v>635</v>
      </c>
      <c r="C106" s="152">
        <v>635</v>
      </c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</row>
    <row r="107" spans="1:74" s="102" customFormat="1" x14ac:dyDescent="0.25">
      <c r="A107" s="197" t="s">
        <v>157</v>
      </c>
      <c r="B107" s="76">
        <f t="shared" si="27"/>
        <v>770</v>
      </c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>
        <v>770</v>
      </c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</row>
    <row r="108" spans="1:74" x14ac:dyDescent="0.25">
      <c r="A108" s="91" t="s">
        <v>163</v>
      </c>
      <c r="B108" s="74">
        <f t="shared" ref="B108:BM108" si="28">SUM(B101:B107)</f>
        <v>7886</v>
      </c>
      <c r="C108" s="74">
        <f t="shared" si="28"/>
        <v>6419</v>
      </c>
      <c r="D108" s="74">
        <f t="shared" si="28"/>
        <v>0</v>
      </c>
      <c r="E108" s="74">
        <f t="shared" si="28"/>
        <v>0</v>
      </c>
      <c r="F108" s="74">
        <f t="shared" si="28"/>
        <v>0</v>
      </c>
      <c r="G108" s="74">
        <f t="shared" si="28"/>
        <v>0</v>
      </c>
      <c r="H108" s="74">
        <f t="shared" si="28"/>
        <v>0</v>
      </c>
      <c r="I108" s="74">
        <f t="shared" si="28"/>
        <v>0</v>
      </c>
      <c r="J108" s="74">
        <f t="shared" si="28"/>
        <v>0</v>
      </c>
      <c r="K108" s="74">
        <f t="shared" si="28"/>
        <v>0</v>
      </c>
      <c r="L108" s="74">
        <f t="shared" si="28"/>
        <v>0</v>
      </c>
      <c r="M108" s="74">
        <f t="shared" si="28"/>
        <v>0</v>
      </c>
      <c r="N108" s="74">
        <f t="shared" si="28"/>
        <v>0</v>
      </c>
      <c r="O108" s="74">
        <f t="shared" si="28"/>
        <v>0</v>
      </c>
      <c r="P108" s="74">
        <f t="shared" si="28"/>
        <v>0</v>
      </c>
      <c r="Q108" s="74">
        <f t="shared" si="28"/>
        <v>0</v>
      </c>
      <c r="R108" s="74">
        <f t="shared" si="28"/>
        <v>0</v>
      </c>
      <c r="S108" s="74">
        <f t="shared" si="28"/>
        <v>0</v>
      </c>
      <c r="T108" s="74">
        <f t="shared" si="28"/>
        <v>0</v>
      </c>
      <c r="U108" s="74">
        <f t="shared" si="28"/>
        <v>0</v>
      </c>
      <c r="V108" s="74">
        <f t="shared" si="28"/>
        <v>0</v>
      </c>
      <c r="W108" s="74">
        <f t="shared" si="28"/>
        <v>0</v>
      </c>
      <c r="X108" s="74">
        <f t="shared" si="28"/>
        <v>0</v>
      </c>
      <c r="Y108" s="74">
        <f t="shared" si="28"/>
        <v>0</v>
      </c>
      <c r="Z108" s="74">
        <f t="shared" si="28"/>
        <v>0</v>
      </c>
      <c r="AA108" s="74">
        <f t="shared" si="28"/>
        <v>0</v>
      </c>
      <c r="AB108" s="74">
        <f t="shared" si="28"/>
        <v>0</v>
      </c>
      <c r="AC108" s="74">
        <f t="shared" si="28"/>
        <v>0</v>
      </c>
      <c r="AD108" s="74">
        <f t="shared" si="28"/>
        <v>1119</v>
      </c>
      <c r="AE108" s="74">
        <f t="shared" si="28"/>
        <v>0</v>
      </c>
      <c r="AF108" s="74">
        <f t="shared" si="28"/>
        <v>0</v>
      </c>
      <c r="AG108" s="74">
        <f t="shared" si="28"/>
        <v>0</v>
      </c>
      <c r="AH108" s="74">
        <f t="shared" si="28"/>
        <v>0</v>
      </c>
      <c r="AI108" s="74">
        <f t="shared" si="28"/>
        <v>0</v>
      </c>
      <c r="AJ108" s="74">
        <f t="shared" si="28"/>
        <v>170</v>
      </c>
      <c r="AK108" s="74">
        <f t="shared" si="28"/>
        <v>0</v>
      </c>
      <c r="AL108" s="74">
        <f t="shared" si="28"/>
        <v>44</v>
      </c>
      <c r="AM108" s="74">
        <f t="shared" si="28"/>
        <v>0</v>
      </c>
      <c r="AN108" s="74">
        <f t="shared" si="28"/>
        <v>58</v>
      </c>
      <c r="AO108" s="74">
        <f t="shared" si="28"/>
        <v>0</v>
      </c>
      <c r="AP108" s="74">
        <f t="shared" si="28"/>
        <v>0</v>
      </c>
      <c r="AQ108" s="74">
        <f t="shared" si="28"/>
        <v>5</v>
      </c>
      <c r="AR108" s="74">
        <f t="shared" si="28"/>
        <v>0</v>
      </c>
      <c r="AS108" s="74">
        <f t="shared" si="28"/>
        <v>0</v>
      </c>
      <c r="AT108" s="74">
        <f t="shared" si="28"/>
        <v>0</v>
      </c>
      <c r="AU108" s="74">
        <f t="shared" si="28"/>
        <v>0</v>
      </c>
      <c r="AV108" s="74">
        <f t="shared" si="28"/>
        <v>0</v>
      </c>
      <c r="AW108" s="74">
        <f t="shared" si="28"/>
        <v>0</v>
      </c>
      <c r="AX108" s="74">
        <f t="shared" si="28"/>
        <v>0</v>
      </c>
      <c r="AY108" s="74">
        <f t="shared" si="28"/>
        <v>0</v>
      </c>
      <c r="AZ108" s="74">
        <f t="shared" si="28"/>
        <v>0</v>
      </c>
      <c r="BA108" s="74">
        <f t="shared" si="28"/>
        <v>71</v>
      </c>
      <c r="BB108" s="74">
        <f t="shared" si="28"/>
        <v>0</v>
      </c>
      <c r="BC108" s="74">
        <f t="shared" si="28"/>
        <v>0</v>
      </c>
      <c r="BD108" s="74">
        <f t="shared" si="28"/>
        <v>0</v>
      </c>
      <c r="BE108" s="74">
        <f t="shared" si="28"/>
        <v>0</v>
      </c>
      <c r="BF108" s="74">
        <f t="shared" si="28"/>
        <v>0</v>
      </c>
      <c r="BG108" s="74">
        <f t="shared" si="28"/>
        <v>0</v>
      </c>
      <c r="BH108" s="74">
        <f t="shared" si="28"/>
        <v>0</v>
      </c>
      <c r="BI108" s="74">
        <f t="shared" si="28"/>
        <v>0</v>
      </c>
      <c r="BJ108" s="74">
        <f t="shared" si="28"/>
        <v>0</v>
      </c>
      <c r="BK108" s="74">
        <f t="shared" si="28"/>
        <v>0</v>
      </c>
      <c r="BL108" s="74">
        <f t="shared" si="28"/>
        <v>0</v>
      </c>
      <c r="BM108" s="74">
        <f t="shared" si="28"/>
        <v>0</v>
      </c>
      <c r="BN108" s="74">
        <f t="shared" ref="BN108:BP108" si="29">SUM(BN101:BN107)</f>
        <v>0</v>
      </c>
      <c r="BO108" s="74">
        <f t="shared" si="29"/>
        <v>0</v>
      </c>
      <c r="BP108" s="74">
        <f t="shared" si="29"/>
        <v>0</v>
      </c>
    </row>
    <row r="109" spans="1:74" x14ac:dyDescent="0.25">
      <c r="A109" s="102"/>
      <c r="B109" s="76"/>
      <c r="C109" s="198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</row>
    <row r="110" spans="1:74" x14ac:dyDescent="0.25">
      <c r="A110" s="90" t="s">
        <v>239</v>
      </c>
    </row>
    <row r="111" spans="1:74" s="102" customFormat="1" x14ac:dyDescent="0.25">
      <c r="A111" s="197" t="s">
        <v>128</v>
      </c>
      <c r="B111" s="76">
        <f t="shared" ref="B111:B112" si="30">SUM(C111:BP111)</f>
        <v>65</v>
      </c>
      <c r="C111" s="152">
        <v>65</v>
      </c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2"/>
    </row>
    <row r="112" spans="1:74" s="102" customFormat="1" x14ac:dyDescent="0.25">
      <c r="A112" s="197" t="s">
        <v>238</v>
      </c>
      <c r="B112" s="76">
        <f t="shared" si="30"/>
        <v>214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>
        <v>214</v>
      </c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</row>
    <row r="113" spans="1:74" x14ac:dyDescent="0.25">
      <c r="A113" s="91" t="s">
        <v>240</v>
      </c>
      <c r="B113" s="74">
        <f t="shared" ref="B113:BM113" si="31">SUM(B111:B112)</f>
        <v>279</v>
      </c>
      <c r="C113" s="74">
        <f t="shared" si="31"/>
        <v>65</v>
      </c>
      <c r="D113" s="74">
        <f t="shared" si="31"/>
        <v>0</v>
      </c>
      <c r="E113" s="74">
        <f t="shared" si="31"/>
        <v>0</v>
      </c>
      <c r="F113" s="74">
        <f t="shared" si="31"/>
        <v>0</v>
      </c>
      <c r="G113" s="74">
        <f t="shared" si="31"/>
        <v>0</v>
      </c>
      <c r="H113" s="74">
        <f t="shared" si="31"/>
        <v>0</v>
      </c>
      <c r="I113" s="74">
        <f t="shared" si="31"/>
        <v>0</v>
      </c>
      <c r="J113" s="74">
        <f t="shared" si="31"/>
        <v>0</v>
      </c>
      <c r="K113" s="74">
        <f t="shared" si="31"/>
        <v>0</v>
      </c>
      <c r="L113" s="74">
        <f t="shared" si="31"/>
        <v>0</v>
      </c>
      <c r="M113" s="74">
        <f t="shared" si="31"/>
        <v>0</v>
      </c>
      <c r="N113" s="74">
        <f t="shared" si="31"/>
        <v>0</v>
      </c>
      <c r="O113" s="74">
        <f t="shared" si="31"/>
        <v>0</v>
      </c>
      <c r="P113" s="74">
        <f t="shared" si="31"/>
        <v>0</v>
      </c>
      <c r="Q113" s="74">
        <f t="shared" si="31"/>
        <v>0</v>
      </c>
      <c r="R113" s="74">
        <f t="shared" si="31"/>
        <v>0</v>
      </c>
      <c r="S113" s="74">
        <f t="shared" si="31"/>
        <v>0</v>
      </c>
      <c r="T113" s="74">
        <f t="shared" si="31"/>
        <v>0</v>
      </c>
      <c r="U113" s="74">
        <f t="shared" si="31"/>
        <v>0</v>
      </c>
      <c r="V113" s="74">
        <f t="shared" si="31"/>
        <v>0</v>
      </c>
      <c r="W113" s="74">
        <f t="shared" si="31"/>
        <v>0</v>
      </c>
      <c r="X113" s="74">
        <f t="shared" si="31"/>
        <v>0</v>
      </c>
      <c r="Y113" s="74">
        <f t="shared" si="31"/>
        <v>0</v>
      </c>
      <c r="Z113" s="74">
        <f t="shared" si="31"/>
        <v>0</v>
      </c>
      <c r="AA113" s="74">
        <f t="shared" si="31"/>
        <v>0</v>
      </c>
      <c r="AB113" s="74">
        <f t="shared" si="31"/>
        <v>0</v>
      </c>
      <c r="AC113" s="74">
        <f t="shared" si="31"/>
        <v>0</v>
      </c>
      <c r="AD113" s="74">
        <f t="shared" si="31"/>
        <v>0</v>
      </c>
      <c r="AE113" s="74">
        <f t="shared" si="31"/>
        <v>0</v>
      </c>
      <c r="AF113" s="74">
        <f t="shared" si="31"/>
        <v>0</v>
      </c>
      <c r="AG113" s="74">
        <f t="shared" si="31"/>
        <v>0</v>
      </c>
      <c r="AH113" s="74">
        <f t="shared" si="31"/>
        <v>0</v>
      </c>
      <c r="AI113" s="74">
        <f t="shared" si="31"/>
        <v>0</v>
      </c>
      <c r="AJ113" s="74">
        <f t="shared" si="31"/>
        <v>0</v>
      </c>
      <c r="AK113" s="74">
        <f t="shared" si="31"/>
        <v>0</v>
      </c>
      <c r="AL113" s="74">
        <f t="shared" si="31"/>
        <v>0</v>
      </c>
      <c r="AM113" s="74">
        <f t="shared" si="31"/>
        <v>0</v>
      </c>
      <c r="AN113" s="74">
        <f t="shared" si="31"/>
        <v>0</v>
      </c>
      <c r="AO113" s="74">
        <f t="shared" si="31"/>
        <v>0</v>
      </c>
      <c r="AP113" s="74">
        <f t="shared" si="31"/>
        <v>0</v>
      </c>
      <c r="AQ113" s="74">
        <f t="shared" si="31"/>
        <v>0</v>
      </c>
      <c r="AR113" s="74">
        <f t="shared" si="31"/>
        <v>0</v>
      </c>
      <c r="AS113" s="74">
        <f t="shared" si="31"/>
        <v>214</v>
      </c>
      <c r="AT113" s="74">
        <f t="shared" si="31"/>
        <v>0</v>
      </c>
      <c r="AU113" s="74">
        <f t="shared" si="31"/>
        <v>0</v>
      </c>
      <c r="AV113" s="74">
        <f t="shared" si="31"/>
        <v>0</v>
      </c>
      <c r="AW113" s="74">
        <f t="shared" si="31"/>
        <v>0</v>
      </c>
      <c r="AX113" s="74">
        <f t="shared" si="31"/>
        <v>0</v>
      </c>
      <c r="AY113" s="74">
        <f t="shared" si="31"/>
        <v>0</v>
      </c>
      <c r="AZ113" s="74">
        <f t="shared" si="31"/>
        <v>0</v>
      </c>
      <c r="BA113" s="74">
        <f t="shared" si="31"/>
        <v>0</v>
      </c>
      <c r="BB113" s="74">
        <f t="shared" si="31"/>
        <v>0</v>
      </c>
      <c r="BC113" s="74">
        <f t="shared" si="31"/>
        <v>0</v>
      </c>
      <c r="BD113" s="74">
        <f t="shared" si="31"/>
        <v>0</v>
      </c>
      <c r="BE113" s="74">
        <f t="shared" si="31"/>
        <v>0</v>
      </c>
      <c r="BF113" s="74">
        <f t="shared" si="31"/>
        <v>0</v>
      </c>
      <c r="BG113" s="74">
        <f t="shared" si="31"/>
        <v>0</v>
      </c>
      <c r="BH113" s="74">
        <f t="shared" si="31"/>
        <v>0</v>
      </c>
      <c r="BI113" s="74">
        <f t="shared" si="31"/>
        <v>0</v>
      </c>
      <c r="BJ113" s="74">
        <f t="shared" si="31"/>
        <v>0</v>
      </c>
      <c r="BK113" s="74">
        <f t="shared" si="31"/>
        <v>0</v>
      </c>
      <c r="BL113" s="74">
        <f t="shared" si="31"/>
        <v>0</v>
      </c>
      <c r="BM113" s="74">
        <f t="shared" si="31"/>
        <v>0</v>
      </c>
      <c r="BN113" s="74">
        <f t="shared" ref="BN113:BP113" si="32">SUM(BN111:BN112)</f>
        <v>0</v>
      </c>
      <c r="BO113" s="74">
        <f t="shared" si="32"/>
        <v>0</v>
      </c>
      <c r="BP113" s="74">
        <f t="shared" si="32"/>
        <v>0</v>
      </c>
    </row>
    <row r="114" spans="1:74" x14ac:dyDescent="0.25">
      <c r="A114" s="102"/>
      <c r="B114" s="76"/>
      <c r="C114" s="198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</row>
    <row r="115" spans="1:74" hidden="1" x14ac:dyDescent="0.25">
      <c r="A115" s="90" t="s">
        <v>241</v>
      </c>
    </row>
    <row r="116" spans="1:74" s="102" customFormat="1" hidden="1" x14ac:dyDescent="0.25">
      <c r="A116" s="197" t="s">
        <v>131</v>
      </c>
      <c r="B116" s="76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</row>
    <row r="117" spans="1:74" s="102" customFormat="1" hidden="1" x14ac:dyDescent="0.25">
      <c r="A117" s="197" t="s">
        <v>128</v>
      </c>
      <c r="B117" s="76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U117" s="152"/>
      <c r="BV117" s="152"/>
    </row>
    <row r="118" spans="1:74" s="102" customFormat="1" hidden="1" x14ac:dyDescent="0.25">
      <c r="A118" s="197" t="s">
        <v>129</v>
      </c>
      <c r="B118" s="76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</row>
    <row r="119" spans="1:74" s="102" customFormat="1" hidden="1" x14ac:dyDescent="0.25">
      <c r="A119" s="197" t="s">
        <v>238</v>
      </c>
      <c r="B119" s="76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</row>
    <row r="120" spans="1:74" s="102" customFormat="1" hidden="1" x14ac:dyDescent="0.25">
      <c r="A120" s="197" t="s">
        <v>130</v>
      </c>
      <c r="B120" s="76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</row>
    <row r="121" spans="1:74" s="102" customFormat="1" hidden="1" x14ac:dyDescent="0.25">
      <c r="A121" s="197" t="s">
        <v>132</v>
      </c>
      <c r="B121" s="76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</row>
    <row r="122" spans="1:74" hidden="1" x14ac:dyDescent="0.25">
      <c r="A122" s="91" t="s">
        <v>242</v>
      </c>
      <c r="B122" s="74">
        <f t="shared" ref="B122:BM122" si="33">SUM(B116:B121)</f>
        <v>0</v>
      </c>
      <c r="C122" s="74">
        <f t="shared" si="33"/>
        <v>0</v>
      </c>
      <c r="D122" s="74">
        <f t="shared" si="33"/>
        <v>0</v>
      </c>
      <c r="E122" s="74">
        <f t="shared" si="33"/>
        <v>0</v>
      </c>
      <c r="F122" s="74">
        <f t="shared" si="33"/>
        <v>0</v>
      </c>
      <c r="G122" s="74">
        <f t="shared" si="33"/>
        <v>0</v>
      </c>
      <c r="H122" s="74">
        <f t="shared" si="33"/>
        <v>0</v>
      </c>
      <c r="I122" s="74">
        <f t="shared" si="33"/>
        <v>0</v>
      </c>
      <c r="J122" s="74">
        <f t="shared" si="33"/>
        <v>0</v>
      </c>
      <c r="K122" s="74">
        <f t="shared" si="33"/>
        <v>0</v>
      </c>
      <c r="L122" s="74">
        <f t="shared" si="33"/>
        <v>0</v>
      </c>
      <c r="M122" s="74">
        <f t="shared" si="33"/>
        <v>0</v>
      </c>
      <c r="N122" s="74">
        <f t="shared" si="33"/>
        <v>0</v>
      </c>
      <c r="O122" s="74">
        <f t="shared" si="33"/>
        <v>0</v>
      </c>
      <c r="P122" s="74">
        <f t="shared" si="33"/>
        <v>0</v>
      </c>
      <c r="Q122" s="74">
        <f t="shared" si="33"/>
        <v>0</v>
      </c>
      <c r="R122" s="74">
        <f t="shared" si="33"/>
        <v>0</v>
      </c>
      <c r="S122" s="74">
        <f t="shared" si="33"/>
        <v>0</v>
      </c>
      <c r="T122" s="74">
        <f t="shared" si="33"/>
        <v>0</v>
      </c>
      <c r="U122" s="74">
        <f t="shared" si="33"/>
        <v>0</v>
      </c>
      <c r="V122" s="74">
        <f t="shared" si="33"/>
        <v>0</v>
      </c>
      <c r="W122" s="74">
        <f t="shared" si="33"/>
        <v>0</v>
      </c>
      <c r="X122" s="74">
        <f t="shared" si="33"/>
        <v>0</v>
      </c>
      <c r="Y122" s="74">
        <f t="shared" si="33"/>
        <v>0</v>
      </c>
      <c r="Z122" s="74">
        <f t="shared" si="33"/>
        <v>0</v>
      </c>
      <c r="AA122" s="74">
        <f t="shared" si="33"/>
        <v>0</v>
      </c>
      <c r="AB122" s="74">
        <f t="shared" si="33"/>
        <v>0</v>
      </c>
      <c r="AC122" s="74">
        <f t="shared" si="33"/>
        <v>0</v>
      </c>
      <c r="AD122" s="74">
        <f t="shared" si="33"/>
        <v>0</v>
      </c>
      <c r="AE122" s="74">
        <f t="shared" si="33"/>
        <v>0</v>
      </c>
      <c r="AF122" s="74">
        <f t="shared" si="33"/>
        <v>0</v>
      </c>
      <c r="AG122" s="74">
        <f t="shared" si="33"/>
        <v>0</v>
      </c>
      <c r="AH122" s="74">
        <f t="shared" si="33"/>
        <v>0</v>
      </c>
      <c r="AI122" s="74">
        <f t="shared" si="33"/>
        <v>0</v>
      </c>
      <c r="AJ122" s="74">
        <f t="shared" si="33"/>
        <v>0</v>
      </c>
      <c r="AK122" s="74">
        <f t="shared" si="33"/>
        <v>0</v>
      </c>
      <c r="AL122" s="74">
        <f t="shared" si="33"/>
        <v>0</v>
      </c>
      <c r="AM122" s="74">
        <f t="shared" si="33"/>
        <v>0</v>
      </c>
      <c r="AN122" s="74">
        <f t="shared" si="33"/>
        <v>0</v>
      </c>
      <c r="AO122" s="74">
        <f t="shared" si="33"/>
        <v>0</v>
      </c>
      <c r="AP122" s="74">
        <f t="shared" si="33"/>
        <v>0</v>
      </c>
      <c r="AQ122" s="74">
        <f t="shared" si="33"/>
        <v>0</v>
      </c>
      <c r="AR122" s="74">
        <f t="shared" si="33"/>
        <v>0</v>
      </c>
      <c r="AS122" s="74">
        <f t="shared" si="33"/>
        <v>0</v>
      </c>
      <c r="AT122" s="74">
        <f t="shared" si="33"/>
        <v>0</v>
      </c>
      <c r="AU122" s="74">
        <f t="shared" si="33"/>
        <v>0</v>
      </c>
      <c r="AV122" s="74">
        <f t="shared" si="33"/>
        <v>0</v>
      </c>
      <c r="AW122" s="74">
        <f t="shared" si="33"/>
        <v>0</v>
      </c>
      <c r="AX122" s="74">
        <f t="shared" si="33"/>
        <v>0</v>
      </c>
      <c r="AY122" s="74">
        <f t="shared" si="33"/>
        <v>0</v>
      </c>
      <c r="AZ122" s="74">
        <f t="shared" si="33"/>
        <v>0</v>
      </c>
      <c r="BA122" s="74">
        <f t="shared" si="33"/>
        <v>0</v>
      </c>
      <c r="BB122" s="74">
        <f t="shared" si="33"/>
        <v>0</v>
      </c>
      <c r="BC122" s="74">
        <f t="shared" si="33"/>
        <v>0</v>
      </c>
      <c r="BD122" s="74">
        <f t="shared" si="33"/>
        <v>0</v>
      </c>
      <c r="BE122" s="74">
        <f t="shared" si="33"/>
        <v>0</v>
      </c>
      <c r="BF122" s="74">
        <f t="shared" si="33"/>
        <v>0</v>
      </c>
      <c r="BG122" s="74">
        <f t="shared" si="33"/>
        <v>0</v>
      </c>
      <c r="BH122" s="74">
        <f t="shared" si="33"/>
        <v>0</v>
      </c>
      <c r="BI122" s="74">
        <f t="shared" si="33"/>
        <v>0</v>
      </c>
      <c r="BJ122" s="74">
        <f t="shared" si="33"/>
        <v>0</v>
      </c>
      <c r="BK122" s="74">
        <f t="shared" si="33"/>
        <v>0</v>
      </c>
      <c r="BL122" s="74">
        <f t="shared" si="33"/>
        <v>0</v>
      </c>
      <c r="BM122" s="74">
        <f t="shared" si="33"/>
        <v>0</v>
      </c>
      <c r="BN122" s="74">
        <f t="shared" ref="BN122:BP122" si="34">SUM(BN116:BN121)</f>
        <v>0</v>
      </c>
      <c r="BO122" s="74">
        <f t="shared" si="34"/>
        <v>0</v>
      </c>
      <c r="BP122" s="74">
        <f t="shared" si="34"/>
        <v>0</v>
      </c>
    </row>
    <row r="123" spans="1:74" hidden="1" x14ac:dyDescent="0.25">
      <c r="A123" s="102"/>
      <c r="B123" s="76"/>
      <c r="C123" s="198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</row>
    <row r="124" spans="1:74" x14ac:dyDescent="0.25">
      <c r="A124" s="90" t="s">
        <v>243</v>
      </c>
    </row>
    <row r="125" spans="1:74" s="102" customFormat="1" x14ac:dyDescent="0.25">
      <c r="A125" s="197" t="s">
        <v>152</v>
      </c>
      <c r="B125" s="76">
        <f t="shared" ref="B125:B147" si="35">SUM(C125:BP125)</f>
        <v>38</v>
      </c>
      <c r="C125" s="152">
        <f t="shared" ref="C125:BN125" si="36">SUM(C6)</f>
        <v>38</v>
      </c>
      <c r="D125" s="152">
        <f t="shared" si="36"/>
        <v>0</v>
      </c>
      <c r="E125" s="152">
        <f t="shared" si="36"/>
        <v>0</v>
      </c>
      <c r="F125" s="152">
        <f t="shared" si="36"/>
        <v>0</v>
      </c>
      <c r="G125" s="152">
        <f t="shared" si="36"/>
        <v>0</v>
      </c>
      <c r="H125" s="152">
        <f t="shared" si="36"/>
        <v>0</v>
      </c>
      <c r="I125" s="152">
        <f t="shared" si="36"/>
        <v>0</v>
      </c>
      <c r="J125" s="152">
        <f t="shared" si="36"/>
        <v>0</v>
      </c>
      <c r="K125" s="152">
        <f t="shared" si="36"/>
        <v>0</v>
      </c>
      <c r="L125" s="152">
        <f t="shared" si="36"/>
        <v>0</v>
      </c>
      <c r="M125" s="152">
        <f t="shared" si="36"/>
        <v>0</v>
      </c>
      <c r="N125" s="152">
        <f t="shared" si="36"/>
        <v>0</v>
      </c>
      <c r="O125" s="152">
        <f t="shared" si="36"/>
        <v>0</v>
      </c>
      <c r="P125" s="152">
        <f t="shared" si="36"/>
        <v>0</v>
      </c>
      <c r="Q125" s="152">
        <f t="shared" si="36"/>
        <v>0</v>
      </c>
      <c r="R125" s="152">
        <f t="shared" si="36"/>
        <v>0</v>
      </c>
      <c r="S125" s="152">
        <f t="shared" si="36"/>
        <v>0</v>
      </c>
      <c r="T125" s="152">
        <f t="shared" si="36"/>
        <v>0</v>
      </c>
      <c r="U125" s="152">
        <f t="shared" si="36"/>
        <v>0</v>
      </c>
      <c r="V125" s="152">
        <f t="shared" si="36"/>
        <v>0</v>
      </c>
      <c r="W125" s="152">
        <f t="shared" si="36"/>
        <v>0</v>
      </c>
      <c r="X125" s="152">
        <f t="shared" si="36"/>
        <v>0</v>
      </c>
      <c r="Y125" s="152">
        <f t="shared" si="36"/>
        <v>0</v>
      </c>
      <c r="Z125" s="152">
        <f t="shared" si="36"/>
        <v>0</v>
      </c>
      <c r="AA125" s="152">
        <f t="shared" si="36"/>
        <v>0</v>
      </c>
      <c r="AB125" s="152">
        <f t="shared" si="36"/>
        <v>0</v>
      </c>
      <c r="AC125" s="152">
        <f t="shared" si="36"/>
        <v>0</v>
      </c>
      <c r="AD125" s="152">
        <f t="shared" si="36"/>
        <v>0</v>
      </c>
      <c r="AE125" s="152">
        <f t="shared" si="36"/>
        <v>0</v>
      </c>
      <c r="AF125" s="152">
        <f t="shared" si="36"/>
        <v>0</v>
      </c>
      <c r="AG125" s="152">
        <f t="shared" si="36"/>
        <v>0</v>
      </c>
      <c r="AH125" s="152">
        <f t="shared" si="36"/>
        <v>0</v>
      </c>
      <c r="AI125" s="152">
        <f t="shared" si="36"/>
        <v>0</v>
      </c>
      <c r="AJ125" s="152">
        <f t="shared" si="36"/>
        <v>0</v>
      </c>
      <c r="AK125" s="152">
        <f t="shared" si="36"/>
        <v>0</v>
      </c>
      <c r="AL125" s="152">
        <f t="shared" si="36"/>
        <v>0</v>
      </c>
      <c r="AM125" s="152">
        <f t="shared" si="36"/>
        <v>0</v>
      </c>
      <c r="AN125" s="152">
        <f t="shared" si="36"/>
        <v>0</v>
      </c>
      <c r="AO125" s="152">
        <f t="shared" si="36"/>
        <v>0</v>
      </c>
      <c r="AP125" s="152">
        <f t="shared" si="36"/>
        <v>0</v>
      </c>
      <c r="AQ125" s="152">
        <f t="shared" si="36"/>
        <v>0</v>
      </c>
      <c r="AR125" s="152">
        <f t="shared" si="36"/>
        <v>0</v>
      </c>
      <c r="AS125" s="152">
        <f t="shared" si="36"/>
        <v>0</v>
      </c>
      <c r="AT125" s="152">
        <f t="shared" si="36"/>
        <v>0</v>
      </c>
      <c r="AU125" s="152">
        <f t="shared" si="36"/>
        <v>0</v>
      </c>
      <c r="AV125" s="152">
        <f t="shared" si="36"/>
        <v>0</v>
      </c>
      <c r="AW125" s="152">
        <f t="shared" si="36"/>
        <v>0</v>
      </c>
      <c r="AX125" s="152">
        <f t="shared" si="36"/>
        <v>0</v>
      </c>
      <c r="AY125" s="152">
        <f t="shared" si="36"/>
        <v>0</v>
      </c>
      <c r="AZ125" s="152">
        <f t="shared" si="36"/>
        <v>0</v>
      </c>
      <c r="BA125" s="152">
        <f t="shared" si="36"/>
        <v>0</v>
      </c>
      <c r="BB125" s="152">
        <f t="shared" si="36"/>
        <v>0</v>
      </c>
      <c r="BC125" s="152">
        <f t="shared" si="36"/>
        <v>0</v>
      </c>
      <c r="BD125" s="152">
        <f t="shared" si="36"/>
        <v>0</v>
      </c>
      <c r="BE125" s="152">
        <f t="shared" si="36"/>
        <v>0</v>
      </c>
      <c r="BF125" s="152">
        <f t="shared" si="36"/>
        <v>0</v>
      </c>
      <c r="BG125" s="152">
        <f t="shared" si="36"/>
        <v>0</v>
      </c>
      <c r="BH125" s="152">
        <f t="shared" si="36"/>
        <v>0</v>
      </c>
      <c r="BI125" s="152">
        <f t="shared" si="36"/>
        <v>0</v>
      </c>
      <c r="BJ125" s="152">
        <f t="shared" si="36"/>
        <v>0</v>
      </c>
      <c r="BK125" s="152">
        <f t="shared" si="36"/>
        <v>0</v>
      </c>
      <c r="BL125" s="152">
        <f t="shared" si="36"/>
        <v>0</v>
      </c>
      <c r="BM125" s="152">
        <f t="shared" si="36"/>
        <v>0</v>
      </c>
      <c r="BN125" s="152">
        <f t="shared" si="36"/>
        <v>0</v>
      </c>
      <c r="BO125" s="152">
        <f t="shared" ref="BO125:BP125" si="37">SUM(BO6)</f>
        <v>0</v>
      </c>
      <c r="BP125" s="152">
        <f t="shared" si="37"/>
        <v>0</v>
      </c>
      <c r="BQ125" s="152"/>
      <c r="BR125" s="152"/>
      <c r="BS125" s="152"/>
      <c r="BT125" s="152"/>
      <c r="BU125" s="152"/>
      <c r="BV125" s="152"/>
    </row>
    <row r="126" spans="1:74" s="102" customFormat="1" x14ac:dyDescent="0.25">
      <c r="A126" s="197" t="s">
        <v>131</v>
      </c>
      <c r="B126" s="76">
        <f t="shared" si="35"/>
        <v>103</v>
      </c>
      <c r="C126" s="152">
        <f t="shared" ref="C126:BN126" si="38">SUM(C116,C73)</f>
        <v>103</v>
      </c>
      <c r="D126" s="152">
        <f t="shared" si="38"/>
        <v>0</v>
      </c>
      <c r="E126" s="152">
        <f t="shared" si="38"/>
        <v>0</v>
      </c>
      <c r="F126" s="152">
        <f t="shared" si="38"/>
        <v>0</v>
      </c>
      <c r="G126" s="152">
        <f t="shared" si="38"/>
        <v>0</v>
      </c>
      <c r="H126" s="152">
        <f t="shared" si="38"/>
        <v>0</v>
      </c>
      <c r="I126" s="152">
        <f t="shared" si="38"/>
        <v>0</v>
      </c>
      <c r="J126" s="152">
        <f t="shared" si="38"/>
        <v>0</v>
      </c>
      <c r="K126" s="152">
        <f t="shared" si="38"/>
        <v>0</v>
      </c>
      <c r="L126" s="152">
        <f t="shared" si="38"/>
        <v>0</v>
      </c>
      <c r="M126" s="152">
        <f t="shared" si="38"/>
        <v>0</v>
      </c>
      <c r="N126" s="152">
        <f t="shared" si="38"/>
        <v>0</v>
      </c>
      <c r="O126" s="152">
        <f t="shared" si="38"/>
        <v>0</v>
      </c>
      <c r="P126" s="152">
        <f t="shared" si="38"/>
        <v>0</v>
      </c>
      <c r="Q126" s="152">
        <f t="shared" si="38"/>
        <v>0</v>
      </c>
      <c r="R126" s="152">
        <f t="shared" si="38"/>
        <v>0</v>
      </c>
      <c r="S126" s="152">
        <f t="shared" si="38"/>
        <v>0</v>
      </c>
      <c r="T126" s="152">
        <f t="shared" si="38"/>
        <v>0</v>
      </c>
      <c r="U126" s="152">
        <f t="shared" si="38"/>
        <v>0</v>
      </c>
      <c r="V126" s="152">
        <f t="shared" si="38"/>
        <v>0</v>
      </c>
      <c r="W126" s="152">
        <f t="shared" si="38"/>
        <v>0</v>
      </c>
      <c r="X126" s="152">
        <f t="shared" si="38"/>
        <v>0</v>
      </c>
      <c r="Y126" s="152">
        <f t="shared" si="38"/>
        <v>0</v>
      </c>
      <c r="Z126" s="152">
        <f t="shared" si="38"/>
        <v>0</v>
      </c>
      <c r="AA126" s="152">
        <f t="shared" si="38"/>
        <v>0</v>
      </c>
      <c r="AB126" s="152">
        <f t="shared" si="38"/>
        <v>0</v>
      </c>
      <c r="AC126" s="152">
        <f t="shared" si="38"/>
        <v>0</v>
      </c>
      <c r="AD126" s="152">
        <f t="shared" si="38"/>
        <v>0</v>
      </c>
      <c r="AE126" s="152">
        <f t="shared" si="38"/>
        <v>0</v>
      </c>
      <c r="AF126" s="152">
        <f t="shared" si="38"/>
        <v>0</v>
      </c>
      <c r="AG126" s="152">
        <f t="shared" si="38"/>
        <v>0</v>
      </c>
      <c r="AH126" s="152">
        <f t="shared" si="38"/>
        <v>0</v>
      </c>
      <c r="AI126" s="152">
        <f t="shared" si="38"/>
        <v>0</v>
      </c>
      <c r="AJ126" s="152">
        <f t="shared" si="38"/>
        <v>0</v>
      </c>
      <c r="AK126" s="152">
        <f t="shared" si="38"/>
        <v>0</v>
      </c>
      <c r="AL126" s="152">
        <f t="shared" si="38"/>
        <v>0</v>
      </c>
      <c r="AM126" s="152">
        <f t="shared" si="38"/>
        <v>0</v>
      </c>
      <c r="AN126" s="152">
        <f t="shared" si="38"/>
        <v>0</v>
      </c>
      <c r="AO126" s="152">
        <f t="shared" si="38"/>
        <v>0</v>
      </c>
      <c r="AP126" s="152">
        <f t="shared" si="38"/>
        <v>0</v>
      </c>
      <c r="AQ126" s="152">
        <f t="shared" si="38"/>
        <v>0</v>
      </c>
      <c r="AR126" s="152">
        <f t="shared" si="38"/>
        <v>0</v>
      </c>
      <c r="AS126" s="152">
        <f t="shared" si="38"/>
        <v>0</v>
      </c>
      <c r="AT126" s="152">
        <f t="shared" si="38"/>
        <v>0</v>
      </c>
      <c r="AU126" s="152">
        <f t="shared" si="38"/>
        <v>0</v>
      </c>
      <c r="AV126" s="152">
        <f t="shared" si="38"/>
        <v>0</v>
      </c>
      <c r="AW126" s="152">
        <f t="shared" si="38"/>
        <v>0</v>
      </c>
      <c r="AX126" s="152">
        <f t="shared" si="38"/>
        <v>0</v>
      </c>
      <c r="AY126" s="152">
        <f t="shared" si="38"/>
        <v>0</v>
      </c>
      <c r="AZ126" s="152">
        <f t="shared" si="38"/>
        <v>0</v>
      </c>
      <c r="BA126" s="152">
        <f t="shared" si="38"/>
        <v>0</v>
      </c>
      <c r="BB126" s="152">
        <f t="shared" si="38"/>
        <v>0</v>
      </c>
      <c r="BC126" s="152">
        <f t="shared" si="38"/>
        <v>0</v>
      </c>
      <c r="BD126" s="152">
        <f t="shared" si="38"/>
        <v>0</v>
      </c>
      <c r="BE126" s="152">
        <f t="shared" si="38"/>
        <v>0</v>
      </c>
      <c r="BF126" s="152">
        <f t="shared" si="38"/>
        <v>0</v>
      </c>
      <c r="BG126" s="152">
        <f t="shared" si="38"/>
        <v>0</v>
      </c>
      <c r="BH126" s="152">
        <f t="shared" si="38"/>
        <v>0</v>
      </c>
      <c r="BI126" s="152">
        <f t="shared" si="38"/>
        <v>0</v>
      </c>
      <c r="BJ126" s="152">
        <f t="shared" si="38"/>
        <v>0</v>
      </c>
      <c r="BK126" s="152">
        <f t="shared" si="38"/>
        <v>0</v>
      </c>
      <c r="BL126" s="152">
        <f t="shared" si="38"/>
        <v>0</v>
      </c>
      <c r="BM126" s="152">
        <f t="shared" si="38"/>
        <v>0</v>
      </c>
      <c r="BN126" s="152">
        <f t="shared" si="38"/>
        <v>0</v>
      </c>
      <c r="BO126" s="152">
        <f t="shared" ref="BO126:BP126" si="39">SUM(BO116,BO73)</f>
        <v>0</v>
      </c>
      <c r="BP126" s="152">
        <f t="shared" si="39"/>
        <v>0</v>
      </c>
      <c r="BQ126" s="152"/>
      <c r="BR126" s="152"/>
      <c r="BS126" s="152"/>
      <c r="BT126" s="152"/>
      <c r="BU126" s="152"/>
      <c r="BV126" s="152"/>
    </row>
    <row r="127" spans="1:74" s="102" customFormat="1" x14ac:dyDescent="0.25">
      <c r="A127" s="197" t="s">
        <v>153</v>
      </c>
      <c r="B127" s="76">
        <f t="shared" si="35"/>
        <v>15067</v>
      </c>
      <c r="C127" s="152">
        <f t="shared" ref="C127:BN127" si="40">SUM(C101,C85,C66,C40,C31,C22,C7)</f>
        <v>2928</v>
      </c>
      <c r="D127" s="152">
        <f t="shared" si="40"/>
        <v>0</v>
      </c>
      <c r="E127" s="152">
        <f t="shared" si="40"/>
        <v>0</v>
      </c>
      <c r="F127" s="152">
        <f t="shared" si="40"/>
        <v>0</v>
      </c>
      <c r="G127" s="152">
        <f t="shared" si="40"/>
        <v>0</v>
      </c>
      <c r="H127" s="152">
        <f t="shared" si="40"/>
        <v>0</v>
      </c>
      <c r="I127" s="152">
        <f t="shared" si="40"/>
        <v>0</v>
      </c>
      <c r="J127" s="152">
        <f t="shared" si="40"/>
        <v>0</v>
      </c>
      <c r="K127" s="152">
        <f t="shared" si="40"/>
        <v>0</v>
      </c>
      <c r="L127" s="152">
        <f t="shared" si="40"/>
        <v>0</v>
      </c>
      <c r="M127" s="152">
        <f t="shared" si="40"/>
        <v>0</v>
      </c>
      <c r="N127" s="152">
        <f t="shared" si="40"/>
        <v>0</v>
      </c>
      <c r="O127" s="152">
        <f t="shared" si="40"/>
        <v>1317</v>
      </c>
      <c r="P127" s="152">
        <f t="shared" si="40"/>
        <v>1375</v>
      </c>
      <c r="Q127" s="152">
        <f t="shared" si="40"/>
        <v>2381</v>
      </c>
      <c r="R127" s="152">
        <f t="shared" si="40"/>
        <v>1190</v>
      </c>
      <c r="S127" s="152">
        <f t="shared" si="40"/>
        <v>756</v>
      </c>
      <c r="T127" s="152">
        <f t="shared" si="40"/>
        <v>437</v>
      </c>
      <c r="U127" s="152">
        <f t="shared" si="40"/>
        <v>691</v>
      </c>
      <c r="V127" s="152">
        <f t="shared" si="40"/>
        <v>323</v>
      </c>
      <c r="W127" s="152">
        <f t="shared" si="40"/>
        <v>512</v>
      </c>
      <c r="X127" s="152">
        <f t="shared" si="40"/>
        <v>151</v>
      </c>
      <c r="Y127" s="152">
        <f t="shared" si="40"/>
        <v>29</v>
      </c>
      <c r="Z127" s="152">
        <f t="shared" si="40"/>
        <v>127</v>
      </c>
      <c r="AA127" s="152">
        <f t="shared" si="40"/>
        <v>69</v>
      </c>
      <c r="AB127" s="152">
        <f t="shared" si="40"/>
        <v>1111</v>
      </c>
      <c r="AC127" s="152">
        <f t="shared" si="40"/>
        <v>867</v>
      </c>
      <c r="AD127" s="152">
        <f t="shared" si="40"/>
        <v>726</v>
      </c>
      <c r="AE127" s="152">
        <f t="shared" si="40"/>
        <v>0</v>
      </c>
      <c r="AF127" s="152">
        <f t="shared" si="40"/>
        <v>0</v>
      </c>
      <c r="AG127" s="152">
        <f t="shared" si="40"/>
        <v>0</v>
      </c>
      <c r="AH127" s="152">
        <f t="shared" si="40"/>
        <v>0</v>
      </c>
      <c r="AI127" s="152">
        <f t="shared" si="40"/>
        <v>0</v>
      </c>
      <c r="AJ127" s="152">
        <f t="shared" si="40"/>
        <v>0</v>
      </c>
      <c r="AK127" s="152">
        <f t="shared" si="40"/>
        <v>0</v>
      </c>
      <c r="AL127" s="152">
        <f t="shared" si="40"/>
        <v>0</v>
      </c>
      <c r="AM127" s="152">
        <f t="shared" si="40"/>
        <v>49</v>
      </c>
      <c r="AN127" s="152">
        <f t="shared" si="40"/>
        <v>28</v>
      </c>
      <c r="AO127" s="152">
        <f t="shared" si="40"/>
        <v>0</v>
      </c>
      <c r="AP127" s="152">
        <f t="shared" si="40"/>
        <v>0</v>
      </c>
      <c r="AQ127" s="152">
        <f t="shared" si="40"/>
        <v>0</v>
      </c>
      <c r="AR127" s="152">
        <f t="shared" si="40"/>
        <v>0</v>
      </c>
      <c r="AS127" s="152">
        <f t="shared" si="40"/>
        <v>0</v>
      </c>
      <c r="AT127" s="152">
        <f t="shared" si="40"/>
        <v>0</v>
      </c>
      <c r="AU127" s="152">
        <f t="shared" si="40"/>
        <v>0</v>
      </c>
      <c r="AV127" s="152">
        <f t="shared" si="40"/>
        <v>0</v>
      </c>
      <c r="AW127" s="152">
        <f t="shared" si="40"/>
        <v>0</v>
      </c>
      <c r="AX127" s="152">
        <f t="shared" si="40"/>
        <v>0</v>
      </c>
      <c r="AY127" s="152">
        <f t="shared" si="40"/>
        <v>0</v>
      </c>
      <c r="AZ127" s="152">
        <f t="shared" si="40"/>
        <v>0</v>
      </c>
      <c r="BA127" s="152">
        <f t="shared" si="40"/>
        <v>0</v>
      </c>
      <c r="BB127" s="152">
        <f t="shared" si="40"/>
        <v>0</v>
      </c>
      <c r="BC127" s="152">
        <f t="shared" si="40"/>
        <v>0</v>
      </c>
      <c r="BD127" s="152">
        <f t="shared" si="40"/>
        <v>0</v>
      </c>
      <c r="BE127" s="152">
        <f t="shared" si="40"/>
        <v>0</v>
      </c>
      <c r="BF127" s="152">
        <f t="shared" si="40"/>
        <v>0</v>
      </c>
      <c r="BG127" s="152">
        <f t="shared" si="40"/>
        <v>0</v>
      </c>
      <c r="BH127" s="152">
        <f t="shared" si="40"/>
        <v>0</v>
      </c>
      <c r="BI127" s="152">
        <f t="shared" si="40"/>
        <v>0</v>
      </c>
      <c r="BJ127" s="152">
        <f t="shared" si="40"/>
        <v>0</v>
      </c>
      <c r="BK127" s="152">
        <f t="shared" si="40"/>
        <v>0</v>
      </c>
      <c r="BL127" s="152">
        <f t="shared" si="40"/>
        <v>0</v>
      </c>
      <c r="BM127" s="152">
        <f t="shared" si="40"/>
        <v>0</v>
      </c>
      <c r="BN127" s="152">
        <f t="shared" si="40"/>
        <v>0</v>
      </c>
      <c r="BO127" s="152">
        <f t="shared" ref="BO127:BP127" si="41">SUM(BO101,BO85,BO66,BO40,BO31,BO22,BO7)</f>
        <v>0</v>
      </c>
      <c r="BP127" s="152">
        <f t="shared" si="41"/>
        <v>0</v>
      </c>
      <c r="BQ127" s="152"/>
      <c r="BR127" s="152"/>
      <c r="BS127" s="152"/>
      <c r="BT127" s="152"/>
      <c r="BU127" s="152"/>
      <c r="BV127" s="152"/>
    </row>
    <row r="128" spans="1:74" s="102" customFormat="1" x14ac:dyDescent="0.25">
      <c r="A128" s="197" t="s">
        <v>128</v>
      </c>
      <c r="B128" s="76">
        <f t="shared" si="35"/>
        <v>2592</v>
      </c>
      <c r="C128" s="152">
        <f t="shared" ref="C128:BN128" si="42">SUM(C117,C111,C102,C86,C74,C67,C52,C8)</f>
        <v>1795</v>
      </c>
      <c r="D128" s="152">
        <f t="shared" si="42"/>
        <v>0</v>
      </c>
      <c r="E128" s="152">
        <f t="shared" si="42"/>
        <v>0</v>
      </c>
      <c r="F128" s="152">
        <f t="shared" si="42"/>
        <v>0</v>
      </c>
      <c r="G128" s="152">
        <f t="shared" si="42"/>
        <v>0</v>
      </c>
      <c r="H128" s="152">
        <f t="shared" si="42"/>
        <v>0</v>
      </c>
      <c r="I128" s="152">
        <f t="shared" si="42"/>
        <v>0</v>
      </c>
      <c r="J128" s="152">
        <f t="shared" si="42"/>
        <v>0</v>
      </c>
      <c r="K128" s="152">
        <f t="shared" si="42"/>
        <v>0</v>
      </c>
      <c r="L128" s="152">
        <f t="shared" si="42"/>
        <v>0</v>
      </c>
      <c r="M128" s="152">
        <f t="shared" si="42"/>
        <v>0</v>
      </c>
      <c r="N128" s="152">
        <f t="shared" si="42"/>
        <v>0</v>
      </c>
      <c r="O128" s="152">
        <f t="shared" si="42"/>
        <v>0</v>
      </c>
      <c r="P128" s="152">
        <f t="shared" si="42"/>
        <v>0</v>
      </c>
      <c r="Q128" s="152">
        <f t="shared" si="42"/>
        <v>0</v>
      </c>
      <c r="R128" s="152">
        <f t="shared" si="42"/>
        <v>0</v>
      </c>
      <c r="S128" s="152">
        <f t="shared" si="42"/>
        <v>0</v>
      </c>
      <c r="T128" s="152">
        <f t="shared" si="42"/>
        <v>0</v>
      </c>
      <c r="U128" s="152">
        <f t="shared" si="42"/>
        <v>0</v>
      </c>
      <c r="V128" s="152">
        <f t="shared" si="42"/>
        <v>0</v>
      </c>
      <c r="W128" s="152">
        <f t="shared" si="42"/>
        <v>0</v>
      </c>
      <c r="X128" s="152">
        <f t="shared" si="42"/>
        <v>0</v>
      </c>
      <c r="Y128" s="152">
        <f t="shared" si="42"/>
        <v>0</v>
      </c>
      <c r="Z128" s="152">
        <f t="shared" si="42"/>
        <v>0</v>
      </c>
      <c r="AA128" s="152">
        <f t="shared" si="42"/>
        <v>0</v>
      </c>
      <c r="AB128" s="152">
        <f t="shared" si="42"/>
        <v>0</v>
      </c>
      <c r="AC128" s="152">
        <f t="shared" si="42"/>
        <v>0</v>
      </c>
      <c r="AD128" s="152">
        <f t="shared" si="42"/>
        <v>0</v>
      </c>
      <c r="AE128" s="152">
        <f t="shared" si="42"/>
        <v>0</v>
      </c>
      <c r="AF128" s="152">
        <f t="shared" si="42"/>
        <v>60</v>
      </c>
      <c r="AG128" s="152">
        <f t="shared" si="42"/>
        <v>0</v>
      </c>
      <c r="AH128" s="152">
        <f t="shared" si="42"/>
        <v>0</v>
      </c>
      <c r="AI128" s="152">
        <f t="shared" si="42"/>
        <v>72</v>
      </c>
      <c r="AJ128" s="152">
        <f t="shared" si="42"/>
        <v>408</v>
      </c>
      <c r="AK128" s="152">
        <f t="shared" si="42"/>
        <v>0</v>
      </c>
      <c r="AL128" s="152">
        <f t="shared" si="42"/>
        <v>111</v>
      </c>
      <c r="AM128" s="152">
        <f t="shared" si="42"/>
        <v>0</v>
      </c>
      <c r="AN128" s="152">
        <f t="shared" si="42"/>
        <v>16</v>
      </c>
      <c r="AO128" s="152">
        <f t="shared" si="42"/>
        <v>0</v>
      </c>
      <c r="AP128" s="152">
        <f t="shared" si="42"/>
        <v>0</v>
      </c>
      <c r="AQ128" s="152">
        <f t="shared" si="42"/>
        <v>55</v>
      </c>
      <c r="AR128" s="152">
        <f t="shared" si="42"/>
        <v>0</v>
      </c>
      <c r="AS128" s="152">
        <f t="shared" si="42"/>
        <v>45</v>
      </c>
      <c r="AT128" s="152">
        <f t="shared" si="42"/>
        <v>0</v>
      </c>
      <c r="AU128" s="152">
        <f t="shared" si="42"/>
        <v>0</v>
      </c>
      <c r="AV128" s="152">
        <f t="shared" si="42"/>
        <v>0</v>
      </c>
      <c r="AW128" s="152">
        <f t="shared" si="42"/>
        <v>0</v>
      </c>
      <c r="AX128" s="152">
        <f t="shared" si="42"/>
        <v>0</v>
      </c>
      <c r="AY128" s="152">
        <f t="shared" si="42"/>
        <v>0</v>
      </c>
      <c r="AZ128" s="152">
        <f t="shared" si="42"/>
        <v>0</v>
      </c>
      <c r="BA128" s="152">
        <f t="shared" si="42"/>
        <v>0</v>
      </c>
      <c r="BB128" s="152">
        <f t="shared" si="42"/>
        <v>0</v>
      </c>
      <c r="BC128" s="152">
        <f t="shared" si="42"/>
        <v>0</v>
      </c>
      <c r="BD128" s="152">
        <f t="shared" si="42"/>
        <v>0</v>
      </c>
      <c r="BE128" s="152">
        <f t="shared" si="42"/>
        <v>0</v>
      </c>
      <c r="BF128" s="152">
        <f t="shared" si="42"/>
        <v>0</v>
      </c>
      <c r="BG128" s="152">
        <f t="shared" si="42"/>
        <v>0</v>
      </c>
      <c r="BH128" s="152">
        <f t="shared" si="42"/>
        <v>0</v>
      </c>
      <c r="BI128" s="152">
        <f t="shared" si="42"/>
        <v>0</v>
      </c>
      <c r="BJ128" s="152">
        <f t="shared" si="42"/>
        <v>30</v>
      </c>
      <c r="BK128" s="152">
        <f t="shared" si="42"/>
        <v>0</v>
      </c>
      <c r="BL128" s="152">
        <f t="shared" si="42"/>
        <v>0</v>
      </c>
      <c r="BM128" s="152">
        <f t="shared" si="42"/>
        <v>0</v>
      </c>
      <c r="BN128" s="152">
        <f t="shared" si="42"/>
        <v>0</v>
      </c>
      <c r="BO128" s="152">
        <f t="shared" ref="BO128:BP128" si="43">SUM(BO117,BO111,BO102,BO86,BO74,BO67,BO52,BO8)</f>
        <v>0</v>
      </c>
      <c r="BP128" s="152">
        <f t="shared" si="43"/>
        <v>0</v>
      </c>
      <c r="BQ128" s="152"/>
      <c r="BR128" s="152"/>
      <c r="BS128" s="152"/>
      <c r="BT128" s="152"/>
      <c r="BU128" s="152"/>
      <c r="BV128" s="152"/>
    </row>
    <row r="129" spans="1:74" s="102" customFormat="1" x14ac:dyDescent="0.25">
      <c r="A129" s="197" t="s">
        <v>228</v>
      </c>
      <c r="B129" s="76">
        <f t="shared" si="35"/>
        <v>1064</v>
      </c>
      <c r="C129" s="152">
        <f t="shared" ref="C129:BN129" si="44">SUM(C75,C68,C53,C41,C23,C9)</f>
        <v>741</v>
      </c>
      <c r="D129" s="152">
        <f t="shared" si="44"/>
        <v>0</v>
      </c>
      <c r="E129" s="152">
        <f t="shared" si="44"/>
        <v>0</v>
      </c>
      <c r="F129" s="152">
        <f t="shared" si="44"/>
        <v>0</v>
      </c>
      <c r="G129" s="152">
        <f t="shared" si="44"/>
        <v>0</v>
      </c>
      <c r="H129" s="152">
        <f t="shared" si="44"/>
        <v>0</v>
      </c>
      <c r="I129" s="152">
        <f t="shared" si="44"/>
        <v>0</v>
      </c>
      <c r="J129" s="152">
        <f t="shared" si="44"/>
        <v>0</v>
      </c>
      <c r="K129" s="152">
        <f t="shared" si="44"/>
        <v>42</v>
      </c>
      <c r="L129" s="152">
        <f t="shared" si="44"/>
        <v>127</v>
      </c>
      <c r="M129" s="152">
        <f t="shared" si="44"/>
        <v>45</v>
      </c>
      <c r="N129" s="152">
        <f t="shared" si="44"/>
        <v>0</v>
      </c>
      <c r="O129" s="152">
        <f t="shared" si="44"/>
        <v>0</v>
      </c>
      <c r="P129" s="152">
        <f t="shared" si="44"/>
        <v>0</v>
      </c>
      <c r="Q129" s="152">
        <f t="shared" si="44"/>
        <v>55</v>
      </c>
      <c r="R129" s="152">
        <f t="shared" si="44"/>
        <v>0</v>
      </c>
      <c r="S129" s="152">
        <f t="shared" si="44"/>
        <v>0</v>
      </c>
      <c r="T129" s="152">
        <f t="shared" si="44"/>
        <v>54</v>
      </c>
      <c r="U129" s="152">
        <f t="shared" si="44"/>
        <v>0</v>
      </c>
      <c r="V129" s="152">
        <f t="shared" si="44"/>
        <v>0</v>
      </c>
      <c r="W129" s="152">
        <f t="shared" si="44"/>
        <v>0</v>
      </c>
      <c r="X129" s="152">
        <f t="shared" si="44"/>
        <v>0</v>
      </c>
      <c r="Y129" s="152">
        <f t="shared" si="44"/>
        <v>0</v>
      </c>
      <c r="Z129" s="152">
        <f t="shared" si="44"/>
        <v>0</v>
      </c>
      <c r="AA129" s="152">
        <f t="shared" si="44"/>
        <v>0</v>
      </c>
      <c r="AB129" s="152">
        <f t="shared" si="44"/>
        <v>0</v>
      </c>
      <c r="AC129" s="152">
        <f t="shared" si="44"/>
        <v>0</v>
      </c>
      <c r="AD129" s="152">
        <f t="shared" si="44"/>
        <v>0</v>
      </c>
      <c r="AE129" s="152">
        <f t="shared" si="44"/>
        <v>0</v>
      </c>
      <c r="AF129" s="152">
        <f t="shared" si="44"/>
        <v>0</v>
      </c>
      <c r="AG129" s="152">
        <f t="shared" si="44"/>
        <v>0</v>
      </c>
      <c r="AH129" s="152">
        <f t="shared" si="44"/>
        <v>0</v>
      </c>
      <c r="AI129" s="152">
        <f t="shared" si="44"/>
        <v>0</v>
      </c>
      <c r="AJ129" s="152">
        <f t="shared" si="44"/>
        <v>0</v>
      </c>
      <c r="AK129" s="152">
        <f t="shared" si="44"/>
        <v>0</v>
      </c>
      <c r="AL129" s="152">
        <f t="shared" si="44"/>
        <v>0</v>
      </c>
      <c r="AM129" s="152">
        <f t="shared" si="44"/>
        <v>0</v>
      </c>
      <c r="AN129" s="152">
        <f t="shared" si="44"/>
        <v>0</v>
      </c>
      <c r="AO129" s="152">
        <f t="shared" si="44"/>
        <v>0</v>
      </c>
      <c r="AP129" s="152">
        <f t="shared" si="44"/>
        <v>0</v>
      </c>
      <c r="AQ129" s="152">
        <f t="shared" si="44"/>
        <v>0</v>
      </c>
      <c r="AR129" s="152">
        <f t="shared" si="44"/>
        <v>0</v>
      </c>
      <c r="AS129" s="152">
        <f t="shared" si="44"/>
        <v>0</v>
      </c>
      <c r="AT129" s="152">
        <f t="shared" si="44"/>
        <v>0</v>
      </c>
      <c r="AU129" s="152">
        <f t="shared" si="44"/>
        <v>0</v>
      </c>
      <c r="AV129" s="152">
        <f t="shared" si="44"/>
        <v>0</v>
      </c>
      <c r="AW129" s="152">
        <f t="shared" si="44"/>
        <v>0</v>
      </c>
      <c r="AX129" s="152">
        <f t="shared" si="44"/>
        <v>0</v>
      </c>
      <c r="AY129" s="152">
        <f t="shared" si="44"/>
        <v>0</v>
      </c>
      <c r="AZ129" s="152">
        <f t="shared" si="44"/>
        <v>0</v>
      </c>
      <c r="BA129" s="152">
        <f t="shared" si="44"/>
        <v>0</v>
      </c>
      <c r="BB129" s="152">
        <f t="shared" si="44"/>
        <v>0</v>
      </c>
      <c r="BC129" s="152">
        <f t="shared" si="44"/>
        <v>0</v>
      </c>
      <c r="BD129" s="152">
        <f t="shared" si="44"/>
        <v>0</v>
      </c>
      <c r="BE129" s="152">
        <f t="shared" si="44"/>
        <v>0</v>
      </c>
      <c r="BF129" s="152">
        <f t="shared" si="44"/>
        <v>0</v>
      </c>
      <c r="BG129" s="152">
        <f t="shared" si="44"/>
        <v>0</v>
      </c>
      <c r="BH129" s="152">
        <f t="shared" si="44"/>
        <v>0</v>
      </c>
      <c r="BI129" s="152">
        <f t="shared" si="44"/>
        <v>0</v>
      </c>
      <c r="BJ129" s="152">
        <f t="shared" si="44"/>
        <v>0</v>
      </c>
      <c r="BK129" s="152">
        <f t="shared" si="44"/>
        <v>0</v>
      </c>
      <c r="BL129" s="152">
        <f t="shared" si="44"/>
        <v>0</v>
      </c>
      <c r="BM129" s="152">
        <f t="shared" si="44"/>
        <v>0</v>
      </c>
      <c r="BN129" s="152">
        <f t="shared" si="44"/>
        <v>0</v>
      </c>
      <c r="BO129" s="152">
        <f t="shared" ref="BO129:BP129" si="45">SUM(BO75,BO68,BO53,BO41,BO23,BO9)</f>
        <v>0</v>
      </c>
      <c r="BP129" s="152">
        <f t="shared" si="45"/>
        <v>0</v>
      </c>
      <c r="BQ129" s="152"/>
      <c r="BR129" s="152"/>
      <c r="BS129" s="152"/>
      <c r="BT129" s="152"/>
      <c r="BU129" s="152"/>
      <c r="BV129" s="152"/>
    </row>
    <row r="130" spans="1:74" s="102" customFormat="1" x14ac:dyDescent="0.25">
      <c r="A130" s="197" t="s">
        <v>154</v>
      </c>
      <c r="B130" s="76">
        <f t="shared" si="35"/>
        <v>15936</v>
      </c>
      <c r="C130" s="152">
        <f t="shared" ref="C130:BN130" si="46">SUM(C103,C87,C42,C32,C24,C10)</f>
        <v>3310</v>
      </c>
      <c r="D130" s="152">
        <f t="shared" si="46"/>
        <v>0</v>
      </c>
      <c r="E130" s="152">
        <f t="shared" si="46"/>
        <v>0</v>
      </c>
      <c r="F130" s="152">
        <f t="shared" si="46"/>
        <v>0</v>
      </c>
      <c r="G130" s="152">
        <f t="shared" si="46"/>
        <v>0</v>
      </c>
      <c r="H130" s="152">
        <f t="shared" si="46"/>
        <v>0</v>
      </c>
      <c r="I130" s="152">
        <f t="shared" si="46"/>
        <v>0</v>
      </c>
      <c r="J130" s="152">
        <f t="shared" si="46"/>
        <v>0</v>
      </c>
      <c r="K130" s="152">
        <f t="shared" si="46"/>
        <v>0</v>
      </c>
      <c r="L130" s="152">
        <f t="shared" si="46"/>
        <v>0</v>
      </c>
      <c r="M130" s="152">
        <f t="shared" si="46"/>
        <v>90</v>
      </c>
      <c r="N130" s="152">
        <f t="shared" si="46"/>
        <v>0</v>
      </c>
      <c r="O130" s="152">
        <f t="shared" si="46"/>
        <v>40</v>
      </c>
      <c r="P130" s="152">
        <f t="shared" si="46"/>
        <v>0</v>
      </c>
      <c r="Q130" s="152">
        <f t="shared" si="46"/>
        <v>32</v>
      </c>
      <c r="R130" s="152">
        <f t="shared" si="46"/>
        <v>1300</v>
      </c>
      <c r="S130" s="152">
        <f t="shared" si="46"/>
        <v>802</v>
      </c>
      <c r="T130" s="152">
        <f t="shared" si="46"/>
        <v>1661</v>
      </c>
      <c r="U130" s="152">
        <f t="shared" si="46"/>
        <v>941</v>
      </c>
      <c r="V130" s="152">
        <f t="shared" si="46"/>
        <v>814</v>
      </c>
      <c r="W130" s="152">
        <f t="shared" si="46"/>
        <v>2409</v>
      </c>
      <c r="X130" s="152">
        <f t="shared" si="46"/>
        <v>297</v>
      </c>
      <c r="Y130" s="152">
        <f t="shared" si="46"/>
        <v>463</v>
      </c>
      <c r="Z130" s="152">
        <f t="shared" si="46"/>
        <v>327</v>
      </c>
      <c r="AA130" s="152">
        <f t="shared" si="46"/>
        <v>1387</v>
      </c>
      <c r="AB130" s="152">
        <f t="shared" si="46"/>
        <v>1148</v>
      </c>
      <c r="AC130" s="152">
        <f t="shared" si="46"/>
        <v>448</v>
      </c>
      <c r="AD130" s="152">
        <f t="shared" si="46"/>
        <v>462</v>
      </c>
      <c r="AE130" s="152">
        <f t="shared" si="46"/>
        <v>0</v>
      </c>
      <c r="AF130" s="152">
        <f t="shared" si="46"/>
        <v>0</v>
      </c>
      <c r="AG130" s="152">
        <f t="shared" si="46"/>
        <v>0</v>
      </c>
      <c r="AH130" s="152">
        <f t="shared" si="46"/>
        <v>0</v>
      </c>
      <c r="AI130" s="152">
        <f t="shared" si="46"/>
        <v>0</v>
      </c>
      <c r="AJ130" s="152">
        <f t="shared" si="46"/>
        <v>0</v>
      </c>
      <c r="AK130" s="152">
        <f t="shared" si="46"/>
        <v>0</v>
      </c>
      <c r="AL130" s="152">
        <f t="shared" si="46"/>
        <v>0</v>
      </c>
      <c r="AM130" s="152">
        <f t="shared" si="46"/>
        <v>0</v>
      </c>
      <c r="AN130" s="152">
        <f t="shared" si="46"/>
        <v>0</v>
      </c>
      <c r="AO130" s="152">
        <f t="shared" si="46"/>
        <v>0</v>
      </c>
      <c r="AP130" s="152">
        <f t="shared" si="46"/>
        <v>0</v>
      </c>
      <c r="AQ130" s="152">
        <f t="shared" si="46"/>
        <v>5</v>
      </c>
      <c r="AR130" s="152">
        <f t="shared" si="46"/>
        <v>0</v>
      </c>
      <c r="AS130" s="152">
        <f t="shared" si="46"/>
        <v>0</v>
      </c>
      <c r="AT130" s="152">
        <f t="shared" si="46"/>
        <v>0</v>
      </c>
      <c r="AU130" s="152">
        <f t="shared" si="46"/>
        <v>0</v>
      </c>
      <c r="AV130" s="152">
        <f t="shared" si="46"/>
        <v>0</v>
      </c>
      <c r="AW130" s="152">
        <f t="shared" si="46"/>
        <v>0</v>
      </c>
      <c r="AX130" s="152">
        <f t="shared" si="46"/>
        <v>0</v>
      </c>
      <c r="AY130" s="152">
        <f t="shared" si="46"/>
        <v>0</v>
      </c>
      <c r="AZ130" s="152">
        <f t="shared" si="46"/>
        <v>0</v>
      </c>
      <c r="BA130" s="152">
        <f t="shared" si="46"/>
        <v>0</v>
      </c>
      <c r="BB130" s="152">
        <f t="shared" si="46"/>
        <v>0</v>
      </c>
      <c r="BC130" s="152">
        <f t="shared" si="46"/>
        <v>0</v>
      </c>
      <c r="BD130" s="152">
        <f t="shared" si="46"/>
        <v>0</v>
      </c>
      <c r="BE130" s="152">
        <f t="shared" si="46"/>
        <v>0</v>
      </c>
      <c r="BF130" s="152">
        <f t="shared" si="46"/>
        <v>0</v>
      </c>
      <c r="BG130" s="152">
        <f t="shared" si="46"/>
        <v>0</v>
      </c>
      <c r="BH130" s="152">
        <f t="shared" si="46"/>
        <v>0</v>
      </c>
      <c r="BI130" s="152">
        <f t="shared" si="46"/>
        <v>0</v>
      </c>
      <c r="BJ130" s="152">
        <f t="shared" si="46"/>
        <v>0</v>
      </c>
      <c r="BK130" s="152">
        <f t="shared" si="46"/>
        <v>0</v>
      </c>
      <c r="BL130" s="152">
        <f t="shared" si="46"/>
        <v>0</v>
      </c>
      <c r="BM130" s="152">
        <f t="shared" si="46"/>
        <v>0</v>
      </c>
      <c r="BN130" s="152">
        <f t="shared" si="46"/>
        <v>0</v>
      </c>
      <c r="BO130" s="152">
        <f t="shared" ref="BO130:BP130" si="47">SUM(BO103,BO87,BO42,BO32,BO24,BO10)</f>
        <v>0</v>
      </c>
      <c r="BP130" s="152">
        <f t="shared" si="47"/>
        <v>0</v>
      </c>
      <c r="BQ130" s="152"/>
      <c r="BR130" s="152"/>
      <c r="BS130" s="152"/>
      <c r="BT130" s="152"/>
      <c r="BU130" s="152"/>
      <c r="BV130" s="152"/>
    </row>
    <row r="131" spans="1:74" s="102" customFormat="1" x14ac:dyDescent="0.25">
      <c r="A131" s="197" t="s">
        <v>237</v>
      </c>
      <c r="B131" s="76">
        <f t="shared" si="35"/>
        <v>258</v>
      </c>
      <c r="C131" s="152">
        <f>SUM(C104)</f>
        <v>187</v>
      </c>
      <c r="D131" s="152">
        <f t="shared" ref="D131:BO131" si="48">SUM(D104)</f>
        <v>0</v>
      </c>
      <c r="E131" s="152">
        <f t="shared" si="48"/>
        <v>0</v>
      </c>
      <c r="F131" s="152">
        <f t="shared" si="48"/>
        <v>0</v>
      </c>
      <c r="G131" s="152">
        <f t="shared" si="48"/>
        <v>0</v>
      </c>
      <c r="H131" s="152">
        <f t="shared" si="48"/>
        <v>0</v>
      </c>
      <c r="I131" s="152">
        <f t="shared" si="48"/>
        <v>0</v>
      </c>
      <c r="J131" s="152">
        <f t="shared" si="48"/>
        <v>0</v>
      </c>
      <c r="K131" s="152">
        <f t="shared" si="48"/>
        <v>0</v>
      </c>
      <c r="L131" s="152">
        <f t="shared" si="48"/>
        <v>0</v>
      </c>
      <c r="M131" s="152">
        <f t="shared" si="48"/>
        <v>0</v>
      </c>
      <c r="N131" s="152">
        <f t="shared" si="48"/>
        <v>0</v>
      </c>
      <c r="O131" s="152">
        <f t="shared" si="48"/>
        <v>0</v>
      </c>
      <c r="P131" s="152">
        <f t="shared" si="48"/>
        <v>0</v>
      </c>
      <c r="Q131" s="152">
        <f t="shared" si="48"/>
        <v>0</v>
      </c>
      <c r="R131" s="152">
        <f t="shared" si="48"/>
        <v>0</v>
      </c>
      <c r="S131" s="152">
        <f t="shared" si="48"/>
        <v>0</v>
      </c>
      <c r="T131" s="152">
        <f t="shared" si="48"/>
        <v>0</v>
      </c>
      <c r="U131" s="152">
        <f t="shared" si="48"/>
        <v>0</v>
      </c>
      <c r="V131" s="152">
        <f t="shared" si="48"/>
        <v>0</v>
      </c>
      <c r="W131" s="152">
        <f t="shared" si="48"/>
        <v>0</v>
      </c>
      <c r="X131" s="152">
        <f t="shared" si="48"/>
        <v>0</v>
      </c>
      <c r="Y131" s="152">
        <f t="shared" si="48"/>
        <v>0</v>
      </c>
      <c r="Z131" s="152">
        <f t="shared" si="48"/>
        <v>0</v>
      </c>
      <c r="AA131" s="152">
        <f t="shared" si="48"/>
        <v>0</v>
      </c>
      <c r="AB131" s="152">
        <f t="shared" si="48"/>
        <v>0</v>
      </c>
      <c r="AC131" s="152">
        <f t="shared" si="48"/>
        <v>0</v>
      </c>
      <c r="AD131" s="152">
        <f t="shared" si="48"/>
        <v>0</v>
      </c>
      <c r="AE131" s="152">
        <f t="shared" si="48"/>
        <v>0</v>
      </c>
      <c r="AF131" s="152">
        <f t="shared" si="48"/>
        <v>0</v>
      </c>
      <c r="AG131" s="152">
        <f t="shared" si="48"/>
        <v>0</v>
      </c>
      <c r="AH131" s="152">
        <f t="shared" si="48"/>
        <v>0</v>
      </c>
      <c r="AI131" s="152">
        <f t="shared" si="48"/>
        <v>0</v>
      </c>
      <c r="AJ131" s="152">
        <f t="shared" si="48"/>
        <v>0</v>
      </c>
      <c r="AK131" s="152">
        <f t="shared" si="48"/>
        <v>0</v>
      </c>
      <c r="AL131" s="152">
        <f t="shared" si="48"/>
        <v>0</v>
      </c>
      <c r="AM131" s="152">
        <f t="shared" si="48"/>
        <v>0</v>
      </c>
      <c r="AN131" s="152">
        <f t="shared" si="48"/>
        <v>0</v>
      </c>
      <c r="AO131" s="152">
        <f t="shared" si="48"/>
        <v>0</v>
      </c>
      <c r="AP131" s="152">
        <f t="shared" si="48"/>
        <v>0</v>
      </c>
      <c r="AQ131" s="152">
        <f t="shared" si="48"/>
        <v>0</v>
      </c>
      <c r="AR131" s="152">
        <f t="shared" si="48"/>
        <v>0</v>
      </c>
      <c r="AS131" s="152">
        <f t="shared" si="48"/>
        <v>0</v>
      </c>
      <c r="AT131" s="152">
        <f t="shared" si="48"/>
        <v>0</v>
      </c>
      <c r="AU131" s="152">
        <f t="shared" si="48"/>
        <v>0</v>
      </c>
      <c r="AV131" s="152">
        <f t="shared" si="48"/>
        <v>0</v>
      </c>
      <c r="AW131" s="152">
        <f t="shared" si="48"/>
        <v>0</v>
      </c>
      <c r="AX131" s="152">
        <f t="shared" si="48"/>
        <v>0</v>
      </c>
      <c r="AY131" s="152">
        <f t="shared" si="48"/>
        <v>0</v>
      </c>
      <c r="AZ131" s="152">
        <f t="shared" si="48"/>
        <v>0</v>
      </c>
      <c r="BA131" s="152">
        <f t="shared" si="48"/>
        <v>71</v>
      </c>
      <c r="BB131" s="152">
        <f t="shared" si="48"/>
        <v>0</v>
      </c>
      <c r="BC131" s="152">
        <f t="shared" si="48"/>
        <v>0</v>
      </c>
      <c r="BD131" s="152">
        <f t="shared" si="48"/>
        <v>0</v>
      </c>
      <c r="BE131" s="152">
        <f t="shared" si="48"/>
        <v>0</v>
      </c>
      <c r="BF131" s="152">
        <f t="shared" si="48"/>
        <v>0</v>
      </c>
      <c r="BG131" s="152">
        <f t="shared" si="48"/>
        <v>0</v>
      </c>
      <c r="BH131" s="152">
        <f t="shared" si="48"/>
        <v>0</v>
      </c>
      <c r="BI131" s="152">
        <f t="shared" si="48"/>
        <v>0</v>
      </c>
      <c r="BJ131" s="152">
        <f t="shared" si="48"/>
        <v>0</v>
      </c>
      <c r="BK131" s="152">
        <f t="shared" si="48"/>
        <v>0</v>
      </c>
      <c r="BL131" s="152">
        <f t="shared" si="48"/>
        <v>0</v>
      </c>
      <c r="BM131" s="152">
        <f t="shared" si="48"/>
        <v>0</v>
      </c>
      <c r="BN131" s="152">
        <f t="shared" si="48"/>
        <v>0</v>
      </c>
      <c r="BO131" s="152">
        <f t="shared" si="48"/>
        <v>0</v>
      </c>
      <c r="BP131" s="152">
        <f t="shared" ref="BP131" si="49">SUM(BP104)</f>
        <v>0</v>
      </c>
      <c r="BQ131" s="152"/>
      <c r="BR131" s="152"/>
      <c r="BS131" s="152"/>
      <c r="BT131" s="152"/>
      <c r="BU131" s="152"/>
      <c r="BV131" s="152"/>
    </row>
    <row r="132" spans="1:74" s="102" customFormat="1" x14ac:dyDescent="0.25">
      <c r="A132" s="197" t="s">
        <v>235</v>
      </c>
      <c r="B132" s="76">
        <f t="shared" si="35"/>
        <v>386</v>
      </c>
      <c r="C132" s="152">
        <f>SUM(C89)</f>
        <v>386</v>
      </c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U132" s="152"/>
      <c r="BV132" s="152"/>
    </row>
    <row r="133" spans="1:74" s="102" customFormat="1" x14ac:dyDescent="0.25">
      <c r="A133" s="197" t="s">
        <v>229</v>
      </c>
      <c r="B133" s="76">
        <f t="shared" si="35"/>
        <v>3594</v>
      </c>
      <c r="C133" s="152">
        <f t="shared" ref="C133:BN133" si="50">SUM(C88,C43,C33,C25,C11)</f>
        <v>497</v>
      </c>
      <c r="D133" s="152">
        <f t="shared" si="50"/>
        <v>0</v>
      </c>
      <c r="E133" s="152">
        <f t="shared" si="50"/>
        <v>0</v>
      </c>
      <c r="F133" s="152">
        <f t="shared" si="50"/>
        <v>0</v>
      </c>
      <c r="G133" s="152">
        <f t="shared" si="50"/>
        <v>0</v>
      </c>
      <c r="H133" s="152">
        <f t="shared" si="50"/>
        <v>0</v>
      </c>
      <c r="I133" s="152">
        <f t="shared" si="50"/>
        <v>0</v>
      </c>
      <c r="J133" s="152">
        <f t="shared" si="50"/>
        <v>0</v>
      </c>
      <c r="K133" s="152">
        <f t="shared" si="50"/>
        <v>0</v>
      </c>
      <c r="L133" s="152">
        <f t="shared" si="50"/>
        <v>0</v>
      </c>
      <c r="M133" s="152">
        <f t="shared" si="50"/>
        <v>0</v>
      </c>
      <c r="N133" s="152">
        <f t="shared" si="50"/>
        <v>0</v>
      </c>
      <c r="O133" s="152">
        <f t="shared" si="50"/>
        <v>0</v>
      </c>
      <c r="P133" s="152">
        <f t="shared" si="50"/>
        <v>0</v>
      </c>
      <c r="Q133" s="152">
        <f t="shared" si="50"/>
        <v>0</v>
      </c>
      <c r="R133" s="152">
        <f t="shared" si="50"/>
        <v>0</v>
      </c>
      <c r="S133" s="152">
        <f t="shared" si="50"/>
        <v>594</v>
      </c>
      <c r="T133" s="152">
        <f t="shared" si="50"/>
        <v>89</v>
      </c>
      <c r="U133" s="152">
        <f t="shared" si="50"/>
        <v>78</v>
      </c>
      <c r="V133" s="152">
        <f t="shared" si="50"/>
        <v>341</v>
      </c>
      <c r="W133" s="152">
        <f t="shared" si="50"/>
        <v>453</v>
      </c>
      <c r="X133" s="152">
        <f t="shared" si="50"/>
        <v>309</v>
      </c>
      <c r="Y133" s="152">
        <f t="shared" si="50"/>
        <v>252</v>
      </c>
      <c r="Z133" s="152">
        <f t="shared" si="50"/>
        <v>75</v>
      </c>
      <c r="AA133" s="152">
        <f t="shared" si="50"/>
        <v>166</v>
      </c>
      <c r="AB133" s="152">
        <f t="shared" si="50"/>
        <v>0</v>
      </c>
      <c r="AC133" s="152">
        <f t="shared" si="50"/>
        <v>0</v>
      </c>
      <c r="AD133" s="152">
        <f t="shared" si="50"/>
        <v>740</v>
      </c>
      <c r="AE133" s="152">
        <f t="shared" si="50"/>
        <v>0</v>
      </c>
      <c r="AF133" s="152">
        <f t="shared" si="50"/>
        <v>0</v>
      </c>
      <c r="AG133" s="152">
        <f t="shared" si="50"/>
        <v>0</v>
      </c>
      <c r="AH133" s="152">
        <f t="shared" si="50"/>
        <v>0</v>
      </c>
      <c r="AI133" s="152">
        <f t="shared" si="50"/>
        <v>0</v>
      </c>
      <c r="AJ133" s="152">
        <f t="shared" si="50"/>
        <v>0</v>
      </c>
      <c r="AK133" s="152">
        <f t="shared" si="50"/>
        <v>0</v>
      </c>
      <c r="AL133" s="152">
        <f t="shared" si="50"/>
        <v>0</v>
      </c>
      <c r="AM133" s="152">
        <f t="shared" si="50"/>
        <v>0</v>
      </c>
      <c r="AN133" s="152">
        <f t="shared" si="50"/>
        <v>0</v>
      </c>
      <c r="AO133" s="152">
        <f t="shared" si="50"/>
        <v>0</v>
      </c>
      <c r="AP133" s="152">
        <f t="shared" si="50"/>
        <v>0</v>
      </c>
      <c r="AQ133" s="152">
        <f t="shared" si="50"/>
        <v>0</v>
      </c>
      <c r="AR133" s="152">
        <f t="shared" si="50"/>
        <v>0</v>
      </c>
      <c r="AS133" s="152">
        <f t="shared" si="50"/>
        <v>0</v>
      </c>
      <c r="AT133" s="152">
        <f t="shared" si="50"/>
        <v>0</v>
      </c>
      <c r="AU133" s="152">
        <f t="shared" si="50"/>
        <v>0</v>
      </c>
      <c r="AV133" s="152">
        <f t="shared" si="50"/>
        <v>0</v>
      </c>
      <c r="AW133" s="152">
        <f t="shared" si="50"/>
        <v>0</v>
      </c>
      <c r="AX133" s="152">
        <f t="shared" si="50"/>
        <v>0</v>
      </c>
      <c r="AY133" s="152">
        <f t="shared" si="50"/>
        <v>0</v>
      </c>
      <c r="AZ133" s="152">
        <f t="shared" si="50"/>
        <v>0</v>
      </c>
      <c r="BA133" s="152">
        <f t="shared" si="50"/>
        <v>0</v>
      </c>
      <c r="BB133" s="152">
        <f t="shared" si="50"/>
        <v>0</v>
      </c>
      <c r="BC133" s="152">
        <f t="shared" si="50"/>
        <v>0</v>
      </c>
      <c r="BD133" s="152">
        <f t="shared" si="50"/>
        <v>0</v>
      </c>
      <c r="BE133" s="152">
        <f t="shared" si="50"/>
        <v>0</v>
      </c>
      <c r="BF133" s="152">
        <f t="shared" si="50"/>
        <v>0</v>
      </c>
      <c r="BG133" s="152">
        <f t="shared" si="50"/>
        <v>0</v>
      </c>
      <c r="BH133" s="152">
        <f t="shared" si="50"/>
        <v>0</v>
      </c>
      <c r="BI133" s="152">
        <f t="shared" si="50"/>
        <v>0</v>
      </c>
      <c r="BJ133" s="152">
        <f t="shared" si="50"/>
        <v>0</v>
      </c>
      <c r="BK133" s="152">
        <f t="shared" si="50"/>
        <v>0</v>
      </c>
      <c r="BL133" s="152">
        <f t="shared" si="50"/>
        <v>0</v>
      </c>
      <c r="BM133" s="152">
        <f t="shared" si="50"/>
        <v>0</v>
      </c>
      <c r="BN133" s="152">
        <f t="shared" si="50"/>
        <v>0</v>
      </c>
      <c r="BO133" s="152">
        <f t="shared" ref="BO133:BP133" si="51">SUM(BO88,BO43,BO33,BO25,BO11)</f>
        <v>0</v>
      </c>
      <c r="BP133" s="152">
        <f t="shared" si="51"/>
        <v>0</v>
      </c>
      <c r="BQ133" s="152"/>
      <c r="BR133" s="152"/>
      <c r="BS133" s="152"/>
      <c r="BT133" s="152"/>
      <c r="BU133" s="152"/>
      <c r="BV133" s="152"/>
    </row>
    <row r="134" spans="1:74" s="102" customFormat="1" x14ac:dyDescent="0.25">
      <c r="A134" s="197" t="s">
        <v>230</v>
      </c>
      <c r="B134" s="76">
        <f t="shared" si="35"/>
        <v>3211</v>
      </c>
      <c r="C134" s="152">
        <f>SUM(C12)</f>
        <v>3211</v>
      </c>
      <c r="D134" s="152">
        <f t="shared" ref="D134:BO134" si="52">SUM(D12)</f>
        <v>0</v>
      </c>
      <c r="E134" s="152">
        <f t="shared" si="52"/>
        <v>0</v>
      </c>
      <c r="F134" s="152">
        <f t="shared" si="52"/>
        <v>0</v>
      </c>
      <c r="G134" s="152">
        <f t="shared" si="52"/>
        <v>0</v>
      </c>
      <c r="H134" s="152">
        <f t="shared" si="52"/>
        <v>0</v>
      </c>
      <c r="I134" s="152">
        <f t="shared" si="52"/>
        <v>0</v>
      </c>
      <c r="J134" s="152">
        <f t="shared" si="52"/>
        <v>0</v>
      </c>
      <c r="K134" s="152">
        <f t="shared" si="52"/>
        <v>0</v>
      </c>
      <c r="L134" s="152">
        <f t="shared" si="52"/>
        <v>0</v>
      </c>
      <c r="M134" s="152">
        <f t="shared" si="52"/>
        <v>0</v>
      </c>
      <c r="N134" s="152">
        <f t="shared" si="52"/>
        <v>0</v>
      </c>
      <c r="O134" s="152">
        <f t="shared" si="52"/>
        <v>0</v>
      </c>
      <c r="P134" s="152">
        <f t="shared" si="52"/>
        <v>0</v>
      </c>
      <c r="Q134" s="152">
        <f t="shared" si="52"/>
        <v>0</v>
      </c>
      <c r="R134" s="152">
        <f t="shared" si="52"/>
        <v>0</v>
      </c>
      <c r="S134" s="152">
        <f t="shared" si="52"/>
        <v>0</v>
      </c>
      <c r="T134" s="152">
        <f t="shared" si="52"/>
        <v>0</v>
      </c>
      <c r="U134" s="152">
        <f t="shared" si="52"/>
        <v>0</v>
      </c>
      <c r="V134" s="152">
        <f t="shared" si="52"/>
        <v>0</v>
      </c>
      <c r="W134" s="152">
        <f t="shared" si="52"/>
        <v>0</v>
      </c>
      <c r="X134" s="152">
        <f t="shared" si="52"/>
        <v>0</v>
      </c>
      <c r="Y134" s="152">
        <f t="shared" si="52"/>
        <v>0</v>
      </c>
      <c r="Z134" s="152">
        <f t="shared" si="52"/>
        <v>0</v>
      </c>
      <c r="AA134" s="152">
        <f t="shared" si="52"/>
        <v>0</v>
      </c>
      <c r="AB134" s="152">
        <f t="shared" si="52"/>
        <v>0</v>
      </c>
      <c r="AC134" s="152">
        <f t="shared" si="52"/>
        <v>0</v>
      </c>
      <c r="AD134" s="152">
        <f t="shared" si="52"/>
        <v>0</v>
      </c>
      <c r="AE134" s="152">
        <f t="shared" si="52"/>
        <v>0</v>
      </c>
      <c r="AF134" s="152">
        <f t="shared" si="52"/>
        <v>0</v>
      </c>
      <c r="AG134" s="152">
        <f t="shared" si="52"/>
        <v>0</v>
      </c>
      <c r="AH134" s="152">
        <f t="shared" si="52"/>
        <v>0</v>
      </c>
      <c r="AI134" s="152">
        <f t="shared" si="52"/>
        <v>0</v>
      </c>
      <c r="AJ134" s="152">
        <f t="shared" si="52"/>
        <v>0</v>
      </c>
      <c r="AK134" s="152">
        <f t="shared" si="52"/>
        <v>0</v>
      </c>
      <c r="AL134" s="152">
        <f t="shared" si="52"/>
        <v>0</v>
      </c>
      <c r="AM134" s="152">
        <f t="shared" si="52"/>
        <v>0</v>
      </c>
      <c r="AN134" s="152">
        <f t="shared" si="52"/>
        <v>0</v>
      </c>
      <c r="AO134" s="152">
        <f t="shared" si="52"/>
        <v>0</v>
      </c>
      <c r="AP134" s="152">
        <f t="shared" si="52"/>
        <v>0</v>
      </c>
      <c r="AQ134" s="152">
        <f t="shared" si="52"/>
        <v>0</v>
      </c>
      <c r="AR134" s="152">
        <f t="shared" si="52"/>
        <v>0</v>
      </c>
      <c r="AS134" s="152">
        <f t="shared" si="52"/>
        <v>0</v>
      </c>
      <c r="AT134" s="152">
        <f t="shared" si="52"/>
        <v>0</v>
      </c>
      <c r="AU134" s="152">
        <f t="shared" si="52"/>
        <v>0</v>
      </c>
      <c r="AV134" s="152">
        <f t="shared" si="52"/>
        <v>0</v>
      </c>
      <c r="AW134" s="152">
        <f t="shared" si="52"/>
        <v>0</v>
      </c>
      <c r="AX134" s="152">
        <f t="shared" si="52"/>
        <v>0</v>
      </c>
      <c r="AY134" s="152">
        <f t="shared" si="52"/>
        <v>0</v>
      </c>
      <c r="AZ134" s="152">
        <f t="shared" si="52"/>
        <v>0</v>
      </c>
      <c r="BA134" s="152">
        <f t="shared" si="52"/>
        <v>0</v>
      </c>
      <c r="BB134" s="152">
        <f t="shared" si="52"/>
        <v>0</v>
      </c>
      <c r="BC134" s="152">
        <f t="shared" si="52"/>
        <v>0</v>
      </c>
      <c r="BD134" s="152">
        <f t="shared" si="52"/>
        <v>0</v>
      </c>
      <c r="BE134" s="152">
        <f t="shared" si="52"/>
        <v>0</v>
      </c>
      <c r="BF134" s="152">
        <f t="shared" si="52"/>
        <v>0</v>
      </c>
      <c r="BG134" s="152">
        <f t="shared" si="52"/>
        <v>0</v>
      </c>
      <c r="BH134" s="152">
        <f t="shared" si="52"/>
        <v>0</v>
      </c>
      <c r="BI134" s="152">
        <f t="shared" si="52"/>
        <v>0</v>
      </c>
      <c r="BJ134" s="152">
        <f t="shared" si="52"/>
        <v>0</v>
      </c>
      <c r="BK134" s="152">
        <f t="shared" si="52"/>
        <v>0</v>
      </c>
      <c r="BL134" s="152">
        <f t="shared" si="52"/>
        <v>0</v>
      </c>
      <c r="BM134" s="152">
        <f t="shared" si="52"/>
        <v>0</v>
      </c>
      <c r="BN134" s="152">
        <f t="shared" si="52"/>
        <v>0</v>
      </c>
      <c r="BO134" s="152">
        <f t="shared" si="52"/>
        <v>0</v>
      </c>
      <c r="BP134" s="152">
        <f t="shared" ref="BP134" si="53">SUM(BP12)</f>
        <v>0</v>
      </c>
      <c r="BQ134" s="152"/>
      <c r="BR134" s="152"/>
      <c r="BS134" s="152"/>
      <c r="BT134" s="152"/>
      <c r="BU134" s="152"/>
      <c r="BV134" s="152"/>
    </row>
    <row r="135" spans="1:74" s="102" customFormat="1" x14ac:dyDescent="0.25">
      <c r="A135" s="197" t="s">
        <v>129</v>
      </c>
      <c r="B135" s="76">
        <f t="shared" si="35"/>
        <v>10442</v>
      </c>
      <c r="C135" s="152">
        <f t="shared" ref="C135:BN135" si="54">SUM(C118,C90,C76,C60,C44,C34,C13)</f>
        <v>9179</v>
      </c>
      <c r="D135" s="152">
        <f t="shared" si="54"/>
        <v>0</v>
      </c>
      <c r="E135" s="152">
        <f t="shared" si="54"/>
        <v>0</v>
      </c>
      <c r="F135" s="152">
        <f t="shared" si="54"/>
        <v>0</v>
      </c>
      <c r="G135" s="152">
        <f t="shared" si="54"/>
        <v>0</v>
      </c>
      <c r="H135" s="152">
        <f t="shared" si="54"/>
        <v>0</v>
      </c>
      <c r="I135" s="152">
        <f t="shared" si="54"/>
        <v>0</v>
      </c>
      <c r="J135" s="152">
        <f t="shared" si="54"/>
        <v>0</v>
      </c>
      <c r="K135" s="152">
        <f t="shared" si="54"/>
        <v>0</v>
      </c>
      <c r="L135" s="152">
        <f t="shared" si="54"/>
        <v>0</v>
      </c>
      <c r="M135" s="152">
        <f t="shared" si="54"/>
        <v>73</v>
      </c>
      <c r="N135" s="152">
        <f t="shared" si="54"/>
        <v>0</v>
      </c>
      <c r="O135" s="152">
        <f t="shared" si="54"/>
        <v>0</v>
      </c>
      <c r="P135" s="152">
        <f t="shared" si="54"/>
        <v>0</v>
      </c>
      <c r="Q135" s="152">
        <f t="shared" si="54"/>
        <v>0</v>
      </c>
      <c r="R135" s="152">
        <f t="shared" si="54"/>
        <v>0</v>
      </c>
      <c r="S135" s="152">
        <f t="shared" si="54"/>
        <v>0</v>
      </c>
      <c r="T135" s="152">
        <f t="shared" si="54"/>
        <v>0</v>
      </c>
      <c r="U135" s="152">
        <f t="shared" si="54"/>
        <v>0</v>
      </c>
      <c r="V135" s="152">
        <f t="shared" si="54"/>
        <v>0</v>
      </c>
      <c r="W135" s="152">
        <f t="shared" si="54"/>
        <v>0</v>
      </c>
      <c r="X135" s="152">
        <f t="shared" si="54"/>
        <v>0</v>
      </c>
      <c r="Y135" s="152">
        <f t="shared" si="54"/>
        <v>0</v>
      </c>
      <c r="Z135" s="152">
        <f t="shared" si="54"/>
        <v>0</v>
      </c>
      <c r="AA135" s="152">
        <f t="shared" si="54"/>
        <v>0</v>
      </c>
      <c r="AB135" s="152">
        <f t="shared" si="54"/>
        <v>254</v>
      </c>
      <c r="AC135" s="152">
        <f t="shared" si="54"/>
        <v>35</v>
      </c>
      <c r="AD135" s="152">
        <f t="shared" si="54"/>
        <v>0</v>
      </c>
      <c r="AE135" s="152">
        <f t="shared" si="54"/>
        <v>206</v>
      </c>
      <c r="AF135" s="152">
        <f t="shared" si="54"/>
        <v>695</v>
      </c>
      <c r="AG135" s="152">
        <f t="shared" si="54"/>
        <v>0</v>
      </c>
      <c r="AH135" s="152">
        <f t="shared" si="54"/>
        <v>0</v>
      </c>
      <c r="AI135" s="152">
        <f t="shared" si="54"/>
        <v>0</v>
      </c>
      <c r="AJ135" s="152">
        <f t="shared" si="54"/>
        <v>0</v>
      </c>
      <c r="AK135" s="152">
        <f t="shared" si="54"/>
        <v>0</v>
      </c>
      <c r="AL135" s="152">
        <f t="shared" si="54"/>
        <v>0</v>
      </c>
      <c r="AM135" s="152">
        <f t="shared" si="54"/>
        <v>0</v>
      </c>
      <c r="AN135" s="152">
        <f t="shared" si="54"/>
        <v>0</v>
      </c>
      <c r="AO135" s="152">
        <f t="shared" si="54"/>
        <v>0</v>
      </c>
      <c r="AP135" s="152">
        <f t="shared" si="54"/>
        <v>0</v>
      </c>
      <c r="AQ135" s="152">
        <f t="shared" si="54"/>
        <v>0</v>
      </c>
      <c r="AR135" s="152">
        <f t="shared" si="54"/>
        <v>0</v>
      </c>
      <c r="AS135" s="152">
        <f t="shared" si="54"/>
        <v>0</v>
      </c>
      <c r="AT135" s="152">
        <f t="shared" si="54"/>
        <v>0</v>
      </c>
      <c r="AU135" s="152">
        <f t="shared" si="54"/>
        <v>0</v>
      </c>
      <c r="AV135" s="152">
        <f t="shared" si="54"/>
        <v>0</v>
      </c>
      <c r="AW135" s="152">
        <f t="shared" si="54"/>
        <v>0</v>
      </c>
      <c r="AX135" s="152">
        <f t="shared" si="54"/>
        <v>0</v>
      </c>
      <c r="AY135" s="152">
        <f t="shared" si="54"/>
        <v>0</v>
      </c>
      <c r="AZ135" s="152">
        <f t="shared" si="54"/>
        <v>0</v>
      </c>
      <c r="BA135" s="152">
        <f t="shared" si="54"/>
        <v>0</v>
      </c>
      <c r="BB135" s="152">
        <f t="shared" si="54"/>
        <v>0</v>
      </c>
      <c r="BC135" s="152">
        <f t="shared" si="54"/>
        <v>0</v>
      </c>
      <c r="BD135" s="152">
        <f t="shared" si="54"/>
        <v>0</v>
      </c>
      <c r="BE135" s="152">
        <f t="shared" si="54"/>
        <v>0</v>
      </c>
      <c r="BF135" s="152">
        <f t="shared" si="54"/>
        <v>0</v>
      </c>
      <c r="BG135" s="152">
        <f t="shared" si="54"/>
        <v>0</v>
      </c>
      <c r="BH135" s="152">
        <f t="shared" si="54"/>
        <v>0</v>
      </c>
      <c r="BI135" s="152">
        <f t="shared" si="54"/>
        <v>0</v>
      </c>
      <c r="BJ135" s="152">
        <f t="shared" si="54"/>
        <v>0</v>
      </c>
      <c r="BK135" s="152">
        <f t="shared" si="54"/>
        <v>0</v>
      </c>
      <c r="BL135" s="152">
        <f t="shared" si="54"/>
        <v>0</v>
      </c>
      <c r="BM135" s="152">
        <f t="shared" si="54"/>
        <v>0</v>
      </c>
      <c r="BN135" s="152">
        <f t="shared" si="54"/>
        <v>0</v>
      </c>
      <c r="BO135" s="152">
        <f t="shared" ref="BO135:BP135" si="55">SUM(BO118,BO90,BO76,BO60,BO44,BO34,BO13)</f>
        <v>0</v>
      </c>
      <c r="BP135" s="152">
        <f t="shared" si="55"/>
        <v>0</v>
      </c>
      <c r="BQ135" s="152"/>
      <c r="BR135" s="152"/>
      <c r="BS135" s="152"/>
      <c r="BT135" s="152"/>
      <c r="BU135" s="152"/>
      <c r="BV135" s="152"/>
    </row>
    <row r="136" spans="1:74" s="102" customFormat="1" x14ac:dyDescent="0.25">
      <c r="A136" s="197" t="s">
        <v>231</v>
      </c>
      <c r="B136" s="76">
        <f t="shared" si="35"/>
        <v>4446</v>
      </c>
      <c r="C136" s="152">
        <f t="shared" ref="C136:BN136" si="56">SUM(C91,C77,C61,C45,C14)</f>
        <v>2065</v>
      </c>
      <c r="D136" s="152">
        <f t="shared" si="56"/>
        <v>0</v>
      </c>
      <c r="E136" s="152">
        <f t="shared" si="56"/>
        <v>0</v>
      </c>
      <c r="F136" s="152">
        <f t="shared" si="56"/>
        <v>0</v>
      </c>
      <c r="G136" s="152">
        <f t="shared" si="56"/>
        <v>0</v>
      </c>
      <c r="H136" s="152">
        <f t="shared" si="56"/>
        <v>0</v>
      </c>
      <c r="I136" s="152">
        <f t="shared" si="56"/>
        <v>0</v>
      </c>
      <c r="J136" s="152">
        <f t="shared" si="56"/>
        <v>238</v>
      </c>
      <c r="K136" s="152">
        <f t="shared" si="56"/>
        <v>794</v>
      </c>
      <c r="L136" s="152">
        <f t="shared" si="56"/>
        <v>487</v>
      </c>
      <c r="M136" s="152">
        <f t="shared" si="56"/>
        <v>144</v>
      </c>
      <c r="N136" s="152">
        <f t="shared" si="56"/>
        <v>145</v>
      </c>
      <c r="O136" s="152">
        <f t="shared" si="56"/>
        <v>0</v>
      </c>
      <c r="P136" s="152">
        <f t="shared" si="56"/>
        <v>40</v>
      </c>
      <c r="Q136" s="152">
        <f t="shared" si="56"/>
        <v>113</v>
      </c>
      <c r="R136" s="152">
        <f t="shared" si="56"/>
        <v>53</v>
      </c>
      <c r="S136" s="152">
        <f t="shared" si="56"/>
        <v>205</v>
      </c>
      <c r="T136" s="152">
        <f t="shared" si="56"/>
        <v>0</v>
      </c>
      <c r="U136" s="152">
        <f t="shared" si="56"/>
        <v>0</v>
      </c>
      <c r="V136" s="152">
        <f t="shared" si="56"/>
        <v>0</v>
      </c>
      <c r="W136" s="152">
        <f t="shared" si="56"/>
        <v>0</v>
      </c>
      <c r="X136" s="152">
        <f t="shared" si="56"/>
        <v>0</v>
      </c>
      <c r="Y136" s="152">
        <f t="shared" si="56"/>
        <v>0</v>
      </c>
      <c r="Z136" s="152">
        <f t="shared" si="56"/>
        <v>115</v>
      </c>
      <c r="AA136" s="152">
        <f t="shared" si="56"/>
        <v>0</v>
      </c>
      <c r="AB136" s="152">
        <f t="shared" si="56"/>
        <v>0</v>
      </c>
      <c r="AC136" s="152">
        <f t="shared" si="56"/>
        <v>40</v>
      </c>
      <c r="AD136" s="152">
        <f t="shared" si="56"/>
        <v>0</v>
      </c>
      <c r="AE136" s="152">
        <f t="shared" si="56"/>
        <v>0</v>
      </c>
      <c r="AF136" s="152">
        <f t="shared" si="56"/>
        <v>0</v>
      </c>
      <c r="AG136" s="152">
        <f t="shared" si="56"/>
        <v>0</v>
      </c>
      <c r="AH136" s="152">
        <f t="shared" si="56"/>
        <v>0</v>
      </c>
      <c r="AI136" s="152">
        <f t="shared" si="56"/>
        <v>0</v>
      </c>
      <c r="AJ136" s="152">
        <f t="shared" si="56"/>
        <v>0</v>
      </c>
      <c r="AK136" s="152">
        <f t="shared" si="56"/>
        <v>0</v>
      </c>
      <c r="AL136" s="152">
        <f t="shared" si="56"/>
        <v>0</v>
      </c>
      <c r="AM136" s="152">
        <f t="shared" si="56"/>
        <v>0</v>
      </c>
      <c r="AN136" s="152">
        <f t="shared" si="56"/>
        <v>0</v>
      </c>
      <c r="AO136" s="152">
        <f t="shared" si="56"/>
        <v>0</v>
      </c>
      <c r="AP136" s="152">
        <f t="shared" si="56"/>
        <v>7</v>
      </c>
      <c r="AQ136" s="152">
        <f t="shared" si="56"/>
        <v>0</v>
      </c>
      <c r="AR136" s="152">
        <f t="shared" si="56"/>
        <v>0</v>
      </c>
      <c r="AS136" s="152">
        <f t="shared" si="56"/>
        <v>0</v>
      </c>
      <c r="AT136" s="152">
        <f t="shared" si="56"/>
        <v>0</v>
      </c>
      <c r="AU136" s="152">
        <f t="shared" si="56"/>
        <v>0</v>
      </c>
      <c r="AV136" s="152">
        <f t="shared" si="56"/>
        <v>0</v>
      </c>
      <c r="AW136" s="152">
        <f t="shared" si="56"/>
        <v>0</v>
      </c>
      <c r="AX136" s="152">
        <f t="shared" si="56"/>
        <v>0</v>
      </c>
      <c r="AY136" s="152">
        <f t="shared" si="56"/>
        <v>0</v>
      </c>
      <c r="AZ136" s="152">
        <f t="shared" si="56"/>
        <v>0</v>
      </c>
      <c r="BA136" s="152">
        <f t="shared" si="56"/>
        <v>0</v>
      </c>
      <c r="BB136" s="152">
        <f t="shared" si="56"/>
        <v>0</v>
      </c>
      <c r="BC136" s="152">
        <f t="shared" si="56"/>
        <v>0</v>
      </c>
      <c r="BD136" s="152">
        <f t="shared" si="56"/>
        <v>0</v>
      </c>
      <c r="BE136" s="152">
        <f t="shared" si="56"/>
        <v>0</v>
      </c>
      <c r="BF136" s="152">
        <f t="shared" si="56"/>
        <v>0</v>
      </c>
      <c r="BG136" s="152">
        <f t="shared" si="56"/>
        <v>0</v>
      </c>
      <c r="BH136" s="152">
        <f t="shared" si="56"/>
        <v>0</v>
      </c>
      <c r="BI136" s="152">
        <f t="shared" si="56"/>
        <v>0</v>
      </c>
      <c r="BJ136" s="152">
        <f t="shared" si="56"/>
        <v>0</v>
      </c>
      <c r="BK136" s="152">
        <f t="shared" si="56"/>
        <v>0</v>
      </c>
      <c r="BL136" s="152">
        <f t="shared" si="56"/>
        <v>0</v>
      </c>
      <c r="BM136" s="152">
        <f t="shared" si="56"/>
        <v>0</v>
      </c>
      <c r="BN136" s="152">
        <f t="shared" si="56"/>
        <v>0</v>
      </c>
      <c r="BO136" s="152">
        <f t="shared" ref="BO136:BP136" si="57">SUM(BO91,BO77,BO61,BO45,BO14)</f>
        <v>0</v>
      </c>
      <c r="BP136" s="152">
        <f t="shared" si="57"/>
        <v>0</v>
      </c>
      <c r="BQ136" s="152"/>
      <c r="BR136" s="152"/>
      <c r="BS136" s="152"/>
      <c r="BT136" s="152"/>
      <c r="BU136" s="152"/>
      <c r="BV136" s="152"/>
    </row>
    <row r="137" spans="1:74" s="102" customFormat="1" x14ac:dyDescent="0.25">
      <c r="A137" s="197" t="s">
        <v>155</v>
      </c>
      <c r="B137" s="76">
        <f t="shared" si="35"/>
        <v>597557</v>
      </c>
      <c r="C137" s="152">
        <f t="shared" ref="C137:BN137" si="58">SUM(C105,C92,C69,C35,C26,C15,C46)</f>
        <v>71575</v>
      </c>
      <c r="D137" s="152">
        <f t="shared" si="58"/>
        <v>0</v>
      </c>
      <c r="E137" s="152">
        <f t="shared" si="58"/>
        <v>0</v>
      </c>
      <c r="F137" s="152">
        <f t="shared" si="58"/>
        <v>0</v>
      </c>
      <c r="G137" s="152">
        <f t="shared" si="58"/>
        <v>0</v>
      </c>
      <c r="H137" s="152">
        <f t="shared" si="58"/>
        <v>0</v>
      </c>
      <c r="I137" s="152">
        <f t="shared" si="58"/>
        <v>0</v>
      </c>
      <c r="J137" s="152">
        <f t="shared" si="58"/>
        <v>0</v>
      </c>
      <c r="K137" s="152">
        <f t="shared" si="58"/>
        <v>0</v>
      </c>
      <c r="L137" s="152">
        <f t="shared" si="58"/>
        <v>0</v>
      </c>
      <c r="M137" s="152">
        <f t="shared" si="58"/>
        <v>1139</v>
      </c>
      <c r="N137" s="152">
        <f t="shared" si="58"/>
        <v>651</v>
      </c>
      <c r="O137" s="152">
        <f t="shared" si="58"/>
        <v>45557</v>
      </c>
      <c r="P137" s="152">
        <f t="shared" si="58"/>
        <v>61559</v>
      </c>
      <c r="Q137" s="152">
        <f t="shared" si="58"/>
        <v>111681</v>
      </c>
      <c r="R137" s="152">
        <f t="shared" si="58"/>
        <v>37294</v>
      </c>
      <c r="S137" s="152">
        <f t="shared" si="58"/>
        <v>31148</v>
      </c>
      <c r="T137" s="152">
        <f t="shared" si="58"/>
        <v>36292</v>
      </c>
      <c r="U137" s="152">
        <f t="shared" si="58"/>
        <v>29459</v>
      </c>
      <c r="V137" s="152">
        <f t="shared" si="58"/>
        <v>21873</v>
      </c>
      <c r="W137" s="152">
        <f t="shared" si="58"/>
        <v>17850</v>
      </c>
      <c r="X137" s="152">
        <f t="shared" si="58"/>
        <v>5501</v>
      </c>
      <c r="Y137" s="152">
        <f t="shared" si="58"/>
        <v>9709</v>
      </c>
      <c r="Z137" s="152">
        <f t="shared" si="58"/>
        <v>12239</v>
      </c>
      <c r="AA137" s="152">
        <f t="shared" si="58"/>
        <v>24572</v>
      </c>
      <c r="AB137" s="152">
        <f t="shared" si="58"/>
        <v>26586</v>
      </c>
      <c r="AC137" s="152">
        <f t="shared" si="58"/>
        <v>18160</v>
      </c>
      <c r="AD137" s="152">
        <f t="shared" si="58"/>
        <v>32001</v>
      </c>
      <c r="AE137" s="152">
        <f t="shared" si="58"/>
        <v>0</v>
      </c>
      <c r="AF137" s="152">
        <f t="shared" si="58"/>
        <v>0</v>
      </c>
      <c r="AG137" s="152">
        <f t="shared" si="58"/>
        <v>0</v>
      </c>
      <c r="AH137" s="152">
        <f t="shared" si="58"/>
        <v>0</v>
      </c>
      <c r="AI137" s="152">
        <f t="shared" si="58"/>
        <v>71</v>
      </c>
      <c r="AJ137" s="152">
        <f t="shared" si="58"/>
        <v>170</v>
      </c>
      <c r="AK137" s="152">
        <f t="shared" si="58"/>
        <v>0</v>
      </c>
      <c r="AL137" s="152">
        <f t="shared" si="58"/>
        <v>44</v>
      </c>
      <c r="AM137" s="152">
        <f t="shared" si="58"/>
        <v>2143</v>
      </c>
      <c r="AN137" s="152">
        <f t="shared" si="58"/>
        <v>58</v>
      </c>
      <c r="AO137" s="152">
        <f t="shared" si="58"/>
        <v>0</v>
      </c>
      <c r="AP137" s="152">
        <f t="shared" si="58"/>
        <v>0</v>
      </c>
      <c r="AQ137" s="152">
        <f t="shared" si="58"/>
        <v>225</v>
      </c>
      <c r="AR137" s="152">
        <f t="shared" si="58"/>
        <v>0</v>
      </c>
      <c r="AS137" s="152">
        <f t="shared" si="58"/>
        <v>0</v>
      </c>
      <c r="AT137" s="152">
        <f t="shared" si="58"/>
        <v>0</v>
      </c>
      <c r="AU137" s="152">
        <f t="shared" si="58"/>
        <v>0</v>
      </c>
      <c r="AV137" s="152">
        <f t="shared" si="58"/>
        <v>0</v>
      </c>
      <c r="AW137" s="152">
        <f t="shared" si="58"/>
        <v>0</v>
      </c>
      <c r="AX137" s="152">
        <f t="shared" si="58"/>
        <v>0</v>
      </c>
      <c r="AY137" s="152">
        <f t="shared" si="58"/>
        <v>0</v>
      </c>
      <c r="AZ137" s="152">
        <f t="shared" si="58"/>
        <v>0</v>
      </c>
      <c r="BA137" s="152">
        <f t="shared" si="58"/>
        <v>0</v>
      </c>
      <c r="BB137" s="152">
        <f t="shared" si="58"/>
        <v>0</v>
      </c>
      <c r="BC137" s="152">
        <f t="shared" si="58"/>
        <v>0</v>
      </c>
      <c r="BD137" s="152">
        <f t="shared" si="58"/>
        <v>0</v>
      </c>
      <c r="BE137" s="152">
        <f t="shared" si="58"/>
        <v>0</v>
      </c>
      <c r="BF137" s="152">
        <f t="shared" si="58"/>
        <v>0</v>
      </c>
      <c r="BG137" s="152">
        <f t="shared" si="58"/>
        <v>0</v>
      </c>
      <c r="BH137" s="152">
        <f t="shared" si="58"/>
        <v>0</v>
      </c>
      <c r="BI137" s="152">
        <f t="shared" si="58"/>
        <v>0</v>
      </c>
      <c r="BJ137" s="152">
        <f t="shared" si="58"/>
        <v>0</v>
      </c>
      <c r="BK137" s="152">
        <f t="shared" si="58"/>
        <v>0</v>
      </c>
      <c r="BL137" s="152">
        <f t="shared" si="58"/>
        <v>0</v>
      </c>
      <c r="BM137" s="152">
        <f t="shared" si="58"/>
        <v>0</v>
      </c>
      <c r="BN137" s="152">
        <f t="shared" si="58"/>
        <v>0</v>
      </c>
      <c r="BO137" s="152">
        <f t="shared" ref="BO137:BP137" si="59">SUM(BO105,BO92,BO69,BO35,BO26,BO15,BO46)</f>
        <v>0</v>
      </c>
      <c r="BP137" s="152">
        <f t="shared" si="59"/>
        <v>0</v>
      </c>
      <c r="BQ137" s="152"/>
      <c r="BR137" s="152"/>
      <c r="BS137" s="152"/>
      <c r="BT137" s="152"/>
      <c r="BU137" s="152"/>
      <c r="BV137" s="152"/>
    </row>
    <row r="138" spans="1:74" s="102" customFormat="1" x14ac:dyDescent="0.25">
      <c r="A138" s="197" t="s">
        <v>238</v>
      </c>
      <c r="B138" s="76">
        <f t="shared" si="35"/>
        <v>849</v>
      </c>
      <c r="C138" s="152">
        <f t="shared" ref="C138:BN138" si="60">SUM(C119,C106,C112)</f>
        <v>635</v>
      </c>
      <c r="D138" s="152">
        <f t="shared" si="60"/>
        <v>0</v>
      </c>
      <c r="E138" s="152">
        <f t="shared" si="60"/>
        <v>0</v>
      </c>
      <c r="F138" s="152">
        <f t="shared" si="60"/>
        <v>0</v>
      </c>
      <c r="G138" s="152">
        <f t="shared" si="60"/>
        <v>0</v>
      </c>
      <c r="H138" s="152">
        <f t="shared" si="60"/>
        <v>0</v>
      </c>
      <c r="I138" s="152">
        <f t="shared" si="60"/>
        <v>0</v>
      </c>
      <c r="J138" s="152">
        <f t="shared" si="60"/>
        <v>0</v>
      </c>
      <c r="K138" s="152">
        <f t="shared" si="60"/>
        <v>0</v>
      </c>
      <c r="L138" s="152">
        <f t="shared" si="60"/>
        <v>0</v>
      </c>
      <c r="M138" s="152">
        <f t="shared" si="60"/>
        <v>0</v>
      </c>
      <c r="N138" s="152">
        <f t="shared" si="60"/>
        <v>0</v>
      </c>
      <c r="O138" s="152">
        <f t="shared" si="60"/>
        <v>0</v>
      </c>
      <c r="P138" s="152">
        <f t="shared" si="60"/>
        <v>0</v>
      </c>
      <c r="Q138" s="152">
        <f t="shared" si="60"/>
        <v>0</v>
      </c>
      <c r="R138" s="152">
        <f t="shared" si="60"/>
        <v>0</v>
      </c>
      <c r="S138" s="152">
        <f t="shared" si="60"/>
        <v>0</v>
      </c>
      <c r="T138" s="152">
        <f t="shared" si="60"/>
        <v>0</v>
      </c>
      <c r="U138" s="152">
        <f t="shared" si="60"/>
        <v>0</v>
      </c>
      <c r="V138" s="152">
        <f t="shared" si="60"/>
        <v>0</v>
      </c>
      <c r="W138" s="152">
        <f t="shared" si="60"/>
        <v>0</v>
      </c>
      <c r="X138" s="152">
        <f t="shared" si="60"/>
        <v>0</v>
      </c>
      <c r="Y138" s="152">
        <f t="shared" si="60"/>
        <v>0</v>
      </c>
      <c r="Z138" s="152">
        <f t="shared" si="60"/>
        <v>0</v>
      </c>
      <c r="AA138" s="152">
        <f t="shared" si="60"/>
        <v>0</v>
      </c>
      <c r="AB138" s="152">
        <f t="shared" si="60"/>
        <v>0</v>
      </c>
      <c r="AC138" s="152">
        <f t="shared" si="60"/>
        <v>0</v>
      </c>
      <c r="AD138" s="152">
        <f t="shared" si="60"/>
        <v>0</v>
      </c>
      <c r="AE138" s="152">
        <f t="shared" si="60"/>
        <v>0</v>
      </c>
      <c r="AF138" s="152">
        <f t="shared" si="60"/>
        <v>0</v>
      </c>
      <c r="AG138" s="152">
        <f t="shared" si="60"/>
        <v>0</v>
      </c>
      <c r="AH138" s="152">
        <f t="shared" si="60"/>
        <v>0</v>
      </c>
      <c r="AI138" s="152">
        <f t="shared" si="60"/>
        <v>0</v>
      </c>
      <c r="AJ138" s="152">
        <f t="shared" si="60"/>
        <v>0</v>
      </c>
      <c r="AK138" s="152">
        <f t="shared" si="60"/>
        <v>0</v>
      </c>
      <c r="AL138" s="152">
        <f t="shared" si="60"/>
        <v>0</v>
      </c>
      <c r="AM138" s="152">
        <f t="shared" si="60"/>
        <v>0</v>
      </c>
      <c r="AN138" s="152">
        <f t="shared" si="60"/>
        <v>0</v>
      </c>
      <c r="AO138" s="152">
        <f t="shared" si="60"/>
        <v>0</v>
      </c>
      <c r="AP138" s="152">
        <f t="shared" si="60"/>
        <v>0</v>
      </c>
      <c r="AQ138" s="152">
        <f t="shared" si="60"/>
        <v>0</v>
      </c>
      <c r="AR138" s="152">
        <f t="shared" si="60"/>
        <v>0</v>
      </c>
      <c r="AS138" s="152">
        <f t="shared" si="60"/>
        <v>214</v>
      </c>
      <c r="AT138" s="152">
        <f t="shared" si="60"/>
        <v>0</v>
      </c>
      <c r="AU138" s="152">
        <f t="shared" si="60"/>
        <v>0</v>
      </c>
      <c r="AV138" s="152">
        <f t="shared" si="60"/>
        <v>0</v>
      </c>
      <c r="AW138" s="152">
        <f t="shared" si="60"/>
        <v>0</v>
      </c>
      <c r="AX138" s="152">
        <f t="shared" si="60"/>
        <v>0</v>
      </c>
      <c r="AY138" s="152">
        <f t="shared" si="60"/>
        <v>0</v>
      </c>
      <c r="AZ138" s="152">
        <f t="shared" si="60"/>
        <v>0</v>
      </c>
      <c r="BA138" s="152">
        <f t="shared" si="60"/>
        <v>0</v>
      </c>
      <c r="BB138" s="152">
        <f t="shared" si="60"/>
        <v>0</v>
      </c>
      <c r="BC138" s="152">
        <f t="shared" si="60"/>
        <v>0</v>
      </c>
      <c r="BD138" s="152">
        <f t="shared" si="60"/>
        <v>0</v>
      </c>
      <c r="BE138" s="152">
        <f t="shared" si="60"/>
        <v>0</v>
      </c>
      <c r="BF138" s="152">
        <f t="shared" si="60"/>
        <v>0</v>
      </c>
      <c r="BG138" s="152">
        <f t="shared" si="60"/>
        <v>0</v>
      </c>
      <c r="BH138" s="152">
        <f t="shared" si="60"/>
        <v>0</v>
      </c>
      <c r="BI138" s="152">
        <f t="shared" si="60"/>
        <v>0</v>
      </c>
      <c r="BJ138" s="152">
        <f t="shared" si="60"/>
        <v>0</v>
      </c>
      <c r="BK138" s="152">
        <f t="shared" si="60"/>
        <v>0</v>
      </c>
      <c r="BL138" s="152">
        <f t="shared" si="60"/>
        <v>0</v>
      </c>
      <c r="BM138" s="152">
        <f t="shared" si="60"/>
        <v>0</v>
      </c>
      <c r="BN138" s="152">
        <f t="shared" si="60"/>
        <v>0</v>
      </c>
      <c r="BO138" s="152">
        <f t="shared" ref="BO138:BP138" si="61">SUM(BO119,BO106,BO112)</f>
        <v>0</v>
      </c>
      <c r="BP138" s="152">
        <f t="shared" si="61"/>
        <v>0</v>
      </c>
      <c r="BQ138" s="152"/>
      <c r="BR138" s="152"/>
      <c r="BS138" s="152"/>
      <c r="BT138" s="152"/>
      <c r="BU138" s="152"/>
      <c r="BV138" s="152"/>
    </row>
    <row r="139" spans="1:74" s="102" customFormat="1" x14ac:dyDescent="0.25">
      <c r="A139" s="197" t="s">
        <v>233</v>
      </c>
      <c r="B139" s="76">
        <f t="shared" si="35"/>
        <v>522</v>
      </c>
      <c r="C139" s="152">
        <f t="shared" ref="C139:BN139" si="62">SUM(C54,C47)</f>
        <v>300</v>
      </c>
      <c r="D139" s="152">
        <f t="shared" si="62"/>
        <v>0</v>
      </c>
      <c r="E139" s="152">
        <f t="shared" si="62"/>
        <v>0</v>
      </c>
      <c r="F139" s="152">
        <f t="shared" si="62"/>
        <v>0</v>
      </c>
      <c r="G139" s="152">
        <f t="shared" si="62"/>
        <v>0</v>
      </c>
      <c r="H139" s="152">
        <f t="shared" si="62"/>
        <v>0</v>
      </c>
      <c r="I139" s="152">
        <f t="shared" si="62"/>
        <v>0</v>
      </c>
      <c r="J139" s="152">
        <f t="shared" si="62"/>
        <v>0</v>
      </c>
      <c r="K139" s="152">
        <f t="shared" si="62"/>
        <v>0</v>
      </c>
      <c r="L139" s="152">
        <f t="shared" si="62"/>
        <v>0</v>
      </c>
      <c r="M139" s="152">
        <f t="shared" si="62"/>
        <v>0</v>
      </c>
      <c r="N139" s="152">
        <f t="shared" si="62"/>
        <v>0</v>
      </c>
      <c r="O139" s="152">
        <f t="shared" si="62"/>
        <v>0</v>
      </c>
      <c r="P139" s="152">
        <f t="shared" si="62"/>
        <v>0</v>
      </c>
      <c r="Q139" s="152">
        <f t="shared" si="62"/>
        <v>0</v>
      </c>
      <c r="R139" s="152">
        <f t="shared" si="62"/>
        <v>0</v>
      </c>
      <c r="S139" s="152">
        <f t="shared" si="62"/>
        <v>0</v>
      </c>
      <c r="T139" s="152">
        <f t="shared" si="62"/>
        <v>0</v>
      </c>
      <c r="U139" s="152">
        <f t="shared" si="62"/>
        <v>0</v>
      </c>
      <c r="V139" s="152">
        <f t="shared" si="62"/>
        <v>0</v>
      </c>
      <c r="W139" s="152">
        <f t="shared" si="62"/>
        <v>0</v>
      </c>
      <c r="X139" s="152">
        <f t="shared" si="62"/>
        <v>0</v>
      </c>
      <c r="Y139" s="152">
        <f t="shared" si="62"/>
        <v>0</v>
      </c>
      <c r="Z139" s="152">
        <f t="shared" si="62"/>
        <v>0</v>
      </c>
      <c r="AA139" s="152">
        <f t="shared" si="62"/>
        <v>0</v>
      </c>
      <c r="AB139" s="152">
        <f t="shared" si="62"/>
        <v>60</v>
      </c>
      <c r="AC139" s="152">
        <f t="shared" si="62"/>
        <v>0</v>
      </c>
      <c r="AD139" s="152">
        <f t="shared" si="62"/>
        <v>0</v>
      </c>
      <c r="AE139" s="152">
        <f t="shared" si="62"/>
        <v>0</v>
      </c>
      <c r="AF139" s="152">
        <f t="shared" si="62"/>
        <v>0</v>
      </c>
      <c r="AG139" s="152">
        <f t="shared" si="62"/>
        <v>0</v>
      </c>
      <c r="AH139" s="152">
        <f t="shared" si="62"/>
        <v>0</v>
      </c>
      <c r="AI139" s="152">
        <f t="shared" si="62"/>
        <v>0</v>
      </c>
      <c r="AJ139" s="152">
        <f t="shared" si="62"/>
        <v>0</v>
      </c>
      <c r="AK139" s="152">
        <f t="shared" si="62"/>
        <v>0</v>
      </c>
      <c r="AL139" s="152">
        <f t="shared" si="62"/>
        <v>0</v>
      </c>
      <c r="AM139" s="152">
        <f t="shared" si="62"/>
        <v>0</v>
      </c>
      <c r="AN139" s="152">
        <f t="shared" si="62"/>
        <v>0</v>
      </c>
      <c r="AO139" s="152">
        <f t="shared" si="62"/>
        <v>0</v>
      </c>
      <c r="AP139" s="152">
        <f t="shared" si="62"/>
        <v>0</v>
      </c>
      <c r="AQ139" s="152">
        <f t="shared" si="62"/>
        <v>0</v>
      </c>
      <c r="AR139" s="152">
        <f t="shared" si="62"/>
        <v>0</v>
      </c>
      <c r="AS139" s="152">
        <f t="shared" si="62"/>
        <v>0</v>
      </c>
      <c r="AT139" s="152">
        <f t="shared" si="62"/>
        <v>0</v>
      </c>
      <c r="AU139" s="152">
        <f t="shared" si="62"/>
        <v>0</v>
      </c>
      <c r="AV139" s="152">
        <f t="shared" si="62"/>
        <v>0</v>
      </c>
      <c r="AW139" s="152">
        <f t="shared" si="62"/>
        <v>0</v>
      </c>
      <c r="AX139" s="152">
        <f t="shared" si="62"/>
        <v>0</v>
      </c>
      <c r="AY139" s="152">
        <f t="shared" si="62"/>
        <v>0</v>
      </c>
      <c r="AZ139" s="152">
        <f t="shared" si="62"/>
        <v>162</v>
      </c>
      <c r="BA139" s="152">
        <f t="shared" si="62"/>
        <v>0</v>
      </c>
      <c r="BB139" s="152">
        <f t="shared" si="62"/>
        <v>0</v>
      </c>
      <c r="BC139" s="152">
        <f t="shared" si="62"/>
        <v>0</v>
      </c>
      <c r="BD139" s="152">
        <f t="shared" si="62"/>
        <v>0</v>
      </c>
      <c r="BE139" s="152">
        <f t="shared" si="62"/>
        <v>0</v>
      </c>
      <c r="BF139" s="152">
        <f t="shared" si="62"/>
        <v>0</v>
      </c>
      <c r="BG139" s="152">
        <f t="shared" si="62"/>
        <v>0</v>
      </c>
      <c r="BH139" s="152">
        <f t="shared" si="62"/>
        <v>0</v>
      </c>
      <c r="BI139" s="152">
        <f t="shared" si="62"/>
        <v>0</v>
      </c>
      <c r="BJ139" s="152">
        <f t="shared" si="62"/>
        <v>0</v>
      </c>
      <c r="BK139" s="152">
        <f t="shared" si="62"/>
        <v>0</v>
      </c>
      <c r="BL139" s="152">
        <f t="shared" si="62"/>
        <v>0</v>
      </c>
      <c r="BM139" s="152">
        <f t="shared" si="62"/>
        <v>0</v>
      </c>
      <c r="BN139" s="152">
        <f t="shared" si="62"/>
        <v>0</v>
      </c>
      <c r="BO139" s="152">
        <f t="shared" ref="BO139:BP139" si="63">SUM(BO54,BO47)</f>
        <v>0</v>
      </c>
      <c r="BP139" s="152">
        <f t="shared" si="63"/>
        <v>0</v>
      </c>
      <c r="BQ139" s="152"/>
      <c r="BR139" s="152"/>
      <c r="BS139" s="152"/>
      <c r="BT139" s="152"/>
      <c r="BU139" s="152"/>
      <c r="BV139" s="152"/>
    </row>
    <row r="140" spans="1:74" s="102" customFormat="1" x14ac:dyDescent="0.25">
      <c r="A140" s="197" t="s">
        <v>156</v>
      </c>
      <c r="B140" s="76">
        <f t="shared" si="35"/>
        <v>28841</v>
      </c>
      <c r="C140" s="152">
        <f t="shared" ref="C140:BN140" si="64">SUM(C48,C16)</f>
        <v>19961</v>
      </c>
      <c r="D140" s="152">
        <f t="shared" si="64"/>
        <v>0</v>
      </c>
      <c r="E140" s="152">
        <f t="shared" si="64"/>
        <v>0</v>
      </c>
      <c r="F140" s="152">
        <f t="shared" si="64"/>
        <v>0</v>
      </c>
      <c r="G140" s="152">
        <f t="shared" si="64"/>
        <v>0</v>
      </c>
      <c r="H140" s="152">
        <f t="shared" si="64"/>
        <v>0</v>
      </c>
      <c r="I140" s="152">
        <f t="shared" si="64"/>
        <v>0</v>
      </c>
      <c r="J140" s="152">
        <f t="shared" si="64"/>
        <v>0</v>
      </c>
      <c r="K140" s="152">
        <f t="shared" si="64"/>
        <v>0</v>
      </c>
      <c r="L140" s="152">
        <f t="shared" si="64"/>
        <v>0</v>
      </c>
      <c r="M140" s="152">
        <f t="shared" si="64"/>
        <v>0</v>
      </c>
      <c r="N140" s="152">
        <f t="shared" si="64"/>
        <v>0</v>
      </c>
      <c r="O140" s="152">
        <f t="shared" si="64"/>
        <v>0</v>
      </c>
      <c r="P140" s="152">
        <f t="shared" si="64"/>
        <v>0</v>
      </c>
      <c r="Q140" s="152">
        <f t="shared" si="64"/>
        <v>0</v>
      </c>
      <c r="R140" s="152">
        <f t="shared" si="64"/>
        <v>3974</v>
      </c>
      <c r="S140" s="152">
        <f t="shared" si="64"/>
        <v>0</v>
      </c>
      <c r="T140" s="152">
        <f t="shared" si="64"/>
        <v>0</v>
      </c>
      <c r="U140" s="152">
        <f t="shared" si="64"/>
        <v>0</v>
      </c>
      <c r="V140" s="152">
        <f t="shared" si="64"/>
        <v>0</v>
      </c>
      <c r="W140" s="152">
        <f t="shared" si="64"/>
        <v>0</v>
      </c>
      <c r="X140" s="152">
        <f t="shared" si="64"/>
        <v>0</v>
      </c>
      <c r="Y140" s="152">
        <f t="shared" si="64"/>
        <v>2166</v>
      </c>
      <c r="Z140" s="152">
        <f t="shared" si="64"/>
        <v>0</v>
      </c>
      <c r="AA140" s="152">
        <f t="shared" si="64"/>
        <v>0</v>
      </c>
      <c r="AB140" s="152">
        <f t="shared" si="64"/>
        <v>2740</v>
      </c>
      <c r="AC140" s="152">
        <f t="shared" si="64"/>
        <v>0</v>
      </c>
      <c r="AD140" s="152">
        <f t="shared" si="64"/>
        <v>0</v>
      </c>
      <c r="AE140" s="152">
        <f t="shared" si="64"/>
        <v>0</v>
      </c>
      <c r="AF140" s="152">
        <f t="shared" si="64"/>
        <v>0</v>
      </c>
      <c r="AG140" s="152">
        <f t="shared" si="64"/>
        <v>0</v>
      </c>
      <c r="AH140" s="152">
        <f t="shared" si="64"/>
        <v>0</v>
      </c>
      <c r="AI140" s="152">
        <f t="shared" si="64"/>
        <v>0</v>
      </c>
      <c r="AJ140" s="152">
        <f t="shared" si="64"/>
        <v>0</v>
      </c>
      <c r="AK140" s="152">
        <f t="shared" si="64"/>
        <v>0</v>
      </c>
      <c r="AL140" s="152">
        <f t="shared" si="64"/>
        <v>0</v>
      </c>
      <c r="AM140" s="152">
        <f t="shared" si="64"/>
        <v>0</v>
      </c>
      <c r="AN140" s="152">
        <f t="shared" si="64"/>
        <v>0</v>
      </c>
      <c r="AO140" s="152">
        <f t="shared" si="64"/>
        <v>0</v>
      </c>
      <c r="AP140" s="152">
        <f t="shared" si="64"/>
        <v>0</v>
      </c>
      <c r="AQ140" s="152">
        <f t="shared" si="64"/>
        <v>0</v>
      </c>
      <c r="AR140" s="152">
        <f t="shared" si="64"/>
        <v>0</v>
      </c>
      <c r="AS140" s="152">
        <f t="shared" si="64"/>
        <v>0</v>
      </c>
      <c r="AT140" s="152">
        <f t="shared" si="64"/>
        <v>0</v>
      </c>
      <c r="AU140" s="152">
        <f t="shared" si="64"/>
        <v>0</v>
      </c>
      <c r="AV140" s="152">
        <f t="shared" si="64"/>
        <v>0</v>
      </c>
      <c r="AW140" s="152">
        <f t="shared" si="64"/>
        <v>0</v>
      </c>
      <c r="AX140" s="152">
        <f t="shared" si="64"/>
        <v>0</v>
      </c>
      <c r="AY140" s="152">
        <f t="shared" si="64"/>
        <v>0</v>
      </c>
      <c r="AZ140" s="152">
        <f t="shared" si="64"/>
        <v>0</v>
      </c>
      <c r="BA140" s="152">
        <f t="shared" si="64"/>
        <v>0</v>
      </c>
      <c r="BB140" s="152">
        <f t="shared" si="64"/>
        <v>0</v>
      </c>
      <c r="BC140" s="152">
        <f t="shared" si="64"/>
        <v>0</v>
      </c>
      <c r="BD140" s="152">
        <f t="shared" si="64"/>
        <v>0</v>
      </c>
      <c r="BE140" s="152">
        <f t="shared" si="64"/>
        <v>0</v>
      </c>
      <c r="BF140" s="152">
        <f t="shared" si="64"/>
        <v>0</v>
      </c>
      <c r="BG140" s="152">
        <f t="shared" si="64"/>
        <v>0</v>
      </c>
      <c r="BH140" s="152">
        <f t="shared" si="64"/>
        <v>0</v>
      </c>
      <c r="BI140" s="152">
        <f t="shared" si="64"/>
        <v>0</v>
      </c>
      <c r="BJ140" s="152">
        <f t="shared" si="64"/>
        <v>0</v>
      </c>
      <c r="BK140" s="152">
        <f t="shared" si="64"/>
        <v>0</v>
      </c>
      <c r="BL140" s="152">
        <f t="shared" si="64"/>
        <v>0</v>
      </c>
      <c r="BM140" s="152">
        <f t="shared" si="64"/>
        <v>0</v>
      </c>
      <c r="BN140" s="152">
        <f t="shared" si="64"/>
        <v>0</v>
      </c>
      <c r="BO140" s="152">
        <f t="shared" ref="BO140:BP140" si="65">SUM(BO48,BO16)</f>
        <v>0</v>
      </c>
      <c r="BP140" s="152">
        <f t="shared" si="65"/>
        <v>0</v>
      </c>
      <c r="BQ140" s="152"/>
      <c r="BR140" s="152"/>
      <c r="BS140" s="152"/>
      <c r="BT140" s="152"/>
      <c r="BU140" s="152"/>
      <c r="BV140" s="152"/>
    </row>
    <row r="141" spans="1:74" s="102" customFormat="1" x14ac:dyDescent="0.25">
      <c r="A141" s="197" t="s">
        <v>130</v>
      </c>
      <c r="B141" s="76">
        <f t="shared" si="35"/>
        <v>1008</v>
      </c>
      <c r="C141" s="152">
        <f t="shared" ref="C141:BN141" si="66">SUM(C120,C93,C78,C17)</f>
        <v>798</v>
      </c>
      <c r="D141" s="152">
        <f t="shared" si="66"/>
        <v>0</v>
      </c>
      <c r="E141" s="152">
        <f t="shared" si="66"/>
        <v>0</v>
      </c>
      <c r="F141" s="152">
        <f t="shared" si="66"/>
        <v>0</v>
      </c>
      <c r="G141" s="152">
        <f t="shared" si="66"/>
        <v>0</v>
      </c>
      <c r="H141" s="152">
        <f t="shared" si="66"/>
        <v>0</v>
      </c>
      <c r="I141" s="152">
        <f t="shared" si="66"/>
        <v>0</v>
      </c>
      <c r="J141" s="152">
        <f t="shared" si="66"/>
        <v>0</v>
      </c>
      <c r="K141" s="152">
        <f t="shared" si="66"/>
        <v>0</v>
      </c>
      <c r="L141" s="152">
        <f t="shared" si="66"/>
        <v>0</v>
      </c>
      <c r="M141" s="152">
        <f t="shared" si="66"/>
        <v>0</v>
      </c>
      <c r="N141" s="152">
        <f t="shared" si="66"/>
        <v>0</v>
      </c>
      <c r="O141" s="152">
        <f t="shared" si="66"/>
        <v>0</v>
      </c>
      <c r="P141" s="152">
        <f t="shared" si="66"/>
        <v>0</v>
      </c>
      <c r="Q141" s="152">
        <f t="shared" si="66"/>
        <v>0</v>
      </c>
      <c r="R141" s="152">
        <f t="shared" si="66"/>
        <v>0</v>
      </c>
      <c r="S141" s="152">
        <f t="shared" si="66"/>
        <v>0</v>
      </c>
      <c r="T141" s="152">
        <f t="shared" si="66"/>
        <v>0</v>
      </c>
      <c r="U141" s="152">
        <f t="shared" si="66"/>
        <v>0</v>
      </c>
      <c r="V141" s="152">
        <f t="shared" si="66"/>
        <v>0</v>
      </c>
      <c r="W141" s="152">
        <f t="shared" si="66"/>
        <v>0</v>
      </c>
      <c r="X141" s="152">
        <f t="shared" si="66"/>
        <v>0</v>
      </c>
      <c r="Y141" s="152">
        <f t="shared" si="66"/>
        <v>0</v>
      </c>
      <c r="Z141" s="152">
        <f t="shared" si="66"/>
        <v>0</v>
      </c>
      <c r="AA141" s="152">
        <f t="shared" si="66"/>
        <v>0</v>
      </c>
      <c r="AB141" s="152">
        <f t="shared" si="66"/>
        <v>0</v>
      </c>
      <c r="AC141" s="152">
        <f t="shared" si="66"/>
        <v>0</v>
      </c>
      <c r="AD141" s="152">
        <f t="shared" si="66"/>
        <v>0</v>
      </c>
      <c r="AE141" s="152">
        <f t="shared" si="66"/>
        <v>210</v>
      </c>
      <c r="AF141" s="152">
        <f t="shared" si="66"/>
        <v>0</v>
      </c>
      <c r="AG141" s="152">
        <f t="shared" si="66"/>
        <v>0</v>
      </c>
      <c r="AH141" s="152">
        <f t="shared" si="66"/>
        <v>0</v>
      </c>
      <c r="AI141" s="152">
        <f t="shared" si="66"/>
        <v>0</v>
      </c>
      <c r="AJ141" s="152">
        <f t="shared" si="66"/>
        <v>0</v>
      </c>
      <c r="AK141" s="152">
        <f t="shared" si="66"/>
        <v>0</v>
      </c>
      <c r="AL141" s="152">
        <f t="shared" si="66"/>
        <v>0</v>
      </c>
      <c r="AM141" s="152">
        <f t="shared" si="66"/>
        <v>0</v>
      </c>
      <c r="AN141" s="152">
        <f t="shared" si="66"/>
        <v>0</v>
      </c>
      <c r="AO141" s="152">
        <f t="shared" si="66"/>
        <v>0</v>
      </c>
      <c r="AP141" s="152">
        <f t="shared" si="66"/>
        <v>0</v>
      </c>
      <c r="AQ141" s="152">
        <f t="shared" si="66"/>
        <v>0</v>
      </c>
      <c r="AR141" s="152">
        <f t="shared" si="66"/>
        <v>0</v>
      </c>
      <c r="AS141" s="152">
        <f t="shared" si="66"/>
        <v>0</v>
      </c>
      <c r="AT141" s="152">
        <f t="shared" si="66"/>
        <v>0</v>
      </c>
      <c r="AU141" s="152">
        <f t="shared" si="66"/>
        <v>0</v>
      </c>
      <c r="AV141" s="152">
        <f t="shared" si="66"/>
        <v>0</v>
      </c>
      <c r="AW141" s="152">
        <f t="shared" si="66"/>
        <v>0</v>
      </c>
      <c r="AX141" s="152">
        <f t="shared" si="66"/>
        <v>0</v>
      </c>
      <c r="AY141" s="152">
        <f t="shared" si="66"/>
        <v>0</v>
      </c>
      <c r="AZ141" s="152">
        <f t="shared" si="66"/>
        <v>0</v>
      </c>
      <c r="BA141" s="152">
        <f t="shared" si="66"/>
        <v>0</v>
      </c>
      <c r="BB141" s="152">
        <f t="shared" si="66"/>
        <v>0</v>
      </c>
      <c r="BC141" s="152">
        <f t="shared" si="66"/>
        <v>0</v>
      </c>
      <c r="BD141" s="152">
        <f t="shared" si="66"/>
        <v>0</v>
      </c>
      <c r="BE141" s="152">
        <f t="shared" si="66"/>
        <v>0</v>
      </c>
      <c r="BF141" s="152">
        <f t="shared" si="66"/>
        <v>0</v>
      </c>
      <c r="BG141" s="152">
        <f t="shared" si="66"/>
        <v>0</v>
      </c>
      <c r="BH141" s="152">
        <f t="shared" si="66"/>
        <v>0</v>
      </c>
      <c r="BI141" s="152">
        <f t="shared" si="66"/>
        <v>0</v>
      </c>
      <c r="BJ141" s="152">
        <f t="shared" si="66"/>
        <v>0</v>
      </c>
      <c r="BK141" s="152">
        <f t="shared" si="66"/>
        <v>0</v>
      </c>
      <c r="BL141" s="152">
        <f t="shared" si="66"/>
        <v>0</v>
      </c>
      <c r="BM141" s="152">
        <f t="shared" si="66"/>
        <v>0</v>
      </c>
      <c r="BN141" s="152">
        <f t="shared" si="66"/>
        <v>0</v>
      </c>
      <c r="BO141" s="152">
        <f t="shared" ref="BO141:BP141" si="67">SUM(BO120,BO93,BO78,BO17)</f>
        <v>0</v>
      </c>
      <c r="BP141" s="152">
        <f t="shared" si="67"/>
        <v>0</v>
      </c>
      <c r="BQ141" s="152"/>
      <c r="BR141" s="152"/>
      <c r="BS141" s="152"/>
      <c r="BT141" s="152"/>
      <c r="BU141" s="152"/>
      <c r="BV141" s="152"/>
    </row>
    <row r="142" spans="1:74" s="102" customFormat="1" x14ac:dyDescent="0.25">
      <c r="A142" s="197" t="s">
        <v>232</v>
      </c>
      <c r="B142" s="76">
        <f t="shared" si="35"/>
        <v>3472</v>
      </c>
      <c r="C142" s="152">
        <f t="shared" ref="C142:BN142" si="68">SUM(C94,C79,C55,C18)</f>
        <v>2835</v>
      </c>
      <c r="D142" s="152">
        <f t="shared" si="68"/>
        <v>0</v>
      </c>
      <c r="E142" s="152">
        <f t="shared" si="68"/>
        <v>0</v>
      </c>
      <c r="F142" s="152">
        <f t="shared" si="68"/>
        <v>0</v>
      </c>
      <c r="G142" s="152">
        <f t="shared" si="68"/>
        <v>0</v>
      </c>
      <c r="H142" s="152">
        <f t="shared" si="68"/>
        <v>0</v>
      </c>
      <c r="I142" s="152">
        <f t="shared" si="68"/>
        <v>0</v>
      </c>
      <c r="J142" s="152">
        <f t="shared" si="68"/>
        <v>0</v>
      </c>
      <c r="K142" s="152">
        <f t="shared" si="68"/>
        <v>0</v>
      </c>
      <c r="L142" s="152">
        <f t="shared" si="68"/>
        <v>0</v>
      </c>
      <c r="M142" s="152">
        <f t="shared" si="68"/>
        <v>0</v>
      </c>
      <c r="N142" s="152">
        <f t="shared" si="68"/>
        <v>0</v>
      </c>
      <c r="O142" s="152">
        <f t="shared" si="68"/>
        <v>0</v>
      </c>
      <c r="P142" s="152">
        <f t="shared" si="68"/>
        <v>0</v>
      </c>
      <c r="Q142" s="152">
        <f t="shared" si="68"/>
        <v>0</v>
      </c>
      <c r="R142" s="152">
        <f t="shared" si="68"/>
        <v>0</v>
      </c>
      <c r="S142" s="152">
        <f t="shared" si="68"/>
        <v>360</v>
      </c>
      <c r="T142" s="152">
        <f t="shared" si="68"/>
        <v>0</v>
      </c>
      <c r="U142" s="152">
        <f t="shared" si="68"/>
        <v>0</v>
      </c>
      <c r="V142" s="152">
        <f t="shared" si="68"/>
        <v>0</v>
      </c>
      <c r="W142" s="152">
        <f t="shared" si="68"/>
        <v>0</v>
      </c>
      <c r="X142" s="152">
        <f t="shared" si="68"/>
        <v>0</v>
      </c>
      <c r="Y142" s="152">
        <f t="shared" si="68"/>
        <v>0</v>
      </c>
      <c r="Z142" s="152">
        <f t="shared" si="68"/>
        <v>0</v>
      </c>
      <c r="AA142" s="152">
        <f t="shared" si="68"/>
        <v>0</v>
      </c>
      <c r="AB142" s="152">
        <f t="shared" si="68"/>
        <v>0</v>
      </c>
      <c r="AC142" s="152">
        <f t="shared" si="68"/>
        <v>0</v>
      </c>
      <c r="AD142" s="152">
        <f t="shared" si="68"/>
        <v>0</v>
      </c>
      <c r="AE142" s="152">
        <f t="shared" si="68"/>
        <v>0</v>
      </c>
      <c r="AF142" s="152">
        <f t="shared" si="68"/>
        <v>0</v>
      </c>
      <c r="AG142" s="152">
        <f t="shared" si="68"/>
        <v>0</v>
      </c>
      <c r="AH142" s="152">
        <f t="shared" si="68"/>
        <v>0</v>
      </c>
      <c r="AI142" s="152">
        <f t="shared" si="68"/>
        <v>0</v>
      </c>
      <c r="AJ142" s="152">
        <f t="shared" si="68"/>
        <v>0</v>
      </c>
      <c r="AK142" s="152">
        <f t="shared" si="68"/>
        <v>182</v>
      </c>
      <c r="AL142" s="152">
        <f t="shared" si="68"/>
        <v>0</v>
      </c>
      <c r="AM142" s="152">
        <f t="shared" si="68"/>
        <v>95</v>
      </c>
      <c r="AN142" s="152">
        <f t="shared" si="68"/>
        <v>0</v>
      </c>
      <c r="AO142" s="152">
        <f t="shared" si="68"/>
        <v>0</v>
      </c>
      <c r="AP142" s="152">
        <f t="shared" si="68"/>
        <v>0</v>
      </c>
      <c r="AQ142" s="152">
        <f t="shared" si="68"/>
        <v>0</v>
      </c>
      <c r="AR142" s="152">
        <f t="shared" si="68"/>
        <v>0</v>
      </c>
      <c r="AS142" s="152">
        <f t="shared" si="68"/>
        <v>0</v>
      </c>
      <c r="AT142" s="152">
        <f t="shared" si="68"/>
        <v>0</v>
      </c>
      <c r="AU142" s="152">
        <f t="shared" si="68"/>
        <v>0</v>
      </c>
      <c r="AV142" s="152">
        <f t="shared" si="68"/>
        <v>0</v>
      </c>
      <c r="AW142" s="152">
        <f t="shared" si="68"/>
        <v>0</v>
      </c>
      <c r="AX142" s="152">
        <f t="shared" si="68"/>
        <v>0</v>
      </c>
      <c r="AY142" s="152">
        <f t="shared" si="68"/>
        <v>0</v>
      </c>
      <c r="AZ142" s="152">
        <f t="shared" si="68"/>
        <v>0</v>
      </c>
      <c r="BA142" s="152">
        <f t="shared" si="68"/>
        <v>0</v>
      </c>
      <c r="BB142" s="152">
        <f t="shared" si="68"/>
        <v>0</v>
      </c>
      <c r="BC142" s="152">
        <f t="shared" si="68"/>
        <v>0</v>
      </c>
      <c r="BD142" s="152">
        <f t="shared" si="68"/>
        <v>0</v>
      </c>
      <c r="BE142" s="152">
        <f t="shared" si="68"/>
        <v>0</v>
      </c>
      <c r="BF142" s="152">
        <f t="shared" si="68"/>
        <v>0</v>
      </c>
      <c r="BG142" s="152">
        <f t="shared" si="68"/>
        <v>0</v>
      </c>
      <c r="BH142" s="152">
        <f t="shared" si="68"/>
        <v>0</v>
      </c>
      <c r="BI142" s="152">
        <f t="shared" si="68"/>
        <v>0</v>
      </c>
      <c r="BJ142" s="152">
        <f t="shared" si="68"/>
        <v>0</v>
      </c>
      <c r="BK142" s="152">
        <f t="shared" si="68"/>
        <v>0</v>
      </c>
      <c r="BL142" s="152">
        <f t="shared" si="68"/>
        <v>0</v>
      </c>
      <c r="BM142" s="152">
        <f t="shared" si="68"/>
        <v>0</v>
      </c>
      <c r="BN142" s="152">
        <f t="shared" si="68"/>
        <v>0</v>
      </c>
      <c r="BO142" s="152">
        <f t="shared" ref="BO142:BP142" si="69">SUM(BO94,BO79,BO55,BO18)</f>
        <v>0</v>
      </c>
      <c r="BP142" s="152">
        <f t="shared" si="69"/>
        <v>0</v>
      </c>
      <c r="BQ142" s="152"/>
      <c r="BR142" s="152"/>
      <c r="BS142" s="152"/>
      <c r="BT142" s="152"/>
      <c r="BU142" s="152"/>
      <c r="BV142" s="152"/>
    </row>
    <row r="143" spans="1:74" s="102" customFormat="1" x14ac:dyDescent="0.25">
      <c r="A143" s="197" t="s">
        <v>157</v>
      </c>
      <c r="B143" s="76">
        <f t="shared" si="35"/>
        <v>12692</v>
      </c>
      <c r="C143" s="152">
        <f t="shared" ref="C143:BN143" si="70">SUM(C107,C95,C27)</f>
        <v>0</v>
      </c>
      <c r="D143" s="152">
        <f t="shared" si="70"/>
        <v>0</v>
      </c>
      <c r="E143" s="152">
        <f t="shared" si="70"/>
        <v>0</v>
      </c>
      <c r="F143" s="152">
        <f t="shared" si="70"/>
        <v>0</v>
      </c>
      <c r="G143" s="152">
        <f t="shared" si="70"/>
        <v>0</v>
      </c>
      <c r="H143" s="152">
        <f t="shared" si="70"/>
        <v>0</v>
      </c>
      <c r="I143" s="152">
        <f t="shared" si="70"/>
        <v>0</v>
      </c>
      <c r="J143" s="152">
        <f t="shared" si="70"/>
        <v>0</v>
      </c>
      <c r="K143" s="152">
        <f t="shared" si="70"/>
        <v>0</v>
      </c>
      <c r="L143" s="152">
        <f t="shared" si="70"/>
        <v>0</v>
      </c>
      <c r="M143" s="152">
        <f t="shared" si="70"/>
        <v>0</v>
      </c>
      <c r="N143" s="152">
        <f t="shared" si="70"/>
        <v>0</v>
      </c>
      <c r="O143" s="152">
        <f t="shared" si="70"/>
        <v>0</v>
      </c>
      <c r="P143" s="152">
        <f t="shared" si="70"/>
        <v>0</v>
      </c>
      <c r="Q143" s="152">
        <f t="shared" si="70"/>
        <v>0</v>
      </c>
      <c r="R143" s="152">
        <f t="shared" si="70"/>
        <v>0</v>
      </c>
      <c r="S143" s="152">
        <f t="shared" si="70"/>
        <v>0</v>
      </c>
      <c r="T143" s="152">
        <f t="shared" si="70"/>
        <v>0</v>
      </c>
      <c r="U143" s="152">
        <f t="shared" si="70"/>
        <v>0</v>
      </c>
      <c r="V143" s="152">
        <f t="shared" si="70"/>
        <v>0</v>
      </c>
      <c r="W143" s="152">
        <f t="shared" si="70"/>
        <v>0</v>
      </c>
      <c r="X143" s="152">
        <f t="shared" si="70"/>
        <v>0</v>
      </c>
      <c r="Y143" s="152">
        <f t="shared" si="70"/>
        <v>0</v>
      </c>
      <c r="Z143" s="152">
        <f t="shared" si="70"/>
        <v>0</v>
      </c>
      <c r="AA143" s="152">
        <f t="shared" si="70"/>
        <v>0</v>
      </c>
      <c r="AB143" s="152">
        <f t="shared" si="70"/>
        <v>0</v>
      </c>
      <c r="AC143" s="152">
        <f t="shared" si="70"/>
        <v>9283</v>
      </c>
      <c r="AD143" s="152">
        <f t="shared" si="70"/>
        <v>3409</v>
      </c>
      <c r="AE143" s="152">
        <f t="shared" si="70"/>
        <v>0</v>
      </c>
      <c r="AF143" s="152">
        <f t="shared" si="70"/>
        <v>0</v>
      </c>
      <c r="AG143" s="152">
        <f t="shared" si="70"/>
        <v>0</v>
      </c>
      <c r="AH143" s="152">
        <f t="shared" si="70"/>
        <v>0</v>
      </c>
      <c r="AI143" s="152">
        <f t="shared" si="70"/>
        <v>0</v>
      </c>
      <c r="AJ143" s="152">
        <f t="shared" si="70"/>
        <v>0</v>
      </c>
      <c r="AK143" s="152">
        <f t="shared" si="70"/>
        <v>0</v>
      </c>
      <c r="AL143" s="152">
        <f t="shared" si="70"/>
        <v>0</v>
      </c>
      <c r="AM143" s="152">
        <f t="shared" si="70"/>
        <v>0</v>
      </c>
      <c r="AN143" s="152">
        <f t="shared" si="70"/>
        <v>0</v>
      </c>
      <c r="AO143" s="152">
        <f t="shared" si="70"/>
        <v>0</v>
      </c>
      <c r="AP143" s="152">
        <f t="shared" si="70"/>
        <v>0</v>
      </c>
      <c r="AQ143" s="152">
        <f t="shared" si="70"/>
        <v>0</v>
      </c>
      <c r="AR143" s="152">
        <f t="shared" si="70"/>
        <v>0</v>
      </c>
      <c r="AS143" s="152">
        <f t="shared" si="70"/>
        <v>0</v>
      </c>
      <c r="AT143" s="152">
        <f t="shared" si="70"/>
        <v>0</v>
      </c>
      <c r="AU143" s="152">
        <f t="shared" si="70"/>
        <v>0</v>
      </c>
      <c r="AV143" s="152">
        <f t="shared" si="70"/>
        <v>0</v>
      </c>
      <c r="AW143" s="152">
        <f t="shared" si="70"/>
        <v>0</v>
      </c>
      <c r="AX143" s="152">
        <f t="shared" si="70"/>
        <v>0</v>
      </c>
      <c r="AY143" s="152">
        <f t="shared" si="70"/>
        <v>0</v>
      </c>
      <c r="AZ143" s="152">
        <f t="shared" si="70"/>
        <v>0</v>
      </c>
      <c r="BA143" s="152">
        <f t="shared" si="70"/>
        <v>0</v>
      </c>
      <c r="BB143" s="152">
        <f t="shared" si="70"/>
        <v>0</v>
      </c>
      <c r="BC143" s="152">
        <f t="shared" si="70"/>
        <v>0</v>
      </c>
      <c r="BD143" s="152">
        <f t="shared" si="70"/>
        <v>0</v>
      </c>
      <c r="BE143" s="152">
        <f t="shared" si="70"/>
        <v>0</v>
      </c>
      <c r="BF143" s="152">
        <f t="shared" si="70"/>
        <v>0</v>
      </c>
      <c r="BG143" s="152">
        <f t="shared" si="70"/>
        <v>0</v>
      </c>
      <c r="BH143" s="152">
        <f t="shared" si="70"/>
        <v>0</v>
      </c>
      <c r="BI143" s="152">
        <f t="shared" si="70"/>
        <v>0</v>
      </c>
      <c r="BJ143" s="152">
        <f t="shared" si="70"/>
        <v>0</v>
      </c>
      <c r="BK143" s="152">
        <f t="shared" si="70"/>
        <v>0</v>
      </c>
      <c r="BL143" s="152">
        <f t="shared" si="70"/>
        <v>0</v>
      </c>
      <c r="BM143" s="152">
        <f t="shared" si="70"/>
        <v>0</v>
      </c>
      <c r="BN143" s="152">
        <f t="shared" si="70"/>
        <v>0</v>
      </c>
      <c r="BO143" s="152">
        <f t="shared" ref="BO143:BP143" si="71">SUM(BO107,BO95,BO27)</f>
        <v>0</v>
      </c>
      <c r="BP143" s="152">
        <f t="shared" si="71"/>
        <v>0</v>
      </c>
      <c r="BQ143" s="152"/>
      <c r="BR143" s="152"/>
      <c r="BS143" s="152"/>
      <c r="BT143" s="152"/>
      <c r="BU143" s="152"/>
      <c r="BV143" s="152"/>
    </row>
    <row r="144" spans="1:74" s="102" customFormat="1" x14ac:dyDescent="0.25">
      <c r="A144" s="197" t="s">
        <v>132</v>
      </c>
      <c r="B144" s="76">
        <f t="shared" si="35"/>
        <v>5207</v>
      </c>
      <c r="C144" s="152">
        <f t="shared" ref="C144:BN144" si="72">SUM(C121,C80,C36)</f>
        <v>3300</v>
      </c>
      <c r="D144" s="152">
        <f t="shared" si="72"/>
        <v>0</v>
      </c>
      <c r="E144" s="152">
        <f t="shared" si="72"/>
        <v>0</v>
      </c>
      <c r="F144" s="152">
        <f t="shared" si="72"/>
        <v>0</v>
      </c>
      <c r="G144" s="152">
        <f t="shared" si="72"/>
        <v>0</v>
      </c>
      <c r="H144" s="152">
        <f t="shared" si="72"/>
        <v>0</v>
      </c>
      <c r="I144" s="152">
        <f t="shared" si="72"/>
        <v>0</v>
      </c>
      <c r="J144" s="152">
        <f t="shared" si="72"/>
        <v>0</v>
      </c>
      <c r="K144" s="152">
        <f t="shared" si="72"/>
        <v>0</v>
      </c>
      <c r="L144" s="152">
        <f t="shared" si="72"/>
        <v>0</v>
      </c>
      <c r="M144" s="152">
        <f t="shared" si="72"/>
        <v>0</v>
      </c>
      <c r="N144" s="152">
        <f t="shared" si="72"/>
        <v>0</v>
      </c>
      <c r="O144" s="152">
        <f t="shared" si="72"/>
        <v>0</v>
      </c>
      <c r="P144" s="152">
        <f t="shared" si="72"/>
        <v>0</v>
      </c>
      <c r="Q144" s="152">
        <f t="shared" si="72"/>
        <v>0</v>
      </c>
      <c r="R144" s="152">
        <f t="shared" si="72"/>
        <v>0</v>
      </c>
      <c r="S144" s="152">
        <f t="shared" si="72"/>
        <v>0</v>
      </c>
      <c r="T144" s="152">
        <f t="shared" si="72"/>
        <v>0</v>
      </c>
      <c r="U144" s="152">
        <f t="shared" si="72"/>
        <v>0</v>
      </c>
      <c r="V144" s="152">
        <f t="shared" si="72"/>
        <v>0</v>
      </c>
      <c r="W144" s="152">
        <f t="shared" si="72"/>
        <v>1793</v>
      </c>
      <c r="X144" s="152">
        <f t="shared" si="72"/>
        <v>0</v>
      </c>
      <c r="Y144" s="152">
        <f t="shared" si="72"/>
        <v>0</v>
      </c>
      <c r="Z144" s="152">
        <f t="shared" si="72"/>
        <v>0</v>
      </c>
      <c r="AA144" s="152">
        <f t="shared" si="72"/>
        <v>0</v>
      </c>
      <c r="AB144" s="152">
        <f t="shared" si="72"/>
        <v>0</v>
      </c>
      <c r="AC144" s="152">
        <f t="shared" si="72"/>
        <v>0</v>
      </c>
      <c r="AD144" s="152">
        <f t="shared" si="72"/>
        <v>0</v>
      </c>
      <c r="AE144" s="152">
        <f t="shared" si="72"/>
        <v>0</v>
      </c>
      <c r="AF144" s="152">
        <f t="shared" si="72"/>
        <v>0</v>
      </c>
      <c r="AG144" s="152">
        <f t="shared" si="72"/>
        <v>0</v>
      </c>
      <c r="AH144" s="152">
        <f t="shared" si="72"/>
        <v>0</v>
      </c>
      <c r="AI144" s="152">
        <f t="shared" si="72"/>
        <v>0</v>
      </c>
      <c r="AJ144" s="152">
        <f t="shared" si="72"/>
        <v>0</v>
      </c>
      <c r="AK144" s="152">
        <f t="shared" si="72"/>
        <v>0</v>
      </c>
      <c r="AL144" s="152">
        <f t="shared" si="72"/>
        <v>0</v>
      </c>
      <c r="AM144" s="152">
        <f t="shared" si="72"/>
        <v>0</v>
      </c>
      <c r="AN144" s="152">
        <f t="shared" si="72"/>
        <v>0</v>
      </c>
      <c r="AO144" s="152">
        <f t="shared" si="72"/>
        <v>0</v>
      </c>
      <c r="AP144" s="152">
        <f t="shared" si="72"/>
        <v>0</v>
      </c>
      <c r="AQ144" s="152">
        <f t="shared" si="72"/>
        <v>0</v>
      </c>
      <c r="AR144" s="152">
        <f t="shared" si="72"/>
        <v>0</v>
      </c>
      <c r="AS144" s="152">
        <f t="shared" si="72"/>
        <v>0</v>
      </c>
      <c r="AT144" s="152">
        <f t="shared" si="72"/>
        <v>0</v>
      </c>
      <c r="AU144" s="152">
        <f t="shared" si="72"/>
        <v>0</v>
      </c>
      <c r="AV144" s="152">
        <f t="shared" si="72"/>
        <v>0</v>
      </c>
      <c r="AW144" s="152">
        <f t="shared" si="72"/>
        <v>0</v>
      </c>
      <c r="AX144" s="152">
        <f t="shared" si="72"/>
        <v>0</v>
      </c>
      <c r="AY144" s="152">
        <f t="shared" si="72"/>
        <v>0</v>
      </c>
      <c r="AZ144" s="152">
        <f t="shared" si="72"/>
        <v>0</v>
      </c>
      <c r="BA144" s="152">
        <f t="shared" si="72"/>
        <v>0</v>
      </c>
      <c r="BB144" s="152">
        <f t="shared" si="72"/>
        <v>0</v>
      </c>
      <c r="BC144" s="152">
        <f t="shared" si="72"/>
        <v>0</v>
      </c>
      <c r="BD144" s="152">
        <f t="shared" si="72"/>
        <v>0</v>
      </c>
      <c r="BE144" s="152">
        <f t="shared" si="72"/>
        <v>114</v>
      </c>
      <c r="BF144" s="152">
        <f t="shared" si="72"/>
        <v>0</v>
      </c>
      <c r="BG144" s="152">
        <f t="shared" si="72"/>
        <v>0</v>
      </c>
      <c r="BH144" s="152">
        <f t="shared" si="72"/>
        <v>0</v>
      </c>
      <c r="BI144" s="152">
        <f t="shared" si="72"/>
        <v>0</v>
      </c>
      <c r="BJ144" s="152">
        <f t="shared" si="72"/>
        <v>0</v>
      </c>
      <c r="BK144" s="152">
        <f t="shared" si="72"/>
        <v>0</v>
      </c>
      <c r="BL144" s="152">
        <f t="shared" si="72"/>
        <v>0</v>
      </c>
      <c r="BM144" s="152">
        <f t="shared" si="72"/>
        <v>0</v>
      </c>
      <c r="BN144" s="152">
        <f t="shared" si="72"/>
        <v>0</v>
      </c>
      <c r="BO144" s="152">
        <f t="shared" ref="BO144:BP144" si="73">SUM(BO121,BO80,BO36)</f>
        <v>0</v>
      </c>
      <c r="BP144" s="152">
        <f t="shared" si="73"/>
        <v>0</v>
      </c>
      <c r="BQ144" s="152"/>
      <c r="BR144" s="152"/>
      <c r="BS144" s="152"/>
      <c r="BT144" s="152"/>
      <c r="BU144" s="152"/>
      <c r="BV144" s="152"/>
    </row>
    <row r="145" spans="1:74" s="102" customFormat="1" x14ac:dyDescent="0.25">
      <c r="A145" s="197" t="s">
        <v>206</v>
      </c>
      <c r="B145" s="76">
        <f t="shared" si="35"/>
        <v>19383</v>
      </c>
      <c r="C145" s="152">
        <f>SUM(C81,C62)</f>
        <v>19383</v>
      </c>
      <c r="D145" s="152">
        <f t="shared" ref="D145:BO145" si="74">SUM(D81,D62)</f>
        <v>0</v>
      </c>
      <c r="E145" s="152">
        <f t="shared" si="74"/>
        <v>0</v>
      </c>
      <c r="F145" s="152">
        <f t="shared" si="74"/>
        <v>0</v>
      </c>
      <c r="G145" s="152">
        <f t="shared" si="74"/>
        <v>0</v>
      </c>
      <c r="H145" s="152">
        <f t="shared" si="74"/>
        <v>0</v>
      </c>
      <c r="I145" s="152">
        <f t="shared" si="74"/>
        <v>0</v>
      </c>
      <c r="J145" s="152">
        <f t="shared" si="74"/>
        <v>0</v>
      </c>
      <c r="K145" s="152">
        <f t="shared" si="74"/>
        <v>0</v>
      </c>
      <c r="L145" s="152">
        <f t="shared" si="74"/>
        <v>0</v>
      </c>
      <c r="M145" s="152">
        <f t="shared" si="74"/>
        <v>0</v>
      </c>
      <c r="N145" s="152">
        <f t="shared" si="74"/>
        <v>0</v>
      </c>
      <c r="O145" s="152">
        <f t="shared" si="74"/>
        <v>0</v>
      </c>
      <c r="P145" s="152">
        <f t="shared" si="74"/>
        <v>0</v>
      </c>
      <c r="Q145" s="152">
        <f t="shared" si="74"/>
        <v>0</v>
      </c>
      <c r="R145" s="152">
        <f t="shared" si="74"/>
        <v>0</v>
      </c>
      <c r="S145" s="152">
        <f t="shared" si="74"/>
        <v>0</v>
      </c>
      <c r="T145" s="152">
        <f t="shared" si="74"/>
        <v>0</v>
      </c>
      <c r="U145" s="152">
        <f t="shared" si="74"/>
        <v>0</v>
      </c>
      <c r="V145" s="152">
        <f t="shared" si="74"/>
        <v>0</v>
      </c>
      <c r="W145" s="152">
        <f t="shared" si="74"/>
        <v>0</v>
      </c>
      <c r="X145" s="152">
        <f t="shared" si="74"/>
        <v>0</v>
      </c>
      <c r="Y145" s="152">
        <f t="shared" si="74"/>
        <v>0</v>
      </c>
      <c r="Z145" s="152">
        <f t="shared" si="74"/>
        <v>0</v>
      </c>
      <c r="AA145" s="152">
        <f t="shared" si="74"/>
        <v>0</v>
      </c>
      <c r="AB145" s="152">
        <f t="shared" si="74"/>
        <v>0</v>
      </c>
      <c r="AC145" s="152">
        <f t="shared" si="74"/>
        <v>0</v>
      </c>
      <c r="AD145" s="152">
        <f t="shared" si="74"/>
        <v>0</v>
      </c>
      <c r="AE145" s="152">
        <f t="shared" si="74"/>
        <v>0</v>
      </c>
      <c r="AF145" s="152">
        <f t="shared" si="74"/>
        <v>0</v>
      </c>
      <c r="AG145" s="152">
        <f t="shared" si="74"/>
        <v>0</v>
      </c>
      <c r="AH145" s="152">
        <f t="shared" si="74"/>
        <v>0</v>
      </c>
      <c r="AI145" s="152">
        <f t="shared" si="74"/>
        <v>0</v>
      </c>
      <c r="AJ145" s="152">
        <f t="shared" si="74"/>
        <v>0</v>
      </c>
      <c r="AK145" s="152">
        <f t="shared" si="74"/>
        <v>0</v>
      </c>
      <c r="AL145" s="152">
        <f t="shared" si="74"/>
        <v>0</v>
      </c>
      <c r="AM145" s="152">
        <f t="shared" si="74"/>
        <v>0</v>
      </c>
      <c r="AN145" s="152">
        <f t="shared" si="74"/>
        <v>0</v>
      </c>
      <c r="AO145" s="152">
        <f t="shared" si="74"/>
        <v>0</v>
      </c>
      <c r="AP145" s="152">
        <f t="shared" si="74"/>
        <v>0</v>
      </c>
      <c r="AQ145" s="152">
        <f t="shared" si="74"/>
        <v>0</v>
      </c>
      <c r="AR145" s="152">
        <f t="shared" si="74"/>
        <v>0</v>
      </c>
      <c r="AS145" s="152">
        <f t="shared" si="74"/>
        <v>0</v>
      </c>
      <c r="AT145" s="152">
        <f t="shared" si="74"/>
        <v>0</v>
      </c>
      <c r="AU145" s="152">
        <f t="shared" si="74"/>
        <v>0</v>
      </c>
      <c r="AV145" s="152">
        <f t="shared" si="74"/>
        <v>0</v>
      </c>
      <c r="AW145" s="152">
        <f t="shared" si="74"/>
        <v>0</v>
      </c>
      <c r="AX145" s="152">
        <f t="shared" si="74"/>
        <v>0</v>
      </c>
      <c r="AY145" s="152">
        <f t="shared" si="74"/>
        <v>0</v>
      </c>
      <c r="AZ145" s="152">
        <f t="shared" si="74"/>
        <v>0</v>
      </c>
      <c r="BA145" s="152">
        <f t="shared" si="74"/>
        <v>0</v>
      </c>
      <c r="BB145" s="152">
        <f t="shared" si="74"/>
        <v>0</v>
      </c>
      <c r="BC145" s="152">
        <f t="shared" si="74"/>
        <v>0</v>
      </c>
      <c r="BD145" s="152">
        <f t="shared" si="74"/>
        <v>0</v>
      </c>
      <c r="BE145" s="152">
        <f t="shared" si="74"/>
        <v>0</v>
      </c>
      <c r="BF145" s="152">
        <f t="shared" si="74"/>
        <v>0</v>
      </c>
      <c r="BG145" s="152">
        <f t="shared" si="74"/>
        <v>0</v>
      </c>
      <c r="BH145" s="152">
        <f t="shared" si="74"/>
        <v>0</v>
      </c>
      <c r="BI145" s="152">
        <f t="shared" si="74"/>
        <v>0</v>
      </c>
      <c r="BJ145" s="152">
        <f t="shared" si="74"/>
        <v>0</v>
      </c>
      <c r="BK145" s="152">
        <f t="shared" si="74"/>
        <v>0</v>
      </c>
      <c r="BL145" s="152">
        <f t="shared" si="74"/>
        <v>0</v>
      </c>
      <c r="BM145" s="152">
        <f t="shared" si="74"/>
        <v>0</v>
      </c>
      <c r="BN145" s="152">
        <f t="shared" si="74"/>
        <v>0</v>
      </c>
      <c r="BO145" s="152">
        <f t="shared" si="74"/>
        <v>0</v>
      </c>
      <c r="BP145" s="152">
        <f t="shared" ref="BP145" si="75">SUM(BP81,BP62)</f>
        <v>0</v>
      </c>
      <c r="BQ145" s="152"/>
      <c r="BR145" s="152"/>
      <c r="BS145" s="152"/>
      <c r="BT145" s="152"/>
      <c r="BU145" s="152"/>
      <c r="BV145" s="152"/>
    </row>
    <row r="146" spans="1:74" s="102" customFormat="1" x14ac:dyDescent="0.25">
      <c r="A146" s="197" t="s">
        <v>236</v>
      </c>
      <c r="B146" s="76">
        <f t="shared" si="35"/>
        <v>493</v>
      </c>
      <c r="C146" s="152">
        <f t="shared" ref="C146:BN146" si="76">SUM(C96)</f>
        <v>493</v>
      </c>
      <c r="D146" s="152">
        <f t="shared" si="76"/>
        <v>0</v>
      </c>
      <c r="E146" s="152">
        <f t="shared" si="76"/>
        <v>0</v>
      </c>
      <c r="F146" s="152">
        <f t="shared" si="76"/>
        <v>0</v>
      </c>
      <c r="G146" s="152">
        <f t="shared" si="76"/>
        <v>0</v>
      </c>
      <c r="H146" s="152">
        <f t="shared" si="76"/>
        <v>0</v>
      </c>
      <c r="I146" s="152">
        <f t="shared" si="76"/>
        <v>0</v>
      </c>
      <c r="J146" s="152">
        <f t="shared" si="76"/>
        <v>0</v>
      </c>
      <c r="K146" s="152">
        <f t="shared" si="76"/>
        <v>0</v>
      </c>
      <c r="L146" s="152">
        <f t="shared" si="76"/>
        <v>0</v>
      </c>
      <c r="M146" s="152">
        <f t="shared" si="76"/>
        <v>0</v>
      </c>
      <c r="N146" s="152">
        <f t="shared" si="76"/>
        <v>0</v>
      </c>
      <c r="O146" s="152">
        <f t="shared" si="76"/>
        <v>0</v>
      </c>
      <c r="P146" s="152">
        <f t="shared" si="76"/>
        <v>0</v>
      </c>
      <c r="Q146" s="152">
        <f t="shared" si="76"/>
        <v>0</v>
      </c>
      <c r="R146" s="152">
        <f t="shared" si="76"/>
        <v>0</v>
      </c>
      <c r="S146" s="152">
        <f t="shared" si="76"/>
        <v>0</v>
      </c>
      <c r="T146" s="152">
        <f t="shared" si="76"/>
        <v>0</v>
      </c>
      <c r="U146" s="152">
        <f t="shared" si="76"/>
        <v>0</v>
      </c>
      <c r="V146" s="152">
        <f t="shared" si="76"/>
        <v>0</v>
      </c>
      <c r="W146" s="152">
        <f t="shared" si="76"/>
        <v>0</v>
      </c>
      <c r="X146" s="152">
        <f t="shared" si="76"/>
        <v>0</v>
      </c>
      <c r="Y146" s="152">
        <f t="shared" si="76"/>
        <v>0</v>
      </c>
      <c r="Z146" s="152">
        <f t="shared" si="76"/>
        <v>0</v>
      </c>
      <c r="AA146" s="152">
        <f t="shared" si="76"/>
        <v>0</v>
      </c>
      <c r="AB146" s="152">
        <f t="shared" si="76"/>
        <v>0</v>
      </c>
      <c r="AC146" s="152">
        <f t="shared" si="76"/>
        <v>0</v>
      </c>
      <c r="AD146" s="152">
        <f t="shared" si="76"/>
        <v>0</v>
      </c>
      <c r="AE146" s="152">
        <f t="shared" si="76"/>
        <v>0</v>
      </c>
      <c r="AF146" s="152">
        <f t="shared" si="76"/>
        <v>0</v>
      </c>
      <c r="AG146" s="152">
        <f t="shared" si="76"/>
        <v>0</v>
      </c>
      <c r="AH146" s="152">
        <f t="shared" si="76"/>
        <v>0</v>
      </c>
      <c r="AI146" s="152">
        <f t="shared" si="76"/>
        <v>0</v>
      </c>
      <c r="AJ146" s="152">
        <f t="shared" si="76"/>
        <v>0</v>
      </c>
      <c r="AK146" s="152">
        <f t="shared" si="76"/>
        <v>0</v>
      </c>
      <c r="AL146" s="152">
        <f t="shared" si="76"/>
        <v>0</v>
      </c>
      <c r="AM146" s="152">
        <f t="shared" si="76"/>
        <v>0</v>
      </c>
      <c r="AN146" s="152">
        <f t="shared" si="76"/>
        <v>0</v>
      </c>
      <c r="AO146" s="152">
        <f t="shared" si="76"/>
        <v>0</v>
      </c>
      <c r="AP146" s="152">
        <f t="shared" si="76"/>
        <v>0</v>
      </c>
      <c r="AQ146" s="152">
        <f t="shared" si="76"/>
        <v>0</v>
      </c>
      <c r="AR146" s="152">
        <f t="shared" si="76"/>
        <v>0</v>
      </c>
      <c r="AS146" s="152">
        <f t="shared" si="76"/>
        <v>0</v>
      </c>
      <c r="AT146" s="152">
        <f t="shared" si="76"/>
        <v>0</v>
      </c>
      <c r="AU146" s="152">
        <f t="shared" si="76"/>
        <v>0</v>
      </c>
      <c r="AV146" s="152">
        <f t="shared" si="76"/>
        <v>0</v>
      </c>
      <c r="AW146" s="152">
        <f t="shared" si="76"/>
        <v>0</v>
      </c>
      <c r="AX146" s="152">
        <f t="shared" si="76"/>
        <v>0</v>
      </c>
      <c r="AY146" s="152">
        <f t="shared" si="76"/>
        <v>0</v>
      </c>
      <c r="AZ146" s="152">
        <f t="shared" si="76"/>
        <v>0</v>
      </c>
      <c r="BA146" s="152">
        <f t="shared" si="76"/>
        <v>0</v>
      </c>
      <c r="BB146" s="152">
        <f t="shared" si="76"/>
        <v>0</v>
      </c>
      <c r="BC146" s="152">
        <f t="shared" si="76"/>
        <v>0</v>
      </c>
      <c r="BD146" s="152">
        <f t="shared" si="76"/>
        <v>0</v>
      </c>
      <c r="BE146" s="152">
        <f t="shared" si="76"/>
        <v>0</v>
      </c>
      <c r="BF146" s="152">
        <f t="shared" si="76"/>
        <v>0</v>
      </c>
      <c r="BG146" s="152">
        <f t="shared" si="76"/>
        <v>0</v>
      </c>
      <c r="BH146" s="152">
        <f t="shared" si="76"/>
        <v>0</v>
      </c>
      <c r="BI146" s="152">
        <f t="shared" si="76"/>
        <v>0</v>
      </c>
      <c r="BJ146" s="152">
        <f t="shared" si="76"/>
        <v>0</v>
      </c>
      <c r="BK146" s="152">
        <f t="shared" si="76"/>
        <v>0</v>
      </c>
      <c r="BL146" s="152">
        <f t="shared" si="76"/>
        <v>0</v>
      </c>
      <c r="BM146" s="152">
        <f t="shared" si="76"/>
        <v>0</v>
      </c>
      <c r="BN146" s="152">
        <f t="shared" si="76"/>
        <v>0</v>
      </c>
      <c r="BO146" s="152">
        <f t="shared" ref="BO146:BP146" si="77">SUM(BO96)</f>
        <v>0</v>
      </c>
      <c r="BP146" s="152">
        <f t="shared" si="77"/>
        <v>0</v>
      </c>
      <c r="BQ146" s="152"/>
      <c r="BR146" s="152"/>
      <c r="BS146" s="152"/>
      <c r="BT146" s="152"/>
      <c r="BU146" s="152"/>
      <c r="BV146" s="152"/>
    </row>
    <row r="147" spans="1:74" s="102" customFormat="1" x14ac:dyDescent="0.25">
      <c r="A147" s="197" t="s">
        <v>234</v>
      </c>
      <c r="B147" s="76">
        <f t="shared" si="35"/>
        <v>5979</v>
      </c>
      <c r="C147" s="152">
        <f>SUM(C97,C56)</f>
        <v>5979</v>
      </c>
      <c r="D147" s="152">
        <f t="shared" ref="D147:BO147" si="78">SUM(D97)</f>
        <v>0</v>
      </c>
      <c r="E147" s="152">
        <f t="shared" si="78"/>
        <v>0</v>
      </c>
      <c r="F147" s="152">
        <f t="shared" si="78"/>
        <v>0</v>
      </c>
      <c r="G147" s="152">
        <f t="shared" si="78"/>
        <v>0</v>
      </c>
      <c r="H147" s="152">
        <f t="shared" si="78"/>
        <v>0</v>
      </c>
      <c r="I147" s="152">
        <f t="shared" si="78"/>
        <v>0</v>
      </c>
      <c r="J147" s="152">
        <f t="shared" si="78"/>
        <v>0</v>
      </c>
      <c r="K147" s="152">
        <f t="shared" si="78"/>
        <v>0</v>
      </c>
      <c r="L147" s="152">
        <f t="shared" si="78"/>
        <v>0</v>
      </c>
      <c r="M147" s="152">
        <f t="shared" si="78"/>
        <v>0</v>
      </c>
      <c r="N147" s="152">
        <f t="shared" si="78"/>
        <v>0</v>
      </c>
      <c r="O147" s="152">
        <f t="shared" si="78"/>
        <v>0</v>
      </c>
      <c r="P147" s="152">
        <f t="shared" si="78"/>
        <v>0</v>
      </c>
      <c r="Q147" s="152">
        <f t="shared" si="78"/>
        <v>0</v>
      </c>
      <c r="R147" s="152">
        <f t="shared" si="78"/>
        <v>0</v>
      </c>
      <c r="S147" s="152">
        <f t="shared" si="78"/>
        <v>0</v>
      </c>
      <c r="T147" s="152">
        <f t="shared" si="78"/>
        <v>0</v>
      </c>
      <c r="U147" s="152">
        <f t="shared" si="78"/>
        <v>0</v>
      </c>
      <c r="V147" s="152">
        <f t="shared" si="78"/>
        <v>0</v>
      </c>
      <c r="W147" s="152">
        <f t="shared" si="78"/>
        <v>0</v>
      </c>
      <c r="X147" s="152">
        <f t="shared" si="78"/>
        <v>0</v>
      </c>
      <c r="Y147" s="152">
        <f t="shared" si="78"/>
        <v>0</v>
      </c>
      <c r="Z147" s="152">
        <f t="shared" si="78"/>
        <v>0</v>
      </c>
      <c r="AA147" s="152">
        <f t="shared" si="78"/>
        <v>0</v>
      </c>
      <c r="AB147" s="152">
        <f t="shared" si="78"/>
        <v>0</v>
      </c>
      <c r="AC147" s="152">
        <f t="shared" si="78"/>
        <v>0</v>
      </c>
      <c r="AD147" s="152">
        <f t="shared" si="78"/>
        <v>0</v>
      </c>
      <c r="AE147" s="152">
        <f t="shared" si="78"/>
        <v>0</v>
      </c>
      <c r="AF147" s="152">
        <f t="shared" si="78"/>
        <v>0</v>
      </c>
      <c r="AG147" s="152">
        <f t="shared" si="78"/>
        <v>0</v>
      </c>
      <c r="AH147" s="152">
        <f t="shared" si="78"/>
        <v>0</v>
      </c>
      <c r="AI147" s="152">
        <f t="shared" si="78"/>
        <v>0</v>
      </c>
      <c r="AJ147" s="152">
        <f t="shared" si="78"/>
        <v>0</v>
      </c>
      <c r="AK147" s="152">
        <f t="shared" si="78"/>
        <v>0</v>
      </c>
      <c r="AL147" s="152">
        <f t="shared" si="78"/>
        <v>0</v>
      </c>
      <c r="AM147" s="152">
        <f t="shared" si="78"/>
        <v>0</v>
      </c>
      <c r="AN147" s="152">
        <f t="shared" si="78"/>
        <v>0</v>
      </c>
      <c r="AO147" s="152">
        <f t="shared" si="78"/>
        <v>0</v>
      </c>
      <c r="AP147" s="152">
        <f t="shared" si="78"/>
        <v>0</v>
      </c>
      <c r="AQ147" s="152">
        <f t="shared" si="78"/>
        <v>0</v>
      </c>
      <c r="AR147" s="152">
        <f t="shared" si="78"/>
        <v>0</v>
      </c>
      <c r="AS147" s="152">
        <f t="shared" si="78"/>
        <v>0</v>
      </c>
      <c r="AT147" s="152">
        <f t="shared" si="78"/>
        <v>0</v>
      </c>
      <c r="AU147" s="152">
        <f t="shared" si="78"/>
        <v>0</v>
      </c>
      <c r="AV147" s="152">
        <f t="shared" si="78"/>
        <v>0</v>
      </c>
      <c r="AW147" s="152">
        <f t="shared" si="78"/>
        <v>0</v>
      </c>
      <c r="AX147" s="152">
        <f t="shared" si="78"/>
        <v>0</v>
      </c>
      <c r="AY147" s="152">
        <f t="shared" si="78"/>
        <v>0</v>
      </c>
      <c r="AZ147" s="152">
        <f t="shared" si="78"/>
        <v>0</v>
      </c>
      <c r="BA147" s="152">
        <f t="shared" si="78"/>
        <v>0</v>
      </c>
      <c r="BB147" s="152">
        <f t="shared" si="78"/>
        <v>0</v>
      </c>
      <c r="BC147" s="152">
        <f t="shared" si="78"/>
        <v>0</v>
      </c>
      <c r="BD147" s="152">
        <f t="shared" si="78"/>
        <v>0</v>
      </c>
      <c r="BE147" s="152">
        <f t="shared" si="78"/>
        <v>0</v>
      </c>
      <c r="BF147" s="152">
        <f t="shared" si="78"/>
        <v>0</v>
      </c>
      <c r="BG147" s="152">
        <f t="shared" si="78"/>
        <v>0</v>
      </c>
      <c r="BH147" s="152">
        <f t="shared" si="78"/>
        <v>0</v>
      </c>
      <c r="BI147" s="152">
        <f t="shared" si="78"/>
        <v>0</v>
      </c>
      <c r="BJ147" s="152">
        <f t="shared" si="78"/>
        <v>0</v>
      </c>
      <c r="BK147" s="152">
        <f t="shared" si="78"/>
        <v>0</v>
      </c>
      <c r="BL147" s="152">
        <f t="shared" si="78"/>
        <v>0</v>
      </c>
      <c r="BM147" s="152">
        <f t="shared" si="78"/>
        <v>0</v>
      </c>
      <c r="BN147" s="152">
        <f t="shared" si="78"/>
        <v>0</v>
      </c>
      <c r="BO147" s="152">
        <f t="shared" si="78"/>
        <v>0</v>
      </c>
      <c r="BP147" s="152">
        <f t="shared" ref="BP147" si="79">SUM(BP97)</f>
        <v>0</v>
      </c>
      <c r="BQ147" s="152"/>
      <c r="BR147" s="152"/>
      <c r="BS147" s="152"/>
      <c r="BT147" s="152"/>
      <c r="BU147" s="152"/>
      <c r="BV147" s="152"/>
    </row>
    <row r="148" spans="1:74" x14ac:dyDescent="0.25">
      <c r="A148" s="91" t="s">
        <v>244</v>
      </c>
      <c r="B148" s="74">
        <f t="shared" ref="B148:BM148" si="80">SUM(B125:B147)</f>
        <v>733140</v>
      </c>
      <c r="C148" s="74">
        <f t="shared" si="80"/>
        <v>149699</v>
      </c>
      <c r="D148" s="74">
        <f t="shared" si="80"/>
        <v>0</v>
      </c>
      <c r="E148" s="74">
        <f t="shared" si="80"/>
        <v>0</v>
      </c>
      <c r="F148" s="74">
        <f t="shared" si="80"/>
        <v>0</v>
      </c>
      <c r="G148" s="74">
        <f t="shared" si="80"/>
        <v>0</v>
      </c>
      <c r="H148" s="74">
        <f t="shared" si="80"/>
        <v>0</v>
      </c>
      <c r="I148" s="74">
        <f t="shared" si="80"/>
        <v>0</v>
      </c>
      <c r="J148" s="74">
        <f t="shared" si="80"/>
        <v>238</v>
      </c>
      <c r="K148" s="74">
        <f t="shared" si="80"/>
        <v>836</v>
      </c>
      <c r="L148" s="74">
        <f t="shared" si="80"/>
        <v>614</v>
      </c>
      <c r="M148" s="74">
        <f t="shared" si="80"/>
        <v>1491</v>
      </c>
      <c r="N148" s="74">
        <f t="shared" si="80"/>
        <v>796</v>
      </c>
      <c r="O148" s="74">
        <f t="shared" si="80"/>
        <v>46914</v>
      </c>
      <c r="P148" s="74">
        <f t="shared" si="80"/>
        <v>62974</v>
      </c>
      <c r="Q148" s="74">
        <f t="shared" si="80"/>
        <v>114262</v>
      </c>
      <c r="R148" s="74">
        <f t="shared" si="80"/>
        <v>43811</v>
      </c>
      <c r="S148" s="74">
        <f t="shared" si="80"/>
        <v>33865</v>
      </c>
      <c r="T148" s="74">
        <f t="shared" si="80"/>
        <v>38533</v>
      </c>
      <c r="U148" s="74">
        <f t="shared" si="80"/>
        <v>31169</v>
      </c>
      <c r="V148" s="74">
        <f t="shared" si="80"/>
        <v>23351</v>
      </c>
      <c r="W148" s="74">
        <f t="shared" si="80"/>
        <v>23017</v>
      </c>
      <c r="X148" s="74">
        <f t="shared" si="80"/>
        <v>6258</v>
      </c>
      <c r="Y148" s="74">
        <f t="shared" si="80"/>
        <v>12619</v>
      </c>
      <c r="Z148" s="74">
        <f t="shared" si="80"/>
        <v>12883</v>
      </c>
      <c r="AA148" s="74">
        <f t="shared" si="80"/>
        <v>26194</v>
      </c>
      <c r="AB148" s="74">
        <f t="shared" si="80"/>
        <v>31899</v>
      </c>
      <c r="AC148" s="74">
        <f t="shared" si="80"/>
        <v>28833</v>
      </c>
      <c r="AD148" s="74">
        <f t="shared" si="80"/>
        <v>37338</v>
      </c>
      <c r="AE148" s="74">
        <f t="shared" si="80"/>
        <v>416</v>
      </c>
      <c r="AF148" s="74">
        <f t="shared" si="80"/>
        <v>755</v>
      </c>
      <c r="AG148" s="74">
        <f t="shared" si="80"/>
        <v>0</v>
      </c>
      <c r="AH148" s="74">
        <f t="shared" si="80"/>
        <v>0</v>
      </c>
      <c r="AI148" s="74">
        <f t="shared" si="80"/>
        <v>143</v>
      </c>
      <c r="AJ148" s="74">
        <f t="shared" si="80"/>
        <v>578</v>
      </c>
      <c r="AK148" s="74">
        <f t="shared" si="80"/>
        <v>182</v>
      </c>
      <c r="AL148" s="74">
        <f t="shared" si="80"/>
        <v>155</v>
      </c>
      <c r="AM148" s="74">
        <f t="shared" si="80"/>
        <v>2287</v>
      </c>
      <c r="AN148" s="74">
        <f t="shared" si="80"/>
        <v>102</v>
      </c>
      <c r="AO148" s="74">
        <f t="shared" si="80"/>
        <v>0</v>
      </c>
      <c r="AP148" s="74">
        <f t="shared" si="80"/>
        <v>7</v>
      </c>
      <c r="AQ148" s="74">
        <f t="shared" si="80"/>
        <v>285</v>
      </c>
      <c r="AR148" s="74">
        <f t="shared" si="80"/>
        <v>0</v>
      </c>
      <c r="AS148" s="74">
        <f t="shared" si="80"/>
        <v>259</v>
      </c>
      <c r="AT148" s="74">
        <f t="shared" si="80"/>
        <v>0</v>
      </c>
      <c r="AU148" s="74">
        <f t="shared" si="80"/>
        <v>0</v>
      </c>
      <c r="AV148" s="74">
        <f t="shared" si="80"/>
        <v>0</v>
      </c>
      <c r="AW148" s="74">
        <f t="shared" si="80"/>
        <v>0</v>
      </c>
      <c r="AX148" s="74">
        <f t="shared" si="80"/>
        <v>0</v>
      </c>
      <c r="AY148" s="74">
        <f t="shared" si="80"/>
        <v>0</v>
      </c>
      <c r="AZ148" s="74">
        <f t="shared" si="80"/>
        <v>162</v>
      </c>
      <c r="BA148" s="74">
        <f t="shared" si="80"/>
        <v>71</v>
      </c>
      <c r="BB148" s="74">
        <f t="shared" si="80"/>
        <v>0</v>
      </c>
      <c r="BC148" s="74">
        <f t="shared" si="80"/>
        <v>0</v>
      </c>
      <c r="BD148" s="74">
        <f t="shared" si="80"/>
        <v>0</v>
      </c>
      <c r="BE148" s="74">
        <f t="shared" si="80"/>
        <v>114</v>
      </c>
      <c r="BF148" s="74">
        <f t="shared" si="80"/>
        <v>0</v>
      </c>
      <c r="BG148" s="74">
        <f t="shared" si="80"/>
        <v>0</v>
      </c>
      <c r="BH148" s="74">
        <f t="shared" si="80"/>
        <v>0</v>
      </c>
      <c r="BI148" s="74">
        <f t="shared" si="80"/>
        <v>0</v>
      </c>
      <c r="BJ148" s="74">
        <f t="shared" si="80"/>
        <v>30</v>
      </c>
      <c r="BK148" s="74">
        <f t="shared" si="80"/>
        <v>0</v>
      </c>
      <c r="BL148" s="74">
        <f t="shared" si="80"/>
        <v>0</v>
      </c>
      <c r="BM148" s="74">
        <f t="shared" si="80"/>
        <v>0</v>
      </c>
      <c r="BN148" s="74">
        <f t="shared" ref="BN148:BP148" si="81">SUM(BN125:BN147)</f>
        <v>0</v>
      </c>
      <c r="BO148" s="74">
        <f t="shared" si="81"/>
        <v>0</v>
      </c>
      <c r="BP148" s="74">
        <f t="shared" si="81"/>
        <v>0</v>
      </c>
    </row>
    <row r="149" spans="1:74" s="102" customFormat="1" x14ac:dyDescent="0.25">
      <c r="A149" s="205"/>
      <c r="B149" s="206"/>
      <c r="C149" s="206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  <c r="BJ149" s="207"/>
      <c r="BK149" s="207"/>
      <c r="BL149" s="207"/>
      <c r="BM149" s="207"/>
      <c r="BN149" s="207"/>
      <c r="BO149" s="207"/>
      <c r="BP149" s="207"/>
      <c r="BQ149" s="152"/>
      <c r="BR149" s="152"/>
      <c r="BS149" s="152"/>
      <c r="BT149" s="152"/>
      <c r="BU149" s="152"/>
      <c r="BV149" s="152"/>
    </row>
    <row r="150" spans="1:74" x14ac:dyDescent="0.25">
      <c r="A150" s="90" t="s">
        <v>164</v>
      </c>
      <c r="C150" s="208"/>
    </row>
    <row r="151" spans="1:74" x14ac:dyDescent="0.25">
      <c r="A151" s="87" t="s">
        <v>165</v>
      </c>
      <c r="B151" s="72">
        <f>SUM(B126,B128,B131,B135,B138,B141,B144)</f>
        <v>20459</v>
      </c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  <c r="BI151" s="208"/>
      <c r="BJ151" s="208"/>
      <c r="BK151" s="208"/>
      <c r="BL151" s="208"/>
      <c r="BM151" s="208"/>
      <c r="BN151" s="208"/>
      <c r="BO151" s="208"/>
      <c r="BP151" s="208"/>
    </row>
    <row r="152" spans="1:74" x14ac:dyDescent="0.25">
      <c r="A152" s="87" t="s">
        <v>245</v>
      </c>
      <c r="B152" s="72">
        <f>SUM(B147,B146,B142,B139,B136,B129,B132)</f>
        <v>16362</v>
      </c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  <c r="BI152" s="208"/>
      <c r="BJ152" s="208"/>
      <c r="BK152" s="208"/>
      <c r="BL152" s="208"/>
      <c r="BM152" s="208"/>
      <c r="BN152" s="208"/>
      <c r="BO152" s="208"/>
      <c r="BP152" s="208"/>
    </row>
    <row r="153" spans="1:74" x14ac:dyDescent="0.25">
      <c r="A153" s="87" t="s">
        <v>208</v>
      </c>
      <c r="B153" s="72">
        <f>B81+B62</f>
        <v>19383</v>
      </c>
    </row>
    <row r="154" spans="1:74" x14ac:dyDescent="0.25">
      <c r="A154" s="87" t="s">
        <v>166</v>
      </c>
      <c r="B154" s="72">
        <f>SUM(B125,B127,B130,B133,B134,B137,B140,B143)</f>
        <v>676936</v>
      </c>
    </row>
    <row r="155" spans="1:74" s="210" customFormat="1" x14ac:dyDescent="0.25">
      <c r="A155" s="91" t="s">
        <v>167</v>
      </c>
      <c r="B155" s="74">
        <f>SUM(B151:B154)</f>
        <v>733140</v>
      </c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  <c r="BJ155" s="209"/>
      <c r="BK155" s="209"/>
      <c r="BL155" s="209"/>
      <c r="BM155" s="209"/>
      <c r="BN155" s="209"/>
      <c r="BO155" s="209"/>
      <c r="BP155" s="209"/>
      <c r="BQ155" s="209"/>
      <c r="BR155" s="209"/>
      <c r="BS155" s="209"/>
      <c r="BT155" s="209"/>
      <c r="BU155" s="209"/>
      <c r="BV155" s="209"/>
    </row>
    <row r="157" spans="1:74" x14ac:dyDescent="0.25">
      <c r="B157" s="211"/>
    </row>
  </sheetData>
  <pageMargins left="0.7" right="0.7" top="0.75" bottom="0.75" header="0.3" footer="0.3"/>
  <pageSetup scale="61" fitToWidth="0" orientation="landscape" r:id="rId1"/>
  <headerFooter>
    <oddHeader xml:space="preserve">&amp;RSchedule VI
</oddHeader>
    <oddFooter>&amp;C&amp;P of &amp;N</oddFooter>
  </headerFooter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8"/>
  <sheetViews>
    <sheetView view="pageBreakPreview" zoomScale="60" zoomScaleNormal="100" workbookViewId="0">
      <selection activeCell="F13" sqref="F13"/>
    </sheetView>
  </sheetViews>
  <sheetFormatPr defaultRowHeight="15" x14ac:dyDescent="0.25"/>
  <cols>
    <col min="2" max="2" width="47.7109375" customWidth="1"/>
    <col min="3" max="3" width="11.5703125" bestFit="1" customWidth="1"/>
    <col min="4" max="4" width="7.140625" customWidth="1"/>
    <col min="5" max="5" width="14.28515625" bestFit="1" customWidth="1"/>
    <col min="9" max="11" width="13.28515625" bestFit="1" customWidth="1"/>
  </cols>
  <sheetData>
    <row r="1" spans="1:11" x14ac:dyDescent="0.25">
      <c r="A1" s="43" t="s">
        <v>51</v>
      </c>
      <c r="F1" s="44" t="s">
        <v>102</v>
      </c>
    </row>
    <row r="2" spans="1:11" x14ac:dyDescent="0.25">
      <c r="A2" s="43" t="s">
        <v>195</v>
      </c>
    </row>
    <row r="3" spans="1:11" x14ac:dyDescent="0.25">
      <c r="A3" s="43"/>
    </row>
    <row r="8" spans="1:11" x14ac:dyDescent="0.25">
      <c r="C8" s="246" t="s">
        <v>108</v>
      </c>
      <c r="D8" s="246"/>
      <c r="E8" s="246"/>
      <c r="J8" s="182"/>
      <c r="K8" s="182"/>
    </row>
    <row r="9" spans="1:11" x14ac:dyDescent="0.25">
      <c r="C9" s="51" t="s">
        <v>107</v>
      </c>
      <c r="D9" s="47"/>
      <c r="E9" s="51" t="s">
        <v>110</v>
      </c>
    </row>
    <row r="10" spans="1:11" x14ac:dyDescent="0.25">
      <c r="A10" t="s">
        <v>109</v>
      </c>
      <c r="C10" s="33">
        <v>3301000</v>
      </c>
      <c r="D10" s="54"/>
      <c r="E10" s="19">
        <v>7723000</v>
      </c>
      <c r="F10" s="45" t="s">
        <v>97</v>
      </c>
      <c r="I10" s="48"/>
      <c r="J10" s="182"/>
      <c r="K10" s="182"/>
    </row>
    <row r="11" spans="1:11" x14ac:dyDescent="0.25">
      <c r="A11" t="s">
        <v>106</v>
      </c>
      <c r="C11" s="34">
        <v>446000</v>
      </c>
      <c r="D11" s="54"/>
      <c r="E11" s="34">
        <v>1527000</v>
      </c>
      <c r="F11" s="45" t="s">
        <v>98</v>
      </c>
    </row>
    <row r="12" spans="1:11" x14ac:dyDescent="0.25">
      <c r="A12" t="s">
        <v>99</v>
      </c>
      <c r="C12" s="34">
        <v>24000</v>
      </c>
      <c r="D12" s="54"/>
      <c r="E12" s="13">
        <v>243000</v>
      </c>
      <c r="F12" s="69" t="s">
        <v>251</v>
      </c>
      <c r="J12" s="49"/>
      <c r="K12" s="49"/>
    </row>
    <row r="13" spans="1:11" x14ac:dyDescent="0.25">
      <c r="A13" t="s">
        <v>101</v>
      </c>
      <c r="C13" s="37">
        <v>228000</v>
      </c>
      <c r="D13" s="54"/>
      <c r="E13" s="14">
        <v>623000</v>
      </c>
      <c r="F13" s="45" t="s">
        <v>100</v>
      </c>
      <c r="J13" s="49"/>
      <c r="K13" s="49"/>
    </row>
    <row r="14" spans="1:11" x14ac:dyDescent="0.25">
      <c r="C14" s="34">
        <f>SUM(C10:C13)</f>
        <v>3999000</v>
      </c>
      <c r="D14" s="45"/>
      <c r="E14" s="34">
        <f>SUM(E10:E13)</f>
        <v>10116000</v>
      </c>
    </row>
    <row r="16" spans="1:11" ht="15" customHeight="1" x14ac:dyDescent="0.25">
      <c r="A16" s="46" t="s">
        <v>97</v>
      </c>
      <c r="B16" s="248" t="s">
        <v>225</v>
      </c>
      <c r="C16" s="248"/>
      <c r="D16" s="248"/>
      <c r="E16" s="248"/>
      <c r="F16" s="248"/>
    </row>
    <row r="17" spans="1:6" x14ac:dyDescent="0.25">
      <c r="A17" s="46"/>
      <c r="B17" s="248"/>
      <c r="C17" s="248"/>
      <c r="D17" s="248"/>
      <c r="E17" s="248"/>
      <c r="F17" s="248"/>
    </row>
    <row r="18" spans="1:6" x14ac:dyDescent="0.25">
      <c r="A18" s="46"/>
      <c r="B18" s="54"/>
      <c r="C18" s="54"/>
      <c r="D18" s="54"/>
      <c r="E18" s="54"/>
      <c r="F18" s="54"/>
    </row>
    <row r="19" spans="1:6" x14ac:dyDescent="0.25">
      <c r="A19" s="46" t="s">
        <v>98</v>
      </c>
      <c r="B19" s="247" t="s">
        <v>226</v>
      </c>
      <c r="C19" s="247"/>
      <c r="D19" s="247"/>
      <c r="E19" s="247"/>
      <c r="F19" s="247"/>
    </row>
    <row r="20" spans="1:6" x14ac:dyDescent="0.25">
      <c r="A20" s="46"/>
      <c r="B20" s="247"/>
      <c r="C20" s="247"/>
      <c r="D20" s="247"/>
      <c r="E20" s="247"/>
      <c r="F20" s="247"/>
    </row>
    <row r="21" spans="1:6" s="54" customFormat="1" x14ac:dyDescent="0.25">
      <c r="A21" s="196"/>
    </row>
    <row r="22" spans="1:6" ht="15" customHeight="1" x14ac:dyDescent="0.25">
      <c r="A22" s="46" t="s">
        <v>251</v>
      </c>
      <c r="B22" s="249" t="s">
        <v>227</v>
      </c>
      <c r="C22" s="249"/>
      <c r="D22" s="249"/>
      <c r="E22" s="249"/>
      <c r="F22" s="249"/>
    </row>
    <row r="23" spans="1:6" x14ac:dyDescent="0.25">
      <c r="A23" s="46"/>
      <c r="B23" s="249"/>
      <c r="C23" s="249"/>
      <c r="D23" s="249"/>
      <c r="E23" s="249"/>
      <c r="F23" s="249"/>
    </row>
    <row r="24" spans="1:6" x14ac:dyDescent="0.25">
      <c r="A24" s="46"/>
      <c r="B24" s="193"/>
      <c r="C24" s="193"/>
      <c r="D24" s="193"/>
      <c r="E24" s="193"/>
      <c r="F24" s="193"/>
    </row>
    <row r="25" spans="1:6" ht="15" customHeight="1" x14ac:dyDescent="0.25">
      <c r="A25" s="46" t="s">
        <v>100</v>
      </c>
      <c r="B25" s="249" t="s">
        <v>250</v>
      </c>
      <c r="C25" s="249"/>
      <c r="D25" s="249"/>
      <c r="E25" s="249"/>
      <c r="F25" s="249"/>
    </row>
    <row r="26" spans="1:6" x14ac:dyDescent="0.25">
      <c r="A26" s="46"/>
      <c r="B26" s="249"/>
      <c r="C26" s="249"/>
      <c r="D26" s="249"/>
      <c r="E26" s="249"/>
      <c r="F26" s="249"/>
    </row>
    <row r="27" spans="1:6" x14ac:dyDescent="0.25">
      <c r="A27" s="46"/>
      <c r="B27" s="249"/>
      <c r="C27" s="249"/>
      <c r="D27" s="249"/>
      <c r="E27" s="249"/>
      <c r="F27" s="249"/>
    </row>
    <row r="28" spans="1:6" x14ac:dyDescent="0.25">
      <c r="A28" s="46"/>
      <c r="B28" s="249"/>
      <c r="C28" s="249"/>
      <c r="D28" s="249"/>
      <c r="E28" s="249"/>
      <c r="F28" s="249"/>
    </row>
  </sheetData>
  <mergeCells count="5">
    <mergeCell ref="C8:E8"/>
    <mergeCell ref="B19:F20"/>
    <mergeCell ref="B16:F17"/>
    <mergeCell ref="B22:F23"/>
    <mergeCell ref="B25:F28"/>
  </mergeCells>
  <pageMargins left="0.7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30"/>
  <sheetViews>
    <sheetView view="pageBreakPreview" zoomScale="60" zoomScaleNormal="100" workbookViewId="0">
      <selection activeCell="J34" sqref="J34"/>
    </sheetView>
  </sheetViews>
  <sheetFormatPr defaultColWidth="9" defaultRowHeight="15" x14ac:dyDescent="0.25"/>
  <cols>
    <col min="1" max="1" width="9" style="162"/>
    <col min="2" max="2" width="21" style="162" bestFit="1" customWidth="1"/>
    <col min="3" max="3" width="12.7109375" style="162" customWidth="1"/>
    <col min="4" max="4" width="3.7109375" style="162" customWidth="1"/>
    <col min="5" max="5" width="12.7109375" style="162" customWidth="1"/>
    <col min="6" max="6" width="3.7109375" style="230" customWidth="1"/>
    <col min="7" max="19" width="12.7109375" style="162" customWidth="1"/>
    <col min="20" max="16384" width="9" style="162"/>
  </cols>
  <sheetData>
    <row r="1" spans="1:21" x14ac:dyDescent="0.25">
      <c r="A1" s="86" t="s">
        <v>51</v>
      </c>
      <c r="B1" s="87"/>
      <c r="I1" s="55" t="s">
        <v>185</v>
      </c>
    </row>
    <row r="2" spans="1:21" x14ac:dyDescent="0.25">
      <c r="A2" s="86" t="s">
        <v>140</v>
      </c>
      <c r="B2" s="87"/>
    </row>
    <row r="4" spans="1:21" x14ac:dyDescent="0.25">
      <c r="C4" s="54"/>
      <c r="D4" s="54"/>
      <c r="E4" s="228">
        <v>2020</v>
      </c>
      <c r="F4" s="32"/>
      <c r="G4" s="228">
        <v>2021</v>
      </c>
      <c r="H4" s="228">
        <v>2022</v>
      </c>
      <c r="I4" s="228">
        <v>2023</v>
      </c>
      <c r="J4" s="228">
        <v>2024</v>
      </c>
      <c r="K4" s="228">
        <v>2025</v>
      </c>
      <c r="L4" s="228">
        <v>2026</v>
      </c>
      <c r="M4" s="228">
        <v>2027</v>
      </c>
      <c r="N4" s="228">
        <v>2028</v>
      </c>
      <c r="O4" s="228">
        <v>2029</v>
      </c>
      <c r="P4" s="228">
        <v>2030</v>
      </c>
      <c r="Q4" s="228">
        <v>2031</v>
      </c>
      <c r="R4" s="228">
        <v>2032</v>
      </c>
      <c r="S4" s="228">
        <v>2033</v>
      </c>
      <c r="T4" s="54"/>
    </row>
    <row r="5" spans="1:21" x14ac:dyDescent="0.25">
      <c r="A5" s="55" t="s">
        <v>178</v>
      </c>
      <c r="C5" s="54"/>
      <c r="D5" s="54"/>
      <c r="E5" s="54"/>
      <c r="F5" s="36"/>
      <c r="G5" s="34">
        <v>4872492.9537999276</v>
      </c>
      <c r="H5" s="34">
        <v>5695714.0772694219</v>
      </c>
      <c r="I5" s="34">
        <v>6495415.2491235305</v>
      </c>
      <c r="J5" s="34">
        <v>7271768.764110879</v>
      </c>
      <c r="K5" s="34">
        <v>8024642.9724920606</v>
      </c>
      <c r="L5" s="34">
        <v>8754153.7750178073</v>
      </c>
      <c r="M5" s="34">
        <v>9460159.6637681872</v>
      </c>
      <c r="N5" s="34">
        <v>10142661.029902201</v>
      </c>
      <c r="O5" s="34">
        <v>10801784.62458178</v>
      </c>
      <c r="P5" s="34">
        <v>11437618.798107635</v>
      </c>
      <c r="Q5" s="34">
        <v>12050040.948732495</v>
      </c>
      <c r="R5" s="34">
        <v>12640060.044494644</v>
      </c>
      <c r="S5" s="34">
        <v>13207135.315901581</v>
      </c>
      <c r="T5" s="34"/>
      <c r="U5" s="182"/>
    </row>
    <row r="6" spans="1:21" x14ac:dyDescent="0.25">
      <c r="C6" s="54"/>
      <c r="D6" s="54"/>
      <c r="E6" s="54"/>
      <c r="F6" s="36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82"/>
    </row>
    <row r="7" spans="1:21" x14ac:dyDescent="0.25">
      <c r="C7" s="54"/>
      <c r="D7" s="54"/>
      <c r="E7" s="54"/>
      <c r="F7" s="36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82"/>
    </row>
    <row r="8" spans="1:21" x14ac:dyDescent="0.25">
      <c r="A8" s="55" t="s">
        <v>179</v>
      </c>
      <c r="C8" s="54"/>
      <c r="D8" s="54"/>
      <c r="E8" s="54"/>
      <c r="F8" s="36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182"/>
    </row>
    <row r="9" spans="1:21" x14ac:dyDescent="0.25">
      <c r="B9" s="231" t="s">
        <v>4</v>
      </c>
      <c r="C9" s="54"/>
      <c r="D9" s="54"/>
      <c r="E9" s="232">
        <v>0.54322563199912766</v>
      </c>
      <c r="F9" s="233"/>
      <c r="G9" s="34">
        <v>2646863.0642392621</v>
      </c>
      <c r="H9" s="34">
        <v>3094057.8793110098</v>
      </c>
      <c r="I9" s="34">
        <v>3528476.0538019012</v>
      </c>
      <c r="J9" s="34">
        <v>3950211.1826356477</v>
      </c>
      <c r="K9" s="34">
        <v>4359191.7502993578</v>
      </c>
      <c r="L9" s="34">
        <v>4755480.7170515973</v>
      </c>
      <c r="M9" s="34">
        <v>5139001.2121631289</v>
      </c>
      <c r="N9" s="34">
        <v>5509753.4481215458</v>
      </c>
      <c r="O9" s="34">
        <v>5867806.2794068977</v>
      </c>
      <c r="P9" s="34">
        <v>6213207.7001671232</v>
      </c>
      <c r="Q9" s="34">
        <v>6545891.1099905772</v>
      </c>
      <c r="R9" s="34">
        <v>6866404.6061775247</v>
      </c>
      <c r="S9" s="34">
        <v>7174454.4288786352</v>
      </c>
      <c r="T9" s="34"/>
      <c r="U9" s="182"/>
    </row>
    <row r="10" spans="1:21" x14ac:dyDescent="0.25">
      <c r="B10" s="231" t="s">
        <v>5</v>
      </c>
      <c r="C10" s="54"/>
      <c r="D10" s="54"/>
      <c r="E10" s="233">
        <v>0.14604183097939627</v>
      </c>
      <c r="F10" s="233"/>
      <c r="G10" s="34">
        <v>711587.79240714828</v>
      </c>
      <c r="H10" s="34">
        <v>831812.51257954887</v>
      </c>
      <c r="I10" s="34">
        <v>948602.33595349174</v>
      </c>
      <c r="J10" s="34">
        <v>1061982.4247695343</v>
      </c>
      <c r="K10" s="34">
        <v>1171933.5526586855</v>
      </c>
      <c r="L10" s="34">
        <v>1278472.6459787944</v>
      </c>
      <c r="M10" s="34">
        <v>1381579.0386541358</v>
      </c>
      <c r="N10" s="34">
        <v>1481252.7878102865</v>
      </c>
      <c r="O10" s="34">
        <v>1577512.4044190138</v>
      </c>
      <c r="P10" s="34">
        <v>1670370.7913200008</v>
      </c>
      <c r="Q10" s="34">
        <v>1759810.043529595</v>
      </c>
      <c r="R10" s="34">
        <v>1845977.5125875068</v>
      </c>
      <c r="S10" s="34">
        <v>1928794.2235269141</v>
      </c>
      <c r="T10" s="34"/>
      <c r="U10" s="182"/>
    </row>
    <row r="11" spans="1:21" x14ac:dyDescent="0.25">
      <c r="B11" s="231" t="s">
        <v>6</v>
      </c>
      <c r="C11" s="54"/>
      <c r="D11" s="54"/>
      <c r="E11" s="233">
        <v>0.25642837135875218</v>
      </c>
      <c r="F11" s="233"/>
      <c r="G11" s="34">
        <v>1249445.4325999112</v>
      </c>
      <c r="H11" s="34">
        <v>1460542.6845593159</v>
      </c>
      <c r="I11" s="34">
        <v>1665608.7536315506</v>
      </c>
      <c r="J11" s="34">
        <v>1864687.821078399</v>
      </c>
      <c r="K11" s="34">
        <v>2057746.128171595</v>
      </c>
      <c r="L11" s="34">
        <v>2244813.3951518885</v>
      </c>
      <c r="M11" s="34">
        <v>2425853.335373837</v>
      </c>
      <c r="N11" s="34">
        <v>2600866.0491417055</v>
      </c>
      <c r="O11" s="34">
        <v>2769884.0390495164</v>
      </c>
      <c r="P11" s="34">
        <v>2932929.9606209896</v>
      </c>
      <c r="Q11" s="34">
        <v>3089972.3752897466</v>
      </c>
      <c r="R11" s="34">
        <v>3241270.011086598</v>
      </c>
      <c r="S11" s="34">
        <v>3386684.1993713016</v>
      </c>
      <c r="T11" s="34"/>
      <c r="U11" s="182"/>
    </row>
    <row r="12" spans="1:21" x14ac:dyDescent="0.25">
      <c r="B12" s="231" t="s">
        <v>7</v>
      </c>
      <c r="C12" s="54"/>
      <c r="D12" s="54"/>
      <c r="E12" s="233">
        <v>5.4304165662723891E-2</v>
      </c>
      <c r="F12" s="233"/>
      <c r="G12" s="34">
        <v>264596.66455360613</v>
      </c>
      <c r="H12" s="34">
        <v>309301.00081954722</v>
      </c>
      <c r="I12" s="34">
        <v>352728.1057365872</v>
      </c>
      <c r="J12" s="34">
        <v>394887.33562729816</v>
      </c>
      <c r="K12" s="34">
        <v>435771.54136242194</v>
      </c>
      <c r="L12" s="34">
        <v>475387.01683552674</v>
      </c>
      <c r="M12" s="34">
        <v>513726.07757708599</v>
      </c>
      <c r="N12" s="34">
        <v>550788.74482866284</v>
      </c>
      <c r="O12" s="34">
        <v>586581.90170635283</v>
      </c>
      <c r="P12" s="34">
        <v>621110.3459995219</v>
      </c>
      <c r="Q12" s="34">
        <v>654367.41992257594</v>
      </c>
      <c r="R12" s="34">
        <v>686407.9146430142</v>
      </c>
      <c r="S12" s="34">
        <v>717202.46412473067</v>
      </c>
      <c r="T12" s="34"/>
      <c r="U12" s="182"/>
    </row>
    <row r="13" spans="1:21" x14ac:dyDescent="0.25">
      <c r="C13" s="54"/>
      <c r="D13" s="54"/>
      <c r="E13" s="36"/>
      <c r="F13" s="36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82"/>
    </row>
    <row r="14" spans="1:21" x14ac:dyDescent="0.25">
      <c r="C14" s="54"/>
      <c r="D14" s="54"/>
      <c r="E14" s="36"/>
      <c r="F14" s="3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182"/>
    </row>
    <row r="15" spans="1:21" x14ac:dyDescent="0.25">
      <c r="A15" s="55" t="s">
        <v>180</v>
      </c>
      <c r="C15" s="54"/>
      <c r="D15" s="54"/>
      <c r="E15" s="36"/>
      <c r="F15" s="36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82"/>
    </row>
    <row r="16" spans="1:21" x14ac:dyDescent="0.25">
      <c r="B16" s="231" t="s">
        <v>4</v>
      </c>
      <c r="C16" s="54"/>
      <c r="D16" s="54"/>
      <c r="E16" s="234">
        <v>365361</v>
      </c>
      <c r="F16" s="36"/>
      <c r="G16" s="34">
        <v>365361</v>
      </c>
      <c r="H16" s="34">
        <v>365361</v>
      </c>
      <c r="I16" s="34">
        <v>365361</v>
      </c>
      <c r="J16" s="34">
        <v>365361</v>
      </c>
      <c r="K16" s="34">
        <v>365361</v>
      </c>
      <c r="L16" s="34">
        <v>365361</v>
      </c>
      <c r="M16" s="34">
        <v>365361</v>
      </c>
      <c r="N16" s="34">
        <v>365361</v>
      </c>
      <c r="O16" s="34">
        <v>365361</v>
      </c>
      <c r="P16" s="34">
        <v>365361</v>
      </c>
      <c r="Q16" s="34">
        <v>365361</v>
      </c>
      <c r="R16" s="34">
        <v>365361</v>
      </c>
      <c r="S16" s="34">
        <v>365361</v>
      </c>
      <c r="T16" s="34"/>
      <c r="U16" s="182"/>
    </row>
    <row r="17" spans="1:21" x14ac:dyDescent="0.25">
      <c r="B17" s="231" t="s">
        <v>5</v>
      </c>
      <c r="C17" s="54"/>
      <c r="D17" s="54"/>
      <c r="E17" s="234">
        <v>51464</v>
      </c>
      <c r="F17" s="36"/>
      <c r="G17" s="34">
        <v>51464</v>
      </c>
      <c r="H17" s="34">
        <v>51464</v>
      </c>
      <c r="I17" s="34">
        <v>51464</v>
      </c>
      <c r="J17" s="34">
        <v>51464</v>
      </c>
      <c r="K17" s="34">
        <v>51464</v>
      </c>
      <c r="L17" s="34">
        <v>51464</v>
      </c>
      <c r="M17" s="34">
        <v>51464</v>
      </c>
      <c r="N17" s="34">
        <v>51464</v>
      </c>
      <c r="O17" s="34">
        <v>51464</v>
      </c>
      <c r="P17" s="34">
        <v>51464</v>
      </c>
      <c r="Q17" s="34">
        <v>51464</v>
      </c>
      <c r="R17" s="34">
        <v>51464</v>
      </c>
      <c r="S17" s="34">
        <v>51464</v>
      </c>
      <c r="T17" s="34"/>
      <c r="U17" s="182"/>
    </row>
    <row r="18" spans="1:21" x14ac:dyDescent="0.25">
      <c r="B18" s="231" t="s">
        <v>6</v>
      </c>
      <c r="C18" s="54"/>
      <c r="D18" s="54"/>
      <c r="E18" s="234">
        <v>12123</v>
      </c>
      <c r="F18" s="36"/>
      <c r="G18" s="34">
        <v>12123</v>
      </c>
      <c r="H18" s="34">
        <v>12123</v>
      </c>
      <c r="I18" s="34">
        <v>12123</v>
      </c>
      <c r="J18" s="34">
        <v>12123</v>
      </c>
      <c r="K18" s="34">
        <v>12123</v>
      </c>
      <c r="L18" s="34">
        <v>12123</v>
      </c>
      <c r="M18" s="34">
        <v>12123</v>
      </c>
      <c r="N18" s="34">
        <v>12123</v>
      </c>
      <c r="O18" s="34">
        <v>12123</v>
      </c>
      <c r="P18" s="34">
        <v>12123</v>
      </c>
      <c r="Q18" s="34">
        <v>12123</v>
      </c>
      <c r="R18" s="34">
        <v>12123</v>
      </c>
      <c r="S18" s="34">
        <v>12123</v>
      </c>
      <c r="T18" s="34"/>
      <c r="U18" s="182"/>
    </row>
    <row r="19" spans="1:21" x14ac:dyDescent="0.25">
      <c r="B19" s="231" t="s">
        <v>7</v>
      </c>
      <c r="C19" s="54"/>
      <c r="D19" s="54"/>
      <c r="E19" s="234">
        <v>334</v>
      </c>
      <c r="F19" s="36"/>
      <c r="G19" s="34">
        <v>334</v>
      </c>
      <c r="H19" s="34">
        <v>334</v>
      </c>
      <c r="I19" s="34">
        <v>334</v>
      </c>
      <c r="J19" s="34">
        <v>334</v>
      </c>
      <c r="K19" s="34">
        <v>334</v>
      </c>
      <c r="L19" s="34">
        <v>334</v>
      </c>
      <c r="M19" s="34">
        <v>334</v>
      </c>
      <c r="N19" s="34">
        <v>334</v>
      </c>
      <c r="O19" s="34">
        <v>334</v>
      </c>
      <c r="P19" s="34">
        <v>334</v>
      </c>
      <c r="Q19" s="34">
        <v>334</v>
      </c>
      <c r="R19" s="34">
        <v>334</v>
      </c>
      <c r="S19" s="34">
        <v>334</v>
      </c>
      <c r="T19" s="34"/>
      <c r="U19" s="182"/>
    </row>
    <row r="20" spans="1:21" x14ac:dyDescent="0.25">
      <c r="C20" s="54"/>
      <c r="D20" s="54"/>
      <c r="E20" s="202"/>
      <c r="F20" s="36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182"/>
    </row>
    <row r="21" spans="1:21" x14ac:dyDescent="0.25">
      <c r="C21" s="54"/>
      <c r="D21" s="54"/>
      <c r="E21" s="202"/>
      <c r="F21" s="36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182"/>
    </row>
    <row r="22" spans="1:21" x14ac:dyDescent="0.25">
      <c r="A22" s="55" t="s">
        <v>181</v>
      </c>
      <c r="C22" s="54"/>
      <c r="D22" s="54"/>
      <c r="E22" s="202"/>
      <c r="F22" s="36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182"/>
    </row>
    <row r="23" spans="1:21" x14ac:dyDescent="0.25">
      <c r="C23" s="32" t="s">
        <v>182</v>
      </c>
      <c r="D23" s="32"/>
      <c r="E23" s="32"/>
      <c r="F23" s="3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182"/>
    </row>
    <row r="24" spans="1:21" x14ac:dyDescent="0.25">
      <c r="C24" s="228" t="s">
        <v>183</v>
      </c>
      <c r="D24" s="228"/>
      <c r="E24" s="228" t="s">
        <v>184</v>
      </c>
      <c r="F24" s="36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82"/>
    </row>
    <row r="25" spans="1:21" x14ac:dyDescent="0.25">
      <c r="B25" s="231" t="s">
        <v>4</v>
      </c>
      <c r="C25" s="235">
        <v>5.0999999999999996</v>
      </c>
      <c r="D25" s="236"/>
      <c r="E25" s="235">
        <v>5.8831484476996723</v>
      </c>
      <c r="F25" s="36"/>
      <c r="G25" s="236">
        <v>7.2445145054870723</v>
      </c>
      <c r="H25" s="236">
        <v>8.4684952124364941</v>
      </c>
      <c r="I25" s="236">
        <v>9.6575060113200397</v>
      </c>
      <c r="J25" s="236">
        <v>10.811803073222505</v>
      </c>
      <c r="K25" s="236">
        <v>11.931190658826086</v>
      </c>
      <c r="L25" s="236">
        <v>13.01584109155492</v>
      </c>
      <c r="M25" s="236">
        <v>14.065543974762301</v>
      </c>
      <c r="N25" s="236">
        <v>15.080299890030808</v>
      </c>
      <c r="O25" s="236">
        <v>16.060297293380788</v>
      </c>
      <c r="P25" s="236">
        <v>17.005667545707187</v>
      </c>
      <c r="Q25" s="236">
        <v>17.916228360417715</v>
      </c>
      <c r="R25" s="236">
        <v>18.793479890238764</v>
      </c>
      <c r="S25" s="236">
        <v>19.636618108880356</v>
      </c>
      <c r="T25" s="34"/>
      <c r="U25" s="182"/>
    </row>
    <row r="26" spans="1:21" x14ac:dyDescent="0.25">
      <c r="B26" s="231" t="s">
        <v>5</v>
      </c>
      <c r="C26" s="237">
        <v>9.77</v>
      </c>
      <c r="D26" s="238"/>
      <c r="E26" s="239">
        <v>11.228586973418311</v>
      </c>
      <c r="F26" s="240"/>
      <c r="G26" s="238">
        <v>13.826904096206052</v>
      </c>
      <c r="H26" s="238">
        <v>16.162997679534215</v>
      </c>
      <c r="I26" s="238">
        <v>18.432347581872605</v>
      </c>
      <c r="J26" s="238">
        <v>20.6354427321921</v>
      </c>
      <c r="K26" s="238">
        <v>22.771909541790095</v>
      </c>
      <c r="L26" s="238">
        <v>24.842076907717907</v>
      </c>
      <c r="M26" s="238">
        <v>26.845543266247002</v>
      </c>
      <c r="N26" s="238">
        <v>28.782309727387815</v>
      </c>
      <c r="O26" s="238">
        <v>30.652735978917569</v>
      </c>
      <c r="P26" s="238">
        <v>32.457072736670305</v>
      </c>
      <c r="Q26" s="238">
        <v>34.194972087859377</v>
      </c>
      <c r="R26" s="238">
        <v>35.869297228888286</v>
      </c>
      <c r="S26" s="238">
        <v>37.478513592548467</v>
      </c>
      <c r="T26" s="238"/>
      <c r="U26" s="48"/>
    </row>
    <row r="27" spans="1:21" x14ac:dyDescent="0.25">
      <c r="B27" s="231" t="s">
        <v>6</v>
      </c>
      <c r="C27" s="237">
        <v>71.52</v>
      </c>
      <c r="D27" s="238"/>
      <c r="E27" s="239">
        <v>83.696609750061867</v>
      </c>
      <c r="F27" s="240"/>
      <c r="G27" s="238">
        <v>103.06404624267188</v>
      </c>
      <c r="H27" s="238">
        <v>120.47700111847858</v>
      </c>
      <c r="I27" s="238">
        <v>137.39245678722682</v>
      </c>
      <c r="J27" s="238">
        <v>153.81405766546226</v>
      </c>
      <c r="K27" s="238">
        <v>169.73901906884393</v>
      </c>
      <c r="L27" s="238">
        <v>185.16979255562885</v>
      </c>
      <c r="M27" s="238">
        <v>200.103384919066</v>
      </c>
      <c r="N27" s="238">
        <v>214.53980443303684</v>
      </c>
      <c r="O27" s="238">
        <v>228.48173216609061</v>
      </c>
      <c r="P27" s="238">
        <v>241.93103692328546</v>
      </c>
      <c r="Q27" s="238">
        <v>254.8851254054068</v>
      </c>
      <c r="R27" s="238">
        <v>267.36533952706412</v>
      </c>
      <c r="S27" s="238">
        <v>279.36024081261252</v>
      </c>
      <c r="T27" s="238"/>
      <c r="U27" s="48"/>
    </row>
    <row r="28" spans="1:21" x14ac:dyDescent="0.25">
      <c r="B28" s="231" t="s">
        <v>7</v>
      </c>
      <c r="C28" s="237">
        <v>549.64</v>
      </c>
      <c r="D28" s="238"/>
      <c r="E28" s="239">
        <v>643.33532934131733</v>
      </c>
      <c r="F28" s="240"/>
      <c r="G28" s="238">
        <v>792.20558249582677</v>
      </c>
      <c r="H28" s="238">
        <v>926.05090065732702</v>
      </c>
      <c r="I28" s="238">
        <v>1056.0721728640335</v>
      </c>
      <c r="J28" s="238">
        <v>1182.297412057779</v>
      </c>
      <c r="K28" s="238">
        <v>1304.7052136599459</v>
      </c>
      <c r="L28" s="238">
        <v>1423.3144216632536</v>
      </c>
      <c r="M28" s="238">
        <v>1538.1020286739101</v>
      </c>
      <c r="N28" s="238">
        <v>1649.0680982894096</v>
      </c>
      <c r="O28" s="238">
        <v>1756.233238641775</v>
      </c>
      <c r="P28" s="238">
        <v>1859.6118143698261</v>
      </c>
      <c r="Q28" s="238">
        <v>1959.1838919837603</v>
      </c>
      <c r="R28" s="238">
        <v>2055.1135168952519</v>
      </c>
      <c r="S28" s="238">
        <v>2147.3127668405109</v>
      </c>
      <c r="T28" s="238"/>
      <c r="U28" s="48"/>
    </row>
    <row r="29" spans="1:21" x14ac:dyDescent="0.25">
      <c r="C29" s="238"/>
      <c r="D29" s="238"/>
      <c r="E29" s="240"/>
      <c r="F29" s="240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48"/>
    </row>
    <row r="30" spans="1:21" x14ac:dyDescent="0.25">
      <c r="C30" s="241"/>
      <c r="E30" s="241"/>
      <c r="G30" s="49"/>
    </row>
  </sheetData>
  <pageMargins left="0.7" right="0.7" top="0.75" bottom="0.75" header="0.3" footer="0.3"/>
  <pageSetup scale="5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37"/>
  <sheetViews>
    <sheetView view="pageBreakPreview" topLeftCell="A4" zoomScale="60" zoomScaleNormal="100" workbookViewId="0">
      <selection activeCell="H12" sqref="H12"/>
    </sheetView>
  </sheetViews>
  <sheetFormatPr defaultColWidth="9.140625" defaultRowHeight="12.75" x14ac:dyDescent="0.25"/>
  <cols>
    <col min="1" max="1" width="13.5703125" style="94" customWidth="1"/>
    <col min="2" max="2" width="33.42578125" style="94" bestFit="1" customWidth="1"/>
    <col min="3" max="3" width="12.5703125" style="94" customWidth="1"/>
    <col min="4" max="4" width="12.28515625" style="94" customWidth="1"/>
    <col min="5" max="5" width="12.5703125" style="94" bestFit="1" customWidth="1"/>
    <col min="6" max="7" width="9.140625" style="94"/>
    <col min="8" max="8" width="13.28515625" style="94" bestFit="1" customWidth="1"/>
    <col min="9" max="16384" width="9.140625" style="94"/>
  </cols>
  <sheetData>
    <row r="1" spans="1:7" x14ac:dyDescent="0.25">
      <c r="A1" s="93" t="s">
        <v>51</v>
      </c>
      <c r="F1" s="242" t="s">
        <v>194</v>
      </c>
    </row>
    <row r="2" spans="1:7" x14ac:dyDescent="0.25">
      <c r="A2" s="93" t="s">
        <v>246</v>
      </c>
    </row>
    <row r="4" spans="1:7" x14ac:dyDescent="0.25">
      <c r="A4" s="95"/>
      <c r="B4" s="95" t="s">
        <v>124</v>
      </c>
      <c r="C4" s="95"/>
      <c r="D4" s="95"/>
    </row>
    <row r="5" spans="1:7" x14ac:dyDescent="0.25">
      <c r="A5" s="95"/>
      <c r="B5" s="95" t="s">
        <v>84</v>
      </c>
      <c r="C5" s="95"/>
      <c r="D5" s="250" t="s">
        <v>177</v>
      </c>
      <c r="E5" s="250"/>
      <c r="F5" s="96" t="s">
        <v>97</v>
      </c>
    </row>
    <row r="6" spans="1:7" x14ac:dyDescent="0.25">
      <c r="A6" s="95"/>
      <c r="B6" s="95" t="s">
        <v>125</v>
      </c>
      <c r="C6" s="95" t="s">
        <v>127</v>
      </c>
      <c r="D6" s="95"/>
    </row>
    <row r="7" spans="1:7" x14ac:dyDescent="0.25">
      <c r="A7" s="194" t="s">
        <v>114</v>
      </c>
      <c r="B7" s="194" t="s">
        <v>126</v>
      </c>
      <c r="C7" s="194" t="s">
        <v>85</v>
      </c>
      <c r="D7" s="194" t="s">
        <v>107</v>
      </c>
      <c r="E7" s="194" t="s">
        <v>110</v>
      </c>
    </row>
    <row r="8" spans="1:7" x14ac:dyDescent="0.25">
      <c r="D8" s="97"/>
      <c r="E8" s="97"/>
    </row>
    <row r="9" spans="1:7" x14ac:dyDescent="0.25">
      <c r="A9" s="212" t="s">
        <v>116</v>
      </c>
      <c r="B9" s="213" t="s">
        <v>146</v>
      </c>
      <c r="C9" s="214">
        <v>38419</v>
      </c>
      <c r="D9" s="215">
        <f>C9*56.72</f>
        <v>2179125.6800000002</v>
      </c>
      <c r="E9" s="215">
        <f>C9*95.38</f>
        <v>3664404.2199999997</v>
      </c>
    </row>
    <row r="10" spans="1:7" x14ac:dyDescent="0.25">
      <c r="A10" s="212" t="s">
        <v>116</v>
      </c>
      <c r="B10" s="213" t="s">
        <v>145</v>
      </c>
      <c r="C10" s="214">
        <v>781</v>
      </c>
      <c r="D10" s="215">
        <f>C10*56.72</f>
        <v>44298.32</v>
      </c>
      <c r="E10" s="215">
        <f>C10*95.38</f>
        <v>74491.78</v>
      </c>
    </row>
    <row r="11" spans="1:7" x14ac:dyDescent="0.25">
      <c r="A11" s="212" t="s">
        <v>116</v>
      </c>
      <c r="B11" s="213" t="s">
        <v>144</v>
      </c>
      <c r="C11" s="214">
        <v>681</v>
      </c>
      <c r="D11" s="215">
        <f>C11*56.72</f>
        <v>38626.32</v>
      </c>
      <c r="E11" s="215">
        <f>C11*95.38</f>
        <v>64953.78</v>
      </c>
    </row>
    <row r="12" spans="1:7" x14ac:dyDescent="0.25">
      <c r="A12" s="212" t="s">
        <v>116</v>
      </c>
      <c r="B12" s="213" t="s">
        <v>143</v>
      </c>
      <c r="C12" s="214">
        <v>1578</v>
      </c>
      <c r="D12" s="215">
        <f>C12*56.72</f>
        <v>89504.16</v>
      </c>
      <c r="E12" s="215">
        <f>C12*95.38</f>
        <v>150509.63999999998</v>
      </c>
    </row>
    <row r="13" spans="1:7" x14ac:dyDescent="0.25">
      <c r="A13" s="212"/>
      <c r="B13" s="212"/>
      <c r="C13" s="216">
        <f>SUM(C9:C12)</f>
        <v>41459</v>
      </c>
      <c r="D13" s="216">
        <f>SUM(D9:D12)</f>
        <v>2351554.48</v>
      </c>
      <c r="E13" s="216">
        <f>SUM(E9:E12)</f>
        <v>3954359.4199999995</v>
      </c>
      <c r="G13" s="100"/>
    </row>
    <row r="14" spans="1:7" x14ac:dyDescent="0.25">
      <c r="A14" s="212"/>
      <c r="B14" s="212"/>
      <c r="C14" s="214"/>
      <c r="D14" s="215"/>
      <c r="E14" s="215"/>
    </row>
    <row r="15" spans="1:7" x14ac:dyDescent="0.25">
      <c r="A15" s="212" t="s">
        <v>149</v>
      </c>
      <c r="B15" s="212" t="s">
        <v>146</v>
      </c>
      <c r="C15" s="217">
        <v>26167</v>
      </c>
      <c r="D15" s="215">
        <f>C15*56.72</f>
        <v>1484192.24</v>
      </c>
      <c r="E15" s="215">
        <f>C15*95.38</f>
        <v>2495808.46</v>
      </c>
    </row>
    <row r="16" spans="1:7" x14ac:dyDescent="0.25">
      <c r="A16" s="212" t="s">
        <v>149</v>
      </c>
      <c r="B16" s="213" t="s">
        <v>143</v>
      </c>
      <c r="C16" s="217">
        <v>158</v>
      </c>
      <c r="D16" s="215">
        <f>C16*56.72</f>
        <v>8961.76</v>
      </c>
      <c r="E16" s="215">
        <f>C16*95.38</f>
        <v>15070.039999999999</v>
      </c>
    </row>
    <row r="17" spans="1:8" x14ac:dyDescent="0.25">
      <c r="A17" s="212"/>
      <c r="B17" s="212"/>
      <c r="C17" s="216">
        <f>SUM(C15:C16)</f>
        <v>26325</v>
      </c>
      <c r="D17" s="218">
        <f>SUM(D15:D16)</f>
        <v>1493154</v>
      </c>
      <c r="E17" s="218">
        <f>SUM(E15:E16)</f>
        <v>2510878.5</v>
      </c>
      <c r="G17" s="100"/>
    </row>
    <row r="18" spans="1:8" x14ac:dyDescent="0.25">
      <c r="A18" s="212"/>
      <c r="B18" s="212"/>
      <c r="C18" s="214"/>
      <c r="D18" s="219"/>
      <c r="E18" s="220"/>
    </row>
    <row r="19" spans="1:8" x14ac:dyDescent="0.25">
      <c r="A19" s="212" t="s">
        <v>117</v>
      </c>
      <c r="B19" s="212" t="s">
        <v>202</v>
      </c>
      <c r="C19" s="214">
        <v>1326</v>
      </c>
      <c r="D19" s="215">
        <f>C19*56.72</f>
        <v>75210.720000000001</v>
      </c>
      <c r="E19" s="215">
        <f>C19*95.38</f>
        <v>126473.87999999999</v>
      </c>
      <c r="F19" s="167" t="s">
        <v>98</v>
      </c>
    </row>
    <row r="20" spans="1:8" x14ac:dyDescent="0.25">
      <c r="A20" s="212" t="s">
        <v>117</v>
      </c>
      <c r="B20" s="212" t="s">
        <v>203</v>
      </c>
      <c r="C20" s="214">
        <v>29</v>
      </c>
      <c r="D20" s="215">
        <f>C20*56.72</f>
        <v>1644.8799999999999</v>
      </c>
      <c r="E20" s="215">
        <f>C20*95.38</f>
        <v>2766.02</v>
      </c>
      <c r="F20" s="167" t="s">
        <v>98</v>
      </c>
    </row>
    <row r="21" spans="1:8" x14ac:dyDescent="0.25">
      <c r="A21" s="212" t="s">
        <v>117</v>
      </c>
      <c r="B21" s="213" t="s">
        <v>201</v>
      </c>
      <c r="C21" s="217">
        <v>4381</v>
      </c>
      <c r="D21" s="215">
        <f>C21*56.72</f>
        <v>248490.32</v>
      </c>
      <c r="E21" s="215">
        <f>C21*95.38</f>
        <v>417859.77999999997</v>
      </c>
      <c r="F21" s="167" t="s">
        <v>98</v>
      </c>
    </row>
    <row r="22" spans="1:8" x14ac:dyDescent="0.25">
      <c r="A22" s="212" t="s">
        <v>117</v>
      </c>
      <c r="B22" s="213" t="s">
        <v>204</v>
      </c>
      <c r="C22" s="217">
        <v>1349</v>
      </c>
      <c r="D22" s="215">
        <f>C22*56.72</f>
        <v>76515.28</v>
      </c>
      <c r="E22" s="215">
        <f>C22*95.38</f>
        <v>128667.62</v>
      </c>
      <c r="F22" s="167" t="s">
        <v>98</v>
      </c>
    </row>
    <row r="23" spans="1:8" x14ac:dyDescent="0.25">
      <c r="A23" s="212"/>
      <c r="B23" s="212"/>
      <c r="C23" s="221">
        <f>SUM(C19:C22)</f>
        <v>7085</v>
      </c>
      <c r="D23" s="222">
        <f>SUM(D19:D22)</f>
        <v>401861.20000000007</v>
      </c>
      <c r="E23" s="222">
        <f>SUM(E19:E22)</f>
        <v>675767.29999999993</v>
      </c>
      <c r="G23" s="100"/>
      <c r="H23" s="100"/>
    </row>
    <row r="24" spans="1:8" x14ac:dyDescent="0.25">
      <c r="A24" s="212"/>
      <c r="B24" s="212"/>
      <c r="C24" s="223"/>
      <c r="D24" s="224"/>
      <c r="E24" s="220"/>
    </row>
    <row r="25" spans="1:8" x14ac:dyDescent="0.25">
      <c r="A25" s="212" t="s">
        <v>122</v>
      </c>
      <c r="B25" s="213" t="s">
        <v>146</v>
      </c>
      <c r="C25" s="217">
        <v>15885</v>
      </c>
      <c r="D25" s="215">
        <f>C25*56.72</f>
        <v>900997.2</v>
      </c>
      <c r="E25" s="215">
        <f>C25*95.38</f>
        <v>1515111.2999999998</v>
      </c>
    </row>
    <row r="26" spans="1:8" x14ac:dyDescent="0.25">
      <c r="A26" s="212" t="s">
        <v>122</v>
      </c>
      <c r="B26" s="213" t="s">
        <v>145</v>
      </c>
      <c r="C26" s="217">
        <v>137</v>
      </c>
      <c r="D26" s="215">
        <f>C26*56.72</f>
        <v>7770.6399999999994</v>
      </c>
      <c r="E26" s="215">
        <f>C26*95.38</f>
        <v>13067.06</v>
      </c>
    </row>
    <row r="27" spans="1:8" x14ac:dyDescent="0.25">
      <c r="A27" s="212" t="s">
        <v>122</v>
      </c>
      <c r="B27" s="213" t="s">
        <v>144</v>
      </c>
      <c r="C27" s="217">
        <v>453</v>
      </c>
      <c r="D27" s="215">
        <f>C27*56.72</f>
        <v>25694.16</v>
      </c>
      <c r="E27" s="215">
        <f>C27*95.38</f>
        <v>43207.14</v>
      </c>
    </row>
    <row r="28" spans="1:8" x14ac:dyDescent="0.25">
      <c r="A28" s="212" t="s">
        <v>122</v>
      </c>
      <c r="B28" s="213" t="s">
        <v>205</v>
      </c>
      <c r="C28" s="217">
        <v>343</v>
      </c>
      <c r="D28" s="215">
        <f>C28*56.72</f>
        <v>19454.96</v>
      </c>
      <c r="E28" s="215">
        <f>C28*95.38</f>
        <v>32715.34</v>
      </c>
    </row>
    <row r="29" spans="1:8" x14ac:dyDescent="0.25">
      <c r="A29" s="212" t="s">
        <v>122</v>
      </c>
      <c r="B29" s="213" t="s">
        <v>143</v>
      </c>
      <c r="C29" s="217">
        <v>1690</v>
      </c>
      <c r="D29" s="215">
        <f>C29*56.72</f>
        <v>95856.8</v>
      </c>
      <c r="E29" s="215">
        <f>C29*95.38</f>
        <v>161192.19999999998</v>
      </c>
    </row>
    <row r="30" spans="1:8" x14ac:dyDescent="0.25">
      <c r="A30" s="212"/>
      <c r="B30" s="212"/>
      <c r="C30" s="221">
        <f>SUM(C25:C29)</f>
        <v>18508</v>
      </c>
      <c r="D30" s="222">
        <f>SUM(D25:D29)</f>
        <v>1049773.76</v>
      </c>
      <c r="E30" s="222">
        <f>SUM(E25:E29)</f>
        <v>1765293.0399999998</v>
      </c>
      <c r="G30" s="100"/>
    </row>
    <row r="31" spans="1:8" x14ac:dyDescent="0.25">
      <c r="A31" s="212"/>
      <c r="B31" s="212"/>
      <c r="C31" s="212"/>
      <c r="D31" s="212"/>
      <c r="E31" s="212"/>
    </row>
    <row r="32" spans="1:8" ht="13.5" thickBot="1" x14ac:dyDescent="0.3">
      <c r="A32" s="212"/>
      <c r="B32" s="213" t="s">
        <v>247</v>
      </c>
      <c r="C32" s="225">
        <f>SUM(C30,C23,C17,C13)</f>
        <v>93377</v>
      </c>
      <c r="D32" s="226">
        <f>SUM(D30,D23,D17,D13)</f>
        <v>5296343.4399999995</v>
      </c>
      <c r="E32" s="226">
        <f>SUM(E30,E23,E17,E13)</f>
        <v>8906298.2599999998</v>
      </c>
      <c r="H32" s="100"/>
    </row>
    <row r="33" spans="1:8" x14ac:dyDescent="0.25">
      <c r="B33" s="98"/>
      <c r="C33" s="227"/>
      <c r="D33" s="99"/>
      <c r="E33" s="99"/>
      <c r="H33" s="100"/>
    </row>
    <row r="34" spans="1:8" ht="37.5" customHeight="1" x14ac:dyDescent="0.25">
      <c r="A34" s="167" t="s">
        <v>97</v>
      </c>
      <c r="B34" s="251" t="s">
        <v>249</v>
      </c>
      <c r="C34" s="251"/>
      <c r="D34" s="251"/>
      <c r="E34" s="251"/>
      <c r="F34" s="251"/>
    </row>
    <row r="35" spans="1:8" ht="25.9" customHeight="1" x14ac:dyDescent="0.25">
      <c r="A35" s="167" t="s">
        <v>98</v>
      </c>
      <c r="B35" s="252" t="s">
        <v>248</v>
      </c>
      <c r="C35" s="252"/>
      <c r="D35" s="252"/>
      <c r="E35" s="252"/>
      <c r="F35" s="252"/>
    </row>
    <row r="36" spans="1:8" x14ac:dyDescent="0.2">
      <c r="B36" s="195"/>
      <c r="C36" s="195"/>
      <c r="D36" s="195"/>
      <c r="E36" s="195"/>
      <c r="F36" s="195"/>
    </row>
    <row r="37" spans="1:8" x14ac:dyDescent="0.2">
      <c r="B37" s="195"/>
      <c r="C37" s="195"/>
      <c r="D37" s="195"/>
      <c r="E37" s="195"/>
      <c r="F37" s="195"/>
    </row>
  </sheetData>
  <mergeCells count="3">
    <mergeCell ref="D5:E5"/>
    <mergeCell ref="B34:F34"/>
    <mergeCell ref="B35:F35"/>
  </mergeCells>
  <pageMargins left="0.75" right="0.25" top="0.75" bottom="0.75" header="0.3" footer="0.3"/>
  <pageSetup fitToHeight="0" orientation="portrait" r:id="rId1"/>
  <headerFooter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21"/>
  <sheetViews>
    <sheetView view="pageBreakPreview" zoomScale="60" zoomScaleNormal="100" workbookViewId="0">
      <selection activeCell="H12" sqref="H12"/>
    </sheetView>
  </sheetViews>
  <sheetFormatPr defaultRowHeight="15" x14ac:dyDescent="0.25"/>
  <cols>
    <col min="22" max="22" width="9.140625" style="162"/>
  </cols>
  <sheetData>
    <row r="1" spans="1:23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 s="162">
        <v>9</v>
      </c>
      <c r="K1" s="162">
        <v>10</v>
      </c>
      <c r="L1" s="162">
        <v>11</v>
      </c>
      <c r="M1" s="162">
        <v>12</v>
      </c>
      <c r="N1" s="162">
        <v>13</v>
      </c>
      <c r="O1" s="162">
        <v>14</v>
      </c>
      <c r="P1" s="162">
        <v>15</v>
      </c>
      <c r="Q1" s="162">
        <v>16</v>
      </c>
      <c r="R1" s="162">
        <v>17</v>
      </c>
      <c r="S1" s="162">
        <v>18</v>
      </c>
      <c r="T1" s="162">
        <v>19</v>
      </c>
      <c r="U1" s="162">
        <v>20</v>
      </c>
      <c r="V1" s="162">
        <v>21</v>
      </c>
    </row>
    <row r="2" spans="1:23" x14ac:dyDescent="0.25">
      <c r="A2">
        <v>7</v>
      </c>
      <c r="B2" s="6">
        <v>0.14285999999999999</v>
      </c>
      <c r="C2" s="6">
        <v>0.24490000000000001</v>
      </c>
      <c r="D2" s="6">
        <v>0.17491999999999999</v>
      </c>
      <c r="E2" s="6">
        <v>0.12495000000000001</v>
      </c>
      <c r="F2" s="6">
        <v>8.9249999999999996E-2</v>
      </c>
      <c r="G2" s="6">
        <v>8.9249999999999996E-2</v>
      </c>
      <c r="H2" s="6">
        <v>8.9249999999999996E-2</v>
      </c>
      <c r="I2" s="6">
        <v>4.462E-2</v>
      </c>
      <c r="J2" s="6"/>
      <c r="K2" s="6"/>
      <c r="W2" s="184">
        <f>SUM(B2:V2)</f>
        <v>1.0000000000000002</v>
      </c>
    </row>
    <row r="3" spans="1:23" x14ac:dyDescent="0.25">
      <c r="A3">
        <v>15</v>
      </c>
      <c r="B3" s="6">
        <v>0.05</v>
      </c>
      <c r="C3" s="6">
        <v>9.5000000000000001E-2</v>
      </c>
      <c r="D3" s="6">
        <v>8.5500000000000007E-2</v>
      </c>
      <c r="E3" s="6">
        <v>7.6950000000000005E-2</v>
      </c>
      <c r="F3" s="6">
        <v>6.9250000000000006E-2</v>
      </c>
      <c r="G3" s="6">
        <v>6.2330000000000003E-2</v>
      </c>
      <c r="H3" s="6">
        <v>5.9049999999999998E-2</v>
      </c>
      <c r="I3" s="6">
        <v>5.9049999999999998E-2</v>
      </c>
      <c r="J3" s="6">
        <v>5.9049999999999998E-2</v>
      </c>
      <c r="K3" s="6">
        <v>5.9049999999999998E-2</v>
      </c>
      <c r="L3" s="6">
        <v>5.9049999999999998E-2</v>
      </c>
      <c r="M3" s="6">
        <v>5.9049999999999998E-2</v>
      </c>
      <c r="N3" s="6">
        <v>5.9049999999999998E-2</v>
      </c>
      <c r="O3" s="6">
        <v>5.9049999999999998E-2</v>
      </c>
      <c r="P3" s="6">
        <v>5.9049999999999998E-2</v>
      </c>
      <c r="Q3" s="6">
        <v>2.9520000000000001E-2</v>
      </c>
      <c r="W3" s="184">
        <f>SUM(B3:V3)</f>
        <v>1.0000000000000004</v>
      </c>
    </row>
    <row r="4" spans="1:23" x14ac:dyDescent="0.25">
      <c r="A4">
        <v>20</v>
      </c>
      <c r="B4" s="6">
        <v>3.7499999999999999E-2</v>
      </c>
      <c r="C4" s="6">
        <v>7.2190000000000004E-2</v>
      </c>
      <c r="D4" s="6">
        <v>6.6769999999999996E-2</v>
      </c>
      <c r="E4" s="6">
        <v>6.1769999999999999E-2</v>
      </c>
      <c r="F4" s="6">
        <v>5.713E-2</v>
      </c>
      <c r="G4" s="6">
        <v>5.2850000000000001E-2</v>
      </c>
      <c r="H4" s="6">
        <v>4.888E-2</v>
      </c>
      <c r="I4" s="6">
        <v>4.5220000000000003E-2</v>
      </c>
      <c r="J4" s="6">
        <v>4.462E-2</v>
      </c>
      <c r="K4" s="6">
        <v>4.4609999999999997E-2</v>
      </c>
      <c r="L4" s="6">
        <v>4.462E-2</v>
      </c>
      <c r="M4" s="6">
        <v>4.4610000000000004E-2</v>
      </c>
      <c r="N4" s="6">
        <v>4.462E-2</v>
      </c>
      <c r="O4" s="6">
        <v>4.4610000000000004E-2</v>
      </c>
      <c r="P4" s="6">
        <v>4.462E-2</v>
      </c>
      <c r="Q4" s="6">
        <v>4.4610000000000004E-2</v>
      </c>
      <c r="R4" s="6">
        <v>4.462E-2</v>
      </c>
      <c r="S4" s="6">
        <v>4.4610000000000004E-2</v>
      </c>
      <c r="T4" s="6">
        <v>4.462E-2</v>
      </c>
      <c r="U4" s="6">
        <v>4.4610000000000004E-2</v>
      </c>
      <c r="V4" s="6">
        <v>2.231E-2</v>
      </c>
      <c r="W4" s="184">
        <f>SUM(B4:V4)</f>
        <v>1.0000000000000002</v>
      </c>
    </row>
    <row r="5" spans="1:23" x14ac:dyDescent="0.25">
      <c r="K5" s="6"/>
    </row>
    <row r="21" spans="4:4" x14ac:dyDescent="0.25">
      <c r="D21" s="10"/>
    </row>
  </sheetData>
  <pageMargins left="0.7" right="0.7" top="0.75" bottom="0.75" header="0.3" footer="0.3"/>
  <pageSetup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0"/>
  <sheetViews>
    <sheetView tabSelected="1" topLeftCell="C34" zoomScaleNormal="100" workbookViewId="0">
      <selection activeCell="L41" sqref="L41"/>
    </sheetView>
  </sheetViews>
  <sheetFormatPr defaultColWidth="9.140625" defaultRowHeight="15" x14ac:dyDescent="0.25"/>
  <cols>
    <col min="1" max="1" width="14.42578125" style="10" customWidth="1"/>
    <col min="2" max="2" width="18.5703125" style="10" bestFit="1" customWidth="1"/>
    <col min="3" max="3" width="12.7109375" style="10" customWidth="1"/>
    <col min="4" max="4" width="14.28515625" style="10" customWidth="1"/>
    <col min="5" max="5" width="10.7109375" style="10" customWidth="1"/>
    <col min="6" max="6" width="12.7109375" style="10" customWidth="1"/>
    <col min="7" max="7" width="12.42578125" style="10" bestFit="1" customWidth="1"/>
    <col min="8" max="8" width="13.140625" style="10" bestFit="1" customWidth="1"/>
    <col min="9" max="9" width="2.7109375" style="10" customWidth="1"/>
    <col min="10" max="10" width="10.7109375" style="10" customWidth="1"/>
    <col min="11" max="11" width="8.140625" style="10" bestFit="1" customWidth="1"/>
    <col min="12" max="12" width="12.7109375" style="10" customWidth="1"/>
    <col min="13" max="14" width="11.28515625" style="10" bestFit="1" customWidth="1"/>
    <col min="15" max="15" width="8.42578125" style="10" bestFit="1" customWidth="1"/>
    <col min="16" max="16" width="11.28515625" style="10" bestFit="1" customWidth="1"/>
    <col min="17" max="17" width="2.7109375" style="10" customWidth="1"/>
    <col min="18" max="18" width="13.7109375" style="10" bestFit="1" customWidth="1"/>
    <col min="19" max="19" width="7.7109375" style="10" bestFit="1" customWidth="1"/>
    <col min="20" max="20" width="7.42578125" style="10" bestFit="1" customWidth="1"/>
    <col min="21" max="16384" width="9.140625" style="10"/>
  </cols>
  <sheetData>
    <row r="1" spans="1:21" x14ac:dyDescent="0.25">
      <c r="A1" s="17" t="s">
        <v>26</v>
      </c>
      <c r="B1" s="20">
        <v>2010</v>
      </c>
      <c r="F1" s="10" t="s">
        <v>66</v>
      </c>
    </row>
    <row r="2" spans="1:21" x14ac:dyDescent="0.25">
      <c r="A2" s="17" t="s">
        <v>47</v>
      </c>
      <c r="D2" s="21" t="s">
        <v>71</v>
      </c>
    </row>
    <row r="3" spans="1:21" x14ac:dyDescent="0.25">
      <c r="D3" s="1" t="s">
        <v>37</v>
      </c>
      <c r="F3" s="244" t="s">
        <v>35</v>
      </c>
      <c r="G3" s="244"/>
      <c r="H3" s="244"/>
      <c r="J3" s="22" t="s">
        <v>34</v>
      </c>
      <c r="T3" s="22"/>
      <c r="U3" s="22"/>
    </row>
    <row r="4" spans="1:21" x14ac:dyDescent="0.25">
      <c r="C4" s="1">
        <v>2010</v>
      </c>
      <c r="D4" s="1" t="s">
        <v>25</v>
      </c>
      <c r="F4" s="23"/>
      <c r="G4" s="23" t="s">
        <v>2</v>
      </c>
      <c r="H4" s="23"/>
      <c r="J4" s="1" t="s">
        <v>42</v>
      </c>
      <c r="O4" s="1" t="s">
        <v>70</v>
      </c>
      <c r="P4" s="1" t="s">
        <v>70</v>
      </c>
    </row>
    <row r="5" spans="1:21" x14ac:dyDescent="0.25">
      <c r="C5" s="2" t="s">
        <v>21</v>
      </c>
      <c r="D5" s="24">
        <v>11</v>
      </c>
      <c r="F5" s="2" t="s">
        <v>22</v>
      </c>
      <c r="G5" s="2" t="s">
        <v>17</v>
      </c>
      <c r="H5" s="2" t="s">
        <v>23</v>
      </c>
      <c r="J5" s="2" t="s">
        <v>43</v>
      </c>
      <c r="O5" s="2" t="s">
        <v>14</v>
      </c>
      <c r="P5" s="2" t="s">
        <v>16</v>
      </c>
    </row>
    <row r="6" spans="1:21" x14ac:dyDescent="0.25">
      <c r="A6" s="10">
        <v>1</v>
      </c>
      <c r="B6" s="10" t="s">
        <v>48</v>
      </c>
      <c r="C6" s="3">
        <f>329963+486787</f>
        <v>816750</v>
      </c>
      <c r="D6" s="7">
        <v>3.1E-2</v>
      </c>
      <c r="F6" s="3">
        <v>-240531</v>
      </c>
      <c r="G6" s="9">
        <f>ROUND(IF(D$5=1,-0.5*D6*C6,-D6*C6),0)</f>
        <v>-25319</v>
      </c>
      <c r="H6" s="9">
        <f t="shared" ref="H6:H11" si="0">SUM(F6:G6)</f>
        <v>-265850</v>
      </c>
      <c r="J6" s="13">
        <f t="shared" ref="J6:J11" si="1">C6+H6</f>
        <v>550900</v>
      </c>
      <c r="O6" s="25">
        <v>1E-4</v>
      </c>
      <c r="P6" s="5">
        <f>ROUND(IF(D$5=1,-0.5*O6*C6,-O6*C6),0)</f>
        <v>-82</v>
      </c>
    </row>
    <row r="7" spans="1:21" x14ac:dyDescent="0.25">
      <c r="A7" s="10">
        <v>2</v>
      </c>
      <c r="B7" s="10" t="s">
        <v>0</v>
      </c>
      <c r="C7" s="3">
        <f>23974</f>
        <v>23974</v>
      </c>
      <c r="D7" s="7">
        <v>2.3300000000000001E-2</v>
      </c>
      <c r="F7" s="3">
        <v>-5310</v>
      </c>
      <c r="G7" s="9">
        <f>ROUND(IF(D$5=1,-0.5*D7*C7,-D7*C7),0)</f>
        <v>-559</v>
      </c>
      <c r="H7" s="9">
        <f t="shared" si="0"/>
        <v>-5869</v>
      </c>
      <c r="J7" s="13">
        <f t="shared" si="1"/>
        <v>18105</v>
      </c>
      <c r="O7" s="25">
        <v>2.0000000000000001E-4</v>
      </c>
      <c r="P7" s="13">
        <f>ROUND(IF(D$5=1,-0.5*O7*C7,-O7*C7),0)</f>
        <v>-5</v>
      </c>
    </row>
    <row r="8" spans="1:21" x14ac:dyDescent="0.25">
      <c r="A8" s="10">
        <v>3</v>
      </c>
      <c r="B8" s="10" t="s">
        <v>1</v>
      </c>
      <c r="C8" s="3">
        <f>118268</f>
        <v>118268</v>
      </c>
      <c r="D8" s="7">
        <v>2.69E-2</v>
      </c>
      <c r="F8" s="3">
        <v>-30220</v>
      </c>
      <c r="G8" s="9">
        <f>ROUND(IF(D$5=1,-0.5*D8*C8,-D8*C8),0)</f>
        <v>-3181</v>
      </c>
      <c r="H8" s="9">
        <f t="shared" si="0"/>
        <v>-33401</v>
      </c>
      <c r="J8" s="13">
        <f t="shared" si="1"/>
        <v>84867</v>
      </c>
      <c r="O8" s="25">
        <v>4.1999999999999997E-3</v>
      </c>
      <c r="P8" s="13">
        <f>ROUND(IF(D$5=1,-0.5*O8*C8,-O8*C8),0)</f>
        <v>-497</v>
      </c>
    </row>
    <row r="9" spans="1:21" x14ac:dyDescent="0.25">
      <c r="A9" s="10">
        <v>4</v>
      </c>
      <c r="B9" s="10" t="s">
        <v>19</v>
      </c>
      <c r="C9" s="3">
        <v>0</v>
      </c>
      <c r="D9" s="7">
        <v>2.2499999999999999E-2</v>
      </c>
      <c r="F9" s="3" t="s">
        <v>196</v>
      </c>
      <c r="G9" s="9">
        <f>ROUND(IF(D$5=1,-0.5*D9*C9,-D9*C9),0)</f>
        <v>0</v>
      </c>
      <c r="H9" s="9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21" x14ac:dyDescent="0.25">
      <c r="A10" s="10">
        <v>5</v>
      </c>
      <c r="B10" s="10" t="s">
        <v>18</v>
      </c>
      <c r="C10" s="3">
        <v>0</v>
      </c>
      <c r="D10" s="7">
        <v>2.0500000000000001E-2</v>
      </c>
      <c r="F10" s="3" t="s">
        <v>196</v>
      </c>
      <c r="G10" s="9">
        <f>ROUND(IF(D$5=1,-0.5*D10*C10,-D10*C10),0)</f>
        <v>0</v>
      </c>
      <c r="H10" s="9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21" x14ac:dyDescent="0.25">
      <c r="A11" s="10">
        <v>6</v>
      </c>
      <c r="B11" s="10" t="s">
        <v>63</v>
      </c>
      <c r="C11" s="4">
        <v>615796</v>
      </c>
      <c r="D11" s="8" t="s">
        <v>62</v>
      </c>
      <c r="E11" s="26"/>
      <c r="F11" s="4">
        <v>-5547</v>
      </c>
      <c r="G11" s="12">
        <f>P12</f>
        <v>-584</v>
      </c>
      <c r="H11" s="12">
        <f t="shared" si="0"/>
        <v>-6131</v>
      </c>
      <c r="J11" s="14">
        <f t="shared" si="1"/>
        <v>609665</v>
      </c>
      <c r="O11" s="27">
        <v>0</v>
      </c>
      <c r="P11" s="14">
        <f>IF(D$5=1,-0.5*O11*C11,-O11*C11)</f>
        <v>0</v>
      </c>
    </row>
    <row r="12" spans="1:21" x14ac:dyDescent="0.25">
      <c r="C12" s="9">
        <f>SUM(C5:C11)</f>
        <v>1574788</v>
      </c>
      <c r="D12" s="9"/>
      <c r="F12" s="3">
        <f>SUM(F5:F11)</f>
        <v>-281608</v>
      </c>
      <c r="G12" s="9">
        <f>SUM(G5:G11)</f>
        <v>-29643</v>
      </c>
      <c r="H12" s="9">
        <f>SUM(H5:H11)</f>
        <v>-311251</v>
      </c>
      <c r="J12" s="13">
        <f>SUM(J6:J11)</f>
        <v>1263537</v>
      </c>
      <c r="O12" s="13"/>
      <c r="P12" s="5">
        <f>SUM(P5:P11)</f>
        <v>-584</v>
      </c>
    </row>
    <row r="13" spans="1:21" ht="14.25" customHeight="1" x14ac:dyDescent="0.25">
      <c r="C13" s="9"/>
      <c r="D13" s="9"/>
      <c r="E13" s="9"/>
      <c r="F13" s="9"/>
      <c r="M13" s="1"/>
      <c r="N13" s="11"/>
    </row>
    <row r="14" spans="1:21" x14ac:dyDescent="0.25">
      <c r="J14" s="10" t="s">
        <v>66</v>
      </c>
      <c r="M14" s="1"/>
      <c r="N14" s="11"/>
    </row>
    <row r="15" spans="1:21" x14ac:dyDescent="0.25">
      <c r="D15" s="1"/>
    </row>
    <row r="16" spans="1:21" s="102" customFormat="1" x14ac:dyDescent="0.25">
      <c r="C16" s="115"/>
      <c r="D16" s="124" t="s">
        <v>29</v>
      </c>
      <c r="E16" s="115"/>
      <c r="F16" s="115"/>
      <c r="G16" s="138">
        <v>0.5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11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>'2010'!C6</f>
        <v>816750</v>
      </c>
      <c r="D19" s="141">
        <v>0.94499999999999995</v>
      </c>
      <c r="E19" s="105">
        <f>C19*-D19</f>
        <v>-771828.75</v>
      </c>
      <c r="F19" s="142">
        <f>C19+E19</f>
        <v>44921.25</v>
      </c>
      <c r="G19" s="142">
        <f>F19*-$G$16</f>
        <v>-22460.625</v>
      </c>
      <c r="H19" s="143">
        <f t="shared" ref="H19:H24" si="2">F19+G19</f>
        <v>22460.625</v>
      </c>
      <c r="J19" s="102">
        <v>15</v>
      </c>
      <c r="K19" s="144">
        <f>IFERROR(VLOOKUP(J19,'Tax Rates'!$A$1:$AA$12,'2010'!$K$18+1,FALSE),0)</f>
        <v>5.9049999999999998E-2</v>
      </c>
      <c r="L19" s="145">
        <v>-810464</v>
      </c>
      <c r="M19" s="142">
        <v>0</v>
      </c>
      <c r="N19" s="142">
        <v>0</v>
      </c>
      <c r="O19" s="105">
        <f>ROUND(K19*-H19,0)</f>
        <v>-1326</v>
      </c>
      <c r="P19" s="146">
        <f t="shared" ref="P19:P24" si="3">SUM(L19:O19)</f>
        <v>-811790</v>
      </c>
      <c r="R19" s="142">
        <f>C19+P19</f>
        <v>4960</v>
      </c>
    </row>
    <row r="20" spans="1:18" s="102" customFormat="1" x14ac:dyDescent="0.25">
      <c r="A20" s="102">
        <v>8</v>
      </c>
      <c r="B20" s="102" t="s">
        <v>0</v>
      </c>
      <c r="C20" s="105">
        <f>'2010'!C7</f>
        <v>23974</v>
      </c>
      <c r="D20" s="141">
        <v>1</v>
      </c>
      <c r="E20" s="105">
        <f>C20*-D20</f>
        <v>-23974</v>
      </c>
      <c r="F20" s="142">
        <f>C20+E20</f>
        <v>0</v>
      </c>
      <c r="G20" s="142">
        <f>F20*-$G$16</f>
        <v>0</v>
      </c>
      <c r="H20" s="143">
        <f t="shared" si="2"/>
        <v>0</v>
      </c>
      <c r="J20" s="102">
        <v>15</v>
      </c>
      <c r="K20" s="144">
        <f>IFERROR(VLOOKUP(J20,'Tax Rates'!$A$1:$AA$12,'2010'!$K$18+1,FALSE),0)</f>
        <v>5.9049999999999998E-2</v>
      </c>
      <c r="L20" s="145">
        <v>-23974</v>
      </c>
      <c r="M20" s="142">
        <v>0</v>
      </c>
      <c r="N20" s="142">
        <v>0</v>
      </c>
      <c r="O20" s="105">
        <f>ROUND(K20*-H20,0)</f>
        <v>0</v>
      </c>
      <c r="P20" s="146">
        <f t="shared" si="3"/>
        <v>-23974</v>
      </c>
      <c r="R20" s="142">
        <f>C20+P20</f>
        <v>0</v>
      </c>
    </row>
    <row r="21" spans="1:18" s="102" customFormat="1" x14ac:dyDescent="0.25">
      <c r="A21" s="102">
        <v>9</v>
      </c>
      <c r="B21" s="102" t="s">
        <v>1</v>
      </c>
      <c r="C21" s="105">
        <f>'2010'!C8</f>
        <v>118268</v>
      </c>
      <c r="D21" s="141">
        <v>0</v>
      </c>
      <c r="E21" s="105">
        <f>C21*-D21</f>
        <v>0</v>
      </c>
      <c r="F21" s="142">
        <f>C21+E21</f>
        <v>118268</v>
      </c>
      <c r="G21" s="142">
        <f>F21*-$G$16</f>
        <v>-59134</v>
      </c>
      <c r="H21" s="143">
        <f t="shared" si="2"/>
        <v>59134</v>
      </c>
      <c r="J21" s="102">
        <v>20</v>
      </c>
      <c r="K21" s="144">
        <f>IFERROR(VLOOKUP(J21,'Tax Rates'!$A$1:$AA$12,'2010'!$K$18+1,FALSE),0)</f>
        <v>4.462E-2</v>
      </c>
      <c r="L21" s="145">
        <v>-92617</v>
      </c>
      <c r="M21" s="142">
        <v>0</v>
      </c>
      <c r="N21" s="142">
        <v>0</v>
      </c>
      <c r="O21" s="105">
        <f>ROUND(K21*-H21,0)</f>
        <v>-2639</v>
      </c>
      <c r="P21" s="146">
        <f t="shared" si="3"/>
        <v>-95256</v>
      </c>
      <c r="R21" s="142">
        <f>C21+P21</f>
        <v>23012</v>
      </c>
    </row>
    <row r="22" spans="1:18" s="102" customFormat="1" x14ac:dyDescent="0.25">
      <c r="A22" s="102">
        <v>10</v>
      </c>
      <c r="B22" s="102" t="s">
        <v>19</v>
      </c>
      <c r="C22" s="105">
        <f>'2010'!C9</f>
        <v>0</v>
      </c>
      <c r="D22" s="141">
        <v>0</v>
      </c>
      <c r="E22" s="105">
        <f>C22*-D22</f>
        <v>0</v>
      </c>
      <c r="F22" s="142">
        <f>C22+E22</f>
        <v>0</v>
      </c>
      <c r="G22" s="142">
        <f>F22*-$G$16</f>
        <v>0</v>
      </c>
      <c r="H22" s="143">
        <f t="shared" si="2"/>
        <v>0</v>
      </c>
      <c r="J22" s="102">
        <v>7</v>
      </c>
      <c r="K22" s="144">
        <f>IFERROR(VLOOKUP(J22,'Tax Rates'!$A$1:$AA$12,'2010'!$K$18+1,FALSE),0)</f>
        <v>0</v>
      </c>
      <c r="L22" s="145">
        <v>0</v>
      </c>
      <c r="M22" s="142">
        <v>0</v>
      </c>
      <c r="N22" s="142">
        <v>0</v>
      </c>
      <c r="O22" s="105">
        <f>ROUND(K22*-H22,0)</f>
        <v>0</v>
      </c>
      <c r="P22" s="146">
        <f t="shared" si="3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05">
        <f>'2010'!C10</f>
        <v>0</v>
      </c>
      <c r="D23" s="141">
        <v>0</v>
      </c>
      <c r="E23" s="105">
        <f>C23*-D23</f>
        <v>0</v>
      </c>
      <c r="F23" s="142">
        <f>C23+E23</f>
        <v>0</v>
      </c>
      <c r="G23" s="142">
        <f>F23*-$G$16</f>
        <v>0</v>
      </c>
      <c r="H23" s="143">
        <f t="shared" si="2"/>
        <v>0</v>
      </c>
      <c r="J23" s="102">
        <v>15</v>
      </c>
      <c r="K23" s="144">
        <f>IFERROR(VLOOKUP(J23,'Tax Rates'!$A$1:$AA$12,'2010'!$K$18+1,FALSE),0)</f>
        <v>5.9049999999999998E-2</v>
      </c>
      <c r="L23" s="145">
        <v>0</v>
      </c>
      <c r="M23" s="142">
        <v>0</v>
      </c>
      <c r="N23" s="142">
        <v>0</v>
      </c>
      <c r="O23" s="105">
        <f>ROUND(K23*-H23,0)</f>
        <v>0</v>
      </c>
      <c r="P23" s="146">
        <f t="shared" si="3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>'2010'!C11</f>
        <v>615796</v>
      </c>
      <c r="D24" s="149" t="s">
        <v>64</v>
      </c>
      <c r="E24" s="107">
        <v>0</v>
      </c>
      <c r="F24" s="150">
        <v>0</v>
      </c>
      <c r="G24" s="150">
        <v>0</v>
      </c>
      <c r="H24" s="151">
        <f t="shared" si="2"/>
        <v>0</v>
      </c>
      <c r="J24" s="152" t="s">
        <v>64</v>
      </c>
      <c r="K24" s="153" t="s">
        <v>64</v>
      </c>
      <c r="L24" s="154">
        <v>0</v>
      </c>
      <c r="M24" s="150">
        <v>0</v>
      </c>
      <c r="N24" s="155">
        <v>0</v>
      </c>
      <c r="O24" s="107">
        <v>0</v>
      </c>
      <c r="P24" s="156">
        <f t="shared" si="3"/>
        <v>0</v>
      </c>
      <c r="R24" s="157" t="s">
        <v>64</v>
      </c>
    </row>
    <row r="25" spans="1:18" s="102" customFormat="1" x14ac:dyDescent="0.25">
      <c r="C25" s="105">
        <f>SUM(C18:C24)</f>
        <v>1574788</v>
      </c>
      <c r="E25" s="105">
        <f>SUM(E19:E24)</f>
        <v>-795802.75</v>
      </c>
      <c r="F25" s="105">
        <f>SUM(F19:F24)</f>
        <v>163189.25</v>
      </c>
      <c r="G25" s="105">
        <f>SUM(G19:G24)</f>
        <v>-81594.625</v>
      </c>
      <c r="H25" s="146">
        <f>SUM(H19:H24)</f>
        <v>81594.625</v>
      </c>
      <c r="L25" s="146">
        <f>SUM(L19:L24)</f>
        <v>-927055</v>
      </c>
      <c r="M25" s="105">
        <f>SUM(M19:M24)</f>
        <v>0</v>
      </c>
      <c r="N25" s="105">
        <f>SUM(N19:N24)</f>
        <v>0</v>
      </c>
      <c r="O25" s="105">
        <f>SUM(O19:O24)</f>
        <v>-3965</v>
      </c>
      <c r="P25" s="146">
        <f>SUM(P19:P24)</f>
        <v>-931020</v>
      </c>
      <c r="R25" s="142">
        <f>SUM(R19:R24)</f>
        <v>27972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>'2010'!J6</f>
        <v>550900</v>
      </c>
      <c r="E31" s="142">
        <f>'2010'!R19</f>
        <v>4960</v>
      </c>
      <c r="F31" s="142">
        <f>E31-D31</f>
        <v>-545940</v>
      </c>
      <c r="G31" s="160">
        <v>0.37959999999999999</v>
      </c>
      <c r="H31" s="142">
        <f>ROUND(F31*0.3796,0)</f>
        <v>-207239</v>
      </c>
    </row>
    <row r="32" spans="1:18" s="102" customFormat="1" x14ac:dyDescent="0.25">
      <c r="A32" s="102">
        <v>14</v>
      </c>
      <c r="B32" s="102" t="s">
        <v>0</v>
      </c>
      <c r="D32" s="142">
        <f>'2010'!J7</f>
        <v>18105</v>
      </c>
      <c r="E32" s="142">
        <f>'2010'!R20</f>
        <v>0</v>
      </c>
      <c r="F32" s="142">
        <f>E32-D32</f>
        <v>-18105</v>
      </c>
      <c r="G32" s="159">
        <f>G31</f>
        <v>0.37959999999999999</v>
      </c>
      <c r="H32" s="142">
        <f t="shared" ref="H32:H36" si="4">ROUND(F32*0.3796,0)</f>
        <v>-6873</v>
      </c>
    </row>
    <row r="33" spans="1:8" s="102" customFormat="1" x14ac:dyDescent="0.25">
      <c r="A33" s="102">
        <v>15</v>
      </c>
      <c r="B33" s="102" t="s">
        <v>1</v>
      </c>
      <c r="D33" s="142">
        <f>'2010'!J8</f>
        <v>84867</v>
      </c>
      <c r="E33" s="142">
        <f>'2010'!R21</f>
        <v>23012</v>
      </c>
      <c r="F33" s="142">
        <f>E33-D33</f>
        <v>-61855</v>
      </c>
      <c r="G33" s="159">
        <f>G31</f>
        <v>0.37959999999999999</v>
      </c>
      <c r="H33" s="142">
        <f t="shared" si="4"/>
        <v>-23480</v>
      </c>
    </row>
    <row r="34" spans="1:8" s="102" customFormat="1" x14ac:dyDescent="0.25">
      <c r="A34" s="102">
        <v>16</v>
      </c>
      <c r="B34" s="102" t="s">
        <v>19</v>
      </c>
      <c r="D34" s="142">
        <f>'2010'!J9</f>
        <v>0</v>
      </c>
      <c r="E34" s="142">
        <f>'2010'!R22</f>
        <v>0</v>
      </c>
      <c r="F34" s="142">
        <f>E34-D34</f>
        <v>0</v>
      </c>
      <c r="G34" s="159">
        <f>G31</f>
        <v>0.37959999999999999</v>
      </c>
      <c r="H34" s="142">
        <f t="shared" si="4"/>
        <v>0</v>
      </c>
    </row>
    <row r="35" spans="1:8" s="102" customFormat="1" x14ac:dyDescent="0.25">
      <c r="A35" s="102">
        <v>17</v>
      </c>
      <c r="B35" s="102" t="s">
        <v>18</v>
      </c>
      <c r="D35" s="142">
        <f>'2010'!J10</f>
        <v>0</v>
      </c>
      <c r="E35" s="142">
        <f>'2010'!R23</f>
        <v>0</v>
      </c>
      <c r="F35" s="142">
        <f>E35-D35</f>
        <v>0</v>
      </c>
      <c r="G35" s="159">
        <f>G31</f>
        <v>0.37959999999999999</v>
      </c>
      <c r="H35" s="142">
        <f t="shared" si="4"/>
        <v>0</v>
      </c>
    </row>
    <row r="36" spans="1:8" s="102" customFormat="1" x14ac:dyDescent="0.25">
      <c r="A36" s="102">
        <v>18</v>
      </c>
      <c r="B36" s="102" t="s">
        <v>63</v>
      </c>
      <c r="D36" s="150">
        <f>'2010'!J11</f>
        <v>609665</v>
      </c>
      <c r="E36" s="157" t="s">
        <v>64</v>
      </c>
      <c r="F36" s="150">
        <f>-D36</f>
        <v>-609665</v>
      </c>
      <c r="G36" s="161">
        <f>G31</f>
        <v>0.37959999999999999</v>
      </c>
      <c r="H36" s="150">
        <f t="shared" si="4"/>
        <v>-231429</v>
      </c>
    </row>
    <row r="37" spans="1:8" s="102" customFormat="1" x14ac:dyDescent="0.25">
      <c r="D37" s="142">
        <f>SUM(D31:D36)</f>
        <v>1263537</v>
      </c>
      <c r="E37" s="142">
        <f>SUM(E31:E36)</f>
        <v>27972</v>
      </c>
      <c r="F37" s="142">
        <f>SUM(F31:F36)</f>
        <v>-1235565</v>
      </c>
      <c r="H37" s="142">
        <f>SUM(H31:H36)</f>
        <v>-469021</v>
      </c>
    </row>
    <row r="38" spans="1:8" s="102" customFormat="1" x14ac:dyDescent="0.25"/>
    <row r="39" spans="1:8" x14ac:dyDescent="0.25">
      <c r="A39" s="26" t="s">
        <v>71</v>
      </c>
      <c r="B39" s="10" t="s">
        <v>74</v>
      </c>
    </row>
    <row r="40" spans="1:8" x14ac:dyDescent="0.25">
      <c r="A40" s="26"/>
    </row>
  </sheetData>
  <mergeCells count="3">
    <mergeCell ref="D29:E29"/>
    <mergeCell ref="F3:H3"/>
    <mergeCell ref="L16:P16"/>
  </mergeCells>
  <pageMargins left="0.7" right="0.7" top="0.75" bottom="0.75" header="0.3" footer="0.3"/>
  <pageSetup scale="60" orientation="landscape" cellComments="asDisplayed" r:id="rId1"/>
  <headerFooter>
    <oddHeader>&amp;RSchedule II - 2010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0"/>
  <sheetViews>
    <sheetView zoomScaleNormal="100" workbookViewId="0">
      <selection activeCell="G19" sqref="G19"/>
    </sheetView>
  </sheetViews>
  <sheetFormatPr defaultColWidth="9.140625" defaultRowHeight="15" x14ac:dyDescent="0.25"/>
  <cols>
    <col min="1" max="1" width="14.42578125" style="10" customWidth="1"/>
    <col min="2" max="2" width="18.5703125" style="10" bestFit="1" customWidth="1"/>
    <col min="3" max="4" width="12.7109375" style="10" customWidth="1"/>
    <col min="5" max="5" width="11.28515625" style="10" bestFit="1" customWidth="1"/>
    <col min="6" max="6" width="12.7109375" style="10" customWidth="1"/>
    <col min="7" max="7" width="12.42578125" style="10" bestFit="1" customWidth="1"/>
    <col min="8" max="8" width="13.140625" style="10" bestFit="1" customWidth="1"/>
    <col min="9" max="9" width="2.7109375" style="10" customWidth="1"/>
    <col min="10" max="10" width="10.7109375" style="10" customWidth="1"/>
    <col min="11" max="11" width="8.140625" style="10" bestFit="1" customWidth="1"/>
    <col min="12" max="12" width="12.7109375" style="10" customWidth="1"/>
    <col min="13" max="14" width="11.28515625" style="10" bestFit="1" customWidth="1"/>
    <col min="15" max="15" width="8.42578125" style="10" bestFit="1" customWidth="1"/>
    <col min="16" max="16" width="11.28515625" style="10" bestFit="1" customWidth="1"/>
    <col min="17" max="17" width="2.7109375" style="10" customWidth="1"/>
    <col min="18" max="18" width="13.7109375" style="10" bestFit="1" customWidth="1"/>
    <col min="19" max="19" width="7.7109375" style="10" bestFit="1" customWidth="1"/>
    <col min="20" max="20" width="7.42578125" style="10" bestFit="1" customWidth="1"/>
    <col min="21" max="16384" width="9.140625" style="10"/>
  </cols>
  <sheetData>
    <row r="1" spans="1:18" x14ac:dyDescent="0.25">
      <c r="A1" s="17" t="s">
        <v>26</v>
      </c>
      <c r="B1" s="20">
        <v>2011</v>
      </c>
    </row>
    <row r="2" spans="1:18" x14ac:dyDescent="0.25">
      <c r="A2" s="17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1" t="s">
        <v>37</v>
      </c>
      <c r="F3" s="11"/>
      <c r="G3" s="29" t="s">
        <v>71</v>
      </c>
      <c r="H3" s="11"/>
      <c r="J3" s="22" t="s">
        <v>34</v>
      </c>
    </row>
    <row r="4" spans="1:18" x14ac:dyDescent="0.25">
      <c r="C4" s="1">
        <v>2011</v>
      </c>
      <c r="D4" s="1" t="s">
        <v>25</v>
      </c>
      <c r="F4" s="1"/>
      <c r="G4" s="1" t="s">
        <v>2</v>
      </c>
      <c r="H4" s="1"/>
      <c r="J4" s="1" t="s">
        <v>42</v>
      </c>
      <c r="O4" s="1" t="s">
        <v>70</v>
      </c>
      <c r="P4" s="1" t="s">
        <v>70</v>
      </c>
    </row>
    <row r="5" spans="1:18" x14ac:dyDescent="0.25">
      <c r="C5" s="2" t="s">
        <v>21</v>
      </c>
      <c r="D5" s="24">
        <v>10</v>
      </c>
      <c r="F5" s="2" t="s">
        <v>22</v>
      </c>
      <c r="G5" s="2" t="s">
        <v>17</v>
      </c>
      <c r="H5" s="2" t="s">
        <v>23</v>
      </c>
      <c r="J5" s="2" t="s">
        <v>43</v>
      </c>
      <c r="O5" s="2" t="s">
        <v>14</v>
      </c>
      <c r="P5" s="2" t="s">
        <v>16</v>
      </c>
    </row>
    <row r="6" spans="1:18" x14ac:dyDescent="0.25">
      <c r="A6" s="10">
        <v>1</v>
      </c>
      <c r="B6" s="10" t="s">
        <v>48</v>
      </c>
      <c r="C6" s="3">
        <f>467774+361177</f>
        <v>828951</v>
      </c>
      <c r="D6" s="7">
        <v>3.1E-2</v>
      </c>
      <c r="F6" s="3">
        <v>-218425</v>
      </c>
      <c r="G6" s="9">
        <f>ROUND(IF(D$5=1,-0.5*D6*C6,-D6*C6),0)</f>
        <v>-25697</v>
      </c>
      <c r="H6" s="9">
        <f t="shared" ref="H6:H11" si="0">SUM(F6:G6)</f>
        <v>-244122</v>
      </c>
      <c r="J6" s="13">
        <f t="shared" ref="J6:J11" si="1">C6+H6</f>
        <v>584829</v>
      </c>
      <c r="O6" s="25">
        <v>1E-4</v>
      </c>
      <c r="P6" s="5">
        <f>ROUND(IF(D$5=1,-0.5*O6*C6,-O6*C6),0)</f>
        <v>-83</v>
      </c>
    </row>
    <row r="7" spans="1:18" x14ac:dyDescent="0.25">
      <c r="A7" s="10">
        <v>2</v>
      </c>
      <c r="B7" s="10" t="s">
        <v>0</v>
      </c>
      <c r="C7" s="3">
        <v>88312</v>
      </c>
      <c r="D7" s="7">
        <v>2.3300000000000001E-2</v>
      </c>
      <c r="F7" s="3">
        <v>-17493</v>
      </c>
      <c r="G7" s="9">
        <f>ROUND(IF(D$5=1,-0.5*D7*C7,-D7*C7),0)</f>
        <v>-2058</v>
      </c>
      <c r="H7" s="9">
        <f t="shared" si="0"/>
        <v>-19551</v>
      </c>
      <c r="J7" s="13">
        <f t="shared" si="1"/>
        <v>68761</v>
      </c>
      <c r="O7" s="25">
        <v>2.0000000000000001E-4</v>
      </c>
      <c r="P7" s="13">
        <f>ROUND(IF(D$5=1,-0.5*O7*C7,-O7*C7),0)</f>
        <v>-18</v>
      </c>
    </row>
    <row r="8" spans="1:18" x14ac:dyDescent="0.25">
      <c r="A8" s="10">
        <v>3</v>
      </c>
      <c r="B8" s="10" t="s">
        <v>1</v>
      </c>
      <c r="C8" s="3">
        <f>120134+262941</f>
        <v>383075</v>
      </c>
      <c r="D8" s="7">
        <v>2.69E-2</v>
      </c>
      <c r="F8" s="3">
        <v>-87592</v>
      </c>
      <c r="G8" s="9">
        <f>ROUND(IF(D$5=1,-0.5*D8*C8,-D8*C8),0)</f>
        <v>-10305</v>
      </c>
      <c r="H8" s="9">
        <f t="shared" si="0"/>
        <v>-97897</v>
      </c>
      <c r="J8" s="13">
        <f t="shared" si="1"/>
        <v>285178</v>
      </c>
      <c r="O8" s="25">
        <v>4.1999999999999997E-3</v>
      </c>
      <c r="P8" s="13">
        <f>ROUND(IF(D$5=1,-0.5*O8*C8,-O8*C8),0)</f>
        <v>-1609</v>
      </c>
    </row>
    <row r="9" spans="1:18" x14ac:dyDescent="0.25">
      <c r="A9" s="10">
        <v>4</v>
      </c>
      <c r="B9" s="10" t="s">
        <v>19</v>
      </c>
      <c r="C9" s="3">
        <v>0</v>
      </c>
      <c r="D9" s="7">
        <v>2.2499999999999999E-2</v>
      </c>
      <c r="F9" s="3" t="s">
        <v>196</v>
      </c>
      <c r="G9" s="9">
        <f>ROUND(IF(D$5=1,-0.5*D9*C9,-D9*C9),0)</f>
        <v>0</v>
      </c>
      <c r="H9" s="9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10">
        <v>5</v>
      </c>
      <c r="B10" s="10" t="s">
        <v>18</v>
      </c>
      <c r="C10" s="3">
        <v>0</v>
      </c>
      <c r="D10" s="7">
        <v>2.0500000000000001E-2</v>
      </c>
      <c r="F10" s="3" t="s">
        <v>196</v>
      </c>
      <c r="G10" s="9">
        <f>ROUND(IF(D$5=1,-0.5*D10*C10,-D10*C10),0)</f>
        <v>0</v>
      </c>
      <c r="H10" s="9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10">
        <v>6</v>
      </c>
      <c r="B11" s="10" t="s">
        <v>63</v>
      </c>
      <c r="C11" s="4">
        <f>3849+425917</f>
        <v>429766</v>
      </c>
      <c r="D11" s="8" t="s">
        <v>62</v>
      </c>
      <c r="F11" s="4">
        <v>-14535</v>
      </c>
      <c r="G11" s="12">
        <f>P12</f>
        <v>-1710</v>
      </c>
      <c r="H11" s="12">
        <f t="shared" si="0"/>
        <v>-16245</v>
      </c>
      <c r="J11" s="14">
        <f t="shared" si="1"/>
        <v>413521</v>
      </c>
      <c r="O11" s="27">
        <v>0</v>
      </c>
      <c r="P11" s="14">
        <f>IF(D$5=1,-0.5*O11*C11,-O11*C11)</f>
        <v>0</v>
      </c>
    </row>
    <row r="12" spans="1:18" x14ac:dyDescent="0.25">
      <c r="C12" s="9">
        <f>SUM(C6:C11)</f>
        <v>1730104</v>
      </c>
      <c r="D12" s="9"/>
      <c r="F12" s="3">
        <f>SUM(F5:F11)</f>
        <v>-338045</v>
      </c>
      <c r="G12" s="9">
        <f>SUM(G5:G11)</f>
        <v>-39770</v>
      </c>
      <c r="H12" s="9">
        <f>SUM(H5:H11)</f>
        <v>-377815</v>
      </c>
      <c r="J12" s="13">
        <f>SUM(J6:J11)</f>
        <v>1352289</v>
      </c>
      <c r="O12" s="13"/>
      <c r="P12" s="5">
        <f>SUM(P5:P11)</f>
        <v>-1710</v>
      </c>
    </row>
    <row r="13" spans="1:18" ht="14.25" customHeight="1" x14ac:dyDescent="0.25">
      <c r="C13" s="9"/>
      <c r="D13" s="9"/>
      <c r="E13" s="9"/>
      <c r="F13" s="9"/>
      <c r="M13" s="1"/>
      <c r="N13" s="11"/>
    </row>
    <row r="14" spans="1:18" x14ac:dyDescent="0.25">
      <c r="M14" s="1"/>
      <c r="N14" s="11"/>
    </row>
    <row r="15" spans="1:18" s="102" customFormat="1" x14ac:dyDescent="0.25">
      <c r="D15" s="124"/>
    </row>
    <row r="16" spans="1:18" s="102" customFormat="1" x14ac:dyDescent="0.25">
      <c r="C16" s="115"/>
      <c r="D16" s="124" t="s">
        <v>29</v>
      </c>
      <c r="E16" s="115"/>
      <c r="F16" s="115"/>
      <c r="G16" s="138">
        <v>1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10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828951</v>
      </c>
      <c r="D19" s="141">
        <v>0.71</v>
      </c>
      <c r="E19" s="105">
        <f>C19*-D19</f>
        <v>-588555.21</v>
      </c>
      <c r="F19" s="142">
        <f>C19+E19</f>
        <v>240395.79000000004</v>
      </c>
      <c r="G19" s="142">
        <f>F19*-$G$16</f>
        <v>-240395.79000000004</v>
      </c>
      <c r="H19" s="143">
        <f t="shared" ref="H19:H24" si="3">F19+G19</f>
        <v>0</v>
      </c>
      <c r="J19" s="102">
        <v>15</v>
      </c>
      <c r="K19" s="144">
        <f>IFERROR(VLOOKUP(J19,'Tax Rates'!$A$1:$AA$12,$K$18+1,FALSE),0)</f>
        <v>5.9049999999999998E-2</v>
      </c>
      <c r="L19" s="145">
        <v>-828951</v>
      </c>
      <c r="M19" s="142">
        <v>0</v>
      </c>
      <c r="N19" s="142">
        <v>0</v>
      </c>
      <c r="O19" s="105">
        <f>ROUND(K19*-H19,0)</f>
        <v>0</v>
      </c>
      <c r="P19" s="146">
        <f t="shared" ref="P19:P24" si="4">SUM(L19:O19)</f>
        <v>-828951</v>
      </c>
      <c r="R19" s="142">
        <f>C19+P19</f>
        <v>0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88312</v>
      </c>
      <c r="D20" s="147">
        <f>-E20/C20</f>
        <v>0.93963447776066678</v>
      </c>
      <c r="E20" s="117">
        <f>-21362-61619</f>
        <v>-82981</v>
      </c>
      <c r="F20" s="142">
        <f>C20+E20</f>
        <v>5331</v>
      </c>
      <c r="G20" s="142">
        <f>F20*-$G$16</f>
        <v>-5331</v>
      </c>
      <c r="H20" s="143">
        <f t="shared" si="3"/>
        <v>0</v>
      </c>
      <c r="J20" s="102">
        <v>15</v>
      </c>
      <c r="K20" s="144">
        <f>IFERROR(VLOOKUP(J20,'Tax Rates'!$A$1:$AA$12,$K$18+1,FALSE),0)</f>
        <v>5.9049999999999998E-2</v>
      </c>
      <c r="L20" s="145">
        <v>-88312</v>
      </c>
      <c r="M20" s="142">
        <v>0</v>
      </c>
      <c r="N20" s="142">
        <v>0</v>
      </c>
      <c r="O20" s="105">
        <f>ROUND(K20*-H20,0)</f>
        <v>0</v>
      </c>
      <c r="P20" s="146">
        <f t="shared" si="4"/>
        <v>-88312</v>
      </c>
      <c r="R20" s="142">
        <f>C20+P20</f>
        <v>0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383075</v>
      </c>
      <c r="D21" s="141">
        <v>1</v>
      </c>
      <c r="E21" s="105">
        <f>C21*-D21</f>
        <v>-383075</v>
      </c>
      <c r="F21" s="142">
        <f>C21+E21</f>
        <v>0</v>
      </c>
      <c r="G21" s="142">
        <f>F21*-$G$16</f>
        <v>0</v>
      </c>
      <c r="H21" s="143">
        <f t="shared" si="3"/>
        <v>0</v>
      </c>
      <c r="J21" s="102">
        <v>20</v>
      </c>
      <c r="K21" s="144">
        <f>IFERROR(VLOOKUP(J21,'Tax Rates'!$A$1:$AA$12,$K$18+1,FALSE),0)</f>
        <v>4.4609999999999997E-2</v>
      </c>
      <c r="L21" s="145">
        <v>-383075</v>
      </c>
      <c r="M21" s="142">
        <v>0</v>
      </c>
      <c r="N21" s="142">
        <v>0</v>
      </c>
      <c r="O21" s="105">
        <f>ROUND(K21*-H21,0)</f>
        <v>0</v>
      </c>
      <c r="P21" s="146">
        <f t="shared" si="4"/>
        <v>-383075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C22*-D22</f>
        <v>0</v>
      </c>
      <c r="F22" s="142">
        <f>C22+E22</f>
        <v>0</v>
      </c>
      <c r="G22" s="142">
        <f>F22*-$G$16</f>
        <v>0</v>
      </c>
      <c r="H22" s="143">
        <f t="shared" si="3"/>
        <v>0</v>
      </c>
      <c r="J22" s="102">
        <v>7</v>
      </c>
      <c r="K22" s="144">
        <f>IFERROR(VLOOKUP(J22,'Tax Rates'!$A$1:$AA$12,$K$18+1,FALSE),0)</f>
        <v>0</v>
      </c>
      <c r="L22" s="145">
        <v>0</v>
      </c>
      <c r="M22" s="142">
        <f>E22</f>
        <v>0</v>
      </c>
      <c r="N22" s="142">
        <v>0</v>
      </c>
      <c r="O22" s="105">
        <f>ROUND(K22*-H22,0)</f>
        <v>0</v>
      </c>
      <c r="P22" s="146">
        <f t="shared" si="4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C23*-D23</f>
        <v>0</v>
      </c>
      <c r="F23" s="142">
        <f>C23+E23</f>
        <v>0</v>
      </c>
      <c r="G23" s="142">
        <f>F23*-$G$16</f>
        <v>0</v>
      </c>
      <c r="H23" s="143">
        <f t="shared" si="3"/>
        <v>0</v>
      </c>
      <c r="J23" s="102">
        <v>15</v>
      </c>
      <c r="K23" s="144">
        <f>IFERROR(VLOOKUP(J23,'Tax Rates'!$A$1:$AA$12,$K$18+1,FALSE),0)</f>
        <v>5.9049999999999998E-2</v>
      </c>
      <c r="L23" s="145">
        <v>0</v>
      </c>
      <c r="M23" s="142">
        <f>E23</f>
        <v>0</v>
      </c>
      <c r="N23" s="142">
        <v>0</v>
      </c>
      <c r="O23" s="105">
        <f>ROUND(K23*-H23,0)</f>
        <v>0</v>
      </c>
      <c r="P23" s="146">
        <f t="shared" si="4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429766</v>
      </c>
      <c r="D24" s="149" t="s">
        <v>64</v>
      </c>
      <c r="E24" s="107">
        <v>0</v>
      </c>
      <c r="F24" s="150">
        <v>0</v>
      </c>
      <c r="G24" s="150">
        <v>0</v>
      </c>
      <c r="H24" s="151">
        <f t="shared" si="3"/>
        <v>0</v>
      </c>
      <c r="J24" s="152" t="s">
        <v>64</v>
      </c>
      <c r="K24" s="153" t="s">
        <v>64</v>
      </c>
      <c r="L24" s="154">
        <v>0</v>
      </c>
      <c r="M24" s="150">
        <f>E24</f>
        <v>0</v>
      </c>
      <c r="N24" s="155">
        <f>G24</f>
        <v>0</v>
      </c>
      <c r="O24" s="107">
        <v>0</v>
      </c>
      <c r="P24" s="156">
        <f t="shared" si="4"/>
        <v>0</v>
      </c>
      <c r="R24" s="157" t="s">
        <v>64</v>
      </c>
    </row>
    <row r="25" spans="1:18" s="102" customFormat="1" x14ac:dyDescent="0.25">
      <c r="C25" s="105">
        <f>SUM(C18:C24)</f>
        <v>1730104</v>
      </c>
      <c r="E25" s="105">
        <f>SUM(E19:E24)</f>
        <v>-1054611.21</v>
      </c>
      <c r="F25" s="105">
        <f>SUM(F19:F24)</f>
        <v>245726.79000000004</v>
      </c>
      <c r="G25" s="105">
        <f>SUM(G19:G24)</f>
        <v>-245726.79000000004</v>
      </c>
      <c r="H25" s="146">
        <f>SUM(H19:H24)</f>
        <v>0</v>
      </c>
      <c r="L25" s="146">
        <f>SUM(L19:L24)</f>
        <v>-1300338</v>
      </c>
      <c r="M25" s="105">
        <f>SUM(M19:M24)</f>
        <v>0</v>
      </c>
      <c r="N25" s="105">
        <f>SUM(N19:N24)</f>
        <v>0</v>
      </c>
      <c r="O25" s="105">
        <f>SUM(O19:O24)</f>
        <v>0</v>
      </c>
      <c r="P25" s="146">
        <f>SUM(P19:P24)</f>
        <v>-1300338</v>
      </c>
      <c r="R25" s="142">
        <f>SUM(R19:R24)</f>
        <v>0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5">J6</f>
        <v>584829</v>
      </c>
      <c r="E31" s="142">
        <f t="shared" ref="E31:E36" si="6">R19</f>
        <v>0</v>
      </c>
      <c r="F31" s="142">
        <f>E31-D31</f>
        <v>-584829</v>
      </c>
      <c r="G31" s="160">
        <v>0.37959999999999999</v>
      </c>
      <c r="H31" s="142">
        <f t="shared" ref="H31:H36" si="7">F31*0.3796</f>
        <v>-222001.08840000001</v>
      </c>
    </row>
    <row r="32" spans="1:18" s="102" customFormat="1" x14ac:dyDescent="0.25">
      <c r="A32" s="102">
        <v>14</v>
      </c>
      <c r="B32" s="102" t="s">
        <v>0</v>
      </c>
      <c r="D32" s="148">
        <f t="shared" si="5"/>
        <v>68761</v>
      </c>
      <c r="E32" s="142">
        <f t="shared" si="6"/>
        <v>0</v>
      </c>
      <c r="F32" s="142">
        <f>E32-D32</f>
        <v>-68761</v>
      </c>
      <c r="G32" s="159">
        <f>G31</f>
        <v>0.37959999999999999</v>
      </c>
      <c r="H32" s="142">
        <f t="shared" si="7"/>
        <v>-26101.675599999999</v>
      </c>
    </row>
    <row r="33" spans="1:8" s="102" customFormat="1" x14ac:dyDescent="0.25">
      <c r="A33" s="102">
        <v>15</v>
      </c>
      <c r="B33" s="102" t="s">
        <v>1</v>
      </c>
      <c r="D33" s="148">
        <f t="shared" si="5"/>
        <v>285178</v>
      </c>
      <c r="E33" s="142">
        <f t="shared" si="6"/>
        <v>0</v>
      </c>
      <c r="F33" s="142">
        <f>E33-D33</f>
        <v>-285178</v>
      </c>
      <c r="G33" s="159">
        <f>G31</f>
        <v>0.37959999999999999</v>
      </c>
      <c r="H33" s="142">
        <f t="shared" si="7"/>
        <v>-108253.56879999999</v>
      </c>
    </row>
    <row r="34" spans="1:8" s="102" customFormat="1" x14ac:dyDescent="0.25">
      <c r="A34" s="102">
        <v>16</v>
      </c>
      <c r="B34" s="102" t="s">
        <v>19</v>
      </c>
      <c r="D34" s="148">
        <f t="shared" si="5"/>
        <v>0</v>
      </c>
      <c r="E34" s="142">
        <f t="shared" si="6"/>
        <v>0</v>
      </c>
      <c r="F34" s="142">
        <f>E34-D34</f>
        <v>0</v>
      </c>
      <c r="G34" s="159">
        <f>G31</f>
        <v>0.37959999999999999</v>
      </c>
      <c r="H34" s="142">
        <f t="shared" si="7"/>
        <v>0</v>
      </c>
    </row>
    <row r="35" spans="1:8" s="102" customFormat="1" x14ac:dyDescent="0.25">
      <c r="A35" s="102">
        <v>17</v>
      </c>
      <c r="B35" s="102" t="s">
        <v>18</v>
      </c>
      <c r="D35" s="148">
        <f t="shared" si="5"/>
        <v>0</v>
      </c>
      <c r="E35" s="142">
        <f t="shared" si="6"/>
        <v>0</v>
      </c>
      <c r="F35" s="142">
        <f>E35-D35</f>
        <v>0</v>
      </c>
      <c r="G35" s="159">
        <f>G31</f>
        <v>0.37959999999999999</v>
      </c>
      <c r="H35" s="142">
        <f t="shared" si="7"/>
        <v>0</v>
      </c>
    </row>
    <row r="36" spans="1:8" s="102" customFormat="1" x14ac:dyDescent="0.25">
      <c r="A36" s="102">
        <v>18</v>
      </c>
      <c r="B36" s="102" t="s">
        <v>63</v>
      </c>
      <c r="D36" s="150">
        <f t="shared" si="5"/>
        <v>413521</v>
      </c>
      <c r="E36" s="157" t="str">
        <f t="shared" si="6"/>
        <v>NA</v>
      </c>
      <c r="F36" s="150">
        <f>-D36</f>
        <v>-413521</v>
      </c>
      <c r="G36" s="161">
        <f>G31</f>
        <v>0.37959999999999999</v>
      </c>
      <c r="H36" s="150">
        <f t="shared" si="7"/>
        <v>-156972.5716</v>
      </c>
    </row>
    <row r="37" spans="1:8" s="102" customFormat="1" x14ac:dyDescent="0.25">
      <c r="D37" s="142">
        <f>SUM(D31:D36)</f>
        <v>1352289</v>
      </c>
      <c r="E37" s="142">
        <f>SUM(E31:E36)</f>
        <v>0</v>
      </c>
      <c r="F37" s="142">
        <f>SUM(F31:F36)</f>
        <v>-1352289</v>
      </c>
      <c r="H37" s="142">
        <f>SUM(H31:H36)</f>
        <v>-513328.9044</v>
      </c>
    </row>
    <row r="39" spans="1:8" x14ac:dyDescent="0.25">
      <c r="A39" s="30" t="s">
        <v>71</v>
      </c>
      <c r="B39" s="10" t="s">
        <v>74</v>
      </c>
    </row>
    <row r="40" spans="1:8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0" orientation="landscape" r:id="rId1"/>
  <headerFooter>
    <oddHeader>&amp;RSchedule II - 2011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0"/>
  <sheetViews>
    <sheetView view="pageBreakPreview" zoomScale="60" zoomScaleNormal="100" workbookViewId="0">
      <selection activeCell="L21" sqref="L21"/>
    </sheetView>
  </sheetViews>
  <sheetFormatPr defaultColWidth="9.140625" defaultRowHeight="15" x14ac:dyDescent="0.25"/>
  <cols>
    <col min="1" max="1" width="14.42578125" style="10" customWidth="1"/>
    <col min="2" max="2" width="18.5703125" style="10" bestFit="1" customWidth="1"/>
    <col min="3" max="4" width="12.7109375" style="10" customWidth="1"/>
    <col min="5" max="5" width="11.28515625" style="10" bestFit="1" customWidth="1"/>
    <col min="6" max="6" width="12.7109375" style="10" customWidth="1"/>
    <col min="7" max="7" width="12.42578125" style="10" bestFit="1" customWidth="1"/>
    <col min="8" max="8" width="13.140625" style="10" bestFit="1" customWidth="1"/>
    <col min="9" max="9" width="2.7109375" style="10" customWidth="1"/>
    <col min="10" max="10" width="10.7109375" style="10" customWidth="1"/>
    <col min="11" max="11" width="8.140625" style="10" bestFit="1" customWidth="1"/>
    <col min="12" max="12" width="12.7109375" style="10" customWidth="1"/>
    <col min="13" max="14" width="11.28515625" style="10" bestFit="1" customWidth="1"/>
    <col min="15" max="15" width="8.42578125" style="10" bestFit="1" customWidth="1"/>
    <col min="16" max="16" width="11.28515625" style="10" bestFit="1" customWidth="1"/>
    <col min="17" max="17" width="2.7109375" style="10" customWidth="1"/>
    <col min="18" max="18" width="13.7109375" style="10" bestFit="1" customWidth="1"/>
    <col min="19" max="19" width="7.7109375" style="10" bestFit="1" customWidth="1"/>
    <col min="20" max="20" width="7.42578125" style="10" bestFit="1" customWidth="1"/>
    <col min="21" max="16384" width="9.140625" style="10"/>
  </cols>
  <sheetData>
    <row r="1" spans="1:18" x14ac:dyDescent="0.25">
      <c r="A1" s="17" t="s">
        <v>26</v>
      </c>
      <c r="B1" s="20">
        <v>2012</v>
      </c>
    </row>
    <row r="2" spans="1:18" x14ac:dyDescent="0.25">
      <c r="A2" s="17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1" t="s">
        <v>37</v>
      </c>
      <c r="F3" s="11"/>
      <c r="G3" s="29" t="s">
        <v>71</v>
      </c>
      <c r="H3" s="11"/>
      <c r="J3" s="22" t="s">
        <v>34</v>
      </c>
    </row>
    <row r="4" spans="1:18" x14ac:dyDescent="0.25">
      <c r="C4" s="1">
        <v>2012</v>
      </c>
      <c r="D4" s="1" t="s">
        <v>25</v>
      </c>
      <c r="F4" s="1"/>
      <c r="G4" s="1" t="s">
        <v>2</v>
      </c>
      <c r="H4" s="1"/>
      <c r="J4" s="1" t="s">
        <v>42</v>
      </c>
      <c r="O4" s="1" t="s">
        <v>70</v>
      </c>
      <c r="P4" s="1" t="s">
        <v>70</v>
      </c>
    </row>
    <row r="5" spans="1:18" x14ac:dyDescent="0.25">
      <c r="C5" s="2" t="s">
        <v>21</v>
      </c>
      <c r="D5" s="24">
        <v>9</v>
      </c>
      <c r="F5" s="2" t="s">
        <v>22</v>
      </c>
      <c r="G5" s="2" t="s">
        <v>17</v>
      </c>
      <c r="H5" s="2" t="s">
        <v>23</v>
      </c>
      <c r="J5" s="2" t="s">
        <v>43</v>
      </c>
      <c r="O5" s="2" t="s">
        <v>14</v>
      </c>
      <c r="P5" s="2" t="s">
        <v>16</v>
      </c>
    </row>
    <row r="6" spans="1:18" x14ac:dyDescent="0.25">
      <c r="A6" s="10">
        <v>1</v>
      </c>
      <c r="B6" s="10" t="s">
        <v>48</v>
      </c>
      <c r="C6" s="3">
        <f>1546783+617748</f>
        <v>2164531</v>
      </c>
      <c r="D6" s="7">
        <v>3.1E-2</v>
      </c>
      <c r="F6" s="3">
        <v>-503250</v>
      </c>
      <c r="G6" s="9">
        <f>ROUND(IF(D$5=1,-0.5*D6*C6,-D6*C6),0)</f>
        <v>-67100</v>
      </c>
      <c r="H6" s="9">
        <f t="shared" ref="H6:H11" si="0">SUM(F6:G6)</f>
        <v>-570350</v>
      </c>
      <c r="J6" s="13">
        <f t="shared" ref="J6:J11" si="1">C6+H6</f>
        <v>1594181</v>
      </c>
      <c r="O6" s="25">
        <v>1E-4</v>
      </c>
      <c r="P6" s="5">
        <f>ROUND(IF(D$5=1,-0.5*O6*C6,-O6*C6),0)</f>
        <v>-216</v>
      </c>
    </row>
    <row r="7" spans="1:18" x14ac:dyDescent="0.25">
      <c r="A7" s="10">
        <v>2</v>
      </c>
      <c r="B7" s="10" t="s">
        <v>0</v>
      </c>
      <c r="C7" s="3">
        <v>31604</v>
      </c>
      <c r="D7" s="7">
        <v>2.3300000000000001E-2</v>
      </c>
      <c r="F7" s="3">
        <v>-5520</v>
      </c>
      <c r="G7" s="9">
        <f>ROUND(IF(D$5=1,-0.5*D7*C7,-D7*C7),0)</f>
        <v>-736</v>
      </c>
      <c r="H7" s="9">
        <f t="shared" si="0"/>
        <v>-6256</v>
      </c>
      <c r="J7" s="13">
        <f t="shared" si="1"/>
        <v>25348</v>
      </c>
      <c r="O7" s="25">
        <v>2.0000000000000001E-4</v>
      </c>
      <c r="P7" s="13">
        <f>ROUND(IF(D$5=1,-0.5*O7*C7,-O7*C7),0)</f>
        <v>-6</v>
      </c>
    </row>
    <row r="8" spans="1:18" x14ac:dyDescent="0.25">
      <c r="A8" s="10">
        <v>3</v>
      </c>
      <c r="B8" s="10" t="s">
        <v>1</v>
      </c>
      <c r="C8" s="3">
        <f>306201+425927</f>
        <v>732128</v>
      </c>
      <c r="D8" s="7">
        <v>2.69E-2</v>
      </c>
      <c r="F8" s="3">
        <v>-147705</v>
      </c>
      <c r="G8" s="9">
        <f>ROUND(IF(D$5=1,-0.5*D8*C8,-D8*C8),0)</f>
        <v>-19694</v>
      </c>
      <c r="H8" s="9">
        <f t="shared" si="0"/>
        <v>-167399</v>
      </c>
      <c r="J8" s="13">
        <f t="shared" si="1"/>
        <v>564729</v>
      </c>
      <c r="O8" s="25">
        <v>4.1999999999999997E-3</v>
      </c>
      <c r="P8" s="13">
        <f>ROUND(IF(D$5=1,-0.5*O8*C8,-O8*C8),0)</f>
        <v>-3075</v>
      </c>
    </row>
    <row r="9" spans="1:18" x14ac:dyDescent="0.25">
      <c r="A9" s="10">
        <v>4</v>
      </c>
      <c r="B9" s="10" t="s">
        <v>19</v>
      </c>
      <c r="C9" s="3">
        <v>0</v>
      </c>
      <c r="D9" s="7">
        <v>2.2499999999999999E-2</v>
      </c>
      <c r="F9" s="3" t="s">
        <v>196</v>
      </c>
      <c r="G9" s="9">
        <f>ROUND(IF(D$5=1,-0.5*D9*C9,-D9*C9),0)</f>
        <v>0</v>
      </c>
      <c r="H9" s="9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10">
        <v>5</v>
      </c>
      <c r="B10" s="10" t="s">
        <v>18</v>
      </c>
      <c r="C10" s="3">
        <v>0</v>
      </c>
      <c r="D10" s="7">
        <v>2.0500000000000001E-2</v>
      </c>
      <c r="F10" s="3" t="s">
        <v>196</v>
      </c>
      <c r="G10" s="9">
        <f>ROUND(IF(D$5=1,-0.5*D10*C10,-D10*C10),0)</f>
        <v>0</v>
      </c>
      <c r="H10" s="9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10">
        <v>6</v>
      </c>
      <c r="B11" s="10" t="s">
        <v>63</v>
      </c>
      <c r="C11" s="4">
        <v>868008</v>
      </c>
      <c r="D11" s="8" t="s">
        <v>62</v>
      </c>
      <c r="F11" s="4">
        <v>-24727</v>
      </c>
      <c r="G11" s="12">
        <f>P12</f>
        <v>-3297</v>
      </c>
      <c r="H11" s="12">
        <f t="shared" si="0"/>
        <v>-28024</v>
      </c>
      <c r="J11" s="14">
        <f t="shared" si="1"/>
        <v>839984</v>
      </c>
      <c r="O11" s="27">
        <v>0</v>
      </c>
      <c r="P11" s="14">
        <f>IF(D$5=1,-0.5*O11*C11,-O11*C11)</f>
        <v>0</v>
      </c>
    </row>
    <row r="12" spans="1:18" x14ac:dyDescent="0.25">
      <c r="C12" s="9">
        <f>SUM(C6:C11)</f>
        <v>3796271</v>
      </c>
      <c r="D12" s="9"/>
      <c r="F12" s="3">
        <f>SUM(F5:F11)</f>
        <v>-681202</v>
      </c>
      <c r="G12" s="9">
        <f>SUM(G5:G11)</f>
        <v>-90827</v>
      </c>
      <c r="H12" s="9">
        <f>SUM(H5:H11)</f>
        <v>-772029</v>
      </c>
      <c r="J12" s="13">
        <f>SUM(J6:J11)</f>
        <v>3024242</v>
      </c>
      <c r="O12" s="13"/>
      <c r="P12" s="5">
        <f>SUM(P5:P11)</f>
        <v>-3297</v>
      </c>
    </row>
    <row r="13" spans="1:18" ht="14.25" customHeight="1" x14ac:dyDescent="0.25">
      <c r="C13" s="9"/>
      <c r="D13" s="9"/>
      <c r="E13" s="9"/>
      <c r="F13" s="9"/>
      <c r="M13" s="1"/>
      <c r="N13" s="11"/>
    </row>
    <row r="14" spans="1:18" x14ac:dyDescent="0.25">
      <c r="M14" s="1"/>
      <c r="N14" s="11"/>
    </row>
    <row r="15" spans="1:18" x14ac:dyDescent="0.25">
      <c r="D15" s="1"/>
    </row>
    <row r="16" spans="1:18" s="102" customFormat="1" x14ac:dyDescent="0.25">
      <c r="C16" s="115"/>
      <c r="D16" s="124" t="s">
        <v>29</v>
      </c>
      <c r="E16" s="115"/>
      <c r="F16" s="115"/>
      <c r="G16" s="138">
        <v>0.5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9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2164531</v>
      </c>
      <c r="D19" s="141">
        <v>0.93</v>
      </c>
      <c r="E19" s="105">
        <f>ROUND(C19*-D19,0)</f>
        <v>-2013014</v>
      </c>
      <c r="F19" s="142">
        <f>C19+E19</f>
        <v>151517</v>
      </c>
      <c r="G19" s="142">
        <f t="shared" ref="G19:G24" si="3">ROUND(F19*-$G$16,0)</f>
        <v>-75759</v>
      </c>
      <c r="H19" s="143">
        <f t="shared" ref="H19:H24" si="4">F19+G19</f>
        <v>75758</v>
      </c>
      <c r="J19" s="102">
        <v>15</v>
      </c>
      <c r="K19" s="144">
        <f>IFERROR(VLOOKUP(J19,'Tax Rates'!$A$1:$AA$12,$K$18+1,FALSE),0)</f>
        <v>5.9049999999999998E-2</v>
      </c>
      <c r="L19" s="145">
        <v>-2130981</v>
      </c>
      <c r="M19" s="142">
        <v>0</v>
      </c>
      <c r="N19" s="142">
        <v>0</v>
      </c>
      <c r="O19" s="105">
        <f>ROUND(K19*-H19,0)</f>
        <v>-4474</v>
      </c>
      <c r="P19" s="146">
        <f t="shared" ref="P19:P24" si="5">SUM(L19:O19)</f>
        <v>-2135455</v>
      </c>
      <c r="R19" s="142">
        <f>C19+P19</f>
        <v>29076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31604</v>
      </c>
      <c r="D20" s="147">
        <v>1.3162890773319801E-2</v>
      </c>
      <c r="E20" s="105">
        <f>ROUND(C20*-D20,0)</f>
        <v>-416</v>
      </c>
      <c r="F20" s="142">
        <f>C20+E20</f>
        <v>31188</v>
      </c>
      <c r="G20" s="142">
        <f t="shared" si="3"/>
        <v>-15594</v>
      </c>
      <c r="H20" s="143">
        <f t="shared" si="4"/>
        <v>15594</v>
      </c>
      <c r="J20" s="102">
        <v>15</v>
      </c>
      <c r="K20" s="144">
        <f>IFERROR(VLOOKUP(J20,'Tax Rates'!$A$1:$AA$12,$K$18+1,FALSE),0)</f>
        <v>5.9049999999999998E-2</v>
      </c>
      <c r="L20" s="145">
        <v>-24698</v>
      </c>
      <c r="M20" s="142">
        <v>0</v>
      </c>
      <c r="N20" s="142">
        <v>0</v>
      </c>
      <c r="O20" s="105">
        <f>ROUND(K20*-H20,0)</f>
        <v>-921</v>
      </c>
      <c r="P20" s="146">
        <f t="shared" si="5"/>
        <v>-25619</v>
      </c>
      <c r="R20" s="142">
        <f>C20+P20</f>
        <v>5985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732128</v>
      </c>
      <c r="D21" s="141">
        <v>1</v>
      </c>
      <c r="E21" s="105">
        <f>ROUND(C21*-D21,0)</f>
        <v>-732128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4.462E-2</v>
      </c>
      <c r="L21" s="145">
        <v>-732128</v>
      </c>
      <c r="M21" s="142">
        <v>0</v>
      </c>
      <c r="N21" s="142">
        <f>G21</f>
        <v>0</v>
      </c>
      <c r="O21" s="105">
        <f>ROUND(K21*-H21,0)</f>
        <v>0</v>
      </c>
      <c r="P21" s="146">
        <f t="shared" si="5"/>
        <v>-732128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0</v>
      </c>
      <c r="L22" s="145">
        <v>0</v>
      </c>
      <c r="M22" s="142">
        <f>E22</f>
        <v>0</v>
      </c>
      <c r="N22" s="142">
        <f>G22</f>
        <v>0</v>
      </c>
      <c r="O22" s="105">
        <f>ROUND(K22*-H22,0)</f>
        <v>0</v>
      </c>
      <c r="P22" s="146">
        <f t="shared" si="5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5.9049999999999998E-2</v>
      </c>
      <c r="L23" s="145">
        <v>0</v>
      </c>
      <c r="M23" s="142">
        <f>E23</f>
        <v>0</v>
      </c>
      <c r="N23" s="142">
        <f>G23</f>
        <v>0</v>
      </c>
      <c r="O23" s="105">
        <f>ROUND(K23*-H23,0)</f>
        <v>0</v>
      </c>
      <c r="P23" s="146">
        <f t="shared" si="5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868008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>E24</f>
        <v>0</v>
      </c>
      <c r="N24" s="155">
        <f>G24</f>
        <v>0</v>
      </c>
      <c r="O24" s="107">
        <v>0</v>
      </c>
      <c r="P24" s="156">
        <f t="shared" si="5"/>
        <v>0</v>
      </c>
      <c r="R24" s="157" t="s">
        <v>64</v>
      </c>
    </row>
    <row r="25" spans="1:18" s="102" customFormat="1" x14ac:dyDescent="0.25">
      <c r="C25" s="105">
        <f>SUM(C18:C24)</f>
        <v>3796271</v>
      </c>
      <c r="E25" s="105">
        <f>SUM(E19:E24)</f>
        <v>-2745558</v>
      </c>
      <c r="F25" s="105">
        <f>SUM(F19:F24)</f>
        <v>182705</v>
      </c>
      <c r="G25" s="105">
        <f>SUM(G19:G24)</f>
        <v>-91353</v>
      </c>
      <c r="H25" s="146">
        <f>SUM(H19:H24)</f>
        <v>91352</v>
      </c>
      <c r="L25" s="146">
        <f>SUM(L19:L24)</f>
        <v>-2887807</v>
      </c>
      <c r="M25" s="105">
        <f>SUM(M19:M24)</f>
        <v>0</v>
      </c>
      <c r="N25" s="105">
        <f>SUM(N19:N24)</f>
        <v>0</v>
      </c>
      <c r="O25" s="105">
        <f>SUM(O19:O24)</f>
        <v>-5395</v>
      </c>
      <c r="P25" s="146">
        <f>SUM(P19:P24)</f>
        <v>-2893202</v>
      </c>
      <c r="R25" s="142">
        <f>SUM(R19:R24)</f>
        <v>35061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6">J6</f>
        <v>1594181</v>
      </c>
      <c r="E31" s="142">
        <f t="shared" ref="E31:E36" si="7">R19</f>
        <v>29076</v>
      </c>
      <c r="F31" s="142">
        <f>E31-D31</f>
        <v>-1565105</v>
      </c>
      <c r="G31" s="160">
        <v>0.37959999999999999</v>
      </c>
      <c r="H31" s="142">
        <f>ROUND(F31*0.3796,0)</f>
        <v>-594114</v>
      </c>
    </row>
    <row r="32" spans="1:18" s="102" customFormat="1" x14ac:dyDescent="0.25">
      <c r="A32" s="102">
        <v>14</v>
      </c>
      <c r="B32" s="102" t="s">
        <v>0</v>
      </c>
      <c r="D32" s="148">
        <f t="shared" si="6"/>
        <v>25348</v>
      </c>
      <c r="E32" s="142">
        <f t="shared" si="7"/>
        <v>5985</v>
      </c>
      <c r="F32" s="142">
        <f>E32-D32</f>
        <v>-19363</v>
      </c>
      <c r="G32" s="159">
        <f>G31</f>
        <v>0.37959999999999999</v>
      </c>
      <c r="H32" s="142">
        <f t="shared" ref="H32:H36" si="8">ROUND(F32*0.3796,0)</f>
        <v>-7350</v>
      </c>
    </row>
    <row r="33" spans="1:8" s="102" customFormat="1" x14ac:dyDescent="0.25">
      <c r="A33" s="102">
        <v>15</v>
      </c>
      <c r="B33" s="102" t="s">
        <v>1</v>
      </c>
      <c r="D33" s="148">
        <f t="shared" si="6"/>
        <v>564729</v>
      </c>
      <c r="E33" s="142">
        <f t="shared" si="7"/>
        <v>0</v>
      </c>
      <c r="F33" s="142">
        <f>E33-D33</f>
        <v>-564729</v>
      </c>
      <c r="G33" s="159">
        <f>G31</f>
        <v>0.37959999999999999</v>
      </c>
      <c r="H33" s="142">
        <f t="shared" si="8"/>
        <v>-214371</v>
      </c>
    </row>
    <row r="34" spans="1:8" s="102" customFormat="1" x14ac:dyDescent="0.25">
      <c r="A34" s="102">
        <v>16</v>
      </c>
      <c r="B34" s="102" t="s">
        <v>19</v>
      </c>
      <c r="D34" s="148">
        <f t="shared" si="6"/>
        <v>0</v>
      </c>
      <c r="E34" s="142">
        <f t="shared" si="7"/>
        <v>0</v>
      </c>
      <c r="F34" s="142">
        <f>E34-D34</f>
        <v>0</v>
      </c>
      <c r="G34" s="159">
        <f>G31</f>
        <v>0.37959999999999999</v>
      </c>
      <c r="H34" s="142">
        <f t="shared" si="8"/>
        <v>0</v>
      </c>
    </row>
    <row r="35" spans="1:8" s="102" customFormat="1" x14ac:dyDescent="0.25">
      <c r="A35" s="102">
        <v>17</v>
      </c>
      <c r="B35" s="102" t="s">
        <v>18</v>
      </c>
      <c r="D35" s="148">
        <f t="shared" si="6"/>
        <v>0</v>
      </c>
      <c r="E35" s="142">
        <f t="shared" si="7"/>
        <v>0</v>
      </c>
      <c r="F35" s="142">
        <f>E35-D35</f>
        <v>0</v>
      </c>
      <c r="G35" s="159">
        <f>G31</f>
        <v>0.37959999999999999</v>
      </c>
      <c r="H35" s="142">
        <f t="shared" si="8"/>
        <v>0</v>
      </c>
    </row>
    <row r="36" spans="1:8" s="102" customFormat="1" x14ac:dyDescent="0.25">
      <c r="A36" s="102">
        <v>18</v>
      </c>
      <c r="B36" s="102" t="s">
        <v>63</v>
      </c>
      <c r="D36" s="150">
        <f t="shared" si="6"/>
        <v>839984</v>
      </c>
      <c r="E36" s="157" t="str">
        <f t="shared" si="7"/>
        <v>NA</v>
      </c>
      <c r="F36" s="150">
        <f>-D36</f>
        <v>-839984</v>
      </c>
      <c r="G36" s="161">
        <f>G31</f>
        <v>0.37959999999999999</v>
      </c>
      <c r="H36" s="150">
        <f t="shared" si="8"/>
        <v>-318858</v>
      </c>
    </row>
    <row r="37" spans="1:8" s="102" customFormat="1" x14ac:dyDescent="0.25">
      <c r="D37" s="142">
        <f>SUM(D31:D36)</f>
        <v>3024242</v>
      </c>
      <c r="E37" s="142">
        <f>SUM(E31:E36)</f>
        <v>35061</v>
      </c>
      <c r="F37" s="142">
        <f>SUM(F31:F36)</f>
        <v>-2989181</v>
      </c>
      <c r="H37" s="142">
        <f>SUM(H31:H36)</f>
        <v>-1134693</v>
      </c>
    </row>
    <row r="39" spans="1:8" x14ac:dyDescent="0.25">
      <c r="A39" s="30" t="s">
        <v>71</v>
      </c>
      <c r="B39" s="10" t="s">
        <v>74</v>
      </c>
    </row>
    <row r="40" spans="1:8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0"/>
  <sheetViews>
    <sheetView view="pageBreakPreview" zoomScale="60" zoomScaleNormal="100" workbookViewId="0">
      <selection activeCell="F12" sqref="F12"/>
    </sheetView>
  </sheetViews>
  <sheetFormatPr defaultColWidth="9.140625" defaultRowHeight="15" x14ac:dyDescent="0.25"/>
  <cols>
    <col min="1" max="1" width="14.42578125" style="10" customWidth="1"/>
    <col min="2" max="2" width="18.5703125" style="10" bestFit="1" customWidth="1"/>
    <col min="3" max="4" width="12.7109375" style="10" customWidth="1"/>
    <col min="5" max="5" width="11.28515625" style="10" bestFit="1" customWidth="1"/>
    <col min="6" max="6" width="12.7109375" style="10" customWidth="1"/>
    <col min="7" max="7" width="12.42578125" style="10" bestFit="1" customWidth="1"/>
    <col min="8" max="8" width="13.140625" style="10" bestFit="1" customWidth="1"/>
    <col min="9" max="9" width="2.7109375" style="10" customWidth="1"/>
    <col min="10" max="10" width="10.7109375" style="10" customWidth="1"/>
    <col min="11" max="11" width="8.140625" style="10" bestFit="1" customWidth="1"/>
    <col min="12" max="12" width="12.7109375" style="10" customWidth="1"/>
    <col min="13" max="14" width="11.28515625" style="10" bestFit="1" customWidth="1"/>
    <col min="15" max="15" width="8.42578125" style="10" bestFit="1" customWidth="1"/>
    <col min="16" max="16" width="11.28515625" style="10" bestFit="1" customWidth="1"/>
    <col min="17" max="17" width="2.7109375" style="10" customWidth="1"/>
    <col min="18" max="18" width="13.7109375" style="10" bestFit="1" customWidth="1"/>
    <col min="19" max="19" width="7.7109375" style="10" bestFit="1" customWidth="1"/>
    <col min="20" max="20" width="7.42578125" style="10" bestFit="1" customWidth="1"/>
    <col min="21" max="16384" width="9.140625" style="10"/>
  </cols>
  <sheetData>
    <row r="1" spans="1:18" x14ac:dyDescent="0.25">
      <c r="A1" s="17" t="s">
        <v>26</v>
      </c>
      <c r="B1" s="20">
        <v>2013</v>
      </c>
    </row>
    <row r="2" spans="1:18" x14ac:dyDescent="0.25">
      <c r="A2" s="17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1" t="s">
        <v>37</v>
      </c>
      <c r="F3" s="11"/>
      <c r="G3" s="29" t="s">
        <v>71</v>
      </c>
      <c r="H3" s="11"/>
      <c r="J3" s="22" t="s">
        <v>34</v>
      </c>
    </row>
    <row r="4" spans="1:18" x14ac:dyDescent="0.25">
      <c r="C4" s="1">
        <v>2013</v>
      </c>
      <c r="D4" s="1" t="s">
        <v>25</v>
      </c>
      <c r="F4" s="1"/>
      <c r="G4" s="1" t="s">
        <v>2</v>
      </c>
      <c r="H4" s="1"/>
      <c r="J4" s="1" t="s">
        <v>42</v>
      </c>
      <c r="O4" s="1" t="s">
        <v>70</v>
      </c>
      <c r="P4" s="1" t="s">
        <v>70</v>
      </c>
    </row>
    <row r="5" spans="1:18" x14ac:dyDescent="0.25">
      <c r="C5" s="2" t="s">
        <v>21</v>
      </c>
      <c r="D5" s="24">
        <v>8</v>
      </c>
      <c r="F5" s="2" t="s">
        <v>22</v>
      </c>
      <c r="G5" s="2" t="s">
        <v>17</v>
      </c>
      <c r="H5" s="2" t="s">
        <v>23</v>
      </c>
      <c r="J5" s="2" t="s">
        <v>43</v>
      </c>
      <c r="O5" s="2" t="s">
        <v>14</v>
      </c>
      <c r="P5" s="2" t="s">
        <v>16</v>
      </c>
    </row>
    <row r="6" spans="1:18" x14ac:dyDescent="0.25">
      <c r="A6" s="10">
        <v>1</v>
      </c>
      <c r="B6" s="10" t="s">
        <v>48</v>
      </c>
      <c r="C6" s="3">
        <v>1672265</v>
      </c>
      <c r="D6" s="7">
        <v>3.1E-2</v>
      </c>
      <c r="F6" s="3">
        <v>-336960</v>
      </c>
      <c r="G6" s="9">
        <f>ROUND(IF(D$5=1,-0.5*D6*C6,-D6*C6),0)</f>
        <v>-51840</v>
      </c>
      <c r="H6" s="9">
        <f t="shared" ref="H6:H11" si="0">SUM(F6:G6)</f>
        <v>-388800</v>
      </c>
      <c r="J6" s="13">
        <f t="shared" ref="J6:J11" si="1">C6+H6</f>
        <v>1283465</v>
      </c>
      <c r="O6" s="25">
        <v>1E-4</v>
      </c>
      <c r="P6" s="5">
        <f>ROUND(IF(D$5=1,-0.5*O6*C6,-O6*C6),0)</f>
        <v>-167</v>
      </c>
    </row>
    <row r="7" spans="1:18" x14ac:dyDescent="0.25">
      <c r="A7" s="10">
        <v>2</v>
      </c>
      <c r="B7" s="10" t="s">
        <v>0</v>
      </c>
      <c r="C7" s="3">
        <v>0</v>
      </c>
      <c r="D7" s="7">
        <v>2.3300000000000001E-2</v>
      </c>
      <c r="F7" s="3" t="s">
        <v>196</v>
      </c>
      <c r="G7" s="9">
        <f>ROUND(IF(D$5=1,-0.5*D7*C7,-D7*C7),0)</f>
        <v>0</v>
      </c>
      <c r="H7" s="9">
        <f t="shared" si="0"/>
        <v>0</v>
      </c>
      <c r="J7" s="13">
        <f t="shared" si="1"/>
        <v>0</v>
      </c>
      <c r="O7" s="25">
        <v>2.0000000000000001E-4</v>
      </c>
      <c r="P7" s="13">
        <f>ROUND(IF(D$5=1,-0.5*O7*C7,-O7*C7),0)</f>
        <v>0</v>
      </c>
    </row>
    <row r="8" spans="1:18" x14ac:dyDescent="0.25">
      <c r="A8" s="10">
        <v>3</v>
      </c>
      <c r="B8" s="10" t="s">
        <v>1</v>
      </c>
      <c r="C8" s="3">
        <v>520370</v>
      </c>
      <c r="D8" s="7">
        <v>2.69E-2</v>
      </c>
      <c r="F8" s="3">
        <v>-90987</v>
      </c>
      <c r="G8" s="9">
        <f>ROUND(IF(D$5=1,-0.5*D8*C8,-D8*C8),0)</f>
        <v>-13998</v>
      </c>
      <c r="H8" s="9">
        <f t="shared" si="0"/>
        <v>-104985</v>
      </c>
      <c r="J8" s="13">
        <f t="shared" si="1"/>
        <v>415385</v>
      </c>
      <c r="O8" s="25">
        <v>4.1999999999999997E-3</v>
      </c>
      <c r="P8" s="13">
        <f>ROUND(IF(D$5=1,-0.5*O8*C8,-O8*C8),0)</f>
        <v>-2186</v>
      </c>
    </row>
    <row r="9" spans="1:18" x14ac:dyDescent="0.25">
      <c r="A9" s="10">
        <v>4</v>
      </c>
      <c r="B9" s="10" t="s">
        <v>19</v>
      </c>
      <c r="C9" s="3">
        <v>0</v>
      </c>
      <c r="D9" s="7">
        <v>2.2499999999999999E-2</v>
      </c>
      <c r="F9" s="3" t="s">
        <v>196</v>
      </c>
      <c r="G9" s="9">
        <f>ROUND(IF(D$5=1,-0.5*D9*C9,-D9*C9),0)</f>
        <v>0</v>
      </c>
      <c r="H9" s="9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10">
        <v>5</v>
      </c>
      <c r="B10" s="10" t="s">
        <v>18</v>
      </c>
      <c r="C10" s="3">
        <v>0</v>
      </c>
      <c r="D10" s="7">
        <v>2.0500000000000001E-2</v>
      </c>
      <c r="F10" s="3" t="s">
        <v>196</v>
      </c>
      <c r="G10" s="9">
        <f>ROUND(IF(D$5=1,-0.5*D10*C10,-D10*C10),0)</f>
        <v>0</v>
      </c>
      <c r="H10" s="9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10">
        <v>6</v>
      </c>
      <c r="B11" s="10" t="s">
        <v>63</v>
      </c>
      <c r="C11" s="4">
        <v>768907</v>
      </c>
      <c r="D11" s="8" t="s">
        <v>62</v>
      </c>
      <c r="F11" s="4">
        <v>-15295</v>
      </c>
      <c r="G11" s="12">
        <f>P12</f>
        <v>-2353</v>
      </c>
      <c r="H11" s="12">
        <f t="shared" si="0"/>
        <v>-17648</v>
      </c>
      <c r="J11" s="14">
        <f t="shared" si="1"/>
        <v>751259</v>
      </c>
      <c r="O11" s="27">
        <v>0</v>
      </c>
      <c r="P11" s="14">
        <f>IF(D$5=1,-0.5*O11*C11,-O11*C11)</f>
        <v>0</v>
      </c>
    </row>
    <row r="12" spans="1:18" x14ac:dyDescent="0.25">
      <c r="C12" s="9">
        <f>SUM(C6:C11)</f>
        <v>2961542</v>
      </c>
      <c r="D12" s="9"/>
      <c r="F12" s="3">
        <f>SUM(F5:F11)</f>
        <v>-443242</v>
      </c>
      <c r="G12" s="9">
        <f>SUM(G5:G11)</f>
        <v>-68191</v>
      </c>
      <c r="H12" s="9">
        <f>SUM(H5:H11)</f>
        <v>-511433</v>
      </c>
      <c r="J12" s="13">
        <f>SUM(J6:J11)</f>
        <v>2450109</v>
      </c>
      <c r="O12" s="13"/>
      <c r="P12" s="5">
        <f>SUM(P5:P11)</f>
        <v>-2353</v>
      </c>
    </row>
    <row r="13" spans="1:18" ht="14.25" customHeight="1" x14ac:dyDescent="0.25">
      <c r="C13" s="9"/>
      <c r="D13" s="9"/>
      <c r="E13" s="9"/>
      <c r="F13" s="9"/>
      <c r="M13" s="1"/>
      <c r="N13" s="11"/>
    </row>
    <row r="14" spans="1:18" x14ac:dyDescent="0.25">
      <c r="M14" s="1"/>
      <c r="N14" s="11"/>
    </row>
    <row r="15" spans="1:18" x14ac:dyDescent="0.25">
      <c r="D15" s="1"/>
    </row>
    <row r="16" spans="1:18" s="102" customFormat="1" x14ac:dyDescent="0.25">
      <c r="C16" s="115"/>
      <c r="D16" s="124" t="s">
        <v>29</v>
      </c>
      <c r="E16" s="115"/>
      <c r="F16" s="115"/>
      <c r="G16" s="138">
        <v>0.5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8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1672265</v>
      </c>
      <c r="D19" s="141">
        <v>1</v>
      </c>
      <c r="E19" s="105">
        <f>ROUND(C19*-D19,0)</f>
        <v>-1672265</v>
      </c>
      <c r="F19" s="142">
        <f>C19+E19</f>
        <v>0</v>
      </c>
      <c r="G19" s="142">
        <f t="shared" ref="G19:G24" si="3">ROUND(F19*-$G$16,0)</f>
        <v>0</v>
      </c>
      <c r="H19" s="143">
        <f t="shared" ref="H19:H24" si="4">F19+G19</f>
        <v>0</v>
      </c>
      <c r="J19" s="102">
        <v>15</v>
      </c>
      <c r="K19" s="144">
        <f>IFERROR(VLOOKUP(J19,'Tax Rates'!$A$1:$AA$12,$K$18+1,FALSE),0)</f>
        <v>5.9049999999999998E-2</v>
      </c>
      <c r="L19" s="145">
        <v>-1672265</v>
      </c>
      <c r="M19" s="142"/>
      <c r="N19" s="142">
        <f t="shared" ref="N19:N24" si="5">G19</f>
        <v>0</v>
      </c>
      <c r="O19" s="105">
        <f>ROUND(K19*-H19,0)</f>
        <v>0</v>
      </c>
      <c r="P19" s="146">
        <f t="shared" ref="P19:P24" si="6">SUM(L19:O19)</f>
        <v>-1672265</v>
      </c>
      <c r="R19" s="142">
        <f>C19+P19</f>
        <v>0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0</v>
      </c>
      <c r="D20" s="147">
        <v>0</v>
      </c>
      <c r="E20" s="105">
        <f>ROUND(C20*-D20,0)</f>
        <v>0</v>
      </c>
      <c r="F20" s="142">
        <f>C20+E20</f>
        <v>0</v>
      </c>
      <c r="G20" s="142">
        <f t="shared" si="3"/>
        <v>0</v>
      </c>
      <c r="H20" s="143">
        <f t="shared" si="4"/>
        <v>0</v>
      </c>
      <c r="J20" s="102">
        <v>15</v>
      </c>
      <c r="K20" s="144">
        <f>IFERROR(VLOOKUP(J20,'Tax Rates'!$A$1:$AA$12,$K$18+1,FALSE),0)</f>
        <v>5.9049999999999998E-2</v>
      </c>
      <c r="L20" s="145" t="s">
        <v>197</v>
      </c>
      <c r="M20" s="142">
        <f>E20</f>
        <v>0</v>
      </c>
      <c r="N20" s="142">
        <f t="shared" si="5"/>
        <v>0</v>
      </c>
      <c r="O20" s="105">
        <f>ROUND(K20*-H20,0)</f>
        <v>0</v>
      </c>
      <c r="P20" s="146">
        <f t="shared" si="6"/>
        <v>0</v>
      </c>
      <c r="R20" s="142">
        <f>C20+P20</f>
        <v>0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520370</v>
      </c>
      <c r="D21" s="141">
        <v>1</v>
      </c>
      <c r="E21" s="105">
        <f>ROUND(C21*-D21,0)</f>
        <v>-520370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4.5220000000000003E-2</v>
      </c>
      <c r="L21" s="145">
        <v>-520370</v>
      </c>
      <c r="M21" s="142"/>
      <c r="N21" s="142">
        <f t="shared" si="5"/>
        <v>0</v>
      </c>
      <c r="O21" s="105">
        <f>ROUND(K21*-H21,0)</f>
        <v>0</v>
      </c>
      <c r="P21" s="146">
        <f t="shared" si="6"/>
        <v>-520370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4.462E-2</v>
      </c>
      <c r="L22" s="145">
        <v>0</v>
      </c>
      <c r="M22" s="142">
        <f>E22</f>
        <v>0</v>
      </c>
      <c r="N22" s="142">
        <f t="shared" si="5"/>
        <v>0</v>
      </c>
      <c r="O22" s="105">
        <f>ROUND(K22*-H22,0)</f>
        <v>0</v>
      </c>
      <c r="P22" s="146">
        <f t="shared" si="6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5.9049999999999998E-2</v>
      </c>
      <c r="L23" s="145">
        <v>0</v>
      </c>
      <c r="M23" s="142">
        <f>E23</f>
        <v>0</v>
      </c>
      <c r="N23" s="142">
        <f t="shared" si="5"/>
        <v>0</v>
      </c>
      <c r="O23" s="105">
        <f>ROUND(K23*-H23,0)</f>
        <v>0</v>
      </c>
      <c r="P23" s="146">
        <f t="shared" si="6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768907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>E24</f>
        <v>0</v>
      </c>
      <c r="N24" s="155">
        <f t="shared" si="5"/>
        <v>0</v>
      </c>
      <c r="O24" s="107">
        <v>0</v>
      </c>
      <c r="P24" s="156">
        <f t="shared" si="6"/>
        <v>0</v>
      </c>
      <c r="R24" s="157" t="s">
        <v>64</v>
      </c>
    </row>
    <row r="25" spans="1:18" s="102" customFormat="1" x14ac:dyDescent="0.25">
      <c r="C25" s="105">
        <f>SUM(C18:C24)</f>
        <v>2961542</v>
      </c>
      <c r="E25" s="105">
        <f>SUM(E19:E24)</f>
        <v>-2192635</v>
      </c>
      <c r="F25" s="105">
        <f>SUM(F19:F24)</f>
        <v>0</v>
      </c>
      <c r="G25" s="105">
        <f>SUM(G19:G24)</f>
        <v>0</v>
      </c>
      <c r="H25" s="146">
        <f>SUM(H19:H24)</f>
        <v>0</v>
      </c>
      <c r="L25" s="146">
        <f>SUM(L19:L24)</f>
        <v>-2192635</v>
      </c>
      <c r="M25" s="105">
        <f>SUM(M19:M24)</f>
        <v>0</v>
      </c>
      <c r="N25" s="105">
        <f>SUM(N19:N24)</f>
        <v>0</v>
      </c>
      <c r="O25" s="105">
        <f>SUM(O19:O24)</f>
        <v>0</v>
      </c>
      <c r="P25" s="146">
        <f>SUM(P19:P24)</f>
        <v>-2192635</v>
      </c>
      <c r="R25" s="142">
        <f>SUM(R19:R24)</f>
        <v>0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7">J6</f>
        <v>1283465</v>
      </c>
      <c r="E31" s="142">
        <f t="shared" ref="E31:E36" si="8">R19</f>
        <v>0</v>
      </c>
      <c r="F31" s="142">
        <f>E31-D31</f>
        <v>-1283465</v>
      </c>
      <c r="G31" s="160">
        <v>0.37959999999999999</v>
      </c>
      <c r="H31" s="142">
        <f>ROUND(F31*0.3796,0)</f>
        <v>-487203</v>
      </c>
    </row>
    <row r="32" spans="1:18" s="102" customFormat="1" x14ac:dyDescent="0.25">
      <c r="A32" s="102">
        <v>14</v>
      </c>
      <c r="B32" s="102" t="s">
        <v>0</v>
      </c>
      <c r="D32" s="148">
        <f t="shared" si="7"/>
        <v>0</v>
      </c>
      <c r="E32" s="142">
        <f t="shared" si="8"/>
        <v>0</v>
      </c>
      <c r="F32" s="142">
        <f>E32-D32</f>
        <v>0</v>
      </c>
      <c r="G32" s="159">
        <f>G31</f>
        <v>0.37959999999999999</v>
      </c>
      <c r="H32" s="142">
        <f t="shared" ref="H32:H36" si="9">ROUND(F32*0.3796,0)</f>
        <v>0</v>
      </c>
    </row>
    <row r="33" spans="1:8" s="102" customFormat="1" x14ac:dyDescent="0.25">
      <c r="A33" s="102">
        <v>15</v>
      </c>
      <c r="B33" s="102" t="s">
        <v>1</v>
      </c>
      <c r="D33" s="148">
        <f t="shared" si="7"/>
        <v>415385</v>
      </c>
      <c r="E33" s="142">
        <f t="shared" si="8"/>
        <v>0</v>
      </c>
      <c r="F33" s="142">
        <f>E33-D33</f>
        <v>-415385</v>
      </c>
      <c r="G33" s="159">
        <f>G31</f>
        <v>0.37959999999999999</v>
      </c>
      <c r="H33" s="142">
        <f t="shared" si="9"/>
        <v>-157680</v>
      </c>
    </row>
    <row r="34" spans="1:8" s="102" customFormat="1" x14ac:dyDescent="0.25">
      <c r="A34" s="102">
        <v>16</v>
      </c>
      <c r="B34" s="102" t="s">
        <v>19</v>
      </c>
      <c r="D34" s="148">
        <f t="shared" si="7"/>
        <v>0</v>
      </c>
      <c r="E34" s="142">
        <f t="shared" si="8"/>
        <v>0</v>
      </c>
      <c r="F34" s="142">
        <f>E34-D34</f>
        <v>0</v>
      </c>
      <c r="G34" s="159">
        <f>G31</f>
        <v>0.37959999999999999</v>
      </c>
      <c r="H34" s="142">
        <f t="shared" si="9"/>
        <v>0</v>
      </c>
    </row>
    <row r="35" spans="1:8" s="102" customFormat="1" x14ac:dyDescent="0.25">
      <c r="A35" s="102">
        <v>17</v>
      </c>
      <c r="B35" s="102" t="s">
        <v>18</v>
      </c>
      <c r="D35" s="148">
        <f t="shared" si="7"/>
        <v>0</v>
      </c>
      <c r="E35" s="142">
        <f t="shared" si="8"/>
        <v>0</v>
      </c>
      <c r="F35" s="142">
        <f>E35-D35</f>
        <v>0</v>
      </c>
      <c r="G35" s="159">
        <f>G31</f>
        <v>0.37959999999999999</v>
      </c>
      <c r="H35" s="142">
        <f t="shared" si="9"/>
        <v>0</v>
      </c>
    </row>
    <row r="36" spans="1:8" s="102" customFormat="1" x14ac:dyDescent="0.25">
      <c r="A36" s="102">
        <v>18</v>
      </c>
      <c r="B36" s="102" t="s">
        <v>63</v>
      </c>
      <c r="D36" s="150">
        <f t="shared" si="7"/>
        <v>751259</v>
      </c>
      <c r="E36" s="157" t="str">
        <f t="shared" si="8"/>
        <v>NA</v>
      </c>
      <c r="F36" s="150">
        <f>-D36</f>
        <v>-751259</v>
      </c>
      <c r="G36" s="161">
        <f>G31</f>
        <v>0.37959999999999999</v>
      </c>
      <c r="H36" s="150">
        <f t="shared" si="9"/>
        <v>-285178</v>
      </c>
    </row>
    <row r="37" spans="1:8" s="102" customFormat="1" x14ac:dyDescent="0.25">
      <c r="D37" s="142">
        <f>SUM(D31:D36)</f>
        <v>2450109</v>
      </c>
      <c r="E37" s="142">
        <f>SUM(E31:E36)</f>
        <v>0</v>
      </c>
      <c r="F37" s="142">
        <f>SUM(F31:F36)</f>
        <v>-2450109</v>
      </c>
      <c r="H37" s="142">
        <f>SUM(H31:H36)</f>
        <v>-930061</v>
      </c>
    </row>
    <row r="38" spans="1:8" s="102" customFormat="1" x14ac:dyDescent="0.25"/>
    <row r="39" spans="1:8" x14ac:dyDescent="0.25">
      <c r="A39" s="30" t="s">
        <v>71</v>
      </c>
      <c r="B39" s="10" t="s">
        <v>74</v>
      </c>
    </row>
    <row r="40" spans="1:8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- 2013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0"/>
  <sheetViews>
    <sheetView view="pageBreakPreview" zoomScale="60" zoomScaleNormal="100" workbookViewId="0">
      <selection activeCell="L21" sqref="L21"/>
    </sheetView>
  </sheetViews>
  <sheetFormatPr defaultColWidth="9.140625" defaultRowHeight="15" x14ac:dyDescent="0.25"/>
  <cols>
    <col min="1" max="1" width="14.42578125" style="10" customWidth="1"/>
    <col min="2" max="2" width="18.5703125" style="10" bestFit="1" customWidth="1"/>
    <col min="3" max="4" width="12.7109375" style="10" customWidth="1"/>
    <col min="5" max="5" width="11.28515625" style="10" bestFit="1" customWidth="1"/>
    <col min="6" max="6" width="12.7109375" style="10" customWidth="1"/>
    <col min="7" max="7" width="12.42578125" style="10" bestFit="1" customWidth="1"/>
    <col min="8" max="8" width="13.140625" style="10" bestFit="1" customWidth="1"/>
    <col min="9" max="9" width="2.7109375" style="10" customWidth="1"/>
    <col min="10" max="10" width="10.7109375" style="10" customWidth="1"/>
    <col min="11" max="11" width="8.140625" style="10" bestFit="1" customWidth="1"/>
    <col min="12" max="12" width="12.7109375" style="10" customWidth="1"/>
    <col min="13" max="14" width="11.28515625" style="10" bestFit="1" customWidth="1"/>
    <col min="15" max="15" width="8.42578125" style="10" bestFit="1" customWidth="1"/>
    <col min="16" max="16" width="11.28515625" style="10" bestFit="1" customWidth="1"/>
    <col min="17" max="17" width="2.7109375" style="10" customWidth="1"/>
    <col min="18" max="18" width="13.7109375" style="10" bestFit="1" customWidth="1"/>
    <col min="19" max="19" width="7.7109375" style="10" bestFit="1" customWidth="1"/>
    <col min="20" max="20" width="7.42578125" style="10" bestFit="1" customWidth="1"/>
    <col min="21" max="16384" width="9.140625" style="10"/>
  </cols>
  <sheetData>
    <row r="1" spans="1:18" x14ac:dyDescent="0.25">
      <c r="A1" s="17" t="s">
        <v>26</v>
      </c>
      <c r="B1" s="20">
        <v>2014</v>
      </c>
    </row>
    <row r="2" spans="1:18" x14ac:dyDescent="0.25">
      <c r="A2" s="17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1" t="s">
        <v>37</v>
      </c>
      <c r="F3" s="11"/>
      <c r="G3" s="29" t="s">
        <v>71</v>
      </c>
      <c r="H3" s="11"/>
      <c r="J3" s="22" t="s">
        <v>34</v>
      </c>
    </row>
    <row r="4" spans="1:18" x14ac:dyDescent="0.25">
      <c r="C4" s="1">
        <v>2014</v>
      </c>
      <c r="D4" s="1" t="s">
        <v>25</v>
      </c>
      <c r="F4" s="1"/>
      <c r="G4" s="1" t="s">
        <v>2</v>
      </c>
      <c r="H4" s="1"/>
      <c r="J4" s="1" t="s">
        <v>42</v>
      </c>
      <c r="O4" s="1" t="s">
        <v>70</v>
      </c>
      <c r="P4" s="1" t="s">
        <v>70</v>
      </c>
    </row>
    <row r="5" spans="1:18" x14ac:dyDescent="0.25">
      <c r="C5" s="31" t="s">
        <v>21</v>
      </c>
      <c r="D5" s="24">
        <v>7</v>
      </c>
      <c r="F5" s="31" t="s">
        <v>22</v>
      </c>
      <c r="G5" s="31" t="s">
        <v>17</v>
      </c>
      <c r="H5" s="31" t="s">
        <v>23</v>
      </c>
      <c r="J5" s="31" t="s">
        <v>43</v>
      </c>
      <c r="O5" s="31" t="s">
        <v>14</v>
      </c>
      <c r="P5" s="31" t="s">
        <v>16</v>
      </c>
    </row>
    <row r="6" spans="1:18" x14ac:dyDescent="0.25">
      <c r="A6" s="10">
        <v>1</v>
      </c>
      <c r="B6" s="10" t="s">
        <v>48</v>
      </c>
      <c r="C6" s="3">
        <v>1281613</v>
      </c>
      <c r="D6" s="7">
        <v>3.1E-2</v>
      </c>
      <c r="F6" s="3">
        <v>-218515</v>
      </c>
      <c r="G6" s="9">
        <f>ROUND(IF(D$5=1,-0.5*D6*C6,-D6*C6),0)</f>
        <v>-39730</v>
      </c>
      <c r="H6" s="9">
        <f t="shared" ref="H6:H11" si="0">SUM(F6:G6)</f>
        <v>-258245</v>
      </c>
      <c r="J6" s="13">
        <f t="shared" ref="J6:J11" si="1">C6+H6</f>
        <v>1023368</v>
      </c>
      <c r="O6" s="25">
        <v>1E-4</v>
      </c>
      <c r="P6" s="5">
        <f>ROUND(IF(D$5=1,-0.5*O6*C6,-O6*C6),0)</f>
        <v>-128</v>
      </c>
    </row>
    <row r="7" spans="1:18" x14ac:dyDescent="0.25">
      <c r="A7" s="10">
        <v>2</v>
      </c>
      <c r="B7" s="10" t="s">
        <v>0</v>
      </c>
      <c r="C7" s="3">
        <v>500</v>
      </c>
      <c r="D7" s="7">
        <v>2.3300000000000001E-2</v>
      </c>
      <c r="F7" s="3">
        <v>-66</v>
      </c>
      <c r="G7" s="9">
        <f>ROUND(IF(D$5=1,-0.5*D7*C7,-D7*C7),0)</f>
        <v>-12</v>
      </c>
      <c r="H7" s="9">
        <f t="shared" si="0"/>
        <v>-78</v>
      </c>
      <c r="J7" s="13">
        <f t="shared" si="1"/>
        <v>422</v>
      </c>
      <c r="O7" s="25">
        <v>2.0000000000000001E-4</v>
      </c>
      <c r="P7" s="13">
        <f>ROUND(IF(D$5=1,-0.5*O7*C7,-O7*C7),0)</f>
        <v>0</v>
      </c>
    </row>
    <row r="8" spans="1:18" x14ac:dyDescent="0.25">
      <c r="A8" s="10">
        <v>3</v>
      </c>
      <c r="B8" s="10" t="s">
        <v>1</v>
      </c>
      <c r="C8" s="3">
        <v>396014</v>
      </c>
      <c r="D8" s="7">
        <v>2.69E-2</v>
      </c>
      <c r="F8" s="3">
        <v>-58591</v>
      </c>
      <c r="G8" s="9">
        <f>ROUND(IF(D$5=1,-0.5*D8*C8,-D8*C8),0)</f>
        <v>-10653</v>
      </c>
      <c r="H8" s="9">
        <f t="shared" si="0"/>
        <v>-69244</v>
      </c>
      <c r="J8" s="13">
        <f t="shared" si="1"/>
        <v>326770</v>
      </c>
      <c r="O8" s="25">
        <v>4.1999999999999997E-3</v>
      </c>
      <c r="P8" s="13">
        <f>ROUND(IF(D$5=1,-0.5*O8*C8,-O8*C8),0)</f>
        <v>-1663</v>
      </c>
    </row>
    <row r="9" spans="1:18" x14ac:dyDescent="0.25">
      <c r="A9" s="10">
        <v>4</v>
      </c>
      <c r="B9" s="10" t="s">
        <v>19</v>
      </c>
      <c r="C9" s="3">
        <v>0</v>
      </c>
      <c r="D9" s="7">
        <v>2.2499999999999999E-2</v>
      </c>
      <c r="F9" s="3" t="s">
        <v>196</v>
      </c>
      <c r="G9" s="9">
        <f>ROUND(IF(D$5=1,-0.5*D9*C9,-D9*C9),0)</f>
        <v>0</v>
      </c>
      <c r="H9" s="9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10">
        <v>5</v>
      </c>
      <c r="B10" s="10" t="s">
        <v>18</v>
      </c>
      <c r="C10" s="3">
        <v>0</v>
      </c>
      <c r="D10" s="7">
        <v>2.0500000000000001E-2</v>
      </c>
      <c r="F10" s="3" t="s">
        <v>196</v>
      </c>
      <c r="G10" s="9">
        <f>ROUND(IF(D$5=1,-0.5*D10*C10,-D10*C10),0)</f>
        <v>0</v>
      </c>
      <c r="H10" s="9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10">
        <v>6</v>
      </c>
      <c r="B11" s="10" t="s">
        <v>63</v>
      </c>
      <c r="C11" s="4">
        <v>165239</v>
      </c>
      <c r="D11" s="8" t="s">
        <v>62</v>
      </c>
      <c r="F11" s="4">
        <v>-9851</v>
      </c>
      <c r="G11" s="12">
        <f>P12</f>
        <v>-1791</v>
      </c>
      <c r="H11" s="12">
        <f t="shared" si="0"/>
        <v>-11642</v>
      </c>
      <c r="J11" s="14">
        <f t="shared" si="1"/>
        <v>153597</v>
      </c>
      <c r="O11" s="27">
        <v>0</v>
      </c>
      <c r="P11" s="14">
        <f>IF(D$5=1,-0.5*O11*C11,-O11*C11)</f>
        <v>0</v>
      </c>
    </row>
    <row r="12" spans="1:18" x14ac:dyDescent="0.25">
      <c r="C12" s="9">
        <f>SUM(C6:C11)</f>
        <v>1843366</v>
      </c>
      <c r="D12" s="9"/>
      <c r="F12" s="3">
        <f>SUM(F5:F11)</f>
        <v>-287023</v>
      </c>
      <c r="G12" s="9">
        <f>SUM(G5:G11)</f>
        <v>-52186</v>
      </c>
      <c r="H12" s="9">
        <f>SUM(H5:H11)</f>
        <v>-339209</v>
      </c>
      <c r="J12" s="13">
        <f>SUM(J6:J11)</f>
        <v>1504157</v>
      </c>
      <c r="O12" s="13"/>
      <c r="P12" s="5">
        <f>SUM(P5:P11)</f>
        <v>-1791</v>
      </c>
    </row>
    <row r="13" spans="1:18" ht="14.25" customHeight="1" x14ac:dyDescent="0.25">
      <c r="C13" s="9"/>
      <c r="D13" s="9"/>
      <c r="E13" s="9"/>
      <c r="F13" s="9"/>
      <c r="M13" s="1"/>
      <c r="N13" s="11"/>
    </row>
    <row r="14" spans="1:18" x14ac:dyDescent="0.25">
      <c r="M14" s="1"/>
      <c r="N14" s="11"/>
    </row>
    <row r="15" spans="1:18" s="102" customFormat="1" x14ac:dyDescent="0.25">
      <c r="D15" s="124"/>
    </row>
    <row r="16" spans="1:18" s="102" customFormat="1" x14ac:dyDescent="0.25">
      <c r="C16" s="115"/>
      <c r="D16" s="124" t="s">
        <v>29</v>
      </c>
      <c r="E16" s="115"/>
      <c r="F16" s="115"/>
      <c r="G16" s="138">
        <v>0.5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7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1281613</v>
      </c>
      <c r="D19" s="141">
        <v>1</v>
      </c>
      <c r="E19" s="105">
        <f>ROUND(C19*-D19,0)</f>
        <v>-1281613</v>
      </c>
      <c r="F19" s="142">
        <f>C19+E19</f>
        <v>0</v>
      </c>
      <c r="G19" s="142">
        <f t="shared" ref="G19:G24" si="3">ROUND(F19*-$G$16,0)</f>
        <v>0</v>
      </c>
      <c r="H19" s="143">
        <f t="shared" ref="H19:H24" si="4">F19+G19</f>
        <v>0</v>
      </c>
      <c r="J19" s="102">
        <v>15</v>
      </c>
      <c r="K19" s="144">
        <f>IFERROR(VLOOKUP(J19,'Tax Rates'!$A$1:$AA$12,$K$18+1,FALSE),0)</f>
        <v>5.9049999999999998E-2</v>
      </c>
      <c r="L19" s="145">
        <v>-1281613</v>
      </c>
      <c r="M19" s="142">
        <v>0</v>
      </c>
      <c r="N19" s="142">
        <f t="shared" ref="N19:N24" si="5">G19</f>
        <v>0</v>
      </c>
      <c r="O19" s="105">
        <f>ROUND(K19*-H19,0)</f>
        <v>0</v>
      </c>
      <c r="P19" s="146">
        <f t="shared" ref="P19:P24" si="6">SUM(L19:O19)</f>
        <v>-1281613</v>
      </c>
      <c r="R19" s="142">
        <f>C19+P19</f>
        <v>0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500</v>
      </c>
      <c r="D20" s="147">
        <v>0</v>
      </c>
      <c r="E20" s="105">
        <f>ROUND(C20*-D20,0)</f>
        <v>0</v>
      </c>
      <c r="F20" s="142">
        <f>C20+E20</f>
        <v>500</v>
      </c>
      <c r="G20" s="142">
        <f t="shared" si="3"/>
        <v>-250</v>
      </c>
      <c r="H20" s="143">
        <f t="shared" si="4"/>
        <v>250</v>
      </c>
      <c r="J20" s="102">
        <v>15</v>
      </c>
      <c r="K20" s="144">
        <f>IFERROR(VLOOKUP(J20,'Tax Rates'!$A$1:$AA$12,$K$18+1,FALSE),0)</f>
        <v>5.9049999999999998E-2</v>
      </c>
      <c r="L20" s="145">
        <v>-360</v>
      </c>
      <c r="M20" s="142">
        <f>E20</f>
        <v>0</v>
      </c>
      <c r="N20" s="142">
        <v>0</v>
      </c>
      <c r="O20" s="105">
        <f>ROUND(K20*-H20,0)</f>
        <v>-15</v>
      </c>
      <c r="P20" s="146">
        <f t="shared" si="6"/>
        <v>-375</v>
      </c>
      <c r="R20" s="142">
        <f>C20+P20</f>
        <v>125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396014</v>
      </c>
      <c r="D21" s="141">
        <v>1</v>
      </c>
      <c r="E21" s="105">
        <f>ROUND(C21*-D21,0)</f>
        <v>-396014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4.888E-2</v>
      </c>
      <c r="L21" s="145">
        <v>-396014</v>
      </c>
      <c r="M21" s="142">
        <v>0</v>
      </c>
      <c r="N21" s="142">
        <f t="shared" si="5"/>
        <v>0</v>
      </c>
      <c r="O21" s="105">
        <f>ROUND(K21*-H21,0)</f>
        <v>0</v>
      </c>
      <c r="P21" s="146">
        <f t="shared" si="6"/>
        <v>-396014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8.9249999999999996E-2</v>
      </c>
      <c r="L22" s="145">
        <v>0</v>
      </c>
      <c r="M22" s="142">
        <f>E22</f>
        <v>0</v>
      </c>
      <c r="N22" s="142">
        <f t="shared" si="5"/>
        <v>0</v>
      </c>
      <c r="O22" s="105">
        <f>ROUND(K22*-H22,0)</f>
        <v>0</v>
      </c>
      <c r="P22" s="146">
        <f t="shared" si="6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5.9049999999999998E-2</v>
      </c>
      <c r="L23" s="145">
        <v>0</v>
      </c>
      <c r="M23" s="142">
        <f>E23</f>
        <v>0</v>
      </c>
      <c r="N23" s="142">
        <f t="shared" si="5"/>
        <v>0</v>
      </c>
      <c r="O23" s="105">
        <f>ROUND(K23*-H23,0)</f>
        <v>0</v>
      </c>
      <c r="P23" s="146">
        <f t="shared" si="6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165239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>E24</f>
        <v>0</v>
      </c>
      <c r="N24" s="155">
        <f t="shared" si="5"/>
        <v>0</v>
      </c>
      <c r="O24" s="107">
        <v>0</v>
      </c>
      <c r="P24" s="156">
        <f t="shared" si="6"/>
        <v>0</v>
      </c>
      <c r="R24" s="157" t="s">
        <v>64</v>
      </c>
    </row>
    <row r="25" spans="1:18" s="102" customFormat="1" x14ac:dyDescent="0.25">
      <c r="C25" s="105">
        <f>SUM(C18:C24)</f>
        <v>1843366</v>
      </c>
      <c r="E25" s="105">
        <f>SUM(E19:E24)</f>
        <v>-1677627</v>
      </c>
      <c r="F25" s="105">
        <f>SUM(F19:F24)</f>
        <v>500</v>
      </c>
      <c r="G25" s="105">
        <f>SUM(G19:G24)</f>
        <v>-250</v>
      </c>
      <c r="H25" s="146">
        <f>SUM(H19:H24)</f>
        <v>250</v>
      </c>
      <c r="L25" s="146">
        <f>SUM(L19:L24)</f>
        <v>-1677987</v>
      </c>
      <c r="M25" s="105">
        <f>SUM(M19:M24)</f>
        <v>0</v>
      </c>
      <c r="N25" s="105">
        <f>SUM(N19:N24)</f>
        <v>0</v>
      </c>
      <c r="O25" s="105">
        <f>SUM(O19:O24)</f>
        <v>-15</v>
      </c>
      <c r="P25" s="146">
        <f>SUM(P19:P24)</f>
        <v>-1678002</v>
      </c>
      <c r="R25" s="142">
        <f>SUM(R19:R24)</f>
        <v>125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7">J6</f>
        <v>1023368</v>
      </c>
      <c r="E31" s="142">
        <f t="shared" ref="E31:E36" si="8">R19</f>
        <v>0</v>
      </c>
      <c r="F31" s="142">
        <f>E31-D31</f>
        <v>-1023368</v>
      </c>
      <c r="G31" s="160">
        <v>0.37959999999999999</v>
      </c>
      <c r="H31" s="142">
        <f>ROUND(F31*0.3796,0)</f>
        <v>-388470</v>
      </c>
    </row>
    <row r="32" spans="1:18" s="102" customFormat="1" x14ac:dyDescent="0.25">
      <c r="A32" s="102">
        <v>14</v>
      </c>
      <c r="B32" s="102" t="s">
        <v>0</v>
      </c>
      <c r="D32" s="148">
        <f t="shared" si="7"/>
        <v>422</v>
      </c>
      <c r="E32" s="142">
        <f t="shared" si="8"/>
        <v>125</v>
      </c>
      <c r="F32" s="142">
        <f>E32-D32</f>
        <v>-297</v>
      </c>
      <c r="G32" s="159">
        <f>G31</f>
        <v>0.37959999999999999</v>
      </c>
      <c r="H32" s="142">
        <f t="shared" ref="H32:H36" si="9">ROUND(F32*0.3796,0)</f>
        <v>-113</v>
      </c>
    </row>
    <row r="33" spans="1:8" s="102" customFormat="1" x14ac:dyDescent="0.25">
      <c r="A33" s="102">
        <v>15</v>
      </c>
      <c r="B33" s="102" t="s">
        <v>1</v>
      </c>
      <c r="D33" s="148">
        <f t="shared" si="7"/>
        <v>326770</v>
      </c>
      <c r="E33" s="142">
        <f t="shared" si="8"/>
        <v>0</v>
      </c>
      <c r="F33" s="142">
        <f>E33-D33</f>
        <v>-326770</v>
      </c>
      <c r="G33" s="159">
        <f>G31</f>
        <v>0.37959999999999999</v>
      </c>
      <c r="H33" s="142">
        <f t="shared" si="9"/>
        <v>-124042</v>
      </c>
    </row>
    <row r="34" spans="1:8" s="102" customFormat="1" x14ac:dyDescent="0.25">
      <c r="A34" s="102">
        <v>16</v>
      </c>
      <c r="B34" s="102" t="s">
        <v>19</v>
      </c>
      <c r="D34" s="148">
        <f t="shared" si="7"/>
        <v>0</v>
      </c>
      <c r="E34" s="142">
        <f t="shared" si="8"/>
        <v>0</v>
      </c>
      <c r="F34" s="142">
        <f>E34-D34</f>
        <v>0</v>
      </c>
      <c r="G34" s="159">
        <f>G31</f>
        <v>0.37959999999999999</v>
      </c>
      <c r="H34" s="142">
        <f t="shared" si="9"/>
        <v>0</v>
      </c>
    </row>
    <row r="35" spans="1:8" s="102" customFormat="1" x14ac:dyDescent="0.25">
      <c r="A35" s="102">
        <v>17</v>
      </c>
      <c r="B35" s="102" t="s">
        <v>18</v>
      </c>
      <c r="D35" s="148">
        <f t="shared" si="7"/>
        <v>0</v>
      </c>
      <c r="E35" s="142">
        <f t="shared" si="8"/>
        <v>0</v>
      </c>
      <c r="F35" s="142">
        <f>E35-D35</f>
        <v>0</v>
      </c>
      <c r="G35" s="159">
        <f>G31</f>
        <v>0.37959999999999999</v>
      </c>
      <c r="H35" s="142">
        <f t="shared" si="9"/>
        <v>0</v>
      </c>
    </row>
    <row r="36" spans="1:8" s="102" customFormat="1" x14ac:dyDescent="0.25">
      <c r="A36" s="102">
        <v>18</v>
      </c>
      <c r="B36" s="102" t="s">
        <v>63</v>
      </c>
      <c r="D36" s="150">
        <f t="shared" si="7"/>
        <v>153597</v>
      </c>
      <c r="E36" s="157" t="str">
        <f t="shared" si="8"/>
        <v>NA</v>
      </c>
      <c r="F36" s="150">
        <f>-D36</f>
        <v>-153597</v>
      </c>
      <c r="G36" s="161">
        <f>G31</f>
        <v>0.37959999999999999</v>
      </c>
      <c r="H36" s="150">
        <f t="shared" si="9"/>
        <v>-58305</v>
      </c>
    </row>
    <row r="37" spans="1:8" s="102" customFormat="1" x14ac:dyDescent="0.25">
      <c r="D37" s="142">
        <f>SUM(D31:D36)</f>
        <v>1504157</v>
      </c>
      <c r="E37" s="142">
        <f>SUM(E31:E36)</f>
        <v>125</v>
      </c>
      <c r="F37" s="142">
        <f>SUM(F31:F36)</f>
        <v>-1504032</v>
      </c>
      <c r="H37" s="142">
        <f>SUM(H31:H36)</f>
        <v>-570930</v>
      </c>
    </row>
    <row r="39" spans="1:8" x14ac:dyDescent="0.25">
      <c r="A39" s="30" t="s">
        <v>71</v>
      </c>
      <c r="B39" s="10" t="s">
        <v>74</v>
      </c>
    </row>
    <row r="40" spans="1:8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- 2014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view="pageBreakPreview" zoomScale="60" zoomScaleNormal="100" workbookViewId="0">
      <selection activeCell="L21" sqref="L21"/>
    </sheetView>
  </sheetViews>
  <sheetFormatPr defaultColWidth="9.140625" defaultRowHeight="15" x14ac:dyDescent="0.25"/>
  <cols>
    <col min="1" max="1" width="14.42578125" style="35" customWidth="1"/>
    <col min="2" max="2" width="18.5703125" style="35" bestFit="1" customWidth="1"/>
    <col min="3" max="4" width="12.7109375" style="35" customWidth="1"/>
    <col min="5" max="5" width="11.28515625" style="35" bestFit="1" customWidth="1"/>
    <col min="6" max="6" width="12.7109375" style="35" customWidth="1"/>
    <col min="7" max="7" width="12.42578125" style="35" bestFit="1" customWidth="1"/>
    <col min="8" max="8" width="13.140625" style="35" bestFit="1" customWidth="1"/>
    <col min="9" max="9" width="2.7109375" style="35" customWidth="1"/>
    <col min="10" max="10" width="10.7109375" style="35" customWidth="1"/>
    <col min="11" max="11" width="8.140625" style="35" bestFit="1" customWidth="1"/>
    <col min="12" max="12" width="12.7109375" style="35" customWidth="1"/>
    <col min="13" max="14" width="11.28515625" style="35" bestFit="1" customWidth="1"/>
    <col min="15" max="15" width="8.42578125" style="35" bestFit="1" customWidth="1"/>
    <col min="16" max="16" width="11.28515625" style="35" bestFit="1" customWidth="1"/>
    <col min="17" max="17" width="2.7109375" style="35" customWidth="1"/>
    <col min="18" max="18" width="13.7109375" style="35" bestFit="1" customWidth="1"/>
    <col min="19" max="19" width="7.7109375" style="35" bestFit="1" customWidth="1"/>
    <col min="20" max="20" width="7.42578125" style="35" bestFit="1" customWidth="1"/>
    <col min="21" max="16384" width="9.140625" style="35"/>
  </cols>
  <sheetData>
    <row r="1" spans="1:18" x14ac:dyDescent="0.25">
      <c r="A1" s="38" t="s">
        <v>26</v>
      </c>
      <c r="B1" s="20">
        <v>2015</v>
      </c>
    </row>
    <row r="2" spans="1:18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32" t="s">
        <v>37</v>
      </c>
      <c r="F3" s="36"/>
      <c r="G3" s="29"/>
      <c r="H3" s="36"/>
      <c r="J3" s="39" t="s">
        <v>34</v>
      </c>
    </row>
    <row r="4" spans="1:18" x14ac:dyDescent="0.25">
      <c r="C4" s="32">
        <v>2015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8" x14ac:dyDescent="0.25">
      <c r="C5" s="41" t="s">
        <v>21</v>
      </c>
      <c r="D5" s="24">
        <v>6</v>
      </c>
      <c r="F5" s="41" t="s">
        <v>22</v>
      </c>
      <c r="G5" s="41" t="s">
        <v>17</v>
      </c>
      <c r="H5" s="41" t="s">
        <v>23</v>
      </c>
      <c r="J5" s="41" t="s">
        <v>43</v>
      </c>
      <c r="O5" s="41" t="s">
        <v>14</v>
      </c>
      <c r="P5" s="41" t="s">
        <v>16</v>
      </c>
    </row>
    <row r="6" spans="1:18" x14ac:dyDescent="0.25">
      <c r="A6" s="35">
        <v>1</v>
      </c>
      <c r="B6" s="35" t="s">
        <v>48</v>
      </c>
      <c r="C6" s="3">
        <v>1201977</v>
      </c>
      <c r="D6" s="7">
        <v>3.1E-2</v>
      </c>
      <c r="F6" s="3">
        <v>-167675</v>
      </c>
      <c r="G6" s="34">
        <f>ROUND(IF(D$5=1,-0.5*D6*C6,-D6*C6),0)</f>
        <v>-37261</v>
      </c>
      <c r="H6" s="34">
        <f t="shared" ref="H6:H11" si="0">SUM(F6:G6)</f>
        <v>-204936</v>
      </c>
      <c r="J6" s="13">
        <f t="shared" ref="J6:J11" si="1">C6+H6</f>
        <v>997041</v>
      </c>
      <c r="O6" s="25">
        <v>1E-4</v>
      </c>
      <c r="P6" s="33">
        <f>ROUND(IF(D$5=1,-0.5*O6*C6,-O6*C6),0)</f>
        <v>-120</v>
      </c>
    </row>
    <row r="7" spans="1:18" x14ac:dyDescent="0.25">
      <c r="A7" s="35">
        <v>2</v>
      </c>
      <c r="B7" s="35" t="s">
        <v>0</v>
      </c>
      <c r="C7" s="3">
        <v>87414</v>
      </c>
      <c r="D7" s="7">
        <v>2.3300000000000001E-2</v>
      </c>
      <c r="F7" s="3">
        <v>-9166</v>
      </c>
      <c r="G7" s="34">
        <f>ROUND(IF(D$5=1,-0.5*D7*C7,-D7*C7),0)</f>
        <v>-2037</v>
      </c>
      <c r="H7" s="34">
        <f t="shared" si="0"/>
        <v>-11203</v>
      </c>
      <c r="J7" s="13">
        <f t="shared" si="1"/>
        <v>76211</v>
      </c>
      <c r="O7" s="25">
        <v>2.0000000000000001E-4</v>
      </c>
      <c r="P7" s="13">
        <f>ROUND(IF(D$5=1,-0.5*O7*C7,-O7*C7),0)</f>
        <v>-17</v>
      </c>
    </row>
    <row r="8" spans="1:18" x14ac:dyDescent="0.25">
      <c r="A8" s="35">
        <v>3</v>
      </c>
      <c r="B8" s="35" t="s">
        <v>1</v>
      </c>
      <c r="C8" s="3">
        <v>137797</v>
      </c>
      <c r="D8" s="7">
        <v>2.69E-2</v>
      </c>
      <c r="F8" s="3">
        <v>-16681</v>
      </c>
      <c r="G8" s="34">
        <f>ROUND(IF(D$5=1,-0.5*D8*C8,-D8*C8),0)</f>
        <v>-3707</v>
      </c>
      <c r="H8" s="34">
        <f t="shared" si="0"/>
        <v>-20388</v>
      </c>
      <c r="J8" s="13">
        <f t="shared" si="1"/>
        <v>117409</v>
      </c>
      <c r="O8" s="25">
        <v>4.1999999999999997E-3</v>
      </c>
      <c r="P8" s="13">
        <f>ROUND(IF(D$5=1,-0.5*O8*C8,-O8*C8),0)</f>
        <v>-579</v>
      </c>
    </row>
    <row r="9" spans="1:18" x14ac:dyDescent="0.25">
      <c r="A9" s="35">
        <v>4</v>
      </c>
      <c r="B9" s="35" t="s">
        <v>19</v>
      </c>
      <c r="C9" s="3">
        <v>0</v>
      </c>
      <c r="D9" s="7">
        <v>2.2499999999999999E-2</v>
      </c>
      <c r="F9" s="3" t="s">
        <v>196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35">
        <v>5</v>
      </c>
      <c r="B10" s="35" t="s">
        <v>18</v>
      </c>
      <c r="C10" s="3">
        <v>0</v>
      </c>
      <c r="D10" s="7">
        <v>2.0500000000000001E-2</v>
      </c>
      <c r="F10" s="3" t="s">
        <v>196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35">
        <v>6</v>
      </c>
      <c r="B11" s="35" t="s">
        <v>63</v>
      </c>
      <c r="C11" s="4">
        <v>331639</v>
      </c>
      <c r="D11" s="8" t="s">
        <v>62</v>
      </c>
      <c r="F11" s="4">
        <v>-3222</v>
      </c>
      <c r="G11" s="37">
        <f>P12</f>
        <v>-716</v>
      </c>
      <c r="H11" s="37">
        <f t="shared" si="0"/>
        <v>-3938</v>
      </c>
      <c r="J11" s="14">
        <f t="shared" si="1"/>
        <v>327701</v>
      </c>
      <c r="O11" s="40">
        <v>0</v>
      </c>
      <c r="P11" s="14">
        <f>IF(D$5=1,-0.5*O11*C11,-O11*C11)</f>
        <v>0</v>
      </c>
    </row>
    <row r="12" spans="1:18" x14ac:dyDescent="0.25">
      <c r="C12" s="34">
        <f>SUM(C6:C11)</f>
        <v>1758827</v>
      </c>
      <c r="D12" s="34"/>
      <c r="F12" s="3">
        <f>SUM(F5:F11)</f>
        <v>-196744</v>
      </c>
      <c r="G12" s="34">
        <f>SUM(G5:G11)</f>
        <v>-43721</v>
      </c>
      <c r="H12" s="34">
        <f>SUM(H5:H11)</f>
        <v>-240465</v>
      </c>
      <c r="J12" s="13">
        <f>SUM(J6:J11)</f>
        <v>1518362</v>
      </c>
      <c r="O12" s="13"/>
      <c r="P12" s="33">
        <f>SUM(P5:P11)</f>
        <v>-716</v>
      </c>
    </row>
    <row r="13" spans="1:18" ht="14.25" customHeight="1" x14ac:dyDescent="0.25">
      <c r="C13" s="34"/>
      <c r="D13" s="34"/>
      <c r="E13" s="34"/>
      <c r="F13" s="34"/>
      <c r="M13" s="32"/>
      <c r="N13" s="36"/>
    </row>
    <row r="14" spans="1:18" x14ac:dyDescent="0.25">
      <c r="M14" s="32"/>
      <c r="N14" s="36"/>
    </row>
    <row r="15" spans="1:18" x14ac:dyDescent="0.25">
      <c r="D15" s="32"/>
    </row>
    <row r="16" spans="1:18" s="102" customFormat="1" x14ac:dyDescent="0.25">
      <c r="C16" s="115"/>
      <c r="D16" s="124" t="s">
        <v>29</v>
      </c>
      <c r="E16" s="115"/>
      <c r="F16" s="115"/>
      <c r="G16" s="138">
        <v>0.5</v>
      </c>
      <c r="H16" s="115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140" t="s">
        <v>15</v>
      </c>
    </row>
    <row r="17" spans="1:18" s="102" customFormat="1" x14ac:dyDescent="0.25"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124" t="s">
        <v>42</v>
      </c>
    </row>
    <row r="18" spans="1:18" s="102" customFormat="1" x14ac:dyDescent="0.25"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J18" s="126" t="s">
        <v>20</v>
      </c>
      <c r="K18" s="126">
        <f>D5</f>
        <v>6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126" t="s">
        <v>43</v>
      </c>
    </row>
    <row r="19" spans="1:18" s="102" customFormat="1" x14ac:dyDescent="0.25">
      <c r="A19" s="102">
        <v>7</v>
      </c>
      <c r="B19" s="102" t="s">
        <v>48</v>
      </c>
      <c r="C19" s="105">
        <f t="shared" ref="C19:C24" si="2">C6</f>
        <v>1201977</v>
      </c>
      <c r="D19" s="141">
        <v>0.91900000000000004</v>
      </c>
      <c r="E19" s="105">
        <f>ROUND(C19*-D19,0)</f>
        <v>-1104617</v>
      </c>
      <c r="F19" s="142">
        <f>C19+E19</f>
        <v>97360</v>
      </c>
      <c r="G19" s="142">
        <f t="shared" ref="G19:G24" si="3">ROUND(F19*-$G$16,0)</f>
        <v>-48680</v>
      </c>
      <c r="H19" s="143">
        <f t="shared" ref="H19:H24" si="4">F19+G19</f>
        <v>48680</v>
      </c>
      <c r="J19" s="102">
        <v>15</v>
      </c>
      <c r="K19" s="144">
        <f>IFERROR(VLOOKUP(J19,'Tax Rates'!$A$1:$AA$12,$K$18+1,FALSE),0)</f>
        <v>6.2330000000000003E-2</v>
      </c>
      <c r="L19" s="145">
        <v>-1171635</v>
      </c>
      <c r="M19" s="142">
        <v>0</v>
      </c>
      <c r="N19" s="142">
        <v>0</v>
      </c>
      <c r="O19" s="105">
        <f>ROUND(K19*-H19,0)</f>
        <v>-3034</v>
      </c>
      <c r="P19" s="146">
        <f t="shared" ref="P19:P24" si="5">SUM(L19:O19)</f>
        <v>-1174669</v>
      </c>
      <c r="R19" s="142">
        <f>C19+P19</f>
        <v>27308</v>
      </c>
    </row>
    <row r="20" spans="1:18" s="102" customFormat="1" x14ac:dyDescent="0.25">
      <c r="A20" s="102">
        <v>8</v>
      </c>
      <c r="B20" s="102" t="s">
        <v>0</v>
      </c>
      <c r="C20" s="116">
        <f t="shared" si="2"/>
        <v>87414</v>
      </c>
      <c r="D20" s="147">
        <f>-E20/C20</f>
        <v>0.25458164596060129</v>
      </c>
      <c r="E20" s="117">
        <v>-22254</v>
      </c>
      <c r="F20" s="142">
        <f>C20+E20</f>
        <v>65160</v>
      </c>
      <c r="G20" s="142">
        <f t="shared" si="3"/>
        <v>-32580</v>
      </c>
      <c r="H20" s="143">
        <f t="shared" si="4"/>
        <v>32580</v>
      </c>
      <c r="J20" s="102">
        <v>15</v>
      </c>
      <c r="K20" s="144">
        <f>IFERROR(VLOOKUP(J20,'Tax Rates'!$A$1:$AA$12,$K$18+1,FALSE),0)</f>
        <v>6.2330000000000003E-2</v>
      </c>
      <c r="L20" s="145">
        <v>-67107</v>
      </c>
      <c r="M20" s="142">
        <v>0</v>
      </c>
      <c r="N20" s="142">
        <v>0</v>
      </c>
      <c r="O20" s="105">
        <f>ROUND(K20*-H20,0)</f>
        <v>-2031</v>
      </c>
      <c r="P20" s="146">
        <f t="shared" si="5"/>
        <v>-69138</v>
      </c>
      <c r="R20" s="142">
        <f>C20+P20</f>
        <v>18276</v>
      </c>
    </row>
    <row r="21" spans="1:18" s="102" customFormat="1" x14ac:dyDescent="0.25">
      <c r="A21" s="102">
        <v>9</v>
      </c>
      <c r="B21" s="102" t="s">
        <v>1</v>
      </c>
      <c r="C21" s="116">
        <f t="shared" si="2"/>
        <v>137797</v>
      </c>
      <c r="D21" s="141">
        <v>1</v>
      </c>
      <c r="E21" s="105">
        <f>ROUND(C21*-D21,0)</f>
        <v>-137797</v>
      </c>
      <c r="F21" s="142">
        <f>C21+E21</f>
        <v>0</v>
      </c>
      <c r="G21" s="148">
        <f t="shared" si="3"/>
        <v>0</v>
      </c>
      <c r="H21" s="143">
        <f t="shared" si="4"/>
        <v>0</v>
      </c>
      <c r="J21" s="102">
        <v>20</v>
      </c>
      <c r="K21" s="144">
        <f>IFERROR(VLOOKUP(J21,'Tax Rates'!$A$1:$AA$12,$K$18+1,FALSE),0)</f>
        <v>5.2850000000000001E-2</v>
      </c>
      <c r="L21" s="145">
        <v>-137797</v>
      </c>
      <c r="M21" s="142">
        <v>0</v>
      </c>
      <c r="N21" s="142">
        <f t="shared" ref="N21:N24" si="6">G21</f>
        <v>0</v>
      </c>
      <c r="O21" s="105">
        <f>ROUND(K21*-H21,0)</f>
        <v>0</v>
      </c>
      <c r="P21" s="146">
        <f t="shared" si="5"/>
        <v>-137797</v>
      </c>
      <c r="R21" s="142">
        <f>C21+P21</f>
        <v>0</v>
      </c>
    </row>
    <row r="22" spans="1:18" s="102" customFormat="1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J22" s="102">
        <v>7</v>
      </c>
      <c r="K22" s="144">
        <f>IFERROR(VLOOKUP(J22,'Tax Rates'!$A$1:$AA$12,$K$18+1,FALSE),0)</f>
        <v>8.9249999999999996E-2</v>
      </c>
      <c r="L22" s="145">
        <v>0</v>
      </c>
      <c r="M22" s="142">
        <f t="shared" ref="M22:M24" si="7">E22</f>
        <v>0</v>
      </c>
      <c r="N22" s="142">
        <f t="shared" si="6"/>
        <v>0</v>
      </c>
      <c r="O22" s="105">
        <f>ROUND(K22*-H22,0)</f>
        <v>0</v>
      </c>
      <c r="P22" s="146">
        <f t="shared" si="5"/>
        <v>0</v>
      </c>
      <c r="R22" s="142">
        <f>C22+P22</f>
        <v>0</v>
      </c>
    </row>
    <row r="23" spans="1:18" s="102" customFormat="1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J23" s="102">
        <v>15</v>
      </c>
      <c r="K23" s="144">
        <f>IFERROR(VLOOKUP(J23,'Tax Rates'!$A$1:$AA$12,$K$18+1,FALSE),0)</f>
        <v>6.2330000000000003E-2</v>
      </c>
      <c r="L23" s="145">
        <v>0</v>
      </c>
      <c r="M23" s="142">
        <f t="shared" si="7"/>
        <v>0</v>
      </c>
      <c r="N23" s="142">
        <f t="shared" si="6"/>
        <v>0</v>
      </c>
      <c r="O23" s="105">
        <f>ROUND(K23*-H23,0)</f>
        <v>0</v>
      </c>
      <c r="P23" s="146">
        <f t="shared" si="5"/>
        <v>0</v>
      </c>
      <c r="R23" s="142">
        <f>C23+P23</f>
        <v>0</v>
      </c>
    </row>
    <row r="24" spans="1:18" s="102" customFormat="1" x14ac:dyDescent="0.25">
      <c r="A24" s="102">
        <v>12</v>
      </c>
      <c r="B24" s="102" t="s">
        <v>63</v>
      </c>
      <c r="C24" s="107">
        <f t="shared" si="2"/>
        <v>331639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J24" s="152" t="s">
        <v>64</v>
      </c>
      <c r="K24" s="153" t="s">
        <v>64</v>
      </c>
      <c r="L24" s="154">
        <v>0</v>
      </c>
      <c r="M24" s="150">
        <f t="shared" si="7"/>
        <v>0</v>
      </c>
      <c r="N24" s="155">
        <f t="shared" si="6"/>
        <v>0</v>
      </c>
      <c r="O24" s="107">
        <v>0</v>
      </c>
      <c r="P24" s="156">
        <f t="shared" si="5"/>
        <v>0</v>
      </c>
      <c r="R24" s="157" t="s">
        <v>64</v>
      </c>
    </row>
    <row r="25" spans="1:18" s="102" customFormat="1" x14ac:dyDescent="0.25">
      <c r="C25" s="105">
        <f>SUM(C18:C24)</f>
        <v>1758827</v>
      </c>
      <c r="E25" s="105">
        <f>SUM(E19:E24)</f>
        <v>-1264668</v>
      </c>
      <c r="F25" s="105">
        <f>SUM(F19:F24)</f>
        <v>162520</v>
      </c>
      <c r="G25" s="105">
        <f>SUM(G19:G24)</f>
        <v>-81260</v>
      </c>
      <c r="H25" s="146">
        <f>SUM(H19:H24)</f>
        <v>81260</v>
      </c>
      <c r="L25" s="146">
        <f>SUM(L19:L24)</f>
        <v>-1376539</v>
      </c>
      <c r="M25" s="105">
        <f>SUM(M19:M24)</f>
        <v>0</v>
      </c>
      <c r="N25" s="105">
        <f>SUM(N19:N24)</f>
        <v>0</v>
      </c>
      <c r="O25" s="105">
        <f>SUM(O19:O24)</f>
        <v>-5065</v>
      </c>
      <c r="P25" s="146">
        <f>SUM(P19:P24)</f>
        <v>-1381604</v>
      </c>
      <c r="R25" s="142">
        <f>SUM(R19:R24)</f>
        <v>45584</v>
      </c>
    </row>
    <row r="26" spans="1:18" s="102" customFormat="1" x14ac:dyDescent="0.25">
      <c r="C26" s="105"/>
      <c r="E26" s="105"/>
      <c r="F26" s="105"/>
      <c r="G26" s="105"/>
      <c r="H26" s="146"/>
      <c r="J26" s="146"/>
      <c r="K26" s="105"/>
      <c r="L26" s="105"/>
      <c r="M26" s="105"/>
      <c r="N26" s="146"/>
    </row>
    <row r="27" spans="1:18" s="102" customFormat="1" x14ac:dyDescent="0.25"/>
    <row r="28" spans="1:18" s="102" customFormat="1" x14ac:dyDescent="0.25">
      <c r="E28" s="105"/>
      <c r="F28" s="140" t="s">
        <v>49</v>
      </c>
      <c r="H28" s="159"/>
    </row>
    <row r="29" spans="1:18" s="102" customFormat="1" x14ac:dyDescent="0.25"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8" s="102" customFormat="1" x14ac:dyDescent="0.25"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8" s="102" customFormat="1" x14ac:dyDescent="0.25">
      <c r="A31" s="102">
        <v>13</v>
      </c>
      <c r="B31" s="102" t="s">
        <v>48</v>
      </c>
      <c r="D31" s="142">
        <f t="shared" ref="D31:D36" si="8">J6</f>
        <v>997041</v>
      </c>
      <c r="E31" s="142">
        <f t="shared" ref="E31:E36" si="9">R19</f>
        <v>27308</v>
      </c>
      <c r="F31" s="142">
        <f>E31-D31</f>
        <v>-969733</v>
      </c>
      <c r="G31" s="160">
        <v>0.37959999999999999</v>
      </c>
      <c r="H31" s="142">
        <f>ROUND(F31*0.3796,0)</f>
        <v>-368111</v>
      </c>
    </row>
    <row r="32" spans="1:18" s="102" customFormat="1" x14ac:dyDescent="0.25">
      <c r="A32" s="102">
        <v>14</v>
      </c>
      <c r="B32" s="102" t="s">
        <v>0</v>
      </c>
      <c r="D32" s="148">
        <f t="shared" si="8"/>
        <v>76211</v>
      </c>
      <c r="E32" s="142">
        <f t="shared" si="9"/>
        <v>18276</v>
      </c>
      <c r="F32" s="142">
        <f>E32-D32</f>
        <v>-57935</v>
      </c>
      <c r="G32" s="159">
        <f>G31</f>
        <v>0.37959999999999999</v>
      </c>
      <c r="H32" s="142">
        <f t="shared" ref="H32:H36" si="10">ROUND(F32*0.3796,0)</f>
        <v>-21992</v>
      </c>
    </row>
    <row r="33" spans="1:8" s="102" customFormat="1" x14ac:dyDescent="0.25">
      <c r="A33" s="102">
        <v>15</v>
      </c>
      <c r="B33" s="102" t="s">
        <v>1</v>
      </c>
      <c r="D33" s="148">
        <f t="shared" si="8"/>
        <v>117409</v>
      </c>
      <c r="E33" s="142">
        <f t="shared" si="9"/>
        <v>0</v>
      </c>
      <c r="F33" s="142">
        <f>E33-D33</f>
        <v>-117409</v>
      </c>
      <c r="G33" s="159">
        <f>G31</f>
        <v>0.37959999999999999</v>
      </c>
      <c r="H33" s="142">
        <f t="shared" si="10"/>
        <v>-44568</v>
      </c>
    </row>
    <row r="34" spans="1:8" s="102" customFormat="1" x14ac:dyDescent="0.25">
      <c r="A34" s="102">
        <v>16</v>
      </c>
      <c r="B34" s="102" t="s">
        <v>19</v>
      </c>
      <c r="D34" s="148">
        <f t="shared" si="8"/>
        <v>0</v>
      </c>
      <c r="E34" s="142">
        <f t="shared" si="9"/>
        <v>0</v>
      </c>
      <c r="F34" s="142">
        <f>E34-D34</f>
        <v>0</v>
      </c>
      <c r="G34" s="159">
        <f>G31</f>
        <v>0.37959999999999999</v>
      </c>
      <c r="H34" s="142">
        <f t="shared" si="10"/>
        <v>0</v>
      </c>
    </row>
    <row r="35" spans="1:8" s="102" customFormat="1" x14ac:dyDescent="0.25">
      <c r="A35" s="102">
        <v>17</v>
      </c>
      <c r="B35" s="102" t="s">
        <v>18</v>
      </c>
      <c r="D35" s="148">
        <f t="shared" si="8"/>
        <v>0</v>
      </c>
      <c r="E35" s="142">
        <f t="shared" si="9"/>
        <v>0</v>
      </c>
      <c r="F35" s="142">
        <f>E35-D35</f>
        <v>0</v>
      </c>
      <c r="G35" s="159">
        <f>G31</f>
        <v>0.37959999999999999</v>
      </c>
      <c r="H35" s="142">
        <f t="shared" si="10"/>
        <v>0</v>
      </c>
    </row>
    <row r="36" spans="1:8" s="102" customFormat="1" x14ac:dyDescent="0.25">
      <c r="A36" s="102">
        <v>18</v>
      </c>
      <c r="B36" s="102" t="s">
        <v>63</v>
      </c>
      <c r="D36" s="150">
        <f t="shared" si="8"/>
        <v>327701</v>
      </c>
      <c r="E36" s="157" t="str">
        <f t="shared" si="9"/>
        <v>NA</v>
      </c>
      <c r="F36" s="150">
        <f>-D36</f>
        <v>-327701</v>
      </c>
      <c r="G36" s="161">
        <f>G31</f>
        <v>0.37959999999999999</v>
      </c>
      <c r="H36" s="150">
        <f t="shared" si="10"/>
        <v>-124395</v>
      </c>
    </row>
    <row r="37" spans="1:8" s="102" customFormat="1" x14ac:dyDescent="0.25">
      <c r="D37" s="142">
        <f>SUM(D31:D36)</f>
        <v>1518362</v>
      </c>
      <c r="E37" s="142">
        <f>SUM(E31:E36)</f>
        <v>45584</v>
      </c>
      <c r="F37" s="142">
        <f>SUM(F31:F36)</f>
        <v>-1472778</v>
      </c>
      <c r="H37" s="142">
        <f>SUM(H31:H36)</f>
        <v>-559066</v>
      </c>
    </row>
    <row r="39" spans="1:8" x14ac:dyDescent="0.25">
      <c r="A39" s="30" t="s">
        <v>71</v>
      </c>
      <c r="B39" s="35" t="s">
        <v>74</v>
      </c>
    </row>
    <row r="40" spans="1:8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- 2015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0"/>
  <sheetViews>
    <sheetView view="pageBreakPreview" zoomScale="60" zoomScaleNormal="100" workbookViewId="0">
      <selection activeCell="H25" sqref="H25"/>
    </sheetView>
  </sheetViews>
  <sheetFormatPr defaultColWidth="9.140625" defaultRowHeight="15" x14ac:dyDescent="0.25"/>
  <cols>
    <col min="1" max="1" width="14.42578125" style="35" customWidth="1"/>
    <col min="2" max="2" width="18.5703125" style="35" bestFit="1" customWidth="1"/>
    <col min="3" max="4" width="12.7109375" style="35" customWidth="1"/>
    <col min="5" max="5" width="11.28515625" style="35" bestFit="1" customWidth="1"/>
    <col min="6" max="6" width="12.7109375" style="35" customWidth="1"/>
    <col min="7" max="7" width="12.42578125" style="35" bestFit="1" customWidth="1"/>
    <col min="8" max="8" width="13.140625" style="35" bestFit="1" customWidth="1"/>
    <col min="9" max="9" width="2.7109375" style="35" customWidth="1"/>
    <col min="10" max="10" width="10.7109375" style="35" customWidth="1"/>
    <col min="11" max="11" width="8.140625" style="35" bestFit="1" customWidth="1"/>
    <col min="12" max="12" width="12.7109375" style="35" customWidth="1"/>
    <col min="13" max="14" width="11.28515625" style="35" bestFit="1" customWidth="1"/>
    <col min="15" max="15" width="8.42578125" style="35" bestFit="1" customWidth="1"/>
    <col min="16" max="16" width="11.28515625" style="35" bestFit="1" customWidth="1"/>
    <col min="17" max="17" width="2.7109375" style="35" customWidth="1"/>
    <col min="18" max="18" width="13.7109375" style="35" bestFit="1" customWidth="1"/>
    <col min="19" max="19" width="7.7109375" style="35" bestFit="1" customWidth="1"/>
    <col min="20" max="20" width="7.42578125" style="35" bestFit="1" customWidth="1"/>
    <col min="21" max="16384" width="9.140625" style="35"/>
  </cols>
  <sheetData>
    <row r="1" spans="1:18" x14ac:dyDescent="0.25">
      <c r="A1" s="38" t="s">
        <v>26</v>
      </c>
      <c r="B1" s="20">
        <v>2016</v>
      </c>
    </row>
    <row r="2" spans="1:18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8" x14ac:dyDescent="0.25">
      <c r="D3" s="32" t="s">
        <v>37</v>
      </c>
      <c r="F3" s="36"/>
      <c r="G3" s="29"/>
      <c r="H3" s="36"/>
      <c r="J3" s="39" t="s">
        <v>34</v>
      </c>
    </row>
    <row r="4" spans="1:18" x14ac:dyDescent="0.25">
      <c r="C4" s="32">
        <v>2016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8" x14ac:dyDescent="0.25">
      <c r="C5" s="42" t="s">
        <v>21</v>
      </c>
      <c r="D5" s="24">
        <v>5</v>
      </c>
      <c r="F5" s="42" t="s">
        <v>22</v>
      </c>
      <c r="G5" s="42" t="s">
        <v>17</v>
      </c>
      <c r="H5" s="42" t="s">
        <v>23</v>
      </c>
      <c r="J5" s="42" t="s">
        <v>43</v>
      </c>
      <c r="O5" s="42" t="s">
        <v>14</v>
      </c>
      <c r="P5" s="42" t="s">
        <v>16</v>
      </c>
    </row>
    <row r="6" spans="1:18" x14ac:dyDescent="0.25">
      <c r="A6" s="35">
        <v>1</v>
      </c>
      <c r="B6" s="35" t="s">
        <v>48</v>
      </c>
      <c r="C6" s="3">
        <v>2328216</v>
      </c>
      <c r="D6" s="7">
        <v>3.1E-2</v>
      </c>
      <c r="F6" s="3">
        <v>-252612</v>
      </c>
      <c r="G6" s="34">
        <f>ROUND(IF(D$5=1,-0.5*D6*C6,-D6*C6),0)</f>
        <v>-72175</v>
      </c>
      <c r="H6" s="34">
        <f t="shared" ref="H6:H11" si="0">SUM(F6:G6)</f>
        <v>-324787</v>
      </c>
      <c r="J6" s="13">
        <f t="shared" ref="J6:J11" si="1">C6+H6</f>
        <v>2003429</v>
      </c>
      <c r="O6" s="25">
        <v>1E-4</v>
      </c>
      <c r="P6" s="33">
        <f>ROUND(IF(D$5=1,-0.5*O6*C6,-O6*C6),0)</f>
        <v>-233</v>
      </c>
    </row>
    <row r="7" spans="1:18" x14ac:dyDescent="0.25">
      <c r="A7" s="35">
        <v>2</v>
      </c>
      <c r="B7" s="35" t="s">
        <v>0</v>
      </c>
      <c r="C7" s="3">
        <v>219764</v>
      </c>
      <c r="D7" s="7">
        <v>2.3300000000000001E-2</v>
      </c>
      <c r="F7" s="3">
        <v>-17923</v>
      </c>
      <c r="G7" s="34">
        <f>ROUND(IF(D$5=1,-0.5*D7*C7,-D7*C7),0)</f>
        <v>-5121</v>
      </c>
      <c r="H7" s="34">
        <f t="shared" si="0"/>
        <v>-23044</v>
      </c>
      <c r="J7" s="13">
        <f t="shared" si="1"/>
        <v>196720</v>
      </c>
      <c r="O7" s="25">
        <v>2.0000000000000001E-4</v>
      </c>
      <c r="P7" s="13">
        <f>ROUND(IF(D$5=1,-0.5*O7*C7,-O7*C7),0)</f>
        <v>-44</v>
      </c>
    </row>
    <row r="8" spans="1:18" x14ac:dyDescent="0.25">
      <c r="A8" s="35">
        <v>3</v>
      </c>
      <c r="B8" s="35" t="s">
        <v>1</v>
      </c>
      <c r="C8" s="3">
        <v>249152</v>
      </c>
      <c r="D8" s="7">
        <v>2.69E-2</v>
      </c>
      <c r="F8" s="3">
        <v>-23457</v>
      </c>
      <c r="G8" s="34">
        <f>ROUND(IF(D$5=1,-0.5*D8*C8,-D8*C8),0)</f>
        <v>-6702</v>
      </c>
      <c r="H8" s="34">
        <f t="shared" si="0"/>
        <v>-30159</v>
      </c>
      <c r="J8" s="13">
        <f t="shared" si="1"/>
        <v>218993</v>
      </c>
      <c r="O8" s="25">
        <v>4.1999999999999997E-3</v>
      </c>
      <c r="P8" s="13">
        <f>ROUND(IF(D$5=1,-0.5*O8*C8,-O8*C8),0)</f>
        <v>-1046</v>
      </c>
    </row>
    <row r="9" spans="1:18" x14ac:dyDescent="0.25">
      <c r="A9" s="35">
        <v>4</v>
      </c>
      <c r="B9" s="35" t="s">
        <v>19</v>
      </c>
      <c r="C9" s="3">
        <v>0</v>
      </c>
      <c r="D9" s="7">
        <v>2.2499999999999999E-2</v>
      </c>
      <c r="F9" s="3" t="s">
        <v>196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8" x14ac:dyDescent="0.25">
      <c r="A10" s="35">
        <v>5</v>
      </c>
      <c r="B10" s="35" t="s">
        <v>18</v>
      </c>
      <c r="C10" s="3">
        <v>0</v>
      </c>
      <c r="D10" s="7">
        <v>2.0500000000000001E-2</v>
      </c>
      <c r="F10" s="3" t="s">
        <v>196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8" x14ac:dyDescent="0.25">
      <c r="A11" s="35">
        <v>6</v>
      </c>
      <c r="B11" s="35" t="s">
        <v>63</v>
      </c>
      <c r="C11" s="4">
        <v>393216</v>
      </c>
      <c r="D11" s="8" t="s">
        <v>62</v>
      </c>
      <c r="F11" s="4">
        <v>-4630</v>
      </c>
      <c r="G11" s="37">
        <f>P12</f>
        <v>-1323</v>
      </c>
      <c r="H11" s="37">
        <f t="shared" si="0"/>
        <v>-5953</v>
      </c>
      <c r="J11" s="14">
        <f t="shared" si="1"/>
        <v>387263</v>
      </c>
      <c r="O11" s="40">
        <v>0</v>
      </c>
      <c r="P11" s="14">
        <f>IF(D$5=1,-0.5*O11*C11,-O11*C11)</f>
        <v>0</v>
      </c>
    </row>
    <row r="12" spans="1:18" x14ac:dyDescent="0.25">
      <c r="C12" s="34">
        <f>SUM(C6:C11)</f>
        <v>3190348</v>
      </c>
      <c r="D12" s="34"/>
      <c r="F12" s="3">
        <f>SUM(F5:F11)</f>
        <v>-298622</v>
      </c>
      <c r="G12" s="34">
        <f>SUM(G5:G11)</f>
        <v>-85321</v>
      </c>
      <c r="H12" s="34">
        <f>SUM(H5:H11)</f>
        <v>-383943</v>
      </c>
      <c r="J12" s="13">
        <f>SUM(J6:J11)</f>
        <v>2806405</v>
      </c>
      <c r="O12" s="13"/>
      <c r="P12" s="33">
        <f>SUM(P5:P11)</f>
        <v>-1323</v>
      </c>
    </row>
    <row r="13" spans="1:18" ht="14.25" customHeight="1" x14ac:dyDescent="0.25">
      <c r="C13" s="34"/>
      <c r="D13" s="34"/>
      <c r="E13" s="34"/>
      <c r="F13" s="34"/>
      <c r="M13" s="32"/>
      <c r="N13" s="36"/>
    </row>
    <row r="14" spans="1:18" x14ac:dyDescent="0.25">
      <c r="M14" s="32"/>
      <c r="N14" s="36"/>
    </row>
    <row r="15" spans="1:18" x14ac:dyDescent="0.25">
      <c r="A15" s="102"/>
      <c r="B15" s="102"/>
      <c r="C15" s="102"/>
      <c r="D15" s="124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</row>
    <row r="16" spans="1:18" x14ac:dyDescent="0.25">
      <c r="A16" s="102"/>
      <c r="B16" s="102"/>
      <c r="C16" s="115"/>
      <c r="D16" s="124" t="s">
        <v>29</v>
      </c>
      <c r="E16" s="115"/>
      <c r="F16" s="115"/>
      <c r="G16" s="138">
        <v>0.5</v>
      </c>
      <c r="H16" s="115"/>
      <c r="I16" s="102"/>
      <c r="J16" s="139"/>
      <c r="K16" s="124" t="s">
        <v>24</v>
      </c>
      <c r="L16" s="243" t="s">
        <v>36</v>
      </c>
      <c r="M16" s="243"/>
      <c r="N16" s="243"/>
      <c r="O16" s="243"/>
      <c r="P16" s="243"/>
      <c r="R16" s="39" t="s">
        <v>15</v>
      </c>
    </row>
    <row r="17" spans="1:18" x14ac:dyDescent="0.25">
      <c r="A17" s="102"/>
      <c r="B17" s="102"/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I17" s="102"/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R17" s="32" t="s">
        <v>42</v>
      </c>
    </row>
    <row r="18" spans="1:18" x14ac:dyDescent="0.25">
      <c r="A18" s="102"/>
      <c r="B18" s="102"/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I18" s="102"/>
      <c r="J18" s="126" t="s">
        <v>20</v>
      </c>
      <c r="K18" s="126">
        <f>D5</f>
        <v>5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R18" s="42" t="s">
        <v>43</v>
      </c>
    </row>
    <row r="19" spans="1:18" x14ac:dyDescent="0.25">
      <c r="A19" s="102">
        <v>7</v>
      </c>
      <c r="B19" s="102" t="s">
        <v>48</v>
      </c>
      <c r="C19" s="105">
        <f t="shared" ref="C19:C24" si="2">C6</f>
        <v>2328216</v>
      </c>
      <c r="D19" s="141">
        <v>0.96899999999999997</v>
      </c>
      <c r="E19" s="105">
        <f>ROUND(C19*-D19,0)</f>
        <v>-2256041</v>
      </c>
      <c r="F19" s="142">
        <f>C19+E19</f>
        <v>72175</v>
      </c>
      <c r="G19" s="142">
        <f t="shared" ref="G19:G24" si="3">ROUND(F19*-$G$16,0)</f>
        <v>-36088</v>
      </c>
      <c r="H19" s="143">
        <f t="shared" ref="H19:H24" si="4">F19+G19</f>
        <v>36087</v>
      </c>
      <c r="I19" s="102"/>
      <c r="J19" s="102">
        <v>15</v>
      </c>
      <c r="K19" s="144">
        <f>IFERROR(VLOOKUP(J19,'Tax Rates'!$A$1:$AA$12,$K$18+1,FALSE),0)</f>
        <v>6.9250000000000006E-2</v>
      </c>
      <c r="L19" s="145">
        <v>-2303223</v>
      </c>
      <c r="M19" s="142">
        <v>0</v>
      </c>
      <c r="N19" s="142">
        <v>0</v>
      </c>
      <c r="O19" s="105">
        <f>ROUND(K19*-H19,0)</f>
        <v>-2499</v>
      </c>
      <c r="P19" s="146">
        <f t="shared" ref="P19:P24" si="5">SUM(L19:O19)</f>
        <v>-2305722</v>
      </c>
      <c r="R19" s="13">
        <f>C19+P19</f>
        <v>22494</v>
      </c>
    </row>
    <row r="20" spans="1:18" x14ac:dyDescent="0.25">
      <c r="A20" s="102">
        <v>8</v>
      </c>
      <c r="B20" s="102" t="s">
        <v>0</v>
      </c>
      <c r="C20" s="116">
        <f t="shared" si="2"/>
        <v>219764</v>
      </c>
      <c r="D20" s="147">
        <f>-E20/C20</f>
        <v>7.5003185235070352E-2</v>
      </c>
      <c r="E20" s="117">
        <v>-16483</v>
      </c>
      <c r="F20" s="142">
        <f>C20+E20</f>
        <v>203281</v>
      </c>
      <c r="G20" s="142">
        <f t="shared" si="3"/>
        <v>-101641</v>
      </c>
      <c r="H20" s="143">
        <f t="shared" si="4"/>
        <v>101640</v>
      </c>
      <c r="I20" s="102"/>
      <c r="J20" s="102">
        <v>15</v>
      </c>
      <c r="K20" s="144">
        <f>IFERROR(VLOOKUP(J20,'Tax Rates'!$A$1:$AA$12,$K$18+1,FALSE),0)</f>
        <v>6.9250000000000006E-2</v>
      </c>
      <c r="L20" s="145">
        <v>-149373</v>
      </c>
      <c r="M20" s="142">
        <v>0</v>
      </c>
      <c r="N20" s="142">
        <v>0</v>
      </c>
      <c r="O20" s="105">
        <f>ROUND(K20*-H20,0)</f>
        <v>-7039</v>
      </c>
      <c r="P20" s="146">
        <f t="shared" si="5"/>
        <v>-156412</v>
      </c>
      <c r="R20" s="13">
        <f>C20+P20</f>
        <v>63352</v>
      </c>
    </row>
    <row r="21" spans="1:18" x14ac:dyDescent="0.25">
      <c r="A21" s="102">
        <v>9</v>
      </c>
      <c r="B21" s="102" t="s">
        <v>1</v>
      </c>
      <c r="C21" s="116">
        <f t="shared" si="2"/>
        <v>249152</v>
      </c>
      <c r="D21" s="141">
        <v>1</v>
      </c>
      <c r="E21" s="105">
        <f>ROUND(C21*-D21,0)</f>
        <v>-249152</v>
      </c>
      <c r="F21" s="142">
        <f>C21+E21</f>
        <v>0</v>
      </c>
      <c r="G21" s="148">
        <f t="shared" si="3"/>
        <v>0</v>
      </c>
      <c r="H21" s="143">
        <f t="shared" si="4"/>
        <v>0</v>
      </c>
      <c r="I21" s="102"/>
      <c r="J21" s="102">
        <v>20</v>
      </c>
      <c r="K21" s="144">
        <f>IFERROR(VLOOKUP(J21,'Tax Rates'!$A$1:$AA$12,$K$18+1,FALSE),0)</f>
        <v>5.713E-2</v>
      </c>
      <c r="L21" s="145">
        <v>-249152</v>
      </c>
      <c r="M21" s="142">
        <v>0</v>
      </c>
      <c r="N21" s="142">
        <f t="shared" ref="N21:N24" si="6">G21</f>
        <v>0</v>
      </c>
      <c r="O21" s="105">
        <f>ROUND(K21*-H21,0)</f>
        <v>0</v>
      </c>
      <c r="P21" s="146">
        <f t="shared" si="5"/>
        <v>-249152</v>
      </c>
      <c r="R21" s="13">
        <f>C21+P21</f>
        <v>0</v>
      </c>
    </row>
    <row r="22" spans="1:18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I22" s="102"/>
      <c r="J22" s="102">
        <v>7</v>
      </c>
      <c r="K22" s="144">
        <f>IFERROR(VLOOKUP(J22,'Tax Rates'!$A$1:$AA$12,$K$18+1,FALSE),0)</f>
        <v>8.9249999999999996E-2</v>
      </c>
      <c r="L22" s="145">
        <v>0</v>
      </c>
      <c r="M22" s="142">
        <f t="shared" ref="M22:M24" si="7">E22</f>
        <v>0</v>
      </c>
      <c r="N22" s="142">
        <f t="shared" si="6"/>
        <v>0</v>
      </c>
      <c r="O22" s="105">
        <f>ROUND(K22*-H22,0)</f>
        <v>0</v>
      </c>
      <c r="P22" s="146">
        <f t="shared" si="5"/>
        <v>0</v>
      </c>
      <c r="R22" s="13">
        <f>C22+P22</f>
        <v>0</v>
      </c>
    </row>
    <row r="23" spans="1:18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I23" s="102"/>
      <c r="J23" s="102">
        <v>15</v>
      </c>
      <c r="K23" s="144">
        <f>IFERROR(VLOOKUP(J23,'Tax Rates'!$A$1:$AA$12,$K$18+1,FALSE),0)</f>
        <v>6.9250000000000006E-2</v>
      </c>
      <c r="L23" s="145">
        <v>0</v>
      </c>
      <c r="M23" s="142">
        <f t="shared" si="7"/>
        <v>0</v>
      </c>
      <c r="N23" s="142">
        <f t="shared" si="6"/>
        <v>0</v>
      </c>
      <c r="O23" s="105">
        <f>ROUND(K23*-H23,0)</f>
        <v>0</v>
      </c>
      <c r="P23" s="146">
        <f t="shared" si="5"/>
        <v>0</v>
      </c>
      <c r="R23" s="13">
        <f>C23+P23</f>
        <v>0</v>
      </c>
    </row>
    <row r="24" spans="1:18" x14ac:dyDescent="0.25">
      <c r="A24" s="102">
        <v>12</v>
      </c>
      <c r="B24" s="102" t="s">
        <v>63</v>
      </c>
      <c r="C24" s="107">
        <f t="shared" si="2"/>
        <v>393216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I24" s="102"/>
      <c r="J24" s="152" t="s">
        <v>64</v>
      </c>
      <c r="K24" s="153" t="s">
        <v>64</v>
      </c>
      <c r="L24" s="154">
        <v>0</v>
      </c>
      <c r="M24" s="150">
        <f t="shared" si="7"/>
        <v>0</v>
      </c>
      <c r="N24" s="155">
        <f t="shared" si="6"/>
        <v>0</v>
      </c>
      <c r="O24" s="107">
        <v>0</v>
      </c>
      <c r="P24" s="156">
        <f t="shared" si="5"/>
        <v>0</v>
      </c>
      <c r="R24" s="28" t="s">
        <v>64</v>
      </c>
    </row>
    <row r="25" spans="1:18" x14ac:dyDescent="0.25">
      <c r="A25" s="102"/>
      <c r="B25" s="102"/>
      <c r="C25" s="105">
        <f>SUM(C18:C24)</f>
        <v>3190348</v>
      </c>
      <c r="D25" s="102"/>
      <c r="E25" s="105">
        <f>SUM(E19:E24)</f>
        <v>-2521676</v>
      </c>
      <c r="F25" s="105">
        <f>SUM(F19:F24)</f>
        <v>275456</v>
      </c>
      <c r="G25" s="105">
        <f>SUM(G19:G24)</f>
        <v>-137729</v>
      </c>
      <c r="H25" s="146">
        <f>SUM(H19:H24)</f>
        <v>137727</v>
      </c>
      <c r="I25" s="102"/>
      <c r="J25" s="102"/>
      <c r="K25" s="102"/>
      <c r="L25" s="146">
        <f>SUM(L19:L24)</f>
        <v>-2701748</v>
      </c>
      <c r="M25" s="105">
        <f>SUM(M19:M24)</f>
        <v>0</v>
      </c>
      <c r="N25" s="105">
        <f>SUM(N19:N24)</f>
        <v>0</v>
      </c>
      <c r="O25" s="105">
        <f>SUM(O19:O24)</f>
        <v>-9538</v>
      </c>
      <c r="P25" s="146">
        <f>SUM(P19:P24)</f>
        <v>-2711286</v>
      </c>
      <c r="R25" s="13">
        <f>SUM(R19:R24)</f>
        <v>85846</v>
      </c>
    </row>
    <row r="26" spans="1:18" x14ac:dyDescent="0.25">
      <c r="A26" s="102"/>
      <c r="B26" s="102"/>
      <c r="C26" s="105"/>
      <c r="D26" s="102"/>
      <c r="E26" s="105"/>
      <c r="F26" s="105"/>
      <c r="G26" s="105"/>
      <c r="H26" s="146"/>
      <c r="I26" s="102"/>
      <c r="J26" s="146"/>
      <c r="K26" s="105"/>
      <c r="L26" s="105"/>
      <c r="M26" s="105"/>
      <c r="N26" s="146"/>
      <c r="O26" s="102"/>
      <c r="P26" s="102"/>
    </row>
    <row r="27" spans="1:18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1:18" x14ac:dyDescent="0.25">
      <c r="A28" s="102"/>
      <c r="B28" s="102"/>
      <c r="C28" s="102"/>
      <c r="D28" s="102"/>
      <c r="E28" s="105"/>
      <c r="F28" s="140" t="s">
        <v>49</v>
      </c>
      <c r="G28" s="102"/>
      <c r="H28" s="159"/>
      <c r="I28" s="102"/>
      <c r="J28" s="102"/>
      <c r="K28" s="102"/>
      <c r="L28" s="102"/>
      <c r="M28" s="102"/>
      <c r="N28" s="102"/>
      <c r="O28" s="102"/>
      <c r="P28" s="102"/>
    </row>
    <row r="29" spans="1:18" x14ac:dyDescent="0.25">
      <c r="A29" s="102"/>
      <c r="B29" s="102"/>
      <c r="C29" s="102"/>
      <c r="D29" s="243" t="s">
        <v>38</v>
      </c>
      <c r="E29" s="243"/>
      <c r="F29" s="140" t="s">
        <v>40</v>
      </c>
      <c r="G29" s="140" t="s">
        <v>61</v>
      </c>
      <c r="H29" s="124" t="s">
        <v>39</v>
      </c>
      <c r="I29" s="102"/>
      <c r="J29" s="102"/>
      <c r="K29" s="102"/>
      <c r="L29" s="102"/>
      <c r="M29" s="102"/>
      <c r="N29" s="102"/>
      <c r="O29" s="102"/>
      <c r="P29" s="102"/>
    </row>
    <row r="30" spans="1:18" x14ac:dyDescent="0.25">
      <c r="A30" s="102"/>
      <c r="B30" s="102"/>
      <c r="C30" s="102"/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  <c r="I30" s="102"/>
      <c r="J30" s="102"/>
      <c r="K30" s="102"/>
      <c r="L30" s="102"/>
      <c r="M30" s="102"/>
      <c r="N30" s="102"/>
      <c r="O30" s="102"/>
      <c r="P30" s="102"/>
    </row>
    <row r="31" spans="1:18" x14ac:dyDescent="0.25">
      <c r="A31" s="102">
        <v>13</v>
      </c>
      <c r="B31" s="102" t="s">
        <v>48</v>
      </c>
      <c r="C31" s="102"/>
      <c r="D31" s="142">
        <f t="shared" ref="D31:D36" si="8">J6</f>
        <v>2003429</v>
      </c>
      <c r="E31" s="142">
        <f t="shared" ref="E31:E36" si="9">R19</f>
        <v>22494</v>
      </c>
      <c r="F31" s="142">
        <f>E31-D31</f>
        <v>-1980935</v>
      </c>
      <c r="G31" s="160">
        <v>0.37959999999999999</v>
      </c>
      <c r="H31" s="142">
        <f>ROUND(F31*0.3796,0)</f>
        <v>-751963</v>
      </c>
      <c r="I31" s="102"/>
      <c r="J31" s="102"/>
      <c r="K31" s="102"/>
      <c r="L31" s="102"/>
      <c r="M31" s="102"/>
      <c r="N31" s="102"/>
      <c r="O31" s="102"/>
      <c r="P31" s="102"/>
    </row>
    <row r="32" spans="1:18" x14ac:dyDescent="0.25">
      <c r="A32" s="102">
        <v>14</v>
      </c>
      <c r="B32" s="102" t="s">
        <v>0</v>
      </c>
      <c r="C32" s="102"/>
      <c r="D32" s="148">
        <f t="shared" si="8"/>
        <v>196720</v>
      </c>
      <c r="E32" s="142">
        <f t="shared" si="9"/>
        <v>63352</v>
      </c>
      <c r="F32" s="142">
        <f>E32-D32</f>
        <v>-133368</v>
      </c>
      <c r="G32" s="159">
        <f>G31</f>
        <v>0.37959999999999999</v>
      </c>
      <c r="H32" s="142">
        <f t="shared" ref="H32:H36" si="10">ROUND(F32*0.3796,0)</f>
        <v>-50626</v>
      </c>
      <c r="I32" s="102"/>
      <c r="J32" s="102"/>
      <c r="K32" s="102"/>
      <c r="L32" s="102"/>
      <c r="M32" s="102"/>
      <c r="N32" s="102"/>
      <c r="O32" s="102"/>
      <c r="P32" s="102"/>
    </row>
    <row r="33" spans="1:16" x14ac:dyDescent="0.25">
      <c r="A33" s="102">
        <v>15</v>
      </c>
      <c r="B33" s="102" t="s">
        <v>1</v>
      </c>
      <c r="C33" s="102"/>
      <c r="D33" s="148">
        <f t="shared" si="8"/>
        <v>218993</v>
      </c>
      <c r="E33" s="142">
        <f t="shared" si="9"/>
        <v>0</v>
      </c>
      <c r="F33" s="142">
        <f>E33-D33</f>
        <v>-218993</v>
      </c>
      <c r="G33" s="159">
        <f>G31</f>
        <v>0.37959999999999999</v>
      </c>
      <c r="H33" s="142">
        <f t="shared" si="10"/>
        <v>-83130</v>
      </c>
      <c r="I33" s="102"/>
      <c r="J33" s="102"/>
      <c r="K33" s="102"/>
      <c r="L33" s="102"/>
      <c r="M33" s="102"/>
      <c r="N33" s="102"/>
      <c r="O33" s="102"/>
      <c r="P33" s="102"/>
    </row>
    <row r="34" spans="1:16" x14ac:dyDescent="0.25">
      <c r="A34" s="102">
        <v>16</v>
      </c>
      <c r="B34" s="102" t="s">
        <v>19</v>
      </c>
      <c r="C34" s="102"/>
      <c r="D34" s="148">
        <f t="shared" si="8"/>
        <v>0</v>
      </c>
      <c r="E34" s="142">
        <f t="shared" si="9"/>
        <v>0</v>
      </c>
      <c r="F34" s="142">
        <f>E34-D34</f>
        <v>0</v>
      </c>
      <c r="G34" s="159">
        <f>G31</f>
        <v>0.37959999999999999</v>
      </c>
      <c r="H34" s="142">
        <f t="shared" si="10"/>
        <v>0</v>
      </c>
      <c r="I34" s="102"/>
      <c r="J34" s="102"/>
      <c r="K34" s="102"/>
      <c r="L34" s="102"/>
      <c r="M34" s="102"/>
      <c r="N34" s="102"/>
      <c r="O34" s="102"/>
      <c r="P34" s="102"/>
    </row>
    <row r="35" spans="1:16" x14ac:dyDescent="0.25">
      <c r="A35" s="102">
        <v>17</v>
      </c>
      <c r="B35" s="102" t="s">
        <v>18</v>
      </c>
      <c r="C35" s="102"/>
      <c r="D35" s="148">
        <f t="shared" si="8"/>
        <v>0</v>
      </c>
      <c r="E35" s="142">
        <f t="shared" si="9"/>
        <v>0</v>
      </c>
      <c r="F35" s="142">
        <f>E35-D35</f>
        <v>0</v>
      </c>
      <c r="G35" s="159">
        <f>G31</f>
        <v>0.37959999999999999</v>
      </c>
      <c r="H35" s="142">
        <f t="shared" si="10"/>
        <v>0</v>
      </c>
      <c r="I35" s="102"/>
      <c r="J35" s="102"/>
      <c r="K35" s="102"/>
      <c r="L35" s="102"/>
      <c r="M35" s="102"/>
      <c r="N35" s="102"/>
      <c r="O35" s="102"/>
      <c r="P35" s="102"/>
    </row>
    <row r="36" spans="1:16" x14ac:dyDescent="0.25">
      <c r="A36" s="102">
        <v>18</v>
      </c>
      <c r="B36" s="102" t="s">
        <v>63</v>
      </c>
      <c r="C36" s="102"/>
      <c r="D36" s="150">
        <f t="shared" si="8"/>
        <v>387263</v>
      </c>
      <c r="E36" s="157" t="str">
        <f t="shared" si="9"/>
        <v>NA</v>
      </c>
      <c r="F36" s="150">
        <f>-D36</f>
        <v>-387263</v>
      </c>
      <c r="G36" s="161">
        <f>G31</f>
        <v>0.37959999999999999</v>
      </c>
      <c r="H36" s="150">
        <f t="shared" si="10"/>
        <v>-147005</v>
      </c>
      <c r="I36" s="102"/>
      <c r="J36" s="102"/>
      <c r="K36" s="102"/>
      <c r="L36" s="102"/>
      <c r="M36" s="102"/>
      <c r="N36" s="102"/>
      <c r="O36" s="102"/>
      <c r="P36" s="102"/>
    </row>
    <row r="37" spans="1:16" x14ac:dyDescent="0.25">
      <c r="A37" s="102"/>
      <c r="B37" s="102"/>
      <c r="C37" s="102"/>
      <c r="D37" s="142">
        <f>SUM(D31:D36)</f>
        <v>2806405</v>
      </c>
      <c r="E37" s="142">
        <f>SUM(E31:E36)</f>
        <v>85846</v>
      </c>
      <c r="F37" s="142">
        <f>SUM(F31:F36)</f>
        <v>-2720559</v>
      </c>
      <c r="G37" s="102"/>
      <c r="H37" s="142">
        <f>SUM(H31:H36)</f>
        <v>-1032724</v>
      </c>
      <c r="I37" s="102"/>
      <c r="J37" s="102"/>
      <c r="K37" s="102"/>
      <c r="L37" s="102"/>
      <c r="M37" s="102"/>
      <c r="N37" s="102"/>
      <c r="O37" s="102"/>
      <c r="P37" s="102"/>
    </row>
    <row r="39" spans="1:16" x14ac:dyDescent="0.25">
      <c r="A39" s="30" t="s">
        <v>71</v>
      </c>
      <c r="B39" s="35" t="s">
        <v>74</v>
      </c>
    </row>
    <row r="40" spans="1:16" x14ac:dyDescent="0.25">
      <c r="A40" s="30"/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- 2016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3"/>
  <sheetViews>
    <sheetView view="pageBreakPreview" topLeftCell="A21" zoomScale="60" zoomScaleNormal="100" workbookViewId="0">
      <selection activeCell="L21" sqref="L21"/>
    </sheetView>
  </sheetViews>
  <sheetFormatPr defaultColWidth="9.140625" defaultRowHeight="15" x14ac:dyDescent="0.25"/>
  <cols>
    <col min="1" max="1" width="14.42578125" style="35" customWidth="1"/>
    <col min="2" max="2" width="18.5703125" style="35" bestFit="1" customWidth="1"/>
    <col min="3" max="4" width="12.7109375" style="35" customWidth="1"/>
    <col min="5" max="5" width="11.28515625" style="35" bestFit="1" customWidth="1"/>
    <col min="6" max="6" width="12.7109375" style="35" customWidth="1"/>
    <col min="7" max="7" width="12.42578125" style="35" bestFit="1" customWidth="1"/>
    <col min="8" max="8" width="13.140625" style="35" bestFit="1" customWidth="1"/>
    <col min="9" max="9" width="2.7109375" style="35" customWidth="1"/>
    <col min="10" max="10" width="10.7109375" style="35" customWidth="1"/>
    <col min="11" max="11" width="8.140625" style="35" bestFit="1" customWidth="1"/>
    <col min="12" max="12" width="12.7109375" style="35" customWidth="1"/>
    <col min="13" max="14" width="11.28515625" style="35" bestFit="1" customWidth="1"/>
    <col min="15" max="15" width="8.42578125" style="35" bestFit="1" customWidth="1"/>
    <col min="16" max="16" width="11.28515625" style="35" bestFit="1" customWidth="1"/>
    <col min="17" max="17" width="2.7109375" style="35" customWidth="1"/>
    <col min="18" max="18" width="13.7109375" style="35" bestFit="1" customWidth="1"/>
    <col min="19" max="19" width="7.7109375" style="35" bestFit="1" customWidth="1"/>
    <col min="20" max="20" width="7.42578125" style="35" bestFit="1" customWidth="1"/>
    <col min="21" max="16384" width="9.140625" style="35"/>
  </cols>
  <sheetData>
    <row r="1" spans="1:19" x14ac:dyDescent="0.25">
      <c r="A1" s="38" t="s">
        <v>26</v>
      </c>
      <c r="B1" s="20">
        <v>2017</v>
      </c>
    </row>
    <row r="2" spans="1:19" x14ac:dyDescent="0.25">
      <c r="A2" s="38" t="s">
        <v>47</v>
      </c>
      <c r="D2" s="29" t="s">
        <v>71</v>
      </c>
      <c r="F2" s="244" t="s">
        <v>35</v>
      </c>
      <c r="G2" s="244"/>
      <c r="H2" s="244"/>
    </row>
    <row r="3" spans="1:19" x14ac:dyDescent="0.25">
      <c r="D3" s="32" t="s">
        <v>37</v>
      </c>
      <c r="F3" s="36"/>
      <c r="G3" s="29"/>
      <c r="H3" s="36"/>
      <c r="J3" s="39" t="s">
        <v>34</v>
      </c>
    </row>
    <row r="4" spans="1:19" x14ac:dyDescent="0.25">
      <c r="C4" s="32">
        <v>2017</v>
      </c>
      <c r="D4" s="32" t="s">
        <v>25</v>
      </c>
      <c r="F4" s="32"/>
      <c r="G4" s="32" t="s">
        <v>2</v>
      </c>
      <c r="H4" s="32"/>
      <c r="J4" s="32" t="s">
        <v>42</v>
      </c>
      <c r="O4" s="32" t="s">
        <v>70</v>
      </c>
      <c r="P4" s="32" t="s">
        <v>70</v>
      </c>
    </row>
    <row r="5" spans="1:19" x14ac:dyDescent="0.25">
      <c r="C5" s="50" t="s">
        <v>21</v>
      </c>
      <c r="D5" s="24">
        <v>4</v>
      </c>
      <c r="F5" s="50" t="s">
        <v>22</v>
      </c>
      <c r="G5" s="50" t="s">
        <v>17</v>
      </c>
      <c r="H5" s="50" t="s">
        <v>23</v>
      </c>
      <c r="J5" s="50" t="s">
        <v>43</v>
      </c>
      <c r="O5" s="50" t="s">
        <v>14</v>
      </c>
      <c r="P5" s="50" t="s">
        <v>16</v>
      </c>
    </row>
    <row r="6" spans="1:19" x14ac:dyDescent="0.25">
      <c r="A6" s="35">
        <v>1</v>
      </c>
      <c r="B6" s="35" t="s">
        <v>48</v>
      </c>
      <c r="C6" s="3">
        <v>1891971</v>
      </c>
      <c r="D6" s="7">
        <v>3.1E-2</v>
      </c>
      <c r="F6" s="3">
        <v>-146628</v>
      </c>
      <c r="G6" s="34">
        <f>ROUND(IF(D$5=1,-0.5*D6*C6,-D6*C6),0)</f>
        <v>-58651</v>
      </c>
      <c r="H6" s="34">
        <f t="shared" ref="H6:H11" si="0">SUM(F6:G6)</f>
        <v>-205279</v>
      </c>
      <c r="J6" s="13">
        <f t="shared" ref="J6:J11" si="1">C6+H6</f>
        <v>1686692</v>
      </c>
      <c r="O6" s="25">
        <v>1E-4</v>
      </c>
      <c r="P6" s="33">
        <f>ROUND(IF(D$5=1,-0.5*O6*C6,-O6*C6),0)</f>
        <v>-189</v>
      </c>
    </row>
    <row r="7" spans="1:19" x14ac:dyDescent="0.25">
      <c r="A7" s="35">
        <v>2</v>
      </c>
      <c r="B7" s="35" t="s">
        <v>0</v>
      </c>
      <c r="C7" s="3">
        <v>90359</v>
      </c>
      <c r="D7" s="7">
        <v>2.3300000000000001E-2</v>
      </c>
      <c r="F7" s="3">
        <v>-5263</v>
      </c>
      <c r="G7" s="34">
        <f>ROUND(IF(D$5=1,-0.5*D7*C7,-D7*C7),0)</f>
        <v>-2105</v>
      </c>
      <c r="H7" s="34">
        <f t="shared" si="0"/>
        <v>-7368</v>
      </c>
      <c r="J7" s="13">
        <f t="shared" si="1"/>
        <v>82991</v>
      </c>
      <c r="O7" s="25">
        <v>2.0000000000000001E-4</v>
      </c>
      <c r="P7" s="13">
        <f>ROUND(IF(D$5=1,-0.5*O7*C7,-O7*C7),0)</f>
        <v>-18</v>
      </c>
    </row>
    <row r="8" spans="1:19" x14ac:dyDescent="0.25">
      <c r="A8" s="35">
        <v>3</v>
      </c>
      <c r="B8" s="35" t="s">
        <v>1</v>
      </c>
      <c r="C8" s="3">
        <v>185093</v>
      </c>
      <c r="D8" s="7">
        <v>2.69E-2</v>
      </c>
      <c r="F8" s="3">
        <v>-12448</v>
      </c>
      <c r="G8" s="34">
        <f>ROUND(IF(D$5=1,-0.5*D8*C8,-D8*C8),0)</f>
        <v>-4979</v>
      </c>
      <c r="H8" s="34">
        <f t="shared" si="0"/>
        <v>-17427</v>
      </c>
      <c r="J8" s="13">
        <f t="shared" si="1"/>
        <v>167666</v>
      </c>
      <c r="O8" s="25">
        <v>4.1999999999999997E-3</v>
      </c>
      <c r="P8" s="13">
        <f>ROUND(IF(D$5=1,-0.5*O8*C8,-O8*C8),0)</f>
        <v>-777</v>
      </c>
    </row>
    <row r="9" spans="1:19" x14ac:dyDescent="0.25">
      <c r="A9" s="35">
        <v>4</v>
      </c>
      <c r="B9" s="35" t="s">
        <v>19</v>
      </c>
      <c r="C9" s="3">
        <v>0</v>
      </c>
      <c r="D9" s="7">
        <v>2.2499999999999999E-2</v>
      </c>
      <c r="F9" s="3" t="s">
        <v>196</v>
      </c>
      <c r="G9" s="34">
        <f>ROUND(IF(D$5=1,-0.5*D9*C9,-D9*C9),0)</f>
        <v>0</v>
      </c>
      <c r="H9" s="34">
        <f t="shared" si="0"/>
        <v>0</v>
      </c>
      <c r="J9" s="13">
        <f t="shared" si="1"/>
        <v>0</v>
      </c>
      <c r="O9" s="25">
        <v>0</v>
      </c>
      <c r="P9" s="13">
        <f>IF(D$5=1,-0.5*O9*C9,-O9*C9)</f>
        <v>0</v>
      </c>
    </row>
    <row r="10" spans="1:19" x14ac:dyDescent="0.25">
      <c r="A10" s="35">
        <v>5</v>
      </c>
      <c r="B10" s="35" t="s">
        <v>18</v>
      </c>
      <c r="C10" s="3">
        <v>0</v>
      </c>
      <c r="D10" s="7">
        <v>2.0500000000000001E-2</v>
      </c>
      <c r="F10" s="3" t="s">
        <v>196</v>
      </c>
      <c r="G10" s="34">
        <f>ROUND(IF(D$5=1,-0.5*D10*C10,-D10*C10),0)</f>
        <v>0</v>
      </c>
      <c r="H10" s="34">
        <f t="shared" si="0"/>
        <v>0</v>
      </c>
      <c r="J10" s="13">
        <f t="shared" si="1"/>
        <v>0</v>
      </c>
      <c r="O10" s="25">
        <v>0</v>
      </c>
      <c r="P10" s="13">
        <f>IF(D$5=1,-0.5*O10*C10,-O10*C10)</f>
        <v>0</v>
      </c>
    </row>
    <row r="11" spans="1:19" x14ac:dyDescent="0.25">
      <c r="A11" s="35">
        <v>6</v>
      </c>
      <c r="B11" s="35" t="s">
        <v>63</v>
      </c>
      <c r="C11" s="4">
        <v>312527</v>
      </c>
      <c r="D11" s="8" t="s">
        <v>62</v>
      </c>
      <c r="F11" s="4">
        <v>-2461</v>
      </c>
      <c r="G11" s="37">
        <f>P12</f>
        <v>-984</v>
      </c>
      <c r="H11" s="37">
        <f t="shared" si="0"/>
        <v>-3445</v>
      </c>
      <c r="J11" s="14">
        <f t="shared" si="1"/>
        <v>309082</v>
      </c>
      <c r="O11" s="40">
        <v>0</v>
      </c>
      <c r="P11" s="14">
        <f>IF(D$5=1,-0.5*O11*C11,-O11*C11)</f>
        <v>0</v>
      </c>
    </row>
    <row r="12" spans="1:19" x14ac:dyDescent="0.25">
      <c r="C12" s="34">
        <f>SUM(C6:C11)</f>
        <v>2479950</v>
      </c>
      <c r="D12" s="34"/>
      <c r="F12" s="3">
        <f>SUM(F5:F11)</f>
        <v>-166800</v>
      </c>
      <c r="G12" s="34">
        <f>SUM(G5:G11)</f>
        <v>-66719</v>
      </c>
      <c r="H12" s="34">
        <f>SUM(H5:H11)</f>
        <v>-233519</v>
      </c>
      <c r="J12" s="13">
        <f>SUM(J6:J11)</f>
        <v>2246431</v>
      </c>
      <c r="O12" s="13"/>
      <c r="P12" s="33">
        <f>SUM(P5:P11)</f>
        <v>-984</v>
      </c>
    </row>
    <row r="13" spans="1:19" ht="14.25" customHeight="1" x14ac:dyDescent="0.25">
      <c r="C13" s="34"/>
      <c r="D13" s="34"/>
      <c r="E13" s="34"/>
      <c r="F13" s="34"/>
      <c r="M13" s="32"/>
      <c r="N13" s="36"/>
    </row>
    <row r="14" spans="1:19" x14ac:dyDescent="0.25">
      <c r="M14" s="32"/>
      <c r="N14" s="36"/>
    </row>
    <row r="15" spans="1:19" x14ac:dyDescent="0.25">
      <c r="A15" s="102"/>
      <c r="B15" s="102"/>
      <c r="C15" s="102"/>
      <c r="D15" s="124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spans="1:19" x14ac:dyDescent="0.25">
      <c r="A16" s="102"/>
      <c r="B16" s="102"/>
      <c r="C16" s="115"/>
      <c r="D16" s="124" t="s">
        <v>29</v>
      </c>
      <c r="E16" s="115"/>
      <c r="F16" s="115"/>
      <c r="G16" s="138">
        <v>0.5</v>
      </c>
      <c r="H16" s="115"/>
      <c r="I16" s="102"/>
      <c r="J16" s="139"/>
      <c r="K16" s="124" t="s">
        <v>24</v>
      </c>
      <c r="L16" s="243" t="s">
        <v>36</v>
      </c>
      <c r="M16" s="243"/>
      <c r="N16" s="243"/>
      <c r="O16" s="243"/>
      <c r="P16" s="243"/>
      <c r="Q16" s="102"/>
      <c r="R16" s="140" t="s">
        <v>15</v>
      </c>
      <c r="S16" s="102"/>
    </row>
    <row r="17" spans="1:19" x14ac:dyDescent="0.25">
      <c r="A17" s="102"/>
      <c r="B17" s="102"/>
      <c r="C17" s="124" t="s">
        <v>34</v>
      </c>
      <c r="D17" s="124" t="s">
        <v>17</v>
      </c>
      <c r="E17" s="124" t="s">
        <v>15</v>
      </c>
      <c r="F17" s="124" t="s">
        <v>15</v>
      </c>
      <c r="G17" s="124" t="s">
        <v>28</v>
      </c>
      <c r="H17" s="124" t="s">
        <v>32</v>
      </c>
      <c r="I17" s="102"/>
      <c r="J17" s="124"/>
      <c r="K17" s="124" t="s">
        <v>27</v>
      </c>
      <c r="L17" s="124"/>
      <c r="M17" s="124" t="s">
        <v>15</v>
      </c>
      <c r="N17" s="124" t="s">
        <v>28</v>
      </c>
      <c r="O17" s="124" t="s">
        <v>24</v>
      </c>
      <c r="P17" s="124"/>
      <c r="Q17" s="102"/>
      <c r="R17" s="124" t="s">
        <v>42</v>
      </c>
      <c r="S17" s="102"/>
    </row>
    <row r="18" spans="1:19" x14ac:dyDescent="0.25">
      <c r="A18" s="102"/>
      <c r="B18" s="102"/>
      <c r="C18" s="126" t="s">
        <v>21</v>
      </c>
      <c r="D18" s="126" t="s">
        <v>30</v>
      </c>
      <c r="E18" s="126" t="s">
        <v>17</v>
      </c>
      <c r="F18" s="126" t="s">
        <v>31</v>
      </c>
      <c r="G18" s="126" t="s">
        <v>2</v>
      </c>
      <c r="H18" s="126" t="s">
        <v>33</v>
      </c>
      <c r="I18" s="102"/>
      <c r="J18" s="126" t="s">
        <v>20</v>
      </c>
      <c r="K18" s="126">
        <f>D5</f>
        <v>4</v>
      </c>
      <c r="L18" s="126" t="s">
        <v>22</v>
      </c>
      <c r="M18" s="126" t="s">
        <v>17</v>
      </c>
      <c r="N18" s="126" t="s">
        <v>16</v>
      </c>
      <c r="O18" s="126" t="s">
        <v>16</v>
      </c>
      <c r="P18" s="126" t="s">
        <v>23</v>
      </c>
      <c r="Q18" s="102"/>
      <c r="R18" s="126" t="s">
        <v>43</v>
      </c>
      <c r="S18" s="102"/>
    </row>
    <row r="19" spans="1:19" x14ac:dyDescent="0.25">
      <c r="A19" s="102">
        <v>7</v>
      </c>
      <c r="B19" s="102" t="s">
        <v>48</v>
      </c>
      <c r="C19" s="105">
        <f t="shared" ref="C19:C24" si="2">C6</f>
        <v>1891971</v>
      </c>
      <c r="D19" s="141">
        <v>0.98499999999999999</v>
      </c>
      <c r="E19" s="105">
        <f>ROUND(C19*-D19,0)</f>
        <v>-1863591</v>
      </c>
      <c r="F19" s="142">
        <f>C19+E19</f>
        <v>28380</v>
      </c>
      <c r="G19" s="142">
        <f t="shared" ref="G19:G24" si="3">ROUND(F19*-$G$16,0)</f>
        <v>-14190</v>
      </c>
      <c r="H19" s="143">
        <f t="shared" ref="H19:H24" si="4">F19+G19</f>
        <v>14190</v>
      </c>
      <c r="I19" s="102"/>
      <c r="J19" s="102">
        <v>15</v>
      </c>
      <c r="K19" s="144">
        <f>IFERROR(VLOOKUP(J19,'Tax Rates'!$A$1:$AA$12,$K$18+1,FALSE),0)</f>
        <v>7.6950000000000005E-2</v>
      </c>
      <c r="L19" s="145">
        <v>-1881052</v>
      </c>
      <c r="M19" s="142">
        <v>0</v>
      </c>
      <c r="N19" s="142">
        <v>0</v>
      </c>
      <c r="O19" s="105">
        <f>ROUND(K19*-H19,0)</f>
        <v>-1092</v>
      </c>
      <c r="P19" s="146">
        <f t="shared" ref="P19:P24" si="5">SUM(L19:O19)</f>
        <v>-1882144</v>
      </c>
      <c r="Q19" s="102"/>
      <c r="R19" s="142">
        <f>C19+P19</f>
        <v>9827</v>
      </c>
      <c r="S19" s="102"/>
    </row>
    <row r="20" spans="1:19" x14ac:dyDescent="0.25">
      <c r="A20" s="102">
        <v>8</v>
      </c>
      <c r="B20" s="102" t="s">
        <v>0</v>
      </c>
      <c r="C20" s="116">
        <f t="shared" si="2"/>
        <v>90359</v>
      </c>
      <c r="D20" s="147">
        <f>-E20/C20</f>
        <v>0</v>
      </c>
      <c r="E20" s="117">
        <v>0</v>
      </c>
      <c r="F20" s="142">
        <f>C20+E20</f>
        <v>90359</v>
      </c>
      <c r="G20" s="142">
        <f t="shared" si="3"/>
        <v>-45180</v>
      </c>
      <c r="H20" s="143">
        <f t="shared" si="4"/>
        <v>45179</v>
      </c>
      <c r="I20" s="102"/>
      <c r="J20" s="102">
        <v>15</v>
      </c>
      <c r="K20" s="144">
        <f>IFERROR(VLOOKUP(J20,'Tax Rates'!$A$1:$AA$12,$K$18+1,FALSE),0)</f>
        <v>7.6950000000000005E-2</v>
      </c>
      <c r="L20" s="145">
        <v>-55594</v>
      </c>
      <c r="M20" s="142">
        <f t="shared" ref="M20" si="6">E20</f>
        <v>0</v>
      </c>
      <c r="N20" s="142">
        <v>0</v>
      </c>
      <c r="O20" s="105">
        <f>ROUND(K20*-H20,0)</f>
        <v>-3477</v>
      </c>
      <c r="P20" s="146">
        <f t="shared" si="5"/>
        <v>-59071</v>
      </c>
      <c r="Q20" s="102"/>
      <c r="R20" s="142">
        <f>C20+P20</f>
        <v>31288</v>
      </c>
      <c r="S20" s="102"/>
    </row>
    <row r="21" spans="1:19" x14ac:dyDescent="0.25">
      <c r="A21" s="102">
        <v>9</v>
      </c>
      <c r="B21" s="102" t="s">
        <v>1</v>
      </c>
      <c r="C21" s="116">
        <f t="shared" si="2"/>
        <v>185093</v>
      </c>
      <c r="D21" s="141">
        <v>1</v>
      </c>
      <c r="E21" s="105">
        <f>ROUND(C21*-D21,0)</f>
        <v>-185093</v>
      </c>
      <c r="F21" s="142">
        <f>C21+E21</f>
        <v>0</v>
      </c>
      <c r="G21" s="148">
        <f t="shared" si="3"/>
        <v>0</v>
      </c>
      <c r="H21" s="143">
        <f t="shared" si="4"/>
        <v>0</v>
      </c>
      <c r="I21" s="102"/>
      <c r="J21" s="102">
        <v>20</v>
      </c>
      <c r="K21" s="144">
        <f>IFERROR(VLOOKUP(J21,'Tax Rates'!$A$1:$AA$12,$K$18+1,FALSE),0)</f>
        <v>6.1769999999999999E-2</v>
      </c>
      <c r="L21" s="145">
        <v>-185093</v>
      </c>
      <c r="M21" s="142">
        <v>0</v>
      </c>
      <c r="N21" s="142">
        <v>0</v>
      </c>
      <c r="O21" s="105">
        <f>ROUND(K21*-H21,0)</f>
        <v>0</v>
      </c>
      <c r="P21" s="146">
        <f t="shared" si="5"/>
        <v>-185093</v>
      </c>
      <c r="Q21" s="102"/>
      <c r="R21" s="142">
        <f>C21+P21</f>
        <v>0</v>
      </c>
      <c r="S21" s="102"/>
    </row>
    <row r="22" spans="1:19" x14ac:dyDescent="0.25">
      <c r="A22" s="102">
        <v>10</v>
      </c>
      <c r="B22" s="102" t="s">
        <v>19</v>
      </c>
      <c r="C22" s="116">
        <f t="shared" si="2"/>
        <v>0</v>
      </c>
      <c r="D22" s="141">
        <v>0</v>
      </c>
      <c r="E22" s="105">
        <f>ROUND(C22*-D22,0)</f>
        <v>0</v>
      </c>
      <c r="F22" s="142">
        <f>C22+E22</f>
        <v>0</v>
      </c>
      <c r="G22" s="148">
        <f t="shared" si="3"/>
        <v>0</v>
      </c>
      <c r="H22" s="143">
        <f t="shared" si="4"/>
        <v>0</v>
      </c>
      <c r="I22" s="102"/>
      <c r="J22" s="102">
        <v>7</v>
      </c>
      <c r="K22" s="144">
        <f>IFERROR(VLOOKUP(J22,'Tax Rates'!$A$1:$AA$12,$K$18+1,FALSE),0)</f>
        <v>0.12495000000000001</v>
      </c>
      <c r="L22" s="145">
        <v>0</v>
      </c>
      <c r="M22" s="142">
        <v>0</v>
      </c>
      <c r="N22" s="142">
        <v>0</v>
      </c>
      <c r="O22" s="105">
        <f>ROUND(K22*-H22,0)</f>
        <v>0</v>
      </c>
      <c r="P22" s="146">
        <f t="shared" si="5"/>
        <v>0</v>
      </c>
      <c r="Q22" s="102"/>
      <c r="R22" s="142">
        <f>C22+P22</f>
        <v>0</v>
      </c>
      <c r="S22" s="102"/>
    </row>
    <row r="23" spans="1:19" x14ac:dyDescent="0.25">
      <c r="A23" s="102">
        <v>11</v>
      </c>
      <c r="B23" s="102" t="s">
        <v>18</v>
      </c>
      <c r="C23" s="116">
        <f t="shared" si="2"/>
        <v>0</v>
      </c>
      <c r="D23" s="141">
        <v>0</v>
      </c>
      <c r="E23" s="105">
        <f>ROUND(C23*-D23,0)</f>
        <v>0</v>
      </c>
      <c r="F23" s="142">
        <f>C23+E23</f>
        <v>0</v>
      </c>
      <c r="G23" s="148">
        <f t="shared" si="3"/>
        <v>0</v>
      </c>
      <c r="H23" s="143">
        <f t="shared" si="4"/>
        <v>0</v>
      </c>
      <c r="I23" s="102"/>
      <c r="J23" s="102">
        <v>15</v>
      </c>
      <c r="K23" s="144">
        <f>IFERROR(VLOOKUP(J23,'Tax Rates'!$A$1:$AA$12,$K$18+1,FALSE),0)</f>
        <v>7.6950000000000005E-2</v>
      </c>
      <c r="L23" s="145">
        <v>0</v>
      </c>
      <c r="M23" s="142">
        <v>0</v>
      </c>
      <c r="N23" s="142">
        <v>0</v>
      </c>
      <c r="O23" s="105">
        <f>ROUND(K23*-H23,0)</f>
        <v>0</v>
      </c>
      <c r="P23" s="146">
        <f t="shared" si="5"/>
        <v>0</v>
      </c>
      <c r="Q23" s="102"/>
      <c r="R23" s="142">
        <f>C23+P23</f>
        <v>0</v>
      </c>
      <c r="S23" s="102"/>
    </row>
    <row r="24" spans="1:19" x14ac:dyDescent="0.25">
      <c r="A24" s="102">
        <v>12</v>
      </c>
      <c r="B24" s="102" t="s">
        <v>63</v>
      </c>
      <c r="C24" s="107">
        <f t="shared" si="2"/>
        <v>312527</v>
      </c>
      <c r="D24" s="149" t="s">
        <v>64</v>
      </c>
      <c r="E24" s="107">
        <v>0</v>
      </c>
      <c r="F24" s="150">
        <v>0</v>
      </c>
      <c r="G24" s="150">
        <f t="shared" si="3"/>
        <v>0</v>
      </c>
      <c r="H24" s="151">
        <f t="shared" si="4"/>
        <v>0</v>
      </c>
      <c r="I24" s="102"/>
      <c r="J24" s="152" t="s">
        <v>64</v>
      </c>
      <c r="K24" s="153" t="s">
        <v>64</v>
      </c>
      <c r="L24" s="154">
        <v>0</v>
      </c>
      <c r="M24" s="150">
        <v>0</v>
      </c>
      <c r="N24" s="155">
        <v>0</v>
      </c>
      <c r="O24" s="107">
        <v>0</v>
      </c>
      <c r="P24" s="156">
        <f t="shared" si="5"/>
        <v>0</v>
      </c>
      <c r="Q24" s="102"/>
      <c r="R24" s="157" t="s">
        <v>64</v>
      </c>
      <c r="S24" s="102"/>
    </row>
    <row r="25" spans="1:19" x14ac:dyDescent="0.25">
      <c r="A25" s="102"/>
      <c r="B25" s="102"/>
      <c r="C25" s="105">
        <f>SUM(C18:C24)</f>
        <v>2479950</v>
      </c>
      <c r="D25" s="102"/>
      <c r="E25" s="105">
        <f>SUM(E19:E24)</f>
        <v>-2048684</v>
      </c>
      <c r="F25" s="105">
        <f>SUM(F19:F24)</f>
        <v>118739</v>
      </c>
      <c r="G25" s="105">
        <f>SUM(G19:G24)</f>
        <v>-59370</v>
      </c>
      <c r="H25" s="146">
        <f>SUM(H19:H24)</f>
        <v>59369</v>
      </c>
      <c r="I25" s="102"/>
      <c r="J25" s="102"/>
      <c r="K25" s="102"/>
      <c r="L25" s="146">
        <f>SUM(L19:L24)</f>
        <v>-2121739</v>
      </c>
      <c r="M25" s="105">
        <f>SUM(M19:M24)</f>
        <v>0</v>
      </c>
      <c r="N25" s="105">
        <f>SUM(N19:N24)</f>
        <v>0</v>
      </c>
      <c r="O25" s="105">
        <f>SUM(O19:O24)</f>
        <v>-4569</v>
      </c>
      <c r="P25" s="146">
        <f>SUM(P19:P24)</f>
        <v>-2126308</v>
      </c>
      <c r="Q25" s="102"/>
      <c r="R25" s="142">
        <f>SUM(R19:R24)</f>
        <v>41115</v>
      </c>
      <c r="S25" s="102"/>
    </row>
    <row r="26" spans="1:19" x14ac:dyDescent="0.25">
      <c r="A26" s="102"/>
      <c r="B26" s="102"/>
      <c r="C26" s="105"/>
      <c r="D26" s="102"/>
      <c r="E26" s="105"/>
      <c r="F26" s="105"/>
      <c r="G26" s="105"/>
      <c r="H26" s="146"/>
      <c r="I26" s="102"/>
      <c r="J26" s="146"/>
      <c r="K26" s="105"/>
      <c r="L26" s="105"/>
      <c r="M26" s="105"/>
      <c r="N26" s="146"/>
      <c r="O26" s="102"/>
      <c r="P26" s="102"/>
      <c r="Q26" s="102"/>
      <c r="R26" s="102"/>
      <c r="S26" s="102"/>
    </row>
    <row r="27" spans="1:19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x14ac:dyDescent="0.25">
      <c r="A28" s="102"/>
      <c r="B28" s="102"/>
      <c r="C28" s="102"/>
      <c r="D28" s="102"/>
      <c r="E28" s="105"/>
      <c r="F28" s="140" t="s">
        <v>49</v>
      </c>
      <c r="G28" s="158" t="s">
        <v>72</v>
      </c>
      <c r="H28" s="159"/>
    </row>
    <row r="29" spans="1:19" x14ac:dyDescent="0.25">
      <c r="A29" s="102"/>
      <c r="B29" s="102"/>
      <c r="C29" s="102"/>
      <c r="D29" s="243" t="s">
        <v>38</v>
      </c>
      <c r="E29" s="243"/>
      <c r="F29" s="140" t="s">
        <v>40</v>
      </c>
      <c r="G29" s="140" t="s">
        <v>61</v>
      </c>
      <c r="H29" s="124" t="s">
        <v>39</v>
      </c>
    </row>
    <row r="30" spans="1:19" x14ac:dyDescent="0.25">
      <c r="A30" s="102"/>
      <c r="B30" s="102"/>
      <c r="C30" s="102"/>
      <c r="D30" s="126" t="s">
        <v>34</v>
      </c>
      <c r="E30" s="126" t="s">
        <v>15</v>
      </c>
      <c r="F30" s="126" t="s">
        <v>41</v>
      </c>
      <c r="G30" s="126" t="s">
        <v>14</v>
      </c>
      <c r="H30" s="126" t="s">
        <v>3</v>
      </c>
    </row>
    <row r="31" spans="1:19" x14ac:dyDescent="0.25">
      <c r="A31" s="102">
        <v>13</v>
      </c>
      <c r="B31" s="102" t="s">
        <v>48</v>
      </c>
      <c r="C31" s="102"/>
      <c r="D31" s="142">
        <f t="shared" ref="D31:D36" si="7">J6</f>
        <v>1686692</v>
      </c>
      <c r="E31" s="142">
        <f t="shared" ref="E31:E36" si="8">R19</f>
        <v>9827</v>
      </c>
      <c r="F31" s="142">
        <f>E31-D31</f>
        <v>-1676865</v>
      </c>
      <c r="G31" s="160">
        <v>0.37959999999999999</v>
      </c>
      <c r="H31" s="142">
        <f>ROUND(F31*0.3796,0)</f>
        <v>-636538</v>
      </c>
    </row>
    <row r="32" spans="1:19" x14ac:dyDescent="0.25">
      <c r="A32" s="102">
        <v>14</v>
      </c>
      <c r="B32" s="102" t="s">
        <v>0</v>
      </c>
      <c r="C32" s="102"/>
      <c r="D32" s="148">
        <f t="shared" si="7"/>
        <v>82991</v>
      </c>
      <c r="E32" s="142">
        <f t="shared" si="8"/>
        <v>31288</v>
      </c>
      <c r="F32" s="142">
        <f>E32-D32</f>
        <v>-51703</v>
      </c>
      <c r="G32" s="159">
        <f>G31</f>
        <v>0.37959999999999999</v>
      </c>
      <c r="H32" s="142">
        <f t="shared" ref="H32:H36" si="9">ROUND(F32*0.3796,0)</f>
        <v>-19626</v>
      </c>
    </row>
    <row r="33" spans="1:8" x14ac:dyDescent="0.25">
      <c r="A33" s="102">
        <v>15</v>
      </c>
      <c r="B33" s="102" t="s">
        <v>1</v>
      </c>
      <c r="C33" s="102"/>
      <c r="D33" s="148">
        <f t="shared" si="7"/>
        <v>167666</v>
      </c>
      <c r="E33" s="142">
        <f t="shared" si="8"/>
        <v>0</v>
      </c>
      <c r="F33" s="142">
        <f>E33-D33</f>
        <v>-167666</v>
      </c>
      <c r="G33" s="159">
        <f>G31</f>
        <v>0.37959999999999999</v>
      </c>
      <c r="H33" s="142">
        <f t="shared" si="9"/>
        <v>-63646</v>
      </c>
    </row>
    <row r="34" spans="1:8" x14ac:dyDescent="0.25">
      <c r="A34" s="102">
        <v>16</v>
      </c>
      <c r="B34" s="102" t="s">
        <v>19</v>
      </c>
      <c r="C34" s="102"/>
      <c r="D34" s="148">
        <f t="shared" si="7"/>
        <v>0</v>
      </c>
      <c r="E34" s="142">
        <f t="shared" si="8"/>
        <v>0</v>
      </c>
      <c r="F34" s="142">
        <f>E34-D34</f>
        <v>0</v>
      </c>
      <c r="G34" s="159">
        <f>G31</f>
        <v>0.37959999999999999</v>
      </c>
      <c r="H34" s="142">
        <f t="shared" si="9"/>
        <v>0</v>
      </c>
    </row>
    <row r="35" spans="1:8" x14ac:dyDescent="0.25">
      <c r="A35" s="102">
        <v>17</v>
      </c>
      <c r="B35" s="102" t="s">
        <v>18</v>
      </c>
      <c r="C35" s="102"/>
      <c r="D35" s="148">
        <f t="shared" si="7"/>
        <v>0</v>
      </c>
      <c r="E35" s="142">
        <f t="shared" si="8"/>
        <v>0</v>
      </c>
      <c r="F35" s="142">
        <f>E35-D35</f>
        <v>0</v>
      </c>
      <c r="G35" s="159">
        <f>G31</f>
        <v>0.37959999999999999</v>
      </c>
      <c r="H35" s="142">
        <f t="shared" si="9"/>
        <v>0</v>
      </c>
    </row>
    <row r="36" spans="1:8" x14ac:dyDescent="0.25">
      <c r="A36" s="102">
        <v>18</v>
      </c>
      <c r="B36" s="102" t="s">
        <v>63</v>
      </c>
      <c r="C36" s="102"/>
      <c r="D36" s="150">
        <f t="shared" si="7"/>
        <v>309082</v>
      </c>
      <c r="E36" s="157" t="str">
        <f t="shared" si="8"/>
        <v>NA</v>
      </c>
      <c r="F36" s="150">
        <f>-D36</f>
        <v>-309082</v>
      </c>
      <c r="G36" s="161">
        <f>G31</f>
        <v>0.37959999999999999</v>
      </c>
      <c r="H36" s="150">
        <f t="shared" si="9"/>
        <v>-117328</v>
      </c>
    </row>
    <row r="37" spans="1:8" x14ac:dyDescent="0.25">
      <c r="A37" s="102"/>
      <c r="B37" s="102"/>
      <c r="C37" s="102"/>
      <c r="D37" s="142">
        <f>SUM(D31:D36)</f>
        <v>2246431</v>
      </c>
      <c r="E37" s="142">
        <f>SUM(E31:E36)</f>
        <v>41115</v>
      </c>
      <c r="F37" s="142">
        <f>SUM(F31:F36)</f>
        <v>-2205316</v>
      </c>
      <c r="G37" s="102"/>
      <c r="H37" s="142">
        <f>SUM(H31:H36)</f>
        <v>-837138</v>
      </c>
    </row>
    <row r="39" spans="1:8" s="102" customFormat="1" x14ac:dyDescent="0.25">
      <c r="A39" s="166" t="s">
        <v>71</v>
      </c>
      <c r="B39" s="102" t="s">
        <v>74</v>
      </c>
    </row>
    <row r="40" spans="1:8" s="102" customFormat="1" x14ac:dyDescent="0.25">
      <c r="A40" s="166" t="s">
        <v>72</v>
      </c>
      <c r="B40" s="102" t="s">
        <v>112</v>
      </c>
    </row>
    <row r="41" spans="1:8" s="102" customFormat="1" x14ac:dyDescent="0.25">
      <c r="B41" s="102" t="s">
        <v>111</v>
      </c>
    </row>
    <row r="42" spans="1:8" s="102" customFormat="1" x14ac:dyDescent="0.25">
      <c r="B42" s="102" t="s">
        <v>187</v>
      </c>
    </row>
    <row r="43" spans="1:8" s="102" customFormat="1" x14ac:dyDescent="0.25">
      <c r="B43" s="102" t="s">
        <v>188</v>
      </c>
    </row>
  </sheetData>
  <mergeCells count="3">
    <mergeCell ref="F2:H2"/>
    <mergeCell ref="L16:P16"/>
    <mergeCell ref="D29:E29"/>
  </mergeCells>
  <pageMargins left="0.7" right="0.7" top="0.75" bottom="0.75" header="0.3" footer="0.3"/>
  <pageSetup scale="61" orientation="landscape" r:id="rId1"/>
  <headerFooter>
    <oddHeader>&amp;RSchedule II - 2017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Summary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Schedule III</vt:lpstr>
      <vt:lpstr>Schedule IV</vt:lpstr>
      <vt:lpstr>Schedule VI</vt:lpstr>
      <vt:lpstr>Schedule VII</vt:lpstr>
      <vt:lpstr>Schedule VIII</vt:lpstr>
      <vt:lpstr>Schedule IX</vt:lpstr>
      <vt:lpstr>Tax Rates</vt:lpstr>
      <vt:lpstr>'Schedule III'!Print_Area</vt:lpstr>
      <vt:lpstr>'Schedule IX'!Print_Area</vt:lpstr>
      <vt:lpstr>'Schedule VI'!Print_Area</vt:lpstr>
      <vt:lpstr>'Schedule IV'!Print_Titles</vt:lpstr>
      <vt:lpstr>'Schedule IX'!Print_Titles</vt:lpstr>
      <vt:lpstr>'Schedule VI'!Print_Titles</vt:lpstr>
    </vt:vector>
  </TitlesOfParts>
  <Company>Delta Natural Gas Company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Wesolosky</dc:creator>
  <cp:lastModifiedBy>Braun, Monica</cp:lastModifiedBy>
  <cp:lastPrinted>2021-02-26T15:47:50Z</cp:lastPrinted>
  <dcterms:created xsi:type="dcterms:W3CDTF">2010-04-18T23:26:28Z</dcterms:created>
  <dcterms:modified xsi:type="dcterms:W3CDTF">2021-02-26T18:46:17Z</dcterms:modified>
</cp:coreProperties>
</file>