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K32" i="1"/>
  <c r="R28"/>
  <c r="L17"/>
  <c r="Q29" s="1"/>
  <c r="Q18"/>
  <c r="U16"/>
  <c r="T17" s="1"/>
  <c r="T18" s="1"/>
  <c r="M17"/>
  <c r="C16"/>
  <c r="D15"/>
  <c r="C18" s="1"/>
  <c r="C20" s="1"/>
  <c r="M12"/>
  <c r="L12"/>
  <c r="N12" s="1"/>
  <c r="J12"/>
  <c r="D12"/>
  <c r="N11"/>
  <c r="M11"/>
  <c r="L11"/>
  <c r="J11"/>
  <c r="N10"/>
  <c r="M10"/>
  <c r="L10"/>
  <c r="J10"/>
  <c r="T9"/>
  <c r="S9"/>
  <c r="M9"/>
  <c r="L9"/>
  <c r="N9" s="1"/>
  <c r="T8"/>
  <c r="S8"/>
  <c r="M8"/>
  <c r="L8"/>
  <c r="N8" s="1"/>
  <c r="T7"/>
  <c r="S7"/>
  <c r="N7"/>
  <c r="R29" l="1"/>
  <c r="U27"/>
  <c r="N13"/>
  <c r="S17"/>
  <c r="K26"/>
  <c r="U28"/>
  <c r="R30"/>
  <c r="K23" l="1"/>
  <c r="K25" s="1"/>
  <c r="K27" s="1"/>
  <c r="K29"/>
  <c r="K31" s="1"/>
  <c r="K33" s="1"/>
  <c r="K19"/>
  <c r="K21" s="1"/>
  <c r="S18"/>
  <c r="U18" s="1"/>
  <c r="U17"/>
  <c r="L33" l="1"/>
  <c r="M33"/>
  <c r="M21"/>
  <c r="L21"/>
  <c r="L27"/>
  <c r="M27"/>
</calcChain>
</file>

<file path=xl/sharedStrings.xml><?xml version="1.0" encoding="utf-8"?>
<sst xmlns="http://schemas.openxmlformats.org/spreadsheetml/2006/main" count="78" uniqueCount="71">
  <si>
    <t>Water Loss Adjustment:</t>
  </si>
  <si>
    <t>Salaries &amp; Wages and Associated Adjustments</t>
  </si>
  <si>
    <t>Capitalized Expense Adjustments:</t>
  </si>
  <si>
    <t>Produced &amp; Purchased</t>
  </si>
  <si>
    <t>Total</t>
  </si>
  <si>
    <t>Water</t>
  </si>
  <si>
    <t>Sewer</t>
  </si>
  <si>
    <t>Sold</t>
  </si>
  <si>
    <t>2019</t>
  </si>
  <si>
    <t xml:space="preserve">Pro Forma </t>
  </si>
  <si>
    <t>Pro Forma</t>
  </si>
  <si>
    <t>Actual tap fees collected *</t>
  </si>
  <si>
    <t>Uses:</t>
  </si>
  <si>
    <t>Employee</t>
  </si>
  <si>
    <t>Reg. Hrs</t>
  </si>
  <si>
    <t>O. T. Hrs.</t>
  </si>
  <si>
    <t>Wage Rate</t>
  </si>
  <si>
    <t>Reg. Wages</t>
  </si>
  <si>
    <t>O. T. Wages</t>
  </si>
  <si>
    <t>Wages</t>
  </si>
  <si>
    <t xml:space="preserve">  WTP</t>
  </si>
  <si>
    <t>salary</t>
  </si>
  <si>
    <t>labor</t>
  </si>
  <si>
    <t xml:space="preserve">  WWTP</t>
  </si>
  <si>
    <t>materials</t>
  </si>
  <si>
    <t xml:space="preserve">  Flushing</t>
  </si>
  <si>
    <t xml:space="preserve">  Fire</t>
  </si>
  <si>
    <t xml:space="preserve">  Other</t>
  </si>
  <si>
    <t>* from Andrea - "Misc. Receipts"</t>
  </si>
  <si>
    <t>Line Brks.</t>
  </si>
  <si>
    <t>Line Leaks</t>
  </si>
  <si>
    <t>Office Expense Allocation</t>
  </si>
  <si>
    <t>Totals</t>
  </si>
  <si>
    <t>check</t>
  </si>
  <si>
    <t>2019 Salaries &amp; Wages</t>
  </si>
  <si>
    <t>Office exp.*</t>
  </si>
  <si>
    <t>Customers</t>
  </si>
  <si>
    <t>Utilities</t>
  </si>
  <si>
    <t>Percentage</t>
  </si>
  <si>
    <t xml:space="preserve">  water loss percentage</t>
  </si>
  <si>
    <t>Adjustments</t>
  </si>
  <si>
    <t>Allocation</t>
  </si>
  <si>
    <t xml:space="preserve">  allowable in rates</t>
  </si>
  <si>
    <t>Pro Forma Salaries &amp; Wages Expense</t>
  </si>
  <si>
    <t xml:space="preserve">  adjustment percentage</t>
  </si>
  <si>
    <t>Less: Test Year Salaries &amp; Wages Exp</t>
  </si>
  <si>
    <t>* from TB = office exp. + office eq. + ret ck ch</t>
  </si>
  <si>
    <t>Pro Forma Salaries &amp; Wages Adj'mt</t>
  </si>
  <si>
    <t xml:space="preserve"> </t>
  </si>
  <si>
    <t>Pro Forma Salaries and Wages Expense</t>
  </si>
  <si>
    <t>Benefits &amp; Salary Overhead Allocation to Sewer</t>
  </si>
  <si>
    <t>Times: 7.65 Percent FICA Rate</t>
  </si>
  <si>
    <t>Pro Forma Payroll Taxes</t>
  </si>
  <si>
    <t xml:space="preserve">Employee Benefits*:  </t>
  </si>
  <si>
    <t xml:space="preserve">Taxes Other Than Income:  </t>
  </si>
  <si>
    <t>Less: Test Year Payroll Taxes (calc)</t>
  </si>
  <si>
    <t xml:space="preserve">   Health Insurance</t>
  </si>
  <si>
    <t>Taxes+Unemp*</t>
  </si>
  <si>
    <t>Payroll Tax Adjustment</t>
  </si>
  <si>
    <t xml:space="preserve">   Retirement Exp</t>
  </si>
  <si>
    <t>Water Alloc.</t>
  </si>
  <si>
    <t>Swr. Alloc</t>
  </si>
  <si>
    <t>Wages applicable to CERS payments</t>
  </si>
  <si>
    <t>Water % =</t>
  </si>
  <si>
    <t>Times: Percent Pension Contribution</t>
  </si>
  <si>
    <t>Water ded/Swr alloc</t>
  </si>
  <si>
    <t>Total Pro Forma Pension Contribution</t>
  </si>
  <si>
    <t>Less: Test Year Pension Contribution</t>
  </si>
  <si>
    <t xml:space="preserve">   *from TB and 1/20 Sparks email</t>
  </si>
  <si>
    <t>Pension &amp; Benefits Adjustments</t>
  </si>
  <si>
    <t>Garrison-Quincy Water District Adjustments</t>
  </si>
</sst>
</file>

<file path=xl/styles.xml><?xml version="1.0" encoding="utf-8"?>
<styleSheet xmlns="http://schemas.openxmlformats.org/spreadsheetml/2006/main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0.0%"/>
    <numFmt numFmtId="167" formatCode="0.000%"/>
    <numFmt numFmtId="168" formatCode="_([$$-409]* #,##0_);_([$$-409]* \(#,##0\);_([$$-409]* &quot;-&quot;??_);_(@_)"/>
    <numFmt numFmtId="169" formatCode="_(&quot;$&quot;* #,##0_);_(&quot;$&quot;* \(#,##0\);_(&quot;$&quot;* &quot;-&quot;??_);_(@_)"/>
  </numFmts>
  <fonts count="14"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b/>
      <u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2"/>
      <name val="Arial"/>
      <family val="2"/>
    </font>
    <font>
      <b/>
      <i/>
      <u/>
      <sz val="11"/>
      <color rgb="FF59B589"/>
      <name val="Calibri"/>
      <family val="2"/>
      <scheme val="minor"/>
    </font>
    <font>
      <u/>
      <sz val="11"/>
      <name val="Calibri"/>
      <family val="2"/>
      <scheme val="minor"/>
    </font>
    <font>
      <b/>
      <u val="singleAccounting"/>
      <sz val="11"/>
      <name val="Calibri"/>
      <family val="2"/>
      <scheme val="minor"/>
    </font>
    <font>
      <u val="singleAccounting"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3" fontId="3" fillId="0" borderId="0" xfId="0" applyNumberFormat="1" applyFont="1" applyAlignment="1">
      <alignment horizontal="left" vertical="center"/>
    </xf>
    <xf numFmtId="3" fontId="4" fillId="0" borderId="0" xfId="0" applyNumberFormat="1" applyFont="1" applyAlignment="1">
      <alignment horizontal="left" vertical="center"/>
    </xf>
    <xf numFmtId="3" fontId="5" fillId="0" borderId="0" xfId="0" applyNumberFormat="1" applyFont="1" applyAlignment="1">
      <alignment horizontal="left" vertical="center"/>
    </xf>
    <xf numFmtId="164" fontId="2" fillId="0" borderId="0" xfId="1" applyNumberFormat="1" applyFont="1"/>
    <xf numFmtId="3" fontId="7" fillId="0" borderId="0" xfId="0" applyNumberFormat="1" applyFont="1"/>
    <xf numFmtId="3" fontId="2" fillId="0" borderId="0" xfId="0" applyNumberFormat="1" applyFont="1"/>
    <xf numFmtId="165" fontId="2" fillId="0" borderId="0" xfId="1" applyNumberFormat="1" applyFont="1"/>
    <xf numFmtId="0" fontId="2" fillId="0" borderId="0" xfId="0" applyFont="1" applyAlignment="1">
      <alignment horizontal="center"/>
    </xf>
    <xf numFmtId="0" fontId="5" fillId="0" borderId="0" xfId="0" applyFont="1"/>
    <xf numFmtId="0" fontId="8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43" fontId="2" fillId="0" borderId="0" xfId="4" applyFont="1"/>
    <xf numFmtId="164" fontId="4" fillId="0" borderId="0" xfId="1" applyNumberFormat="1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2" fillId="0" borderId="0" xfId="1" applyNumberFormat="1" applyFont="1" applyAlignment="1">
      <alignment horizontal="center"/>
    </xf>
    <xf numFmtId="164" fontId="2" fillId="0" borderId="0" xfId="1" applyNumberFormat="1" applyFont="1" applyAlignment="1">
      <alignment horizontal="right"/>
    </xf>
    <xf numFmtId="0" fontId="2" fillId="0" borderId="0" xfId="0" applyFont="1" applyAlignment="1">
      <alignment horizontal="right"/>
    </xf>
    <xf numFmtId="43" fontId="2" fillId="0" borderId="0" xfId="1" applyNumberFormat="1" applyFont="1"/>
    <xf numFmtId="164" fontId="9" fillId="0" borderId="0" xfId="1" applyNumberFormat="1" applyFont="1"/>
    <xf numFmtId="43" fontId="4" fillId="0" borderId="0" xfId="4" applyFont="1"/>
    <xf numFmtId="0" fontId="4" fillId="0" borderId="0" xfId="0" applyFont="1"/>
    <xf numFmtId="164" fontId="2" fillId="0" borderId="0" xfId="0" applyNumberFormat="1" applyFont="1"/>
    <xf numFmtId="165" fontId="2" fillId="0" borderId="1" xfId="1" applyNumberFormat="1" applyFont="1" applyBorder="1"/>
    <xf numFmtId="164" fontId="10" fillId="0" borderId="0" xfId="1" applyNumberFormat="1" applyFont="1"/>
    <xf numFmtId="164" fontId="10" fillId="0" borderId="0" xfId="1" quotePrefix="1" applyNumberFormat="1" applyFont="1" applyAlignment="1">
      <alignment horizontal="center"/>
    </xf>
    <xf numFmtId="0" fontId="11" fillId="0" borderId="0" xfId="0" applyFont="1" applyAlignment="1">
      <alignment horizontal="center"/>
    </xf>
    <xf numFmtId="3" fontId="2" fillId="0" borderId="0" xfId="0" applyNumberFormat="1" applyFont="1" applyAlignment="1">
      <alignment horizontal="right"/>
    </xf>
    <xf numFmtId="164" fontId="2" fillId="0" borderId="0" xfId="1" quotePrefix="1" applyNumberFormat="1" applyFont="1" applyAlignment="1">
      <alignment horizontal="right"/>
    </xf>
    <xf numFmtId="164" fontId="12" fillId="0" borderId="0" xfId="1" applyNumberFormat="1" applyFont="1" applyAlignment="1">
      <alignment horizontal="right"/>
    </xf>
    <xf numFmtId="164" fontId="2" fillId="0" borderId="0" xfId="4" applyNumberFormat="1" applyFont="1" applyAlignment="1">
      <alignment vertical="center"/>
    </xf>
    <xf numFmtId="166" fontId="2" fillId="0" borderId="0" xfId="3" applyNumberFormat="1" applyFont="1"/>
    <xf numFmtId="166" fontId="2" fillId="0" borderId="0" xfId="0" applyNumberFormat="1" applyFont="1"/>
    <xf numFmtId="167" fontId="2" fillId="0" borderId="0" xfId="5" applyNumberFormat="1" applyFont="1"/>
    <xf numFmtId="167" fontId="8" fillId="0" borderId="0" xfId="5" applyNumberFormat="1" applyFont="1"/>
    <xf numFmtId="168" fontId="2" fillId="0" borderId="0" xfId="0" applyNumberFormat="1" applyFont="1"/>
    <xf numFmtId="167" fontId="4" fillId="0" borderId="0" xfId="5" applyNumberFormat="1" applyFont="1"/>
    <xf numFmtId="3" fontId="4" fillId="0" borderId="0" xfId="0" applyNumberFormat="1" applyFont="1"/>
    <xf numFmtId="164" fontId="2" fillId="0" borderId="0" xfId="4" applyNumberFormat="1" applyFont="1"/>
    <xf numFmtId="0" fontId="13" fillId="0" borderId="0" xfId="0" applyFont="1"/>
    <xf numFmtId="169" fontId="2" fillId="0" borderId="0" xfId="2" applyNumberFormat="1" applyFont="1"/>
    <xf numFmtId="169" fontId="13" fillId="0" borderId="0" xfId="2" applyNumberFormat="1" applyFont="1" applyBorder="1"/>
    <xf numFmtId="43" fontId="10" fillId="0" borderId="0" xfId="4" applyFont="1" applyAlignment="1">
      <alignment horizontal="center"/>
    </xf>
    <xf numFmtId="10" fontId="2" fillId="0" borderId="1" xfId="0" applyNumberFormat="1" applyFont="1" applyBorder="1"/>
    <xf numFmtId="10" fontId="2" fillId="0" borderId="0" xfId="0" applyNumberFormat="1" applyFont="1" applyBorder="1"/>
    <xf numFmtId="43" fontId="2" fillId="0" borderId="0" xfId="1" applyFont="1"/>
    <xf numFmtId="9" fontId="2" fillId="0" borderId="0" xfId="3" applyFont="1"/>
    <xf numFmtId="0" fontId="8" fillId="0" borderId="0" xfId="0" applyFont="1"/>
    <xf numFmtId="3" fontId="8" fillId="0" borderId="0" xfId="0" applyNumberFormat="1" applyFont="1" applyAlignment="1">
      <alignment horizontal="right" vertical="center"/>
    </xf>
    <xf numFmtId="169" fontId="2" fillId="0" borderId="1" xfId="2" applyNumberFormat="1" applyFont="1" applyBorder="1"/>
    <xf numFmtId="169" fontId="2" fillId="0" borderId="0" xfId="2" applyNumberFormat="1" applyFont="1" applyBorder="1"/>
    <xf numFmtId="43" fontId="2" fillId="0" borderId="0" xfId="1" applyFont="1" applyAlignment="1">
      <alignment horizontal="right"/>
    </xf>
    <xf numFmtId="43" fontId="10" fillId="0" borderId="0" xfId="1" applyFont="1"/>
    <xf numFmtId="43" fontId="4" fillId="0" borderId="0" xfId="1" applyFont="1"/>
    <xf numFmtId="43" fontId="4" fillId="0" borderId="0" xfId="1" applyFont="1" applyAlignment="1">
      <alignment horizontal="right"/>
    </xf>
    <xf numFmtId="164" fontId="2" fillId="0" borderId="1" xfId="1" applyNumberFormat="1" applyFont="1" applyBorder="1"/>
    <xf numFmtId="164" fontId="2" fillId="0" borderId="0" xfId="1" applyNumberFormat="1" applyFont="1" applyBorder="1"/>
  </cellXfs>
  <cellStyles count="6">
    <cellStyle name="Comma" xfId="1" builtinId="3"/>
    <cellStyle name="Comma 2" xfId="4"/>
    <cellStyle name="Currency" xfId="2" builtinId="4"/>
    <cellStyle name="Normal" xfId="0" builtinId="0"/>
    <cellStyle name="Percent" xfId="3" builtinId="5"/>
    <cellStyle name="Percent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V33"/>
  <sheetViews>
    <sheetView tabSelected="1" workbookViewId="0">
      <selection activeCell="A24" sqref="A24"/>
    </sheetView>
  </sheetViews>
  <sheetFormatPr defaultRowHeight="15"/>
  <cols>
    <col min="1" max="1" width="4.85546875" customWidth="1"/>
    <col min="2" max="2" width="13.7109375" customWidth="1"/>
    <col min="3" max="3" width="13" customWidth="1"/>
    <col min="4" max="4" width="12" bestFit="1" customWidth="1"/>
    <col min="5" max="5" width="12.5703125" customWidth="1"/>
    <col min="6" max="6" width="6.140625" customWidth="1"/>
    <col min="7" max="7" width="13.5703125" customWidth="1"/>
    <col min="8" max="8" width="6.7109375" customWidth="1"/>
    <col min="9" max="9" width="12.28515625" customWidth="1"/>
    <col min="10" max="10" width="10" customWidth="1"/>
    <col min="11" max="11" width="14" customWidth="1"/>
    <col min="12" max="12" width="12.7109375" customWidth="1"/>
    <col min="13" max="13" width="13" customWidth="1"/>
    <col min="14" max="14" width="13.5703125" customWidth="1"/>
    <col min="15" max="15" width="6.140625" customWidth="1"/>
    <col min="16" max="16" width="11.42578125"/>
    <col min="17" max="17" width="10" customWidth="1"/>
    <col min="18" max="18" width="13.85546875" customWidth="1"/>
  </cols>
  <sheetData>
    <row r="1" spans="1:22" ht="18.75">
      <c r="A1" s="1"/>
      <c r="B1" s="2" t="s">
        <v>70</v>
      </c>
      <c r="C1" s="1"/>
      <c r="D1" s="1"/>
      <c r="E1" s="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>
      <c r="A2" s="1"/>
      <c r="B2" s="1"/>
      <c r="C2" s="1"/>
      <c r="D2" s="4"/>
      <c r="E2" s="3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>
      <c r="A3" s="5"/>
      <c r="B3" s="6" t="s">
        <v>0</v>
      </c>
      <c r="C3" s="7"/>
      <c r="D3" s="7"/>
      <c r="E3" s="7"/>
      <c r="F3" s="1"/>
      <c r="G3" s="6" t="s">
        <v>1</v>
      </c>
      <c r="H3" s="1"/>
      <c r="I3" s="1"/>
      <c r="J3" s="1"/>
      <c r="K3" s="1"/>
      <c r="L3" s="1"/>
      <c r="M3" s="1"/>
      <c r="N3" s="1"/>
      <c r="O3" s="1"/>
      <c r="P3" s="6" t="s">
        <v>2</v>
      </c>
      <c r="Q3" s="1"/>
      <c r="R3" s="1"/>
      <c r="S3" s="1"/>
      <c r="T3" s="1"/>
      <c r="U3" s="1"/>
      <c r="V3" s="1"/>
    </row>
    <row r="4" spans="1:22">
      <c r="A4" s="5"/>
      <c r="B4" s="7" t="s">
        <v>3</v>
      </c>
      <c r="C4" s="8"/>
      <c r="D4" s="8">
        <v>111581.2</v>
      </c>
      <c r="E4" s="7"/>
      <c r="F4" s="1"/>
      <c r="G4" s="1"/>
      <c r="H4" s="1"/>
      <c r="I4" s="1"/>
      <c r="J4" s="1"/>
      <c r="K4" s="1"/>
      <c r="L4" s="1"/>
      <c r="M4" s="1"/>
      <c r="N4" s="9" t="s">
        <v>4</v>
      </c>
      <c r="O4" s="9"/>
      <c r="P4" s="10"/>
      <c r="Q4" s="1"/>
      <c r="R4" s="1"/>
      <c r="S4" s="11" t="s">
        <v>5</v>
      </c>
      <c r="T4" s="11" t="s">
        <v>6</v>
      </c>
      <c r="U4" s="1"/>
      <c r="V4" s="1"/>
    </row>
    <row r="5" spans="1:22">
      <c r="A5" s="5"/>
      <c r="B5" s="7" t="s">
        <v>7</v>
      </c>
      <c r="C5" s="8"/>
      <c r="D5" s="8">
        <v>67194.399999999994</v>
      </c>
      <c r="E5" s="7"/>
      <c r="F5" s="1"/>
      <c r="G5" s="1"/>
      <c r="H5" s="1"/>
      <c r="I5" s="12" t="s">
        <v>8</v>
      </c>
      <c r="J5" s="12" t="s">
        <v>8</v>
      </c>
      <c r="K5" s="9" t="s">
        <v>9</v>
      </c>
      <c r="L5" s="9" t="s">
        <v>10</v>
      </c>
      <c r="M5" s="9" t="s">
        <v>10</v>
      </c>
      <c r="N5" s="9" t="s">
        <v>10</v>
      </c>
      <c r="O5" s="9"/>
      <c r="P5" s="13" t="s">
        <v>11</v>
      </c>
      <c r="Q5" s="5"/>
      <c r="R5" s="14"/>
      <c r="S5" s="5">
        <v>4800</v>
      </c>
      <c r="T5" s="5">
        <v>6200</v>
      </c>
      <c r="U5" s="1"/>
      <c r="V5" s="1"/>
    </row>
    <row r="6" spans="1:22">
      <c r="A6" s="5"/>
      <c r="B6" s="7" t="s">
        <v>12</v>
      </c>
      <c r="C6" s="8"/>
      <c r="D6" s="8"/>
      <c r="E6" s="7"/>
      <c r="F6" s="1"/>
      <c r="G6" s="15" t="s">
        <v>13</v>
      </c>
      <c r="H6" s="15"/>
      <c r="I6" s="16" t="s">
        <v>14</v>
      </c>
      <c r="J6" s="16" t="s">
        <v>15</v>
      </c>
      <c r="K6" s="16" t="s">
        <v>16</v>
      </c>
      <c r="L6" s="16" t="s">
        <v>17</v>
      </c>
      <c r="M6" s="16" t="s">
        <v>18</v>
      </c>
      <c r="N6" s="16" t="s">
        <v>19</v>
      </c>
      <c r="O6" s="17"/>
      <c r="P6" s="13"/>
      <c r="Q6" s="5"/>
      <c r="R6" s="5"/>
      <c r="S6" s="5"/>
      <c r="T6" s="5"/>
      <c r="U6" s="1"/>
      <c r="V6" s="1"/>
    </row>
    <row r="7" spans="1:22">
      <c r="A7" s="5"/>
      <c r="B7" s="1" t="s">
        <v>20</v>
      </c>
      <c r="C7" s="8">
        <v>19.7</v>
      </c>
      <c r="D7" s="8"/>
      <c r="E7" s="7"/>
      <c r="F7" s="1"/>
      <c r="G7" s="5"/>
      <c r="H7" s="1">
        <v>1</v>
      </c>
      <c r="I7" s="18">
        <v>2080</v>
      </c>
      <c r="J7" s="19">
        <v>0</v>
      </c>
      <c r="K7" s="20" t="s">
        <v>21</v>
      </c>
      <c r="L7" s="5">
        <v>66000</v>
      </c>
      <c r="M7" s="5">
        <v>0</v>
      </c>
      <c r="N7" s="5">
        <f>L7+M7</f>
        <v>66000</v>
      </c>
      <c r="O7" s="5"/>
      <c r="P7" s="1"/>
      <c r="Q7" s="1"/>
      <c r="R7" s="5" t="s">
        <v>22</v>
      </c>
      <c r="S7" s="14">
        <f>0.3*S5</f>
        <v>1440</v>
      </c>
      <c r="T7" s="14">
        <f>0.3*T5</f>
        <v>1860</v>
      </c>
      <c r="U7" s="1"/>
      <c r="V7" s="1"/>
    </row>
    <row r="8" spans="1:22" ht="17.25">
      <c r="A8" s="5"/>
      <c r="B8" s="1" t="s">
        <v>23</v>
      </c>
      <c r="C8" s="8">
        <v>54.3</v>
      </c>
      <c r="D8" s="8"/>
      <c r="E8" s="7"/>
      <c r="F8" s="1"/>
      <c r="G8" s="5"/>
      <c r="H8" s="1">
        <v>2</v>
      </c>
      <c r="I8" s="5">
        <v>2080</v>
      </c>
      <c r="J8" s="5">
        <v>377</v>
      </c>
      <c r="K8" s="21">
        <v>15.5</v>
      </c>
      <c r="L8" s="5">
        <f>I8*K8</f>
        <v>32240</v>
      </c>
      <c r="M8" s="5">
        <f>J8*K8*1.5</f>
        <v>8765.25</v>
      </c>
      <c r="N8" s="5">
        <f>L8+M8</f>
        <v>41005.25</v>
      </c>
      <c r="O8" s="5"/>
      <c r="P8" s="1"/>
      <c r="Q8" s="1"/>
      <c r="R8" s="5" t="s">
        <v>24</v>
      </c>
      <c r="S8" s="22">
        <f>0.7*S5</f>
        <v>3360</v>
      </c>
      <c r="T8" s="22">
        <f>0.7*T5</f>
        <v>4340</v>
      </c>
      <c r="U8" s="1"/>
      <c r="V8" s="1"/>
    </row>
    <row r="9" spans="1:22">
      <c r="A9" s="5"/>
      <c r="B9" s="7" t="s">
        <v>25</v>
      </c>
      <c r="C9" s="8">
        <v>983.9</v>
      </c>
      <c r="D9" s="8"/>
      <c r="E9" s="7"/>
      <c r="F9" s="1"/>
      <c r="G9" s="5"/>
      <c r="H9" s="1">
        <v>3</v>
      </c>
      <c r="I9" s="5">
        <v>2080</v>
      </c>
      <c r="J9" s="5">
        <v>65</v>
      </c>
      <c r="K9" s="21">
        <v>13</v>
      </c>
      <c r="L9" s="5">
        <f t="shared" ref="L9:L12" si="0">I9*K9</f>
        <v>27040</v>
      </c>
      <c r="M9" s="5">
        <f t="shared" ref="M9:M12" si="1">J9*K9*1.5</f>
        <v>1267.5</v>
      </c>
      <c r="N9" s="5">
        <f t="shared" ref="N9:N12" si="2">L9+M9</f>
        <v>28307.5</v>
      </c>
      <c r="O9" s="5"/>
      <c r="P9" s="1"/>
      <c r="Q9" s="23"/>
      <c r="R9" s="24"/>
      <c r="S9" s="25">
        <f>S7+S8</f>
        <v>4800</v>
      </c>
      <c r="T9" s="25">
        <f>T7+T8</f>
        <v>6200</v>
      </c>
      <c r="U9" s="1"/>
      <c r="V9" s="1"/>
    </row>
    <row r="10" spans="1:22">
      <c r="A10" s="5"/>
      <c r="B10" s="7" t="s">
        <v>26</v>
      </c>
      <c r="C10" s="8">
        <v>50</v>
      </c>
      <c r="D10" s="8"/>
      <c r="E10" s="7"/>
      <c r="F10" s="1"/>
      <c r="G10" s="5"/>
      <c r="H10" s="1">
        <v>4</v>
      </c>
      <c r="I10" s="5">
        <v>2080</v>
      </c>
      <c r="J10" s="5">
        <f>145.5+284</f>
        <v>429.5</v>
      </c>
      <c r="K10" s="21">
        <v>15.25</v>
      </c>
      <c r="L10" s="5">
        <f t="shared" si="0"/>
        <v>31720</v>
      </c>
      <c r="M10" s="5">
        <f t="shared" si="1"/>
        <v>9824.8125</v>
      </c>
      <c r="N10" s="5">
        <f t="shared" si="2"/>
        <v>41544.8125</v>
      </c>
      <c r="O10" s="1"/>
      <c r="P10" s="1"/>
      <c r="Q10" s="23"/>
      <c r="R10" s="24"/>
      <c r="S10" s="25"/>
      <c r="T10" s="1"/>
      <c r="U10" s="1"/>
      <c r="V10" s="1"/>
    </row>
    <row r="11" spans="1:22">
      <c r="A11" s="5"/>
      <c r="B11" s="7" t="s">
        <v>27</v>
      </c>
      <c r="C11" s="26">
        <v>0</v>
      </c>
      <c r="D11" s="8"/>
      <c r="E11" s="7"/>
      <c r="F11" s="1"/>
      <c r="G11" s="5"/>
      <c r="H11" s="1">
        <v>5</v>
      </c>
      <c r="I11" s="5">
        <v>2080</v>
      </c>
      <c r="J11" s="5">
        <f>29+284</f>
        <v>313</v>
      </c>
      <c r="K11" s="21">
        <v>13.5</v>
      </c>
      <c r="L11" s="5">
        <f t="shared" si="0"/>
        <v>28080</v>
      </c>
      <c r="M11" s="5">
        <f t="shared" si="1"/>
        <v>6338.25</v>
      </c>
      <c r="N11" s="5">
        <f t="shared" si="2"/>
        <v>34418.25</v>
      </c>
      <c r="O11" s="1"/>
      <c r="P11" s="1"/>
      <c r="Q11" s="1" t="s">
        <v>28</v>
      </c>
      <c r="R11" s="1"/>
      <c r="S11" s="1"/>
      <c r="T11" s="1"/>
      <c r="U11" s="1"/>
      <c r="V11" s="1"/>
    </row>
    <row r="12" spans="1:22" ht="17.25">
      <c r="A12" s="5"/>
      <c r="B12" s="7"/>
      <c r="C12" s="8"/>
      <c r="D12" s="8">
        <f>SUM(C7:C11)</f>
        <v>1107.9000000000001</v>
      </c>
      <c r="E12" s="7"/>
      <c r="F12" s="1"/>
      <c r="G12" s="5"/>
      <c r="H12" s="1">
        <v>6</v>
      </c>
      <c r="I12" s="5">
        <v>2080</v>
      </c>
      <c r="J12" s="5">
        <f>85+284</f>
        <v>369</v>
      </c>
      <c r="K12" s="21">
        <v>13</v>
      </c>
      <c r="L12" s="5">
        <f t="shared" si="0"/>
        <v>27040</v>
      </c>
      <c r="M12" s="5">
        <f t="shared" si="1"/>
        <v>7195.5</v>
      </c>
      <c r="N12" s="27">
        <f t="shared" si="2"/>
        <v>34235.5</v>
      </c>
      <c r="O12" s="1"/>
      <c r="P12" s="1"/>
      <c r="Q12" s="1"/>
      <c r="R12" s="1"/>
      <c r="S12" s="1"/>
      <c r="T12" s="1"/>
      <c r="U12" s="1"/>
      <c r="V12" s="1"/>
    </row>
    <row r="13" spans="1:22">
      <c r="A13" s="5"/>
      <c r="B13" s="7" t="s">
        <v>29</v>
      </c>
      <c r="C13" s="8">
        <v>5922.9</v>
      </c>
      <c r="D13" s="8"/>
      <c r="E13" s="7"/>
      <c r="F13" s="1"/>
      <c r="G13" s="5"/>
      <c r="H13" s="1"/>
      <c r="I13" s="5"/>
      <c r="J13" s="5"/>
      <c r="K13" s="21"/>
      <c r="L13" s="5"/>
      <c r="M13" s="5"/>
      <c r="N13" s="5">
        <f>SUM(N7:N12)</f>
        <v>245511.3125</v>
      </c>
      <c r="O13" s="1"/>
      <c r="P13" s="1"/>
      <c r="Q13" s="1"/>
      <c r="R13" s="1"/>
      <c r="S13" s="1"/>
      <c r="T13" s="1"/>
      <c r="U13" s="1"/>
      <c r="V13" s="1"/>
    </row>
    <row r="14" spans="1:22">
      <c r="A14" s="5"/>
      <c r="B14" s="7" t="s">
        <v>30</v>
      </c>
      <c r="C14" s="26">
        <v>37356</v>
      </c>
      <c r="D14" s="8"/>
      <c r="E14" s="7"/>
      <c r="F14" s="1"/>
      <c r="G14" s="5"/>
      <c r="H14" s="1"/>
      <c r="I14" s="5"/>
      <c r="J14" s="5"/>
      <c r="K14" s="21"/>
      <c r="L14" s="5"/>
      <c r="M14" s="5"/>
      <c r="N14" s="5"/>
      <c r="O14" s="1"/>
      <c r="P14" s="6" t="s">
        <v>31</v>
      </c>
      <c r="Q14" s="1"/>
      <c r="R14" s="1"/>
      <c r="S14" s="1"/>
      <c r="T14" s="1"/>
      <c r="U14" s="1"/>
      <c r="V14" s="1"/>
    </row>
    <row r="15" spans="1:22" ht="17.25">
      <c r="A15" s="5"/>
      <c r="B15" s="7"/>
      <c r="C15" s="8"/>
      <c r="D15" s="8">
        <f>C13+C14</f>
        <v>43278.9</v>
      </c>
      <c r="E15" s="1"/>
      <c r="F15" s="1"/>
      <c r="G15" s="5"/>
      <c r="H15" s="1"/>
      <c r="I15" s="5"/>
      <c r="J15" s="5"/>
      <c r="K15" s="21"/>
      <c r="L15" s="28" t="s">
        <v>5</v>
      </c>
      <c r="M15" s="28" t="s">
        <v>6</v>
      </c>
      <c r="N15" s="5"/>
      <c r="O15" s="29"/>
      <c r="P15" s="1"/>
      <c r="Q15" s="1"/>
      <c r="R15" s="1"/>
      <c r="S15" s="28" t="s">
        <v>5</v>
      </c>
      <c r="T15" s="28" t="s">
        <v>6</v>
      </c>
      <c r="U15" s="28" t="s">
        <v>32</v>
      </c>
      <c r="V15" s="1"/>
    </row>
    <row r="16" spans="1:22">
      <c r="A16" s="5"/>
      <c r="B16" s="30" t="s">
        <v>33</v>
      </c>
      <c r="C16" s="8">
        <f>SUM(D5:D15)</f>
        <v>111581.19999999998</v>
      </c>
      <c r="D16" s="8"/>
      <c r="E16" s="1"/>
      <c r="F16" s="1"/>
      <c r="G16" s="5"/>
      <c r="H16" s="1"/>
      <c r="I16" s="5"/>
      <c r="J16" s="5"/>
      <c r="K16" s="31" t="s">
        <v>34</v>
      </c>
      <c r="L16" s="32">
        <v>191934</v>
      </c>
      <c r="M16" s="32">
        <v>52692</v>
      </c>
      <c r="N16" s="5"/>
      <c r="O16" s="1"/>
      <c r="P16" s="1" t="s">
        <v>35</v>
      </c>
      <c r="Q16" s="5">
        <v>6958</v>
      </c>
      <c r="R16" s="20" t="s">
        <v>36</v>
      </c>
      <c r="S16" s="5">
        <v>1067</v>
      </c>
      <c r="T16" s="5">
        <v>304</v>
      </c>
      <c r="U16" s="5">
        <f>(S16+T16)</f>
        <v>1371</v>
      </c>
      <c r="V16" s="1"/>
    </row>
    <row r="17" spans="1:22" ht="17.25">
      <c r="A17" s="5"/>
      <c r="B17" s="33"/>
      <c r="C17" s="7"/>
      <c r="D17" s="1"/>
      <c r="E17" s="1"/>
      <c r="F17" s="1"/>
      <c r="G17" s="5"/>
      <c r="H17" s="1"/>
      <c r="I17" s="5"/>
      <c r="J17" s="5"/>
      <c r="K17" s="1"/>
      <c r="L17" s="34">
        <f>L16/-K20</f>
        <v>0.78460180029923232</v>
      </c>
      <c r="M17" s="34">
        <f>M16/-K20</f>
        <v>0.21539819970076771</v>
      </c>
      <c r="N17" s="29"/>
      <c r="O17" s="1"/>
      <c r="P17" s="1" t="s">
        <v>37</v>
      </c>
      <c r="Q17" s="27">
        <v>4275</v>
      </c>
      <c r="R17" s="20" t="s">
        <v>38</v>
      </c>
      <c r="S17" s="34">
        <f>S16/$U$16</f>
        <v>0.77826404084609779</v>
      </c>
      <c r="T17" s="34">
        <f>T16/$U$16</f>
        <v>0.22173595915390226</v>
      </c>
      <c r="U17" s="35">
        <f>S17+T17</f>
        <v>1</v>
      </c>
      <c r="V17" s="1"/>
    </row>
    <row r="18" spans="1:22">
      <c r="A18" s="5"/>
      <c r="B18" s="1"/>
      <c r="C18" s="36">
        <f>D15/D4</f>
        <v>0.38786910339734654</v>
      </c>
      <c r="D18" s="7" t="s">
        <v>39</v>
      </c>
      <c r="E18" s="1"/>
      <c r="F18" s="1"/>
      <c r="G18" s="5"/>
      <c r="H18" s="1"/>
      <c r="I18" s="5"/>
      <c r="J18" s="5"/>
      <c r="K18" s="29" t="s">
        <v>40</v>
      </c>
      <c r="L18" s="1"/>
      <c r="M18" s="1"/>
      <c r="N18" s="1"/>
      <c r="O18" s="1"/>
      <c r="P18" s="1"/>
      <c r="Q18" s="25">
        <f>Q16+Q17</f>
        <v>11233</v>
      </c>
      <c r="R18" s="20" t="s">
        <v>41</v>
      </c>
      <c r="S18" s="14">
        <f>Q18*S17</f>
        <v>8742.2399708242174</v>
      </c>
      <c r="T18" s="14">
        <f>Q18*T17</f>
        <v>2490.760029175784</v>
      </c>
      <c r="U18" s="5">
        <f>(S18+T18)</f>
        <v>11233.000000000002</v>
      </c>
      <c r="V18" s="1"/>
    </row>
    <row r="19" spans="1:22" ht="17.25">
      <c r="A19" s="5"/>
      <c r="B19" s="1"/>
      <c r="C19" s="37">
        <v>0.15</v>
      </c>
      <c r="D19" s="7" t="s">
        <v>42</v>
      </c>
      <c r="E19" s="1"/>
      <c r="F19" s="1"/>
      <c r="G19" s="1" t="s">
        <v>43</v>
      </c>
      <c r="H19" s="1"/>
      <c r="I19" s="1"/>
      <c r="J19" s="1"/>
      <c r="K19" s="38">
        <f>N13</f>
        <v>245511.3125</v>
      </c>
      <c r="L19" s="38"/>
      <c r="M19" s="38"/>
      <c r="N19" s="38"/>
      <c r="O19" s="1"/>
      <c r="P19" s="1"/>
      <c r="Q19" s="27"/>
      <c r="R19" s="1"/>
      <c r="S19" s="1"/>
      <c r="T19" s="1"/>
      <c r="U19" s="1"/>
      <c r="V19" s="1"/>
    </row>
    <row r="20" spans="1:22" ht="17.25">
      <c r="A20" s="5"/>
      <c r="B20" s="1"/>
      <c r="C20" s="39">
        <f>C18-C19</f>
        <v>0.23786910339734654</v>
      </c>
      <c r="D20" s="40" t="s">
        <v>44</v>
      </c>
      <c r="E20" s="1"/>
      <c r="F20" s="1"/>
      <c r="G20" s="1" t="s">
        <v>45</v>
      </c>
      <c r="H20" s="1"/>
      <c r="I20" s="1"/>
      <c r="J20" s="1"/>
      <c r="K20" s="27">
        <v>-244626</v>
      </c>
      <c r="L20" s="27"/>
      <c r="M20" s="27"/>
      <c r="N20" s="27"/>
      <c r="O20" s="1"/>
      <c r="P20" s="1"/>
      <c r="Q20" s="1" t="s">
        <v>46</v>
      </c>
      <c r="R20" s="1"/>
      <c r="S20" s="1"/>
      <c r="T20" s="1"/>
      <c r="U20" s="1"/>
      <c r="V20" s="1"/>
    </row>
    <row r="21" spans="1:22">
      <c r="A21" s="5"/>
      <c r="B21" s="6"/>
      <c r="C21" s="13"/>
      <c r="D21" s="13"/>
      <c r="E21" s="41"/>
      <c r="F21" s="1"/>
      <c r="G21" s="42" t="s">
        <v>47</v>
      </c>
      <c r="H21" s="1"/>
      <c r="I21" s="42"/>
      <c r="J21" s="42"/>
      <c r="K21" s="43">
        <f>K19+K20</f>
        <v>885.3125</v>
      </c>
      <c r="L21" s="44">
        <f>$K21*L$17</f>
        <v>694.61778132741415</v>
      </c>
      <c r="M21" s="44">
        <f>$K21*M$17</f>
        <v>190.69471867258591</v>
      </c>
      <c r="N21" s="44"/>
      <c r="O21" s="1"/>
      <c r="P21" s="1"/>
      <c r="Q21" s="1"/>
      <c r="R21" s="1"/>
      <c r="S21" s="1"/>
      <c r="T21" s="1"/>
      <c r="U21" s="1"/>
      <c r="V21" s="1"/>
    </row>
    <row r="22" spans="1:22">
      <c r="A22" s="5"/>
      <c r="B22" s="7"/>
      <c r="C22" s="13"/>
      <c r="D22" s="13"/>
      <c r="E22" s="41"/>
      <c r="F22" s="5"/>
      <c r="G22" s="1"/>
      <c r="H22" s="1"/>
      <c r="I22" s="1"/>
      <c r="J22" s="1"/>
      <c r="K22" s="1" t="s">
        <v>48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7.25">
      <c r="A23" s="1"/>
      <c r="B23" s="1"/>
      <c r="C23" s="45"/>
      <c r="D23" s="45"/>
      <c r="E23" s="45"/>
      <c r="F23" s="5"/>
      <c r="G23" s="1" t="s">
        <v>49</v>
      </c>
      <c r="H23" s="1"/>
      <c r="I23" s="1"/>
      <c r="J23" s="1"/>
      <c r="K23" s="43">
        <f>N13</f>
        <v>245511.3125</v>
      </c>
      <c r="L23" s="43"/>
      <c r="M23" s="43"/>
      <c r="N23" s="43"/>
      <c r="O23" s="1"/>
      <c r="P23" s="6" t="s">
        <v>50</v>
      </c>
      <c r="Q23" s="1"/>
      <c r="R23" s="1"/>
      <c r="S23" s="1"/>
      <c r="T23" s="1"/>
      <c r="U23" s="1"/>
      <c r="V23" s="1"/>
    </row>
    <row r="24" spans="1:22" ht="17.25">
      <c r="A24" s="1"/>
      <c r="B24" s="1"/>
      <c r="C24" s="45"/>
      <c r="D24" s="45"/>
      <c r="E24" s="45"/>
      <c r="F24" s="5"/>
      <c r="G24" s="1" t="s">
        <v>51</v>
      </c>
      <c r="H24" s="1"/>
      <c r="I24" s="1"/>
      <c r="J24" s="1"/>
      <c r="K24" s="46">
        <v>7.6499999999999999E-2</v>
      </c>
      <c r="L24" s="47"/>
      <c r="M24" s="47"/>
      <c r="N24" s="47"/>
      <c r="O24" s="1"/>
      <c r="P24" s="1"/>
      <c r="Q24" s="1"/>
      <c r="R24" s="1"/>
      <c r="S24" s="1"/>
      <c r="T24" s="1"/>
      <c r="U24" s="1"/>
      <c r="V24" s="1"/>
    </row>
    <row r="25" spans="1:22">
      <c r="A25" s="1"/>
      <c r="B25" s="7"/>
      <c r="C25" s="48"/>
      <c r="D25" s="49"/>
      <c r="E25" s="48"/>
      <c r="F25" s="5"/>
      <c r="G25" s="1" t="s">
        <v>52</v>
      </c>
      <c r="H25" s="1"/>
      <c r="I25" s="1"/>
      <c r="J25" s="1"/>
      <c r="K25" s="5">
        <f>+K23*K24</f>
        <v>18781.615406249999</v>
      </c>
      <c r="L25" s="5"/>
      <c r="M25" s="5"/>
      <c r="N25" s="5"/>
      <c r="O25" s="1"/>
      <c r="P25" s="50" t="s">
        <v>53</v>
      </c>
      <c r="Q25" s="1"/>
      <c r="R25" s="1"/>
      <c r="S25" s="1"/>
      <c r="T25" s="1"/>
      <c r="U25" s="51" t="s">
        <v>54</v>
      </c>
      <c r="V25" s="1"/>
    </row>
    <row r="26" spans="1:22">
      <c r="A26" s="1"/>
      <c r="B26" s="7"/>
      <c r="C26" s="48"/>
      <c r="D26" s="49"/>
      <c r="E26" s="48"/>
      <c r="F26" s="5"/>
      <c r="G26" s="1" t="s">
        <v>55</v>
      </c>
      <c r="H26" s="1"/>
      <c r="I26" s="1"/>
      <c r="J26" s="1"/>
      <c r="K26" s="52">
        <f>K20*0.0765</f>
        <v>-18713.888999999999</v>
      </c>
      <c r="L26" s="53"/>
      <c r="M26" s="53"/>
      <c r="N26" s="53"/>
      <c r="O26" s="1"/>
      <c r="P26" s="1" t="s">
        <v>56</v>
      </c>
      <c r="Q26" s="1"/>
      <c r="R26" s="5">
        <v>22800</v>
      </c>
      <c r="S26" s="1"/>
      <c r="T26" s="20" t="s">
        <v>57</v>
      </c>
      <c r="U26" s="5">
        <v>20083</v>
      </c>
      <c r="V26" s="1"/>
    </row>
    <row r="27" spans="1:22" ht="17.25">
      <c r="A27" s="1"/>
      <c r="B27" s="7"/>
      <c r="C27" s="48"/>
      <c r="D27" s="49"/>
      <c r="E27" s="48"/>
      <c r="F27" s="5"/>
      <c r="G27" s="42" t="s">
        <v>58</v>
      </c>
      <c r="H27" s="1"/>
      <c r="I27" s="42"/>
      <c r="J27" s="42"/>
      <c r="K27" s="43">
        <f>+K25+K26</f>
        <v>67.726406249999854</v>
      </c>
      <c r="L27" s="44">
        <f>$K27*L$17</f>
        <v>53.138260271547068</v>
      </c>
      <c r="M27" s="44">
        <f>$K27*M$17</f>
        <v>14.588145978452792</v>
      </c>
      <c r="N27" s="44"/>
      <c r="O27" s="1"/>
      <c r="P27" s="1" t="s">
        <v>59</v>
      </c>
      <c r="Q27" s="1"/>
      <c r="R27" s="27">
        <v>55025</v>
      </c>
      <c r="S27" s="1"/>
      <c r="T27" s="20" t="s">
        <v>60</v>
      </c>
      <c r="U27" s="27">
        <f>U26*Q29</f>
        <v>15757.157955409482</v>
      </c>
      <c r="V27" s="1"/>
    </row>
    <row r="28" spans="1:22">
      <c r="A28" s="1"/>
      <c r="B28" s="7"/>
      <c r="C28" s="48"/>
      <c r="D28" s="49"/>
      <c r="E28" s="48"/>
      <c r="F28" s="5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5">
        <f>R26+R27</f>
        <v>77825</v>
      </c>
      <c r="S28" s="1"/>
      <c r="T28" s="20" t="s">
        <v>61</v>
      </c>
      <c r="U28" s="14">
        <f>U26-U27</f>
        <v>4325.8420445905176</v>
      </c>
      <c r="V28" s="1"/>
    </row>
    <row r="29" spans="1:22" ht="17.25">
      <c r="A29" s="1"/>
      <c r="B29" s="7"/>
      <c r="C29" s="48"/>
      <c r="D29" s="1"/>
      <c r="E29" s="54"/>
      <c r="F29" s="5"/>
      <c r="G29" s="1" t="s">
        <v>62</v>
      </c>
      <c r="H29" s="1"/>
      <c r="I29" s="1"/>
      <c r="J29" s="1"/>
      <c r="K29" s="43">
        <f>N13</f>
        <v>245511.3125</v>
      </c>
      <c r="L29" s="43"/>
      <c r="M29" s="43"/>
      <c r="N29" s="43"/>
      <c r="O29" s="1"/>
      <c r="P29" s="9" t="s">
        <v>63</v>
      </c>
      <c r="Q29" s="35">
        <f>L17</f>
        <v>0.78460180029923232</v>
      </c>
      <c r="R29" s="27">
        <f>R28*Q29</f>
        <v>61061.635108287752</v>
      </c>
      <c r="S29" s="1"/>
      <c r="T29" s="1"/>
      <c r="U29" s="27"/>
      <c r="V29" s="1"/>
    </row>
    <row r="30" spans="1:22">
      <c r="A30" s="1"/>
      <c r="B30" s="7"/>
      <c r="C30" s="48"/>
      <c r="D30" s="1"/>
      <c r="E30" s="54"/>
      <c r="F30" s="5"/>
      <c r="G30" s="1" t="s">
        <v>64</v>
      </c>
      <c r="H30" s="1"/>
      <c r="I30" s="1"/>
      <c r="J30" s="1"/>
      <c r="K30" s="46">
        <v>0.24060000000000001</v>
      </c>
      <c r="L30" s="47"/>
      <c r="M30" s="47"/>
      <c r="N30" s="47"/>
      <c r="O30" s="1"/>
      <c r="P30" s="1" t="s">
        <v>65</v>
      </c>
      <c r="Q30" s="1"/>
      <c r="R30" s="14">
        <f>R28-R29</f>
        <v>16763.364891712248</v>
      </c>
      <c r="S30" s="1"/>
      <c r="T30" s="24"/>
      <c r="U30" s="14"/>
      <c r="V30" s="1"/>
    </row>
    <row r="31" spans="1:22" ht="17.25">
      <c r="A31" s="1"/>
      <c r="B31" s="7"/>
      <c r="C31" s="48"/>
      <c r="D31" s="1"/>
      <c r="E31" s="54"/>
      <c r="F31" s="5"/>
      <c r="G31" s="1" t="s">
        <v>66</v>
      </c>
      <c r="H31" s="1"/>
      <c r="I31" s="1"/>
      <c r="J31" s="1"/>
      <c r="K31" s="5">
        <f>+K29*K30</f>
        <v>59070.021787500002</v>
      </c>
      <c r="L31" s="5"/>
      <c r="M31" s="5"/>
      <c r="N31" s="5"/>
      <c r="O31" s="5"/>
      <c r="P31" s="1"/>
      <c r="Q31" s="1"/>
      <c r="R31" s="55"/>
      <c r="S31" s="1"/>
      <c r="T31" s="1"/>
      <c r="U31" s="1"/>
      <c r="V31" s="1"/>
    </row>
    <row r="32" spans="1:22">
      <c r="A32" s="1"/>
      <c r="B32" s="7"/>
      <c r="C32" s="48"/>
      <c r="D32" s="56"/>
      <c r="E32" s="57"/>
      <c r="F32" s="5"/>
      <c r="G32" s="1" t="s">
        <v>67</v>
      </c>
      <c r="H32" s="1"/>
      <c r="I32" s="1"/>
      <c r="J32" s="1"/>
      <c r="K32" s="58">
        <f>-55024.77</f>
        <v>-55024.77</v>
      </c>
      <c r="L32" s="59"/>
      <c r="M32" s="59"/>
      <c r="N32" s="59"/>
      <c r="O32" s="5"/>
      <c r="P32" s="1" t="s">
        <v>68</v>
      </c>
      <c r="Q32" s="1"/>
      <c r="R32" s="48"/>
      <c r="S32" s="1"/>
      <c r="T32" s="1"/>
      <c r="U32" s="1"/>
      <c r="V32" s="1"/>
    </row>
    <row r="33" spans="1:22">
      <c r="A33" s="1"/>
      <c r="B33" s="7"/>
      <c r="C33" s="48"/>
      <c r="D33" s="48"/>
      <c r="E33" s="48"/>
      <c r="F33" s="5"/>
      <c r="G33" s="42" t="s">
        <v>69</v>
      </c>
      <c r="H33" s="1"/>
      <c r="I33" s="42"/>
      <c r="J33" s="42"/>
      <c r="K33" s="43">
        <f>+K31+K32</f>
        <v>4045.2517875000049</v>
      </c>
      <c r="L33" s="44">
        <f>$K33*L$17</f>
        <v>3173.9118351361913</v>
      </c>
      <c r="M33" s="44">
        <f>$K33*M$17</f>
        <v>871.33995236381361</v>
      </c>
      <c r="N33" s="44"/>
      <c r="O33" s="5"/>
      <c r="P33" s="1"/>
      <c r="Q33" s="1"/>
      <c r="R33" s="1"/>
      <c r="S33" s="1"/>
      <c r="T33" s="1"/>
      <c r="U33" s="1"/>
      <c r="V33" s="1"/>
    </row>
  </sheetData>
  <mergeCells count="1">
    <mergeCell ref="G6:H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Vilines</dc:creator>
  <cp:lastModifiedBy>Alan Vilines</cp:lastModifiedBy>
  <dcterms:created xsi:type="dcterms:W3CDTF">2021-04-14T11:57:30Z</dcterms:created>
  <dcterms:modified xsi:type="dcterms:W3CDTF">2021-04-14T12:06:38Z</dcterms:modified>
</cp:coreProperties>
</file>