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A9F15009-FCAD-4806-ACA8-95C7ACB535B3}" xr6:coauthVersionLast="46" xr6:coauthVersionMax="46" xr10:uidLastSave="{00000000-0000-0000-0000-000000000000}"/>
  <bookViews>
    <workbookView xWindow="-120" yWindow="-120" windowWidth="29040" windowHeight="17025" tabRatio="690" activeTab="2" xr2:uid="{07CE21F5-45DF-4FFA-8ADD-29CBA1B7BC6B}"/>
  </bookViews>
  <sheets>
    <sheet name="Project Overview" sheetId="215" r:id="rId1"/>
    <sheet name="ROR Eff 07.2021" sheetId="214" r:id="rId2"/>
    <sheet name="Cover - Exhibit 1" sheetId="144" r:id="rId3"/>
    <sheet name="Cover - Exhibit 2" sheetId="143" r:id="rId4"/>
    <sheet name="Class Allocation" sheetId="135" r:id="rId5"/>
    <sheet name="True-up &gt;&gt;" sheetId="136" r:id="rId6"/>
    <sheet name="Cover - Exhibit 3" sheetId="134" r:id="rId7"/>
    <sheet name="OU Collection" sheetId="137" r:id="rId8"/>
    <sheet name="RevReq" sheetId="138" r:id="rId9"/>
    <sheet name="Net Assets" sheetId="139" r:id="rId10"/>
    <sheet name="OpEx" sheetId="140" r:id="rId11"/>
    <sheet name="Forecast &gt;&gt;" sheetId="141" r:id="rId12"/>
    <sheet name="Cover - Exhibit 4" sheetId="142" r:id="rId13"/>
    <sheet name="2021 Filing &gt;&gt;" sheetId="189" r:id="rId14"/>
    <sheet name="Rev Req 2021-Distr" sheetId="190" r:id="rId15"/>
    <sheet name="Rev Req 2021-Trans" sheetId="191" r:id="rId16"/>
    <sheet name="ROR 2021" sheetId="207" r:id="rId17"/>
    <sheet name="Cap&amp;OpEx 2021" sheetId="192" r:id="rId18"/>
    <sheet name="202101 Bk Depr" sheetId="193" r:id="rId19"/>
    <sheet name="202102 Bk Depr" sheetId="194" r:id="rId20"/>
    <sheet name="202103 Bk Depr" sheetId="195" r:id="rId21"/>
    <sheet name="202104 Bk Depr" sheetId="196" r:id="rId22"/>
    <sheet name="202105 Bk Depr" sheetId="197" r:id="rId23"/>
    <sheet name="202106 Bk Depr" sheetId="198" r:id="rId24"/>
    <sheet name="202107 Bk Depr" sheetId="199" r:id="rId25"/>
    <sheet name="202108 Bk Depr" sheetId="200" r:id="rId26"/>
    <sheet name="202109 Bk Depr" sheetId="201" r:id="rId27"/>
    <sheet name="202110 Bk Depr" sheetId="202" r:id="rId28"/>
    <sheet name="202111 Bk Depr" sheetId="203" r:id="rId29"/>
    <sheet name="202112 Bk Depr" sheetId="204" r:id="rId30"/>
    <sheet name="Tax Depr 2021-Dist" sheetId="205" r:id="rId31"/>
    <sheet name="Tax Depr 2021-Trans" sheetId="206" r:id="rId32"/>
    <sheet name="2021 Capital Budget" sheetId="211" r:id="rId33"/>
    <sheet name="COS Budget 2021" sheetId="210" r:id="rId34"/>
    <sheet name="Base Rate Retirements 2021" sheetId="208" r:id="rId35"/>
    <sheet name="Day 4 Report Dec 2020" sheetId="212" r:id="rId36"/>
    <sheet name="2020 Support &gt;&gt;" sheetId="186" r:id="rId37"/>
    <sheet name="Rev Req 2020-Distr" sheetId="167" r:id="rId38"/>
    <sheet name="Rev Req 2020-Trans" sheetId="168" r:id="rId39"/>
    <sheet name="ROR 2020" sheetId="8" r:id="rId40"/>
    <sheet name="Cap&amp;OpEx 2020" sheetId="170" r:id="rId41"/>
    <sheet name="202001 Bk Depr" sheetId="171" r:id="rId42"/>
    <sheet name="202002 Bk Depr" sheetId="172" r:id="rId43"/>
    <sheet name="202003 Bk Depr" sheetId="173" r:id="rId44"/>
    <sheet name="202004 Bk Depr" sheetId="174" r:id="rId45"/>
    <sheet name="202005 Bk Depr" sheetId="175" r:id="rId46"/>
    <sheet name="202006 Bk Depr" sheetId="176" r:id="rId47"/>
    <sheet name="202007 Bk Depr" sheetId="177" r:id="rId48"/>
    <sheet name="202008 Bk Depr" sheetId="178" r:id="rId49"/>
    <sheet name="202009 Bk Depr" sheetId="179" r:id="rId50"/>
    <sheet name="202010 Bk Depr" sheetId="180" r:id="rId51"/>
    <sheet name="202011 Bk Depr" sheetId="181" r:id="rId52"/>
    <sheet name="202012 Bk Depr" sheetId="182" r:id="rId53"/>
    <sheet name="Tax Depr 2020-Dist" sheetId="183" r:id="rId54"/>
    <sheet name="Tax Depr 2020-Trans" sheetId="187" r:id="rId55"/>
    <sheet name="2020 Capital Budget" sheetId="184" r:id="rId56"/>
    <sheet name="COS Budget 2020" sheetId="185" r:id="rId57"/>
    <sheet name="Base Rate Retirements 2020" sheetId="188" r:id="rId58"/>
    <sheet name="2019 Support &gt;&gt;" sheetId="145" r:id="rId59"/>
    <sheet name="Rev Req 2019-Distr" sheetId="146" r:id="rId60"/>
    <sheet name="Rev Req 2019-Trans" sheetId="147" r:id="rId61"/>
    <sheet name="Cap&amp;OpEx 2019" sheetId="149" r:id="rId62"/>
    <sheet name="201901 Bk Depr" sheetId="150" r:id="rId63"/>
    <sheet name="201902 Bk Depr" sheetId="151" r:id="rId64"/>
    <sheet name="201903 Bk Depr" sheetId="152" r:id="rId65"/>
    <sheet name="201904 Bk Depr" sheetId="153" r:id="rId66"/>
    <sheet name="201905 Bk Depr" sheetId="154" r:id="rId67"/>
    <sheet name="201906 Bk Depr" sheetId="155" r:id="rId68"/>
    <sheet name="201907 Bk Depr" sheetId="156" r:id="rId69"/>
    <sheet name="201908 Bk Depr" sheetId="157" r:id="rId70"/>
    <sheet name="201909 Bk Depr" sheetId="158" r:id="rId71"/>
    <sheet name="201910 Bk Depr" sheetId="159" r:id="rId72"/>
    <sheet name="201911 Bk Depr" sheetId="160" r:id="rId73"/>
    <sheet name="201912 Bk Depr" sheetId="161" r:id="rId74"/>
    <sheet name="Tax Depr 2019" sheetId="162" r:id="rId75"/>
    <sheet name="2019 Capital Budget" sheetId="165" r:id="rId76"/>
    <sheet name="2018 Support &gt;&gt;" sheetId="127" r:id="rId77"/>
    <sheet name="Rev Req 2018-Distr" sheetId="131" r:id="rId78"/>
    <sheet name="Rev Req 2018-Trans" sheetId="132" r:id="rId79"/>
    <sheet name="Cap&amp;OpEx 2018" sheetId="114" r:id="rId80"/>
    <sheet name="201801 Bk Depr" sheetId="113" r:id="rId81"/>
    <sheet name="201802 Bk Depr" sheetId="116" r:id="rId82"/>
    <sheet name="201803 Bk Depr" sheetId="117" r:id="rId83"/>
    <sheet name="201804 Bk Depr" sheetId="118" r:id="rId84"/>
    <sheet name="201805 Bk Depr" sheetId="119" r:id="rId85"/>
    <sheet name="201806 Bk Depr" sheetId="120" r:id="rId86"/>
    <sheet name="201807 Bk Depr" sheetId="121" r:id="rId87"/>
    <sheet name="201808 Bk Depr" sheetId="122" r:id="rId88"/>
    <sheet name="201809 Bk Depr" sheetId="123" r:id="rId89"/>
    <sheet name="201810 Bk Depr" sheetId="124" r:id="rId90"/>
    <sheet name="201811 Bk Depr" sheetId="125" r:id="rId91"/>
    <sheet name="201812 Bk Depr" sheetId="126" r:id="rId92"/>
    <sheet name="Tax Depr 2018" sheetId="130" r:id="rId93"/>
    <sheet name="2018 Capital Budget" sheetId="128" r:id="rId94"/>
    <sheet name="2017 Support &gt;&gt;" sheetId="115" r:id="rId95"/>
    <sheet name="Rev Req 2017-Distr" sheetId="91" r:id="rId96"/>
    <sheet name="Rev Req 2017-Trans" sheetId="111" r:id="rId97"/>
    <sheet name="Cap&amp;OpEx 2017" sheetId="92" r:id="rId98"/>
    <sheet name="201707 Bk Depr" sheetId="99" r:id="rId99"/>
    <sheet name="201708 Bk Depr" sheetId="100" r:id="rId100"/>
    <sheet name="201709 Bk Depr" sheetId="101" r:id="rId101"/>
    <sheet name="201710 Bk Depr" sheetId="102" r:id="rId102"/>
    <sheet name="201711 Bk Depr" sheetId="103" r:id="rId103"/>
    <sheet name="201712 Bk Depr" sheetId="104" r:id="rId104"/>
    <sheet name="Tax Depr 2017" sheetId="108" r:id="rId105"/>
    <sheet name="Capital Budget 2017" sheetId="110" r:id="rId106"/>
  </sheets>
  <externalReferences>
    <externalReference r:id="rId107"/>
    <externalReference r:id="rId108"/>
    <externalReference r:id="rId109"/>
    <externalReference r:id="rId110"/>
    <externalReference r:id="rId111"/>
  </externalReferences>
  <definedNames>
    <definedName name="_xlnm._FilterDatabase" localSheetId="75" hidden="1">'2019 Capital Budget'!$F$54:$L$55</definedName>
    <definedName name="_xlnm._FilterDatabase" localSheetId="55" hidden="1">'2020 Capital Budget'!$A$84:$W$84</definedName>
    <definedName name="_Order1" hidden="1">0</definedName>
    <definedName name="_Order2" hidden="1">0</definedName>
    <definedName name="CheckDataCol_49" localSheetId="4">[1]Data!$BK$74</definedName>
    <definedName name="CheckDataCol_49" localSheetId="56">#REF!</definedName>
    <definedName name="CheckDataCol_49" localSheetId="2">#REF!</definedName>
    <definedName name="CheckDataCol_49" localSheetId="3">#REF!</definedName>
    <definedName name="CheckDataCol_49" localSheetId="12">#REF!</definedName>
    <definedName name="CheckDataCol_49" localSheetId="11">#REF!</definedName>
    <definedName name="CheckDataCol_49">#REF!</definedName>
    <definedName name="ClrInptfrEst" localSheetId="4">[2]Input!$K$60,[2]Input!$K$61,[2]Input!$K$63,[2]Input!$K$67,[2]Input!#REF!,[2]Input!#REF!,[2]Input!#REF!,[2]Input!$K$64,[2]Input!$K$38,[2]Input!$K$39,[2]Input!$K$40</definedName>
    <definedName name="ClrInptfrEst" localSheetId="56">[2]Input!$K$60,[2]Input!$K$61,[2]Input!$K$63,[2]Input!$K$67,[2]Input!#REF!,[2]Input!#REF!,[2]Input!#REF!,[2]Input!$K$64,[2]Input!$K$38,[2]Input!$K$39,[2]Input!$K$40</definedName>
    <definedName name="ClrInptfrEst" localSheetId="2">[2]Input!$K$60,[2]Input!$K$61,[2]Input!$K$63,[2]Input!$K$67,[2]Input!#REF!,[2]Input!#REF!,[2]Input!#REF!,[2]Input!$K$64,[2]Input!$K$38,[2]Input!$K$39,[2]Input!$K$40</definedName>
    <definedName name="ClrInptfrEst" localSheetId="3">[2]Input!$K$60,[2]Input!$K$61,[2]Input!$K$63,[2]Input!$K$67,[2]Input!#REF!,[2]Input!#REF!,[2]Input!#REF!,[2]Input!$K$64,[2]Input!$K$38,[2]Input!$K$39,[2]Input!$K$40</definedName>
    <definedName name="ClrInptfrEst" localSheetId="12">[2]Input!$K$60,[2]Input!$K$61,[2]Input!$K$63,[2]Input!$K$67,[2]Input!#REF!,[2]Input!#REF!,[2]Input!#REF!,[2]Input!$K$64,[2]Input!$K$38,[2]Input!$K$39,[2]Input!$K$40</definedName>
    <definedName name="ClrInptfrEst" localSheetId="11">[2]Input!$K$60,[2]Input!$K$61,[2]Input!$K$63,[2]Input!$K$67,[2]Input!#REF!,[2]Input!#REF!,[2]Input!#REF!,[2]Input!$K$64,[2]Input!$K$38,[2]Input!$K$39,[2]Input!$K$40</definedName>
    <definedName name="ClrInptfrEst" localSheetId="9">[2]Input!$K$60,[2]Input!$K$61,[2]Input!$K$63,[2]Input!$K$67,[2]Input!#REF!,[2]Input!#REF!,[2]Input!#REF!,[2]Input!$K$64,[2]Input!$K$38,[2]Input!$K$39,[2]Input!$K$40</definedName>
    <definedName name="ClrInptfrEst" localSheetId="10">[2]Input!$K$60,[2]Input!$K$61,[2]Input!$K$63,[2]Input!$K$67,[2]Input!#REF!,[2]Input!#REF!,[2]Input!#REF!,[2]Input!$K$64,[2]Input!$K$38,[2]Input!$K$39,[2]Input!$K$40</definedName>
    <definedName name="ClrInptfrEst">[2]Input!$K$60,[2]Input!$K$61,[2]Input!$K$63,[2]Input!$K$67,[2]Input!#REF!,[2]Input!#REF!,[2]Input!#REF!,[2]Input!$K$64,[2]Input!$K$38,[2]Input!$K$39,[2]Input!$K$40</definedName>
    <definedName name="CurBillMonth" localSheetId="4">[1]Input!$K$4</definedName>
    <definedName name="CurBillMonth" localSheetId="56">#REF!</definedName>
    <definedName name="CurBillMonth" localSheetId="2">#REF!</definedName>
    <definedName name="CurBillMonth" localSheetId="3">#REF!</definedName>
    <definedName name="CurBillMonth" localSheetId="12">#REF!</definedName>
    <definedName name="CurBillMonth" localSheetId="11">#REF!</definedName>
    <definedName name="CurBillMonth">#REF!</definedName>
    <definedName name="DataCol_01" localSheetId="56">#REF!</definedName>
    <definedName name="DataCol_01" localSheetId="2">#REF!</definedName>
    <definedName name="DataCol_01" localSheetId="3">#REF!</definedName>
    <definedName name="DataCol_01" localSheetId="12">#REF!</definedName>
    <definedName name="DataCol_01" localSheetId="11">#REF!</definedName>
    <definedName name="DataCol_01">#REF!</definedName>
    <definedName name="DataCol_01_02" localSheetId="56">#REF!</definedName>
    <definedName name="DataCol_01_02" localSheetId="2">#REF!</definedName>
    <definedName name="DataCol_01_02" localSheetId="3">#REF!</definedName>
    <definedName name="DataCol_01_02" localSheetId="12">#REF!</definedName>
    <definedName name="DataCol_01_02" localSheetId="11">#REF!</definedName>
    <definedName name="DataCol_01_02">#REF!</definedName>
    <definedName name="DataCol_02" localSheetId="56">#REF!</definedName>
    <definedName name="DataCol_02" localSheetId="2">#REF!</definedName>
    <definedName name="DataCol_02" localSheetId="3">#REF!</definedName>
    <definedName name="DataCol_02" localSheetId="12">#REF!</definedName>
    <definedName name="DataCol_02" localSheetId="11">#REF!</definedName>
    <definedName name="DataCol_02">#REF!</definedName>
    <definedName name="DataCol_02_02" localSheetId="56">#REF!</definedName>
    <definedName name="DataCol_02_02" localSheetId="2">#REF!</definedName>
    <definedName name="DataCol_02_02" localSheetId="3">#REF!</definedName>
    <definedName name="DataCol_02_02" localSheetId="12">#REF!</definedName>
    <definedName name="DataCol_02_02" localSheetId="11">#REF!</definedName>
    <definedName name="DataCol_02_02">#REF!</definedName>
    <definedName name="DataCol_03" localSheetId="56">#REF!</definedName>
    <definedName name="DataCol_03" localSheetId="2">#REF!</definedName>
    <definedName name="DataCol_03" localSheetId="3">#REF!</definedName>
    <definedName name="DataCol_03" localSheetId="12">#REF!</definedName>
    <definedName name="DataCol_03" localSheetId="11">#REF!</definedName>
    <definedName name="DataCol_03">#REF!</definedName>
    <definedName name="DataCol_03_02" localSheetId="56">#REF!</definedName>
    <definedName name="DataCol_03_02" localSheetId="2">#REF!</definedName>
    <definedName name="DataCol_03_02" localSheetId="3">#REF!</definedName>
    <definedName name="DataCol_03_02" localSheetId="12">#REF!</definedName>
    <definedName name="DataCol_03_02" localSheetId="11">#REF!</definedName>
    <definedName name="DataCol_03_02">#REF!</definedName>
    <definedName name="DataCol_04" localSheetId="56">#REF!</definedName>
    <definedName name="DataCol_04" localSheetId="2">#REF!</definedName>
    <definedName name="DataCol_04" localSheetId="3">#REF!</definedName>
    <definedName name="DataCol_04" localSheetId="12">#REF!</definedName>
    <definedName name="DataCol_04" localSheetId="11">#REF!</definedName>
    <definedName name="DataCol_04">#REF!</definedName>
    <definedName name="DataCol_05" localSheetId="56">#REF!</definedName>
    <definedName name="DataCol_05" localSheetId="2">#REF!</definedName>
    <definedName name="DataCol_05" localSheetId="3">#REF!</definedName>
    <definedName name="DataCol_05" localSheetId="12">#REF!</definedName>
    <definedName name="DataCol_05" localSheetId="11">#REF!</definedName>
    <definedName name="DataCol_05">#REF!</definedName>
    <definedName name="DataCol_06" localSheetId="56">#REF!</definedName>
    <definedName name="DataCol_06" localSheetId="2">#REF!</definedName>
    <definedName name="DataCol_06" localSheetId="3">#REF!</definedName>
    <definedName name="DataCol_06" localSheetId="12">#REF!</definedName>
    <definedName name="DataCol_06" localSheetId="11">#REF!</definedName>
    <definedName name="DataCol_06">#REF!</definedName>
    <definedName name="DataCol_07" localSheetId="56">#REF!</definedName>
    <definedName name="DataCol_07" localSheetId="2">#REF!</definedName>
    <definedName name="DataCol_07" localSheetId="3">#REF!</definedName>
    <definedName name="DataCol_07" localSheetId="12">#REF!</definedName>
    <definedName name="DataCol_07" localSheetId="11">#REF!</definedName>
    <definedName name="DataCol_07">#REF!</definedName>
    <definedName name="DataCol_08" localSheetId="56">#REF!</definedName>
    <definedName name="DataCol_08" localSheetId="2">#REF!</definedName>
    <definedName name="DataCol_08" localSheetId="3">#REF!</definedName>
    <definedName name="DataCol_08" localSheetId="12">#REF!</definedName>
    <definedName name="DataCol_08" localSheetId="11">#REF!</definedName>
    <definedName name="DataCol_08">#REF!</definedName>
    <definedName name="DataCol_09" localSheetId="56">#REF!</definedName>
    <definedName name="DataCol_09" localSheetId="2">#REF!</definedName>
    <definedName name="DataCol_09" localSheetId="3">#REF!</definedName>
    <definedName name="DataCol_09" localSheetId="12">#REF!</definedName>
    <definedName name="DataCol_09" localSheetId="11">#REF!</definedName>
    <definedName name="DataCol_09">#REF!</definedName>
    <definedName name="DataCol_10" localSheetId="56">#REF!</definedName>
    <definedName name="DataCol_10" localSheetId="2">#REF!</definedName>
    <definedName name="DataCol_10" localSheetId="3">#REF!</definedName>
    <definedName name="DataCol_10" localSheetId="12">#REF!</definedName>
    <definedName name="DataCol_10" localSheetId="11">#REF!</definedName>
    <definedName name="DataCol_10">#REF!</definedName>
    <definedName name="DataCol_11" localSheetId="56">#REF!</definedName>
    <definedName name="DataCol_11" localSheetId="2">#REF!</definedName>
    <definedName name="DataCol_11" localSheetId="3">#REF!</definedName>
    <definedName name="DataCol_11" localSheetId="12">#REF!</definedName>
    <definedName name="DataCol_11" localSheetId="11">#REF!</definedName>
    <definedName name="DataCol_11">#REF!</definedName>
    <definedName name="DataCol_12" localSheetId="56">#REF!</definedName>
    <definedName name="DataCol_12" localSheetId="2">#REF!</definedName>
    <definedName name="DataCol_12" localSheetId="3">#REF!</definedName>
    <definedName name="DataCol_12" localSheetId="12">#REF!</definedName>
    <definedName name="DataCol_12" localSheetId="11">#REF!</definedName>
    <definedName name="DataCol_12">#REF!</definedName>
    <definedName name="DataCol_13" localSheetId="56">#REF!</definedName>
    <definedName name="DataCol_13" localSheetId="2">#REF!</definedName>
    <definedName name="DataCol_13" localSheetId="3">#REF!</definedName>
    <definedName name="DataCol_13" localSheetId="12">#REF!</definedName>
    <definedName name="DataCol_13" localSheetId="11">#REF!</definedName>
    <definedName name="DataCol_13">#REF!</definedName>
    <definedName name="DataCol_14" localSheetId="56">#REF!</definedName>
    <definedName name="DataCol_14" localSheetId="2">#REF!</definedName>
    <definedName name="DataCol_14" localSheetId="3">#REF!</definedName>
    <definedName name="DataCol_14" localSheetId="12">#REF!</definedName>
    <definedName name="DataCol_14" localSheetId="11">#REF!</definedName>
    <definedName name="DataCol_14">#REF!</definedName>
    <definedName name="DataCol_15" localSheetId="56">#REF!</definedName>
    <definedName name="DataCol_15" localSheetId="2">#REF!</definedName>
    <definedName name="DataCol_15" localSheetId="3">#REF!</definedName>
    <definedName name="DataCol_15" localSheetId="12">#REF!</definedName>
    <definedName name="DataCol_15" localSheetId="11">#REF!</definedName>
    <definedName name="DataCol_15">#REF!</definedName>
    <definedName name="DataCol_16" localSheetId="56">#REF!</definedName>
    <definedName name="DataCol_16" localSheetId="2">#REF!</definedName>
    <definedName name="DataCol_16" localSheetId="3">#REF!</definedName>
    <definedName name="DataCol_16" localSheetId="12">#REF!</definedName>
    <definedName name="DataCol_16" localSheetId="11">#REF!</definedName>
    <definedName name="DataCol_16">#REF!</definedName>
    <definedName name="DataCol_17" localSheetId="56">#REF!</definedName>
    <definedName name="DataCol_17" localSheetId="2">#REF!</definedName>
    <definedName name="DataCol_17" localSheetId="3">#REF!</definedName>
    <definedName name="DataCol_17" localSheetId="12">#REF!</definedName>
    <definedName name="DataCol_17" localSheetId="11">#REF!</definedName>
    <definedName name="DataCol_17">#REF!</definedName>
    <definedName name="DataCol_18" localSheetId="56">#REF!</definedName>
    <definedName name="DataCol_18" localSheetId="2">#REF!</definedName>
    <definedName name="DataCol_18" localSheetId="3">#REF!</definedName>
    <definedName name="DataCol_18" localSheetId="12">#REF!</definedName>
    <definedName name="DataCol_18" localSheetId="11">#REF!</definedName>
    <definedName name="DataCol_18">#REF!</definedName>
    <definedName name="DataCol_19" localSheetId="56">#REF!</definedName>
    <definedName name="DataCol_19" localSheetId="2">#REF!</definedName>
    <definedName name="DataCol_19" localSheetId="3">#REF!</definedName>
    <definedName name="DataCol_19" localSheetId="12">#REF!</definedName>
    <definedName name="DataCol_19" localSheetId="11">#REF!</definedName>
    <definedName name="DataCol_19">#REF!</definedName>
    <definedName name="DataCol_20" localSheetId="56">#REF!</definedName>
    <definedName name="DataCol_20" localSheetId="2">#REF!</definedName>
    <definedName name="DataCol_20" localSheetId="3">#REF!</definedName>
    <definedName name="DataCol_20" localSheetId="12">#REF!</definedName>
    <definedName name="DataCol_20" localSheetId="11">#REF!</definedName>
    <definedName name="DataCol_20">#REF!</definedName>
    <definedName name="DataCol_21" localSheetId="56">#REF!</definedName>
    <definedName name="DataCol_21" localSheetId="2">#REF!</definedName>
    <definedName name="DataCol_21" localSheetId="3">#REF!</definedName>
    <definedName name="DataCol_21" localSheetId="12">#REF!</definedName>
    <definedName name="DataCol_21" localSheetId="11">#REF!</definedName>
    <definedName name="DataCol_21">#REF!</definedName>
    <definedName name="DataCol_22" localSheetId="56">#REF!</definedName>
    <definedName name="DataCol_22" localSheetId="2">#REF!</definedName>
    <definedName name="DataCol_22" localSheetId="3">#REF!</definedName>
    <definedName name="DataCol_22" localSheetId="12">#REF!</definedName>
    <definedName name="DataCol_22" localSheetId="11">#REF!</definedName>
    <definedName name="DataCol_22">#REF!</definedName>
    <definedName name="DataCol_23" localSheetId="56">#REF!</definedName>
    <definedName name="DataCol_23" localSheetId="2">#REF!</definedName>
    <definedName name="DataCol_23" localSheetId="3">#REF!</definedName>
    <definedName name="DataCol_23" localSheetId="12">#REF!</definedName>
    <definedName name="DataCol_23" localSheetId="11">#REF!</definedName>
    <definedName name="DataCol_23">#REF!</definedName>
    <definedName name="DataCol_24" localSheetId="56">#REF!</definedName>
    <definedName name="DataCol_24" localSheetId="2">#REF!</definedName>
    <definedName name="DataCol_24" localSheetId="3">#REF!</definedName>
    <definedName name="DataCol_24" localSheetId="12">#REF!</definedName>
    <definedName name="DataCol_24" localSheetId="11">#REF!</definedName>
    <definedName name="DataCol_24">#REF!</definedName>
    <definedName name="DataCol_25" localSheetId="56">#REF!</definedName>
    <definedName name="DataCol_25" localSheetId="2">#REF!</definedName>
    <definedName name="DataCol_25" localSheetId="3">#REF!</definedName>
    <definedName name="DataCol_25" localSheetId="12">#REF!</definedName>
    <definedName name="DataCol_25" localSheetId="11">#REF!</definedName>
    <definedName name="DataCol_25">#REF!</definedName>
    <definedName name="DataCol_26" localSheetId="56">#REF!</definedName>
    <definedName name="DataCol_26" localSheetId="2">#REF!</definedName>
    <definedName name="DataCol_26" localSheetId="3">#REF!</definedName>
    <definedName name="DataCol_26" localSheetId="12">#REF!</definedName>
    <definedName name="DataCol_26" localSheetId="11">#REF!</definedName>
    <definedName name="DataCol_26">#REF!</definedName>
    <definedName name="DataCol_27" localSheetId="56">#REF!</definedName>
    <definedName name="DataCol_27" localSheetId="2">#REF!</definedName>
    <definedName name="DataCol_27" localSheetId="3">#REF!</definedName>
    <definedName name="DataCol_27" localSheetId="12">#REF!</definedName>
    <definedName name="DataCol_27" localSheetId="11">#REF!</definedName>
    <definedName name="DataCol_27">#REF!</definedName>
    <definedName name="DataCol_28" localSheetId="56">#REF!</definedName>
    <definedName name="DataCol_28" localSheetId="2">#REF!</definedName>
    <definedName name="DataCol_28" localSheetId="3">#REF!</definedName>
    <definedName name="DataCol_28" localSheetId="12">#REF!</definedName>
    <definedName name="DataCol_28" localSheetId="11">#REF!</definedName>
    <definedName name="DataCol_28">#REF!</definedName>
    <definedName name="DataCol_29" localSheetId="56">#REF!</definedName>
    <definedName name="DataCol_29" localSheetId="2">#REF!</definedName>
    <definedName name="DataCol_29" localSheetId="3">#REF!</definedName>
    <definedName name="DataCol_29" localSheetId="12">#REF!</definedName>
    <definedName name="DataCol_29" localSheetId="11">#REF!</definedName>
    <definedName name="DataCol_29">#REF!</definedName>
    <definedName name="DataCol_30" localSheetId="56">#REF!</definedName>
    <definedName name="DataCol_30" localSheetId="2">#REF!</definedName>
    <definedName name="DataCol_30" localSheetId="3">#REF!</definedName>
    <definedName name="DataCol_30" localSheetId="12">#REF!</definedName>
    <definedName name="DataCol_30" localSheetId="11">#REF!</definedName>
    <definedName name="DataCol_30">#REF!</definedName>
    <definedName name="DataCol_31" localSheetId="56">#REF!</definedName>
    <definedName name="DataCol_31" localSheetId="2">#REF!</definedName>
    <definedName name="DataCol_31" localSheetId="3">#REF!</definedName>
    <definedName name="DataCol_31" localSheetId="12">#REF!</definedName>
    <definedName name="DataCol_31" localSheetId="11">#REF!</definedName>
    <definedName name="DataCol_31">#REF!</definedName>
    <definedName name="DataCol_32" localSheetId="56">#REF!</definedName>
    <definedName name="DataCol_32" localSheetId="2">#REF!</definedName>
    <definedName name="DataCol_32" localSheetId="3">#REF!</definedName>
    <definedName name="DataCol_32" localSheetId="12">#REF!</definedName>
    <definedName name="DataCol_32" localSheetId="11">#REF!</definedName>
    <definedName name="DataCol_32">#REF!</definedName>
    <definedName name="DataCol_33" localSheetId="56">#REF!</definedName>
    <definedName name="DataCol_33" localSheetId="2">#REF!</definedName>
    <definedName name="DataCol_33" localSheetId="3">#REF!</definedName>
    <definedName name="DataCol_33" localSheetId="12">#REF!</definedName>
    <definedName name="DataCol_33" localSheetId="11">#REF!</definedName>
    <definedName name="DataCol_33">#REF!</definedName>
    <definedName name="DataCol_34" localSheetId="56">#REF!</definedName>
    <definedName name="DataCol_34" localSheetId="2">#REF!</definedName>
    <definedName name="DataCol_34" localSheetId="3">#REF!</definedName>
    <definedName name="DataCol_34" localSheetId="12">#REF!</definedName>
    <definedName name="DataCol_34" localSheetId="11">#REF!</definedName>
    <definedName name="DataCol_34">#REF!</definedName>
    <definedName name="DataCol_35" localSheetId="56">#REF!</definedName>
    <definedName name="DataCol_35" localSheetId="2">#REF!</definedName>
    <definedName name="DataCol_35" localSheetId="3">#REF!</definedName>
    <definedName name="DataCol_35" localSheetId="12">#REF!</definedName>
    <definedName name="DataCol_35" localSheetId="11">#REF!</definedName>
    <definedName name="DataCol_35">#REF!</definedName>
    <definedName name="DataCol_36" localSheetId="56">#REF!</definedName>
    <definedName name="DataCol_36" localSheetId="2">#REF!</definedName>
    <definedName name="DataCol_36" localSheetId="3">#REF!</definedName>
    <definedName name="DataCol_36" localSheetId="12">#REF!</definedName>
    <definedName name="DataCol_36" localSheetId="11">#REF!</definedName>
    <definedName name="DataCol_36">#REF!</definedName>
    <definedName name="DataCol_37" localSheetId="56">#REF!</definedName>
    <definedName name="DataCol_37" localSheetId="2">#REF!</definedName>
    <definedName name="DataCol_37" localSheetId="3">#REF!</definedName>
    <definedName name="DataCol_37" localSheetId="12">#REF!</definedName>
    <definedName name="DataCol_37" localSheetId="11">#REF!</definedName>
    <definedName name="DataCol_37">#REF!</definedName>
    <definedName name="DataCol_38" localSheetId="56">#REF!</definedName>
    <definedName name="DataCol_38" localSheetId="2">#REF!</definedName>
    <definedName name="DataCol_38" localSheetId="3">#REF!</definedName>
    <definedName name="DataCol_38" localSheetId="12">#REF!</definedName>
    <definedName name="DataCol_38" localSheetId="11">#REF!</definedName>
    <definedName name="DataCol_38">#REF!</definedName>
    <definedName name="DataCol_39" localSheetId="56">#REF!</definedName>
    <definedName name="DataCol_39" localSheetId="2">#REF!</definedName>
    <definedName name="DataCol_39" localSheetId="3">#REF!</definedName>
    <definedName name="DataCol_39" localSheetId="12">#REF!</definedName>
    <definedName name="DataCol_39" localSheetId="11">#REF!</definedName>
    <definedName name="DataCol_39">#REF!</definedName>
    <definedName name="DataCol_40" localSheetId="56">#REF!</definedName>
    <definedName name="DataCol_40" localSheetId="2">#REF!</definedName>
    <definedName name="DataCol_40" localSheetId="3">#REF!</definedName>
    <definedName name="DataCol_40" localSheetId="12">#REF!</definedName>
    <definedName name="DataCol_40" localSheetId="11">#REF!</definedName>
    <definedName name="DataCol_40">#REF!</definedName>
    <definedName name="DataCol_41" localSheetId="56">#REF!</definedName>
    <definedName name="DataCol_41" localSheetId="2">#REF!</definedName>
    <definedName name="DataCol_41" localSheetId="3">#REF!</definedName>
    <definedName name="DataCol_41" localSheetId="12">#REF!</definedName>
    <definedName name="DataCol_41" localSheetId="11">#REF!</definedName>
    <definedName name="DataCol_41">#REF!</definedName>
    <definedName name="DataCol_42" localSheetId="56">#REF!</definedName>
    <definedName name="DataCol_42" localSheetId="2">#REF!</definedName>
    <definedName name="DataCol_42" localSheetId="3">#REF!</definedName>
    <definedName name="DataCol_42" localSheetId="12">#REF!</definedName>
    <definedName name="DataCol_42" localSheetId="11">#REF!</definedName>
    <definedName name="DataCol_42">#REF!</definedName>
    <definedName name="DataCol_43" localSheetId="56">#REF!</definedName>
    <definedName name="DataCol_43" localSheetId="2">#REF!</definedName>
    <definedName name="DataCol_43" localSheetId="3">#REF!</definedName>
    <definedName name="DataCol_43" localSheetId="12">#REF!</definedName>
    <definedName name="DataCol_43" localSheetId="11">#REF!</definedName>
    <definedName name="DataCol_43">#REF!</definedName>
    <definedName name="DataCol_44" localSheetId="56">#REF!</definedName>
    <definedName name="DataCol_44" localSheetId="2">#REF!</definedName>
    <definedName name="DataCol_44" localSheetId="3">#REF!</definedName>
    <definedName name="DataCol_44" localSheetId="12">#REF!</definedName>
    <definedName name="DataCol_44" localSheetId="11">#REF!</definedName>
    <definedName name="DataCol_44">#REF!</definedName>
    <definedName name="DataCol_45" localSheetId="56">#REF!</definedName>
    <definedName name="DataCol_45" localSheetId="2">#REF!</definedName>
    <definedName name="DataCol_45" localSheetId="3">#REF!</definedName>
    <definedName name="DataCol_45" localSheetId="12">#REF!</definedName>
    <definedName name="DataCol_45" localSheetId="11">#REF!</definedName>
    <definedName name="DataCol_45">#REF!</definedName>
    <definedName name="DataCol_46" localSheetId="56">#REF!</definedName>
    <definedName name="DataCol_46" localSheetId="2">#REF!</definedName>
    <definedName name="DataCol_46" localSheetId="3">#REF!</definedName>
    <definedName name="DataCol_46" localSheetId="12">#REF!</definedName>
    <definedName name="DataCol_46" localSheetId="11">#REF!</definedName>
    <definedName name="DataCol_46">#REF!</definedName>
    <definedName name="DataCol_47" localSheetId="56">#REF!</definedName>
    <definedName name="DataCol_47" localSheetId="2">#REF!</definedName>
    <definedName name="DataCol_47" localSheetId="3">#REF!</definedName>
    <definedName name="DataCol_47" localSheetId="12">#REF!</definedName>
    <definedName name="DataCol_47" localSheetId="11">#REF!</definedName>
    <definedName name="DataCol_47">#REF!</definedName>
    <definedName name="DataCol_48" localSheetId="56">#REF!</definedName>
    <definedName name="DataCol_48" localSheetId="2">#REF!</definedName>
    <definedName name="DataCol_48" localSheetId="3">#REF!</definedName>
    <definedName name="DataCol_48" localSheetId="12">#REF!</definedName>
    <definedName name="DataCol_48" localSheetId="11">#REF!</definedName>
    <definedName name="DataCol_48">#REF!</definedName>
    <definedName name="DataCol_49" localSheetId="56">#REF!</definedName>
    <definedName name="DataCol_49" localSheetId="2">#REF!</definedName>
    <definedName name="DataCol_49" localSheetId="3">#REF!</definedName>
    <definedName name="DataCol_49" localSheetId="12">#REF!</definedName>
    <definedName name="DataCol_49" localSheetId="11">#REF!</definedName>
    <definedName name="DataCol_49">#REF!</definedName>
    <definedName name="DistrItemsTableAll">[3]Data!$O$77:$CJ$132</definedName>
    <definedName name="InputItemsTable" localSheetId="56">#REF!</definedName>
    <definedName name="InputItemsTable" localSheetId="2">#REF!</definedName>
    <definedName name="InputItemsTable" localSheetId="3">#REF!</definedName>
    <definedName name="InputItemsTable" localSheetId="12">#REF!</definedName>
    <definedName name="InputItemsTable" localSheetId="11">#REF!</definedName>
    <definedName name="InputItemsTable">#REF!</definedName>
    <definedName name="InputSec_01" localSheetId="56">#REF!</definedName>
    <definedName name="InputSec_01" localSheetId="2">#REF!</definedName>
    <definedName name="InputSec_01" localSheetId="3">#REF!</definedName>
    <definedName name="InputSec_01" localSheetId="12">#REF!</definedName>
    <definedName name="InputSec_01" localSheetId="11">#REF!</definedName>
    <definedName name="InputSec_01">#REF!</definedName>
    <definedName name="InputSec_02A" localSheetId="56">#REF!</definedName>
    <definedName name="InputSec_02A" localSheetId="2">#REF!</definedName>
    <definedName name="InputSec_02A" localSheetId="3">#REF!</definedName>
    <definedName name="InputSec_02A" localSheetId="12">#REF!</definedName>
    <definedName name="InputSec_02A" localSheetId="11">#REF!</definedName>
    <definedName name="InputSec_02A">#REF!</definedName>
    <definedName name="InputSec_02B" localSheetId="56">#REF!</definedName>
    <definedName name="InputSec_02B" localSheetId="2">#REF!</definedName>
    <definedName name="InputSec_02B" localSheetId="3">#REF!</definedName>
    <definedName name="InputSec_02B" localSheetId="12">#REF!</definedName>
    <definedName name="InputSec_02B" localSheetId="11">#REF!</definedName>
    <definedName name="InputSec_02B">#REF!</definedName>
    <definedName name="InputSec_02C" localSheetId="56">#REF!</definedName>
    <definedName name="InputSec_02C" localSheetId="2">#REF!</definedName>
    <definedName name="InputSec_02C" localSheetId="3">#REF!</definedName>
    <definedName name="InputSec_02C" localSheetId="12">#REF!</definedName>
    <definedName name="InputSec_02C" localSheetId="11">#REF!</definedName>
    <definedName name="InputSec_02C">#REF!</definedName>
    <definedName name="NextBillMonth" localSheetId="56">#REF!</definedName>
    <definedName name="NextBillMonth" localSheetId="2">#REF!</definedName>
    <definedName name="NextBillMonth" localSheetId="3">#REF!</definedName>
    <definedName name="NextBillMonth" localSheetId="12">#REF!</definedName>
    <definedName name="NextBillMonth" localSheetId="11">#REF!</definedName>
    <definedName name="NextBillMonth">#REF!</definedName>
    <definedName name="_xlnm.Print_Area" localSheetId="41">'202001 Bk Depr'!$A$1:$R$39</definedName>
    <definedName name="_xlnm.Print_Area" localSheetId="18">'202101 Bk Depr'!$A$1:$R$39</definedName>
    <definedName name="_xlnm.Print_Area" localSheetId="19">'202102 Bk Depr'!$A$1:$R$39</definedName>
    <definedName name="_xlnm.Print_Area" localSheetId="20">'202103 Bk Depr'!$A$1:$R$39</definedName>
    <definedName name="_xlnm.Print_Area" localSheetId="21">'202104 Bk Depr'!$A$1:$R$39</definedName>
    <definedName name="_xlnm.Print_Area" localSheetId="22">'202105 Bk Depr'!$A$1:$R$39</definedName>
    <definedName name="_xlnm.Print_Area" localSheetId="23">'202106 Bk Depr'!$A$1:$R$39</definedName>
    <definedName name="_xlnm.Print_Area" localSheetId="24">'202107 Bk Depr'!$A$1:$R$39</definedName>
    <definedName name="_xlnm.Print_Area" localSheetId="25">'202108 Bk Depr'!$A$1:$R$39</definedName>
    <definedName name="_xlnm.Print_Area" localSheetId="26">'202109 Bk Depr'!$A$1:$R$39</definedName>
    <definedName name="_xlnm.Print_Area" localSheetId="27">'202110 Bk Depr'!$A$1:$R$39</definedName>
    <definedName name="_xlnm.Print_Area" localSheetId="28">'202111 Bk Depr'!$A$1:$R$39</definedName>
    <definedName name="_xlnm.Print_Area" localSheetId="29">'202112 Bk Depr'!$A$1:$R$39</definedName>
    <definedName name="_xlnm.Print_Area" localSheetId="17">'Cap&amp;OpEx 2021'!$A$1:$O$34</definedName>
    <definedName name="_xlnm.Print_Area" localSheetId="105">'Capital Budget 2017'!$A$1:$S$77</definedName>
    <definedName name="_xlnm.Print_Area" localSheetId="4">'Class Allocation'!$A$1:$I$44</definedName>
    <definedName name="_xlnm.Print_Area" localSheetId="2">'Cover - Exhibit 1'!$B$3:$I$38</definedName>
    <definedName name="_xlnm.Print_Area" localSheetId="3">'Cover - Exhibit 2'!$B$3:$I$40</definedName>
    <definedName name="_xlnm.Print_Area" localSheetId="6">'Cover - Exhibit 3'!$B$3:$I$42</definedName>
    <definedName name="_xlnm.Print_Area" localSheetId="12">'Cover - Exhibit 4'!$B$3:$I$42</definedName>
    <definedName name="_xlnm.Print_Area" localSheetId="9">'Net Assets'!$A$1:$J$54</definedName>
    <definedName name="_xlnm.Print_Area" localSheetId="10">OpEx!$A$1:$F$44</definedName>
    <definedName name="_xlnm.Print_Area" localSheetId="7">'OU Collection'!$A$1:$H$44</definedName>
    <definedName name="_xlnm.Print_Area" localSheetId="95">'Rev Req 2017-Distr'!$A$1:$Q$31</definedName>
    <definedName name="_xlnm.Print_Area" localSheetId="96">'Rev Req 2017-Trans'!$A$1:$Q$31</definedName>
    <definedName name="_xlnm.Print_Area" localSheetId="77">'Rev Req 2018-Distr'!$A$1:$Q$35</definedName>
    <definedName name="_xlnm.Print_Area" localSheetId="78">'Rev Req 2018-Trans'!$A$1:$Q$35</definedName>
    <definedName name="_xlnm.Print_Area" localSheetId="59">'Rev Req 2019-Distr'!$A$1:$Q$35</definedName>
    <definedName name="_xlnm.Print_Area" localSheetId="60">'Rev Req 2019-Trans'!$A$1:$Q$35</definedName>
    <definedName name="_xlnm.Print_Area" localSheetId="37">'Rev Req 2020-Distr'!$A$1:$Q$35</definedName>
    <definedName name="_xlnm.Print_Area" localSheetId="38">'Rev Req 2020-Trans'!$A$1:$Q$35</definedName>
    <definedName name="_xlnm.Print_Area" localSheetId="14">'Rev Req 2021-Distr'!$A$1:$T$35</definedName>
    <definedName name="_xlnm.Print_Area" localSheetId="15">'Rev Req 2021-Trans'!$A$1:$T$35</definedName>
    <definedName name="_xlnm.Print_Area" localSheetId="8">RevReq!$A$1:$K$50</definedName>
    <definedName name="_xlnm.Print_Area" localSheetId="92">'Tax Depr 2018'!$A$1:$T$49</definedName>
    <definedName name="_xlnm.Print_Area" localSheetId="74">'Tax Depr 2019'!$A$1:$U$50</definedName>
    <definedName name="_xlnm.Print_Area" localSheetId="53">'Tax Depr 2020-Dist'!$A$1:$W$94</definedName>
    <definedName name="_xlnm.Print_Area" localSheetId="54">'Tax Depr 2020-Trans'!$A$1:$T$87</definedName>
    <definedName name="_xlnm.Print_Area" localSheetId="30">'Tax Depr 2021-Dist'!$A$1:$X$95</definedName>
    <definedName name="_xlnm.Print_Area" localSheetId="31">'Tax Depr 2021-Trans'!$A$1:$U$89</definedName>
    <definedName name="_xlnm.Print_Titles" localSheetId="4">'Class Allocation'!$B:$B</definedName>
    <definedName name="ReptItemsTableAll" localSheetId="4">[4]Data!$O$85:$BK$134</definedName>
    <definedName name="ReptItemsTableAll">[4]Data!$O$85:$BK$134</definedName>
    <definedName name="RevCas1AllInp" localSheetId="4">[1]Input!#REF!,[1]Input!#REF!,[1]Input!#REF!,[1]Input!#REF!,[1]Input!#REF!,[1]Input!#REF!,[1]Input!#REF!,[1]Input!#REF!,[1]Input!#REF!,[1]Input!#REF!,[1]Input!#REF!</definedName>
    <definedName name="RevCas1AllInp" localSheetId="56">#REF!,#REF!,#REF!,#REF!,#REF!,#REF!,#REF!,#REF!,#REF!,#REF!,#REF!</definedName>
    <definedName name="RevCas1AllInp" localSheetId="2">#REF!,#REF!,#REF!,#REF!,#REF!,#REF!,#REF!,#REF!,#REF!,#REF!,#REF!</definedName>
    <definedName name="RevCas1AllInp" localSheetId="3">#REF!,#REF!,#REF!,#REF!,#REF!,#REF!,#REF!,#REF!,#REF!,#REF!,#REF!</definedName>
    <definedName name="RevCas1AllInp" localSheetId="12">#REF!,#REF!,#REF!,#REF!,#REF!,#REF!,#REF!,#REF!,#REF!,#REF!,#REF!</definedName>
    <definedName name="RevCas1AllInp" localSheetId="11">#REF!,#REF!,#REF!,#REF!,#REF!,#REF!,#REF!,#REF!,#REF!,#REF!,#REF!</definedName>
    <definedName name="RevCas1AllInp" localSheetId="9">#REF!,#REF!,#REF!,#REF!,#REF!,#REF!,#REF!,#REF!,#REF!,#REF!,#REF!</definedName>
    <definedName name="RevCas1AllInp" localSheetId="10">#REF!,#REF!,#REF!,#REF!,#REF!,#REF!,#REF!,#REF!,#REF!,#REF!,#REF!</definedName>
    <definedName name="RevCas1AllInp">#REF!,#REF!,#REF!,#REF!,#REF!,#REF!,#REF!,#REF!,#REF!,#REF!,#REF!</definedName>
    <definedName name="RevCas1AmortAmt1">[2]Input!$K$110</definedName>
    <definedName name="RevCas1AmortAmt2">[2]Input!$K$112</definedName>
    <definedName name="RevCas1AmortAmt3">[2]Input!$K$114</definedName>
    <definedName name="RevCas1AmortPer1">[2]Input!$Q$110</definedName>
    <definedName name="RevCas1AmortPer2">[2]Input!$Q$112</definedName>
    <definedName name="RevCas1AmortPer3">[2]Input!$Q$114</definedName>
    <definedName name="RevCas1Bal">[2]Input!$G$110</definedName>
    <definedName name="RevCas2AllInp" localSheetId="4">[1]Input!#REF!,[1]Input!#REF!,[1]Input!#REF!,[1]Input!#REF!,[1]Input!#REF!,[1]Input!#REF!,[1]Input!#REF!,[1]Input!#REF!,[1]Input!#REF!,[1]Input!#REF!,[1]Input!#REF!</definedName>
    <definedName name="RevCas2AllInp" localSheetId="56">#REF!,#REF!,#REF!,#REF!,#REF!,#REF!,#REF!,#REF!,#REF!,#REF!,#REF!</definedName>
    <definedName name="RevCas2AllInp" localSheetId="2">#REF!,#REF!,#REF!,#REF!,#REF!,#REF!,#REF!,#REF!,#REF!,#REF!,#REF!</definedName>
    <definedName name="RevCas2AllInp" localSheetId="3">#REF!,#REF!,#REF!,#REF!,#REF!,#REF!,#REF!,#REF!,#REF!,#REF!,#REF!</definedName>
    <definedName name="RevCas2AllInp" localSheetId="12">#REF!,#REF!,#REF!,#REF!,#REF!,#REF!,#REF!,#REF!,#REF!,#REF!,#REF!</definedName>
    <definedName name="RevCas2AllInp" localSheetId="11">#REF!,#REF!,#REF!,#REF!,#REF!,#REF!,#REF!,#REF!,#REF!,#REF!,#REF!</definedName>
    <definedName name="RevCas2AllInp" localSheetId="9">#REF!,#REF!,#REF!,#REF!,#REF!,#REF!,#REF!,#REF!,#REF!,#REF!,#REF!</definedName>
    <definedName name="RevCas2AllInp" localSheetId="10">#REF!,#REF!,#REF!,#REF!,#REF!,#REF!,#REF!,#REF!,#REF!,#REF!,#REF!</definedName>
    <definedName name="RevCas2AllInp">#REF!,#REF!,#REF!,#REF!,#REF!,#REF!,#REF!,#REF!,#REF!,#REF!,#REF!</definedName>
    <definedName name="RevCas2AmortAmt1">[2]Input!$K$124</definedName>
    <definedName name="RevCas2AmortAmt2" localSheetId="56">#REF!</definedName>
    <definedName name="RevCas2AmortAmt2" localSheetId="2">#REF!</definedName>
    <definedName name="RevCas2AmortAmt2" localSheetId="3">#REF!</definedName>
    <definedName name="RevCas2AmortAmt2" localSheetId="12">#REF!</definedName>
    <definedName name="RevCas2AmortAmt2" localSheetId="11">#REF!</definedName>
    <definedName name="RevCas2AmortAmt2">#REF!</definedName>
    <definedName name="RevCas2AmortAmt3">[2]Input!$K$128</definedName>
    <definedName name="RevCas2AmortPer1">[2]Input!$Q$124</definedName>
    <definedName name="RevCas2AmortPer2" localSheetId="56">#REF!</definedName>
    <definedName name="RevCas2AmortPer2" localSheetId="2">#REF!</definedName>
    <definedName name="RevCas2AmortPer2" localSheetId="3">#REF!</definedName>
    <definedName name="RevCas2AmortPer2" localSheetId="12">#REF!</definedName>
    <definedName name="RevCas2AmortPer2" localSheetId="11">#REF!</definedName>
    <definedName name="RevCas2AmortPer2">#REF!</definedName>
    <definedName name="RevCas2AmortPer3">[2]Input!$Q$128</definedName>
    <definedName name="RevCas2Bal">[2]Input!$G$124</definedName>
    <definedName name="RevCas3AllInp" localSheetId="4">[1]Input!#REF!,[1]Input!#REF!,[1]Input!#REF!,[1]Input!#REF!,[1]Input!#REF!,[1]Input!#REF!,[1]Input!#REF!,[1]Input!#REF!,[1]Input!#REF!,[1]Input!#REF!,[1]Input!#REF!</definedName>
    <definedName name="RevCas3AllInp" localSheetId="56">#REF!,#REF!,#REF!,#REF!,#REF!,#REF!,#REF!,#REF!,#REF!,#REF!,#REF!</definedName>
    <definedName name="RevCas3AllInp" localSheetId="2">#REF!,#REF!,#REF!,#REF!,#REF!,#REF!,#REF!,#REF!,#REF!,#REF!,#REF!</definedName>
    <definedName name="RevCas3AllInp" localSheetId="3">#REF!,#REF!,#REF!,#REF!,#REF!,#REF!,#REF!,#REF!,#REF!,#REF!,#REF!</definedName>
    <definedName name="RevCas3AllInp" localSheetId="12">#REF!,#REF!,#REF!,#REF!,#REF!,#REF!,#REF!,#REF!,#REF!,#REF!,#REF!</definedName>
    <definedName name="RevCas3AllInp" localSheetId="11">#REF!,#REF!,#REF!,#REF!,#REF!,#REF!,#REF!,#REF!,#REF!,#REF!,#REF!</definedName>
    <definedName name="RevCas3AllInp" localSheetId="9">#REF!,#REF!,#REF!,#REF!,#REF!,#REF!,#REF!,#REF!,#REF!,#REF!,#REF!</definedName>
    <definedName name="RevCas3AllInp" localSheetId="10">#REF!,#REF!,#REF!,#REF!,#REF!,#REF!,#REF!,#REF!,#REF!,#REF!,#REF!</definedName>
    <definedName name="RevCas3AllInp">#REF!,#REF!,#REF!,#REF!,#REF!,#REF!,#REF!,#REF!,#REF!,#REF!,#REF!</definedName>
    <definedName name="RevCas3AmortAmt1" localSheetId="56">#REF!</definedName>
    <definedName name="RevCas3AmortAmt1" localSheetId="2">#REF!</definedName>
    <definedName name="RevCas3AmortAmt1" localSheetId="3">#REF!</definedName>
    <definedName name="RevCas3AmortAmt1" localSheetId="12">#REF!</definedName>
    <definedName name="RevCas3AmortAmt1" localSheetId="11">#REF!</definedName>
    <definedName name="RevCas3AmortAmt1">#REF!</definedName>
    <definedName name="RevCas3AmortAmt2" localSheetId="56">#REF!</definedName>
    <definedName name="RevCas3AmortAmt2" localSheetId="2">#REF!</definedName>
    <definedName name="RevCas3AmortAmt2" localSheetId="3">#REF!</definedName>
    <definedName name="RevCas3AmortAmt2" localSheetId="12">#REF!</definedName>
    <definedName name="RevCas3AmortAmt2" localSheetId="11">#REF!</definedName>
    <definedName name="RevCas3AmortAmt2">#REF!</definedName>
    <definedName name="RevCas3AmortPer1" localSheetId="56">#REF!</definedName>
    <definedName name="RevCas3AmortPer1" localSheetId="2">#REF!</definedName>
    <definedName name="RevCas3AmortPer1" localSheetId="3">#REF!</definedName>
    <definedName name="RevCas3AmortPer1" localSheetId="12">#REF!</definedName>
    <definedName name="RevCas3AmortPer1" localSheetId="11">#REF!</definedName>
    <definedName name="RevCas3AmortPer1">#REF!</definedName>
    <definedName name="RevCas3AmortPer2" localSheetId="56">#REF!</definedName>
    <definedName name="RevCas3AmortPer2" localSheetId="2">#REF!</definedName>
    <definedName name="RevCas3AmortPer2" localSheetId="3">#REF!</definedName>
    <definedName name="RevCas3AmortPer2" localSheetId="12">#REF!</definedName>
    <definedName name="RevCas3AmortPer2" localSheetId="11">#REF!</definedName>
    <definedName name="RevCas3AmortPer2">#REF!</definedName>
    <definedName name="RevCas3Bal" localSheetId="56">#REF!</definedName>
    <definedName name="RevCas3Bal" localSheetId="2">#REF!</definedName>
    <definedName name="RevCas3Bal" localSheetId="3">#REF!</definedName>
    <definedName name="RevCas3Bal" localSheetId="12">#REF!</definedName>
    <definedName name="RevCas3Bal" localSheetId="11">#REF!</definedName>
    <definedName name="RevCas3Bal">#REF!</definedName>
    <definedName name="RevCas4AllInp" localSheetId="4">[1]Input!#REF!,[1]Input!#REF!,[1]Input!#REF!,[1]Input!#REF!,[1]Input!#REF!,[1]Input!#REF!,[1]Input!#REF!,[1]Input!#REF!,[1]Input!#REF!,[1]Input!#REF!,[1]Input!#REF!</definedName>
    <definedName name="RevCas4AllInp" localSheetId="56">#REF!,#REF!,#REF!,#REF!,#REF!,#REF!,#REF!,#REF!,#REF!,#REF!,#REF!</definedName>
    <definedName name="RevCas4AllInp" localSheetId="2">#REF!,#REF!,#REF!,#REF!,#REF!,#REF!,#REF!,#REF!,#REF!,#REF!,#REF!</definedName>
    <definedName name="RevCas4AllInp" localSheetId="3">#REF!,#REF!,#REF!,#REF!,#REF!,#REF!,#REF!,#REF!,#REF!,#REF!,#REF!</definedName>
    <definedName name="RevCas4AllInp" localSheetId="12">#REF!,#REF!,#REF!,#REF!,#REF!,#REF!,#REF!,#REF!,#REF!,#REF!,#REF!</definedName>
    <definedName name="RevCas4AllInp" localSheetId="11">#REF!,#REF!,#REF!,#REF!,#REF!,#REF!,#REF!,#REF!,#REF!,#REF!,#REF!</definedName>
    <definedName name="RevCas4AllInp" localSheetId="9">#REF!,#REF!,#REF!,#REF!,#REF!,#REF!,#REF!,#REF!,#REF!,#REF!,#REF!</definedName>
    <definedName name="RevCas4AllInp" localSheetId="10">#REF!,#REF!,#REF!,#REF!,#REF!,#REF!,#REF!,#REF!,#REF!,#REF!,#REF!</definedName>
    <definedName name="RevCas4AllInp">#REF!,#REF!,#REF!,#REF!,#REF!,#REF!,#REF!,#REF!,#REF!,#REF!,#REF!</definedName>
    <definedName name="RevCas4AmortAmt1">[2]Input!$K$152</definedName>
    <definedName name="RevCas4AmortPer1">[2]Input!$Q$152</definedName>
    <definedName name="RevCas5AllInp" localSheetId="4">[1]Input!#REF!,[1]Input!#REF!,[1]Input!#REF!,[1]Input!#REF!,[1]Input!#REF!,[1]Input!#REF!,[1]Input!#REF!,[1]Input!#REF!,[1]Input!#REF!,[1]Input!#REF!,[1]Input!#REF!</definedName>
    <definedName name="RevCas5AllInp" localSheetId="56">#REF!,#REF!,#REF!,#REF!,#REF!,#REF!,#REF!,#REF!,#REF!,#REF!,#REF!</definedName>
    <definedName name="RevCas5AllInp" localSheetId="2">#REF!,#REF!,#REF!,#REF!,#REF!,#REF!,#REF!,#REF!,#REF!,#REF!,#REF!</definedName>
    <definedName name="RevCas5AllInp" localSheetId="3">#REF!,#REF!,#REF!,#REF!,#REF!,#REF!,#REF!,#REF!,#REF!,#REF!,#REF!</definedName>
    <definedName name="RevCas5AllInp" localSheetId="12">#REF!,#REF!,#REF!,#REF!,#REF!,#REF!,#REF!,#REF!,#REF!,#REF!,#REF!</definedName>
    <definedName name="RevCas5AllInp" localSheetId="11">#REF!,#REF!,#REF!,#REF!,#REF!,#REF!,#REF!,#REF!,#REF!,#REF!,#REF!</definedName>
    <definedName name="RevCas5AllInp" localSheetId="9">#REF!,#REF!,#REF!,#REF!,#REF!,#REF!,#REF!,#REF!,#REF!,#REF!,#REF!</definedName>
    <definedName name="RevCas5AllInp" localSheetId="10">#REF!,#REF!,#REF!,#REF!,#REF!,#REF!,#REF!,#REF!,#REF!,#REF!,#REF!</definedName>
    <definedName name="RevCas5AllInp">#REF!,#REF!,#REF!,#REF!,#REF!,#REF!,#REF!,#REF!,#REF!,#REF!,#REF!</definedName>
    <definedName name="RevCas5AmortPer2">[2]Input!$Q$168</definedName>
    <definedName name="StartBalance" localSheetId="4">[1]Startup!$N$8</definedName>
    <definedName name="StartBalance" localSheetId="56">#REF!</definedName>
    <definedName name="StartBalance" localSheetId="2">#REF!</definedName>
    <definedName name="StartBalance" localSheetId="3">#REF!</definedName>
    <definedName name="StartBalance" localSheetId="12">#REF!</definedName>
    <definedName name="StartBalance" localSheetId="11">#REF!</definedName>
    <definedName name="StartBalance">#REF!</definedName>
    <definedName name="StartBalanceG1">[5]Startup!$N$10</definedName>
    <definedName name="StartBillMonth" localSheetId="4">[1]Startup!$N$5</definedName>
    <definedName name="StartBillMonth" localSheetId="56">#REF!</definedName>
    <definedName name="StartBillMonth" localSheetId="2">#REF!</definedName>
    <definedName name="StartBillMonth" localSheetId="3">#REF!</definedName>
    <definedName name="StartBillMonth" localSheetId="12">#REF!</definedName>
    <definedName name="StartBillMonth" localSheetId="11">#REF!</definedName>
    <definedName name="StartBillMonth">#REF!</definedName>
    <definedName name="TableName">"Dummy"</definedName>
    <definedName name="Tickmarks" localSheetId="4">#REF!</definedName>
    <definedName name="Tickmarks" localSheetId="56">#REF!</definedName>
    <definedName name="Tickmarks" localSheetId="2">#REF!</definedName>
    <definedName name="Tickmarks" localSheetId="3">#REF!</definedName>
    <definedName name="Tickmarks" localSheetId="12">#REF!</definedName>
    <definedName name="Tickmarks" localSheetId="11">#REF!</definedName>
    <definedName name="Tickmarks" localSheetId="9">#REF!</definedName>
    <definedName name="Tickmarks" localSheetId="10">#REF!</definedName>
    <definedName name="Tickmarks">#REF!</definedName>
    <definedName name="TransItemsTableAll">[3]Data!$O$137:$CJ$192</definedName>
    <definedName name="Z_221BFF00_8F97_4909_A3F2_2B41E136B126_.wvu.PrintArea" localSheetId="4" hidden="1">'Class Allocation'!$A$1:$I$13</definedName>
    <definedName name="Z_221BFF00_8F97_4909_A3F2_2B41E136B126_.wvu.PrintTitles" localSheetId="4" hidden="1">'Class Allocation'!$B:$B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207" l="1"/>
  <c r="D22" i="207"/>
  <c r="D21" i="207"/>
  <c r="C23" i="207"/>
  <c r="C22" i="207"/>
  <c r="C21" i="207"/>
  <c r="L16" i="190"/>
  <c r="M16" i="190"/>
  <c r="T16" i="191"/>
  <c r="P13" i="210"/>
  <c r="P12" i="210"/>
  <c r="D23" i="210"/>
  <c r="D21" i="210"/>
  <c r="M13" i="190"/>
  <c r="T29" i="190" l="1"/>
  <c r="T27" i="190"/>
  <c r="T26" i="190"/>
  <c r="T25" i="190"/>
  <c r="S20" i="190"/>
  <c r="S16" i="190"/>
  <c r="S12" i="190"/>
  <c r="S11" i="190"/>
  <c r="M13" i="191"/>
  <c r="M12" i="190"/>
  <c r="M11" i="190"/>
  <c r="K22" i="190"/>
  <c r="K20" i="190"/>
  <c r="K18" i="190"/>
  <c r="K16" i="190"/>
  <c r="K14" i="190"/>
  <c r="K13" i="190"/>
  <c r="K12" i="190"/>
  <c r="K11" i="190"/>
  <c r="S16" i="191"/>
  <c r="S12" i="191"/>
  <c r="S11" i="191"/>
  <c r="M12" i="191"/>
  <c r="M11" i="191"/>
  <c r="N11" i="191"/>
  <c r="K22" i="191"/>
  <c r="K20" i="191"/>
  <c r="K18" i="191"/>
  <c r="K16" i="191"/>
  <c r="K14" i="191"/>
  <c r="K13" i="191"/>
  <c r="K12" i="191"/>
  <c r="K11" i="191"/>
  <c r="Q16" i="131"/>
  <c r="Q16" i="132"/>
  <c r="Q16" i="111"/>
  <c r="Q16" i="91"/>
  <c r="H27" i="204"/>
  <c r="H26" i="204"/>
  <c r="H25" i="204"/>
  <c r="H24" i="204"/>
  <c r="H23" i="204"/>
  <c r="H22" i="204"/>
  <c r="H27" i="203"/>
  <c r="H26" i="203"/>
  <c r="H25" i="203"/>
  <c r="H24" i="203"/>
  <c r="H23" i="203"/>
  <c r="H22" i="203"/>
  <c r="H27" i="202"/>
  <c r="H26" i="202"/>
  <c r="H25" i="202"/>
  <c r="H24" i="202"/>
  <c r="H23" i="202"/>
  <c r="H22" i="202"/>
  <c r="H27" i="201"/>
  <c r="H26" i="201"/>
  <c r="H25" i="201"/>
  <c r="H24" i="201"/>
  <c r="H23" i="201"/>
  <c r="H22" i="201"/>
  <c r="H27" i="200"/>
  <c r="H26" i="200"/>
  <c r="H25" i="200"/>
  <c r="H24" i="200"/>
  <c r="H23" i="200"/>
  <c r="H22" i="200"/>
  <c r="H27" i="199"/>
  <c r="H26" i="199"/>
  <c r="H25" i="199"/>
  <c r="H24" i="199"/>
  <c r="H23" i="199"/>
  <c r="H22" i="199"/>
  <c r="H27" i="198"/>
  <c r="H26" i="198"/>
  <c r="H25" i="198"/>
  <c r="H24" i="198"/>
  <c r="H23" i="198"/>
  <c r="H22" i="198"/>
  <c r="H27" i="197"/>
  <c r="H26" i="197"/>
  <c r="H25" i="197"/>
  <c r="H24" i="197"/>
  <c r="H23" i="197"/>
  <c r="H22" i="197"/>
  <c r="H27" i="196"/>
  <c r="H26" i="196"/>
  <c r="H25" i="196"/>
  <c r="H24" i="196"/>
  <c r="H23" i="196"/>
  <c r="H22" i="196"/>
  <c r="H27" i="195"/>
  <c r="H26" i="195"/>
  <c r="H25" i="195"/>
  <c r="H24" i="195"/>
  <c r="H23" i="195"/>
  <c r="H22" i="195"/>
  <c r="H27" i="194"/>
  <c r="H26" i="194"/>
  <c r="H25" i="194"/>
  <c r="H24" i="194"/>
  <c r="H23" i="194"/>
  <c r="H22" i="194"/>
  <c r="H27" i="182"/>
  <c r="H26" i="182"/>
  <c r="H25" i="182"/>
  <c r="H24" i="182"/>
  <c r="H23" i="182"/>
  <c r="H22" i="182"/>
  <c r="H27" i="181"/>
  <c r="H26" i="181"/>
  <c r="H25" i="181"/>
  <c r="H24" i="181"/>
  <c r="H23" i="181"/>
  <c r="H22" i="181"/>
  <c r="H27" i="180"/>
  <c r="H26" i="180"/>
  <c r="H25" i="180"/>
  <c r="H24" i="180"/>
  <c r="H23" i="180"/>
  <c r="H22" i="180"/>
  <c r="H27" i="179"/>
  <c r="H26" i="179"/>
  <c r="H25" i="179"/>
  <c r="H24" i="179"/>
  <c r="H23" i="179"/>
  <c r="H22" i="179"/>
  <c r="H27" i="178"/>
  <c r="H26" i="178"/>
  <c r="H25" i="178"/>
  <c r="H24" i="178"/>
  <c r="H23" i="178"/>
  <c r="H22" i="178"/>
  <c r="H27" i="177"/>
  <c r="H26" i="177"/>
  <c r="H25" i="177"/>
  <c r="H24" i="177"/>
  <c r="H23" i="177"/>
  <c r="H22" i="177"/>
  <c r="H27" i="176"/>
  <c r="H26" i="176"/>
  <c r="H25" i="176"/>
  <c r="H24" i="176"/>
  <c r="H23" i="176"/>
  <c r="H22" i="176"/>
  <c r="H27" i="175"/>
  <c r="H26" i="175"/>
  <c r="H25" i="175"/>
  <c r="H24" i="175"/>
  <c r="H23" i="175"/>
  <c r="H22" i="175"/>
  <c r="H27" i="174"/>
  <c r="H26" i="174"/>
  <c r="H25" i="174"/>
  <c r="H24" i="174"/>
  <c r="H23" i="174"/>
  <c r="H22" i="174"/>
  <c r="H27" i="173"/>
  <c r="H26" i="173"/>
  <c r="H25" i="173"/>
  <c r="H24" i="173"/>
  <c r="H23" i="173"/>
  <c r="H22" i="173"/>
  <c r="H27" i="172"/>
  <c r="H26" i="172"/>
  <c r="H25" i="172"/>
  <c r="H24" i="172"/>
  <c r="H23" i="172"/>
  <c r="H22" i="172"/>
  <c r="T26" i="191" l="1"/>
  <c r="T27" i="191"/>
  <c r="T25" i="191"/>
  <c r="T13" i="191"/>
  <c r="T12" i="191"/>
  <c r="T11" i="191"/>
  <c r="T14" i="191" s="1"/>
  <c r="T20" i="191"/>
  <c r="L12" i="191" l="1"/>
  <c r="L11" i="191"/>
  <c r="C24" i="207" l="1"/>
  <c r="E23" i="207"/>
  <c r="G23" i="207" s="1"/>
  <c r="E22" i="207"/>
  <c r="G22" i="207" s="1"/>
  <c r="E21" i="207"/>
  <c r="G21" i="207" s="1"/>
  <c r="G24" i="207" l="1"/>
  <c r="F23" i="207"/>
  <c r="F24" i="207" s="1"/>
  <c r="E24" i="207"/>
  <c r="Y22" i="135"/>
  <c r="Y21" i="135"/>
  <c r="Y20" i="135"/>
  <c r="Y19" i="135"/>
  <c r="Y11" i="135"/>
  <c r="Y10" i="135"/>
  <c r="Y9" i="135"/>
  <c r="V16" i="190" l="1"/>
  <c r="N14" i="125" l="1"/>
  <c r="N13" i="125"/>
  <c r="N14" i="100"/>
  <c r="N13" i="100"/>
  <c r="L12" i="190" l="1"/>
  <c r="F15" i="171" l="1"/>
  <c r="L14" i="180"/>
  <c r="L14" i="202"/>
  <c r="D18" i="210" l="1"/>
  <c r="D14" i="191" l="1"/>
  <c r="D18" i="191" s="1"/>
  <c r="D29" i="191"/>
  <c r="D20" i="191"/>
  <c r="D20" i="190"/>
  <c r="D18" i="190"/>
  <c r="D22" i="190" s="1"/>
  <c r="D29" i="190"/>
  <c r="D14" i="190"/>
  <c r="N20" i="190"/>
  <c r="O20" i="190"/>
  <c r="P20" i="190"/>
  <c r="Q20" i="190"/>
  <c r="R20" i="190"/>
  <c r="M20" i="190"/>
  <c r="D22" i="191" l="1"/>
  <c r="D31" i="191" s="1"/>
  <c r="D31" i="190"/>
  <c r="E20" i="190"/>
  <c r="F20" i="190"/>
  <c r="G20" i="190"/>
  <c r="H20" i="190"/>
  <c r="I20" i="190"/>
  <c r="J20" i="190"/>
  <c r="F29" i="190"/>
  <c r="G29" i="190"/>
  <c r="H29" i="190"/>
  <c r="E29" i="190"/>
  <c r="I29" i="190"/>
  <c r="J29" i="190"/>
  <c r="S26" i="110"/>
  <c r="S27" i="110"/>
  <c r="S28" i="110"/>
  <c r="S29" i="110"/>
  <c r="S30" i="110"/>
  <c r="S31" i="110"/>
  <c r="S23" i="110"/>
  <c r="S4" i="110"/>
  <c r="S5" i="110"/>
  <c r="S6" i="110"/>
  <c r="S7" i="110"/>
  <c r="S8" i="110"/>
  <c r="S9" i="110"/>
  <c r="S10" i="110"/>
  <c r="S11" i="110"/>
  <c r="S12" i="110"/>
  <c r="S13" i="110"/>
  <c r="S14" i="110"/>
  <c r="S15" i="110"/>
  <c r="S16" i="110"/>
  <c r="S17" i="110"/>
  <c r="S18" i="110"/>
  <c r="S19" i="110"/>
  <c r="S3" i="110"/>
  <c r="S34" i="110" l="1"/>
  <c r="E14" i="190"/>
  <c r="E18" i="190" s="1"/>
  <c r="E22" i="190" s="1"/>
  <c r="E31" i="190" s="1"/>
  <c r="F14" i="190" l="1"/>
  <c r="F18" i="190" s="1"/>
  <c r="F22" i="190" s="1"/>
  <c r="F31" i="190" s="1"/>
  <c r="G14" i="190" l="1"/>
  <c r="G18" i="190" s="1"/>
  <c r="G22" i="190" s="1"/>
  <c r="G31" i="190" s="1"/>
  <c r="H14" i="190" l="1"/>
  <c r="H18" i="190" s="1"/>
  <c r="H22" i="190" s="1"/>
  <c r="H31" i="190" s="1"/>
  <c r="J14" i="190" l="1"/>
  <c r="J18" i="190" s="1"/>
  <c r="J22" i="190" s="1"/>
  <c r="J31" i="190" s="1"/>
  <c r="I14" i="190"/>
  <c r="I18" i="190" s="1"/>
  <c r="I22" i="190" s="1"/>
  <c r="I31" i="190" s="1"/>
  <c r="C12" i="214" l="1"/>
  <c r="E11" i="214"/>
  <c r="G11" i="214" s="1"/>
  <c r="E10" i="214"/>
  <c r="G10" i="214" s="1"/>
  <c r="E9" i="214"/>
  <c r="F11" i="214" l="1"/>
  <c r="F12" i="214" s="1"/>
  <c r="E12" i="214"/>
  <c r="G9" i="214"/>
  <c r="G12" i="214" s="1"/>
  <c r="T17" i="201" l="1"/>
  <c r="T17" i="200"/>
  <c r="T17" i="199"/>
  <c r="T17" i="198"/>
  <c r="T17" i="197"/>
  <c r="T17" i="196"/>
  <c r="T17" i="195"/>
  <c r="T15" i="204"/>
  <c r="T15" i="203"/>
  <c r="T15" i="202"/>
  <c r="T16" i="201"/>
  <c r="T15" i="201"/>
  <c r="T16" i="200"/>
  <c r="T15" i="200"/>
  <c r="T16" i="199"/>
  <c r="T15" i="199"/>
  <c r="T16" i="198"/>
  <c r="T15" i="198"/>
  <c r="T16" i="196"/>
  <c r="T15" i="196"/>
  <c r="T16" i="197"/>
  <c r="T15" i="197"/>
  <c r="T16" i="195"/>
  <c r="T15" i="195"/>
  <c r="T17" i="194" l="1"/>
  <c r="T16" i="194"/>
  <c r="T15" i="193"/>
  <c r="T15" i="194"/>
  <c r="H20" i="212" l="1"/>
  <c r="D20" i="212"/>
  <c r="C20" i="212"/>
  <c r="B20" i="212"/>
  <c r="E20" i="212" s="1"/>
  <c r="E18" i="212"/>
  <c r="D18" i="212"/>
  <c r="B18" i="212"/>
  <c r="J17" i="212"/>
  <c r="J16" i="212"/>
  <c r="J15" i="212"/>
  <c r="E13" i="212"/>
  <c r="B13" i="212"/>
  <c r="J12" i="212"/>
  <c r="J11" i="212"/>
  <c r="J10" i="212"/>
  <c r="G22" i="139" l="1"/>
  <c r="G23" i="139"/>
  <c r="G24" i="139"/>
  <c r="G25" i="139"/>
  <c r="G21" i="139"/>
  <c r="F41" i="140"/>
  <c r="K25" i="139"/>
  <c r="D43" i="140"/>
  <c r="D42" i="140"/>
  <c r="D41" i="140"/>
  <c r="I49" i="139"/>
  <c r="I48" i="139"/>
  <c r="I47" i="139"/>
  <c r="T17" i="193" l="1"/>
  <c r="E30" i="211" l="1"/>
  <c r="F30" i="211"/>
  <c r="G30" i="211"/>
  <c r="H30" i="211"/>
  <c r="I30" i="211"/>
  <c r="J30" i="211"/>
  <c r="K30" i="211"/>
  <c r="L30" i="211"/>
  <c r="M30" i="211"/>
  <c r="N30" i="211"/>
  <c r="O30" i="211"/>
  <c r="P30" i="211"/>
  <c r="C12" i="170" l="1"/>
  <c r="F10" i="184"/>
  <c r="D18" i="140" l="1"/>
  <c r="N23" i="204" l="1"/>
  <c r="N24" i="204"/>
  <c r="N25" i="204"/>
  <c r="N26" i="204"/>
  <c r="N22" i="204"/>
  <c r="N23" i="203"/>
  <c r="N24" i="203"/>
  <c r="N25" i="203"/>
  <c r="N26" i="203"/>
  <c r="N22" i="203"/>
  <c r="N24" i="202"/>
  <c r="N25" i="202"/>
  <c r="N26" i="202"/>
  <c r="N22" i="202"/>
  <c r="N24" i="201"/>
  <c r="N25" i="201"/>
  <c r="N26" i="201"/>
  <c r="N22" i="201"/>
  <c r="N24" i="200"/>
  <c r="N25" i="200"/>
  <c r="N26" i="200"/>
  <c r="N22" i="200"/>
  <c r="N24" i="199"/>
  <c r="N25" i="199"/>
  <c r="N26" i="199"/>
  <c r="N22" i="199"/>
  <c r="N24" i="198"/>
  <c r="N25" i="198"/>
  <c r="N26" i="198"/>
  <c r="N22" i="198"/>
  <c r="N24" i="197"/>
  <c r="N25" i="197"/>
  <c r="N26" i="197"/>
  <c r="N22" i="197"/>
  <c r="N23" i="196"/>
  <c r="N24" i="196"/>
  <c r="N25" i="196"/>
  <c r="N26" i="196"/>
  <c r="N22" i="196"/>
  <c r="N23" i="195"/>
  <c r="N24" i="195"/>
  <c r="N25" i="195"/>
  <c r="N26" i="195"/>
  <c r="N22" i="195"/>
  <c r="N23" i="194"/>
  <c r="N24" i="194"/>
  <c r="N25" i="194"/>
  <c r="N26" i="194"/>
  <c r="N22" i="194"/>
  <c r="N23" i="193"/>
  <c r="N24" i="193"/>
  <c r="N25" i="193"/>
  <c r="N26" i="193"/>
  <c r="N22" i="193"/>
  <c r="N24" i="182"/>
  <c r="N24" i="181"/>
  <c r="N24" i="180"/>
  <c r="N24" i="179"/>
  <c r="N24" i="178"/>
  <c r="N24" i="177"/>
  <c r="N24" i="176"/>
  <c r="N24" i="175"/>
  <c r="N24" i="174"/>
  <c r="N24" i="173"/>
  <c r="N24" i="172"/>
  <c r="N24" i="171"/>
  <c r="I22" i="139" l="1"/>
  <c r="K22" i="139" l="1"/>
  <c r="K23" i="139"/>
  <c r="K24" i="139"/>
  <c r="K21" i="139"/>
  <c r="K20" i="139"/>
  <c r="K19" i="139"/>
  <c r="K18" i="139"/>
  <c r="K17" i="139"/>
  <c r="K16" i="139"/>
  <c r="K15" i="139"/>
  <c r="K14" i="139"/>
  <c r="F9" i="184" l="1"/>
  <c r="AA17" i="183" l="1"/>
  <c r="AA18" i="183" s="1"/>
  <c r="AA19" i="183" s="1"/>
  <c r="AA20" i="183" s="1"/>
  <c r="AA21" i="183" s="1"/>
  <c r="AA22" i="183" s="1"/>
  <c r="AA23" i="183" s="1"/>
  <c r="AA24" i="183" s="1"/>
  <c r="AA25" i="183" s="1"/>
  <c r="AA26" i="183" s="1"/>
  <c r="AA27" i="183" s="1"/>
  <c r="AA28" i="183" s="1"/>
  <c r="P40" i="167" l="1"/>
  <c r="O40" i="167"/>
  <c r="N40" i="167"/>
  <c r="M40" i="167"/>
  <c r="L40" i="167"/>
  <c r="K40" i="167"/>
  <c r="J40" i="167"/>
  <c r="I40" i="167"/>
  <c r="H40" i="167"/>
  <c r="G40" i="167"/>
  <c r="F40" i="167"/>
  <c r="E40" i="167"/>
  <c r="T24" i="192"/>
  <c r="T10" i="192"/>
  <c r="U31" i="204"/>
  <c r="Q16" i="147" l="1"/>
  <c r="L15" i="204"/>
  <c r="L16" i="204" s="1"/>
  <c r="L15" i="203"/>
  <c r="L16" i="203" s="1"/>
  <c r="L15" i="202"/>
  <c r="L16" i="202" s="1"/>
  <c r="L15" i="201"/>
  <c r="L16" i="201" s="1"/>
  <c r="L16" i="200"/>
  <c r="L15" i="200"/>
  <c r="L16" i="199"/>
  <c r="L15" i="199"/>
  <c r="L15" i="198"/>
  <c r="L16" i="198" s="1"/>
  <c r="L15" i="197"/>
  <c r="L16" i="197" s="1"/>
  <c r="L16" i="196"/>
  <c r="L15" i="196"/>
  <c r="L15" i="195"/>
  <c r="L16" i="195" s="1"/>
  <c r="L15" i="194"/>
  <c r="L16" i="194" s="1"/>
  <c r="L16" i="193"/>
  <c r="D12" i="192"/>
  <c r="E12" i="192"/>
  <c r="F12" i="192"/>
  <c r="G12" i="192"/>
  <c r="H12" i="192"/>
  <c r="I12" i="192"/>
  <c r="J12" i="192"/>
  <c r="K12" i="192"/>
  <c r="L12" i="192"/>
  <c r="M12" i="192"/>
  <c r="N12" i="192"/>
  <c r="C12" i="192"/>
  <c r="L15" i="193"/>
  <c r="L15" i="181" l="1"/>
  <c r="N15" i="181" s="1"/>
  <c r="L15" i="180"/>
  <c r="L15" i="179"/>
  <c r="L15" i="178"/>
  <c r="L15" i="177"/>
  <c r="N15" i="177" s="1"/>
  <c r="L15" i="176"/>
  <c r="N15" i="176" s="1"/>
  <c r="L15" i="175"/>
  <c r="L15" i="174"/>
  <c r="L15" i="173"/>
  <c r="N15" i="173" s="1"/>
  <c r="L15" i="172"/>
  <c r="N15" i="172" s="1"/>
  <c r="L15" i="171"/>
  <c r="L16" i="171" s="1"/>
  <c r="L15" i="182"/>
  <c r="H15" i="193"/>
  <c r="H15" i="194"/>
  <c r="H15" i="195"/>
  <c r="H15" i="196"/>
  <c r="H15" i="197"/>
  <c r="H15" i="198"/>
  <c r="H15" i="199"/>
  <c r="H15" i="200"/>
  <c r="H15" i="201"/>
  <c r="H15" i="202"/>
  <c r="H15" i="203"/>
  <c r="H15" i="204"/>
  <c r="H15" i="171"/>
  <c r="H15" i="172"/>
  <c r="H15" i="173"/>
  <c r="H15" i="174"/>
  <c r="H15" i="175"/>
  <c r="H15" i="176"/>
  <c r="H15" i="177"/>
  <c r="H15" i="178"/>
  <c r="H15" i="179"/>
  <c r="H15" i="180"/>
  <c r="H15" i="181"/>
  <c r="H15" i="182"/>
  <c r="N15" i="182" s="1"/>
  <c r="H24" i="193"/>
  <c r="H24" i="171"/>
  <c r="H16" i="193"/>
  <c r="H16" i="194"/>
  <c r="H16" i="195"/>
  <c r="H16" i="196"/>
  <c r="H16" i="197"/>
  <c r="H16" i="198"/>
  <c r="H16" i="199"/>
  <c r="H16" i="200"/>
  <c r="H16" i="201"/>
  <c r="H16" i="202"/>
  <c r="H16" i="203"/>
  <c r="H16" i="204"/>
  <c r="H16" i="171"/>
  <c r="H16" i="172"/>
  <c r="H16" i="173"/>
  <c r="H16" i="174"/>
  <c r="H16" i="175"/>
  <c r="H16" i="176"/>
  <c r="H16" i="177"/>
  <c r="H16" i="178"/>
  <c r="H16" i="179"/>
  <c r="H16" i="180"/>
  <c r="H16" i="181"/>
  <c r="H16" i="182"/>
  <c r="A36" i="193"/>
  <c r="A36" i="194"/>
  <c r="A36" i="195"/>
  <c r="A36" i="196"/>
  <c r="A36" i="197"/>
  <c r="A36" i="198"/>
  <c r="A36" i="199"/>
  <c r="A36" i="200"/>
  <c r="A36" i="201"/>
  <c r="A36" i="202"/>
  <c r="A36" i="203"/>
  <c r="A36" i="204"/>
  <c r="A36" i="171"/>
  <c r="A36" i="172"/>
  <c r="A36" i="173"/>
  <c r="A36" i="174"/>
  <c r="A36" i="175"/>
  <c r="A36" i="176"/>
  <c r="A36" i="177"/>
  <c r="A36" i="178"/>
  <c r="A36" i="179"/>
  <c r="A36" i="180"/>
  <c r="A36" i="181"/>
  <c r="A36" i="182"/>
  <c r="A25" i="193"/>
  <c r="A25" i="194"/>
  <c r="A25" i="195"/>
  <c r="A25" i="196"/>
  <c r="A25" i="197"/>
  <c r="A25" i="198"/>
  <c r="A25" i="199"/>
  <c r="A25" i="200"/>
  <c r="A25" i="201"/>
  <c r="A25" i="202"/>
  <c r="A25" i="203"/>
  <c r="A25" i="204"/>
  <c r="A25" i="171"/>
  <c r="A25" i="172"/>
  <c r="A25" i="173"/>
  <c r="A25" i="174"/>
  <c r="A25" i="175"/>
  <c r="A25" i="176"/>
  <c r="A25" i="177"/>
  <c r="A25" i="178"/>
  <c r="A25" i="179"/>
  <c r="A25" i="180"/>
  <c r="A25" i="181"/>
  <c r="A25" i="182"/>
  <c r="A16" i="193"/>
  <c r="A16" i="194"/>
  <c r="A16" i="195"/>
  <c r="A16" i="196"/>
  <c r="A16" i="197"/>
  <c r="A16" i="198"/>
  <c r="A16" i="199"/>
  <c r="A16" i="200"/>
  <c r="A16" i="201"/>
  <c r="A16" i="202"/>
  <c r="A16" i="203"/>
  <c r="A16" i="204"/>
  <c r="A16" i="171"/>
  <c r="A16" i="172"/>
  <c r="A16" i="173"/>
  <c r="A16" i="174"/>
  <c r="A16" i="175"/>
  <c r="A16" i="176"/>
  <c r="A16" i="177"/>
  <c r="A16" i="178"/>
  <c r="A16" i="179"/>
  <c r="A16" i="180"/>
  <c r="A16" i="181"/>
  <c r="A16" i="182"/>
  <c r="A15" i="182"/>
  <c r="A15" i="181"/>
  <c r="A15" i="180"/>
  <c r="A15" i="179"/>
  <c r="A15" i="178"/>
  <c r="A15" i="177"/>
  <c r="A15" i="176"/>
  <c r="A15" i="175"/>
  <c r="A15" i="174"/>
  <c r="A15" i="173"/>
  <c r="A15" i="172"/>
  <c r="A15" i="171"/>
  <c r="A15" i="204"/>
  <c r="A15" i="203"/>
  <c r="A15" i="202"/>
  <c r="A15" i="201"/>
  <c r="A15" i="200"/>
  <c r="A15" i="199"/>
  <c r="A15" i="198"/>
  <c r="A15" i="197"/>
  <c r="A15" i="196"/>
  <c r="A15" i="195"/>
  <c r="A15" i="194"/>
  <c r="A15" i="193"/>
  <c r="R35" i="171"/>
  <c r="F35" i="172" s="1"/>
  <c r="R35" i="172" s="1"/>
  <c r="F35" i="173" s="1"/>
  <c r="R35" i="173" s="1"/>
  <c r="F35" i="174" s="1"/>
  <c r="R35" i="174" s="1"/>
  <c r="F35" i="175" s="1"/>
  <c r="R35" i="175" s="1"/>
  <c r="F35" i="176" s="1"/>
  <c r="R35" i="176" s="1"/>
  <c r="F35" i="177" s="1"/>
  <c r="R35" i="177" s="1"/>
  <c r="F35" i="178" s="1"/>
  <c r="R35" i="178" s="1"/>
  <c r="F35" i="179" s="1"/>
  <c r="R35" i="179" s="1"/>
  <c r="F35" i="180" s="1"/>
  <c r="R35" i="180" s="1"/>
  <c r="F35" i="181" s="1"/>
  <c r="R35" i="181" s="1"/>
  <c r="F35" i="182" s="1"/>
  <c r="R35" i="182" s="1"/>
  <c r="F35" i="193" s="1"/>
  <c r="J24" i="171"/>
  <c r="R24" i="171"/>
  <c r="F24" i="172" s="1"/>
  <c r="J24" i="172" s="1"/>
  <c r="N15" i="171"/>
  <c r="N15" i="175"/>
  <c r="N15" i="179"/>
  <c r="N15" i="180"/>
  <c r="N15" i="178" l="1"/>
  <c r="P24" i="172"/>
  <c r="P24" i="171"/>
  <c r="R24" i="172"/>
  <c r="F24" i="173" s="1"/>
  <c r="J24" i="173" s="1"/>
  <c r="P24" i="173" s="1"/>
  <c r="N15" i="174"/>
  <c r="D12" i="170"/>
  <c r="L16" i="172" s="1"/>
  <c r="E12" i="170"/>
  <c r="L16" i="173" s="1"/>
  <c r="F12" i="170"/>
  <c r="L16" i="174" s="1"/>
  <c r="G12" i="170"/>
  <c r="L16" i="175" s="1"/>
  <c r="H12" i="170"/>
  <c r="L16" i="176" s="1"/>
  <c r="I12" i="170"/>
  <c r="L16" i="177" s="1"/>
  <c r="J12" i="170"/>
  <c r="L16" i="178" s="1"/>
  <c r="K12" i="170"/>
  <c r="L16" i="179" s="1"/>
  <c r="L12" i="170"/>
  <c r="L16" i="180" s="1"/>
  <c r="M12" i="170"/>
  <c r="L16" i="181" s="1"/>
  <c r="N12" i="170"/>
  <c r="L16" i="182" s="1"/>
  <c r="L17" i="172"/>
  <c r="G89" i="184"/>
  <c r="H89" i="184"/>
  <c r="I89" i="184"/>
  <c r="J89" i="184"/>
  <c r="K89" i="184"/>
  <c r="L89" i="184"/>
  <c r="M89" i="184"/>
  <c r="N89" i="184"/>
  <c r="O89" i="184"/>
  <c r="P89" i="184"/>
  <c r="Q89" i="184"/>
  <c r="F89" i="184"/>
  <c r="H84" i="184"/>
  <c r="I84" i="184" s="1"/>
  <c r="J84" i="184" s="1"/>
  <c r="K84" i="184" s="1"/>
  <c r="L84" i="184" s="1"/>
  <c r="M84" i="184" s="1"/>
  <c r="N84" i="184" s="1"/>
  <c r="O84" i="184" s="1"/>
  <c r="P84" i="184" s="1"/>
  <c r="Q84" i="184" s="1"/>
  <c r="G84" i="184"/>
  <c r="R24" i="173" l="1"/>
  <c r="F24" i="174" s="1"/>
  <c r="D19" i="140"/>
  <c r="D20" i="140"/>
  <c r="D21" i="140"/>
  <c r="D22" i="140"/>
  <c r="J24" i="174" l="1"/>
  <c r="P24" i="174" s="1"/>
  <c r="R24" i="174"/>
  <c r="F24" i="175" s="1"/>
  <c r="J24" i="175" l="1"/>
  <c r="P24" i="175" s="1"/>
  <c r="R24" i="175"/>
  <c r="F24" i="176" s="1"/>
  <c r="R32" i="192"/>
  <c r="R31" i="192"/>
  <c r="J24" i="176" l="1"/>
  <c r="P24" i="176" s="1"/>
  <c r="R24" i="176"/>
  <c r="F24" i="177" s="1"/>
  <c r="L28" i="192"/>
  <c r="M28" i="192"/>
  <c r="N28" i="192"/>
  <c r="D28" i="192"/>
  <c r="E28" i="192"/>
  <c r="F28" i="192"/>
  <c r="G28" i="192"/>
  <c r="H28" i="192"/>
  <c r="I28" i="192"/>
  <c r="J28" i="192"/>
  <c r="K28" i="192"/>
  <c r="C28" i="192"/>
  <c r="F31" i="211"/>
  <c r="G31" i="211"/>
  <c r="H31" i="211"/>
  <c r="I31" i="211"/>
  <c r="J31" i="211"/>
  <c r="K31" i="211"/>
  <c r="L31" i="211"/>
  <c r="M31" i="211"/>
  <c r="N31" i="211"/>
  <c r="O31" i="211"/>
  <c r="P31" i="211"/>
  <c r="E31" i="211"/>
  <c r="Q28" i="211"/>
  <c r="J24" i="177" l="1"/>
  <c r="P24" i="177" s="1"/>
  <c r="R24" i="177"/>
  <c r="F24" i="178" s="1"/>
  <c r="D24" i="170"/>
  <c r="E24" i="170"/>
  <c r="F24" i="170"/>
  <c r="G24" i="170"/>
  <c r="H24" i="170"/>
  <c r="I24" i="170"/>
  <c r="J24" i="170"/>
  <c r="K24" i="170"/>
  <c r="L24" i="170"/>
  <c r="M24" i="170"/>
  <c r="N24" i="170"/>
  <c r="D25" i="170"/>
  <c r="E25" i="170"/>
  <c r="F25" i="170"/>
  <c r="G25" i="170"/>
  <c r="H25" i="170"/>
  <c r="I25" i="170"/>
  <c r="J25" i="170"/>
  <c r="K25" i="170"/>
  <c r="L25" i="170"/>
  <c r="M25" i="170"/>
  <c r="N25" i="170"/>
  <c r="D26" i="170"/>
  <c r="E26" i="170"/>
  <c r="F26" i="170"/>
  <c r="G26" i="170"/>
  <c r="H26" i="170"/>
  <c r="I26" i="170"/>
  <c r="J26" i="170"/>
  <c r="K26" i="170"/>
  <c r="L26" i="170"/>
  <c r="M26" i="170"/>
  <c r="N26" i="170"/>
  <c r="D27" i="170"/>
  <c r="E27" i="170"/>
  <c r="F27" i="170"/>
  <c r="G27" i="170"/>
  <c r="H27" i="170"/>
  <c r="I27" i="170"/>
  <c r="J27" i="170"/>
  <c r="K27" i="170"/>
  <c r="L27" i="170"/>
  <c r="M27" i="170"/>
  <c r="N27" i="170"/>
  <c r="D28" i="170"/>
  <c r="E28" i="170"/>
  <c r="F28" i="170"/>
  <c r="G28" i="170"/>
  <c r="H28" i="170"/>
  <c r="I28" i="170"/>
  <c r="J28" i="170"/>
  <c r="K28" i="170"/>
  <c r="L28" i="170"/>
  <c r="M28" i="170"/>
  <c r="N28" i="170"/>
  <c r="C25" i="170"/>
  <c r="C26" i="170"/>
  <c r="C27" i="170"/>
  <c r="C28" i="170"/>
  <c r="C24" i="170"/>
  <c r="M22" i="188"/>
  <c r="L22" i="188"/>
  <c r="K22" i="188"/>
  <c r="J22" i="188"/>
  <c r="I22" i="188"/>
  <c r="H22" i="188"/>
  <c r="G22" i="188"/>
  <c r="F22" i="188"/>
  <c r="E22" i="188"/>
  <c r="D22" i="188"/>
  <c r="C22" i="188"/>
  <c r="B22" i="188"/>
  <c r="N21" i="188"/>
  <c r="N20" i="188"/>
  <c r="N19" i="188"/>
  <c r="N18" i="188"/>
  <c r="N17" i="188"/>
  <c r="D17" i="170"/>
  <c r="E17" i="170"/>
  <c r="F17" i="170"/>
  <c r="G17" i="170"/>
  <c r="H17" i="170"/>
  <c r="I17" i="170"/>
  <c r="J17" i="170"/>
  <c r="K17" i="170"/>
  <c r="L17" i="170"/>
  <c r="M17" i="170"/>
  <c r="N17" i="170"/>
  <c r="D18" i="170"/>
  <c r="E18" i="170"/>
  <c r="F18" i="170"/>
  <c r="G18" i="170"/>
  <c r="H18" i="170"/>
  <c r="I18" i="170"/>
  <c r="J18" i="170"/>
  <c r="K18" i="170"/>
  <c r="L18" i="170"/>
  <c r="M18" i="170"/>
  <c r="N18" i="170"/>
  <c r="D19" i="170"/>
  <c r="E19" i="170"/>
  <c r="F19" i="170"/>
  <c r="G19" i="170"/>
  <c r="H19" i="170"/>
  <c r="I19" i="170"/>
  <c r="J19" i="170"/>
  <c r="K19" i="170"/>
  <c r="L19" i="170"/>
  <c r="M19" i="170"/>
  <c r="N19" i="170"/>
  <c r="D20" i="170"/>
  <c r="E20" i="170"/>
  <c r="F20" i="170"/>
  <c r="G20" i="170"/>
  <c r="H20" i="170"/>
  <c r="I20" i="170"/>
  <c r="J20" i="170"/>
  <c r="K20" i="170"/>
  <c r="L20" i="170"/>
  <c r="M20" i="170"/>
  <c r="N20" i="170"/>
  <c r="D21" i="170"/>
  <c r="E21" i="170"/>
  <c r="F21" i="170"/>
  <c r="G21" i="170"/>
  <c r="H21" i="170"/>
  <c r="I21" i="170"/>
  <c r="J21" i="170"/>
  <c r="K21" i="170"/>
  <c r="L21" i="170"/>
  <c r="M21" i="170"/>
  <c r="N21" i="170"/>
  <c r="C20" i="170"/>
  <c r="C19" i="170"/>
  <c r="C17" i="170"/>
  <c r="N6" i="188"/>
  <c r="N10" i="188"/>
  <c r="N9" i="188"/>
  <c r="N8" i="188"/>
  <c r="N7" i="188"/>
  <c r="M11" i="188"/>
  <c r="L11" i="188"/>
  <c r="K11" i="188"/>
  <c r="J11" i="188"/>
  <c r="I11" i="188"/>
  <c r="H11" i="188"/>
  <c r="G11" i="188"/>
  <c r="F11" i="188"/>
  <c r="E11" i="188"/>
  <c r="D11" i="188"/>
  <c r="C11" i="188"/>
  <c r="B11" i="188"/>
  <c r="I25" i="139"/>
  <c r="I21" i="139"/>
  <c r="F18" i="140"/>
  <c r="L29" i="170" l="1"/>
  <c r="C29" i="170"/>
  <c r="O27" i="170"/>
  <c r="D29" i="170"/>
  <c r="O28" i="170"/>
  <c r="K29" i="170"/>
  <c r="O26" i="170"/>
  <c r="I29" i="170"/>
  <c r="H29" i="170"/>
  <c r="N29" i="170"/>
  <c r="F29" i="170"/>
  <c r="G29" i="170"/>
  <c r="J29" i="170"/>
  <c r="M29" i="170"/>
  <c r="E29" i="170"/>
  <c r="O25" i="170"/>
  <c r="T13" i="196"/>
  <c r="T13" i="195"/>
  <c r="T13" i="194"/>
  <c r="T13" i="193"/>
  <c r="J24" i="178"/>
  <c r="P24" i="178" s="1"/>
  <c r="R24" i="178"/>
  <c r="F24" i="179" s="1"/>
  <c r="O24" i="170"/>
  <c r="O19" i="170"/>
  <c r="O20" i="170"/>
  <c r="O17" i="170"/>
  <c r="N22" i="188"/>
  <c r="N11" i="188"/>
  <c r="D23" i="140"/>
  <c r="J24" i="179" l="1"/>
  <c r="P24" i="179" s="1"/>
  <c r="R24" i="179"/>
  <c r="F24" i="180" s="1"/>
  <c r="W17" i="187"/>
  <c r="W18" i="187" s="1"/>
  <c r="W19" i="187" s="1"/>
  <c r="W20" i="187" s="1"/>
  <c r="W21" i="187" s="1"/>
  <c r="W22" i="187" s="1"/>
  <c r="W23" i="187" s="1"/>
  <c r="W24" i="187" s="1"/>
  <c r="W25" i="187" s="1"/>
  <c r="Y18" i="187"/>
  <c r="AB18" i="183"/>
  <c r="AB19" i="183"/>
  <c r="AB20" i="183"/>
  <c r="AB21" i="183"/>
  <c r="AB22" i="183"/>
  <c r="AB23" i="183"/>
  <c r="AB24" i="183"/>
  <c r="AB25" i="183"/>
  <c r="AB26" i="183"/>
  <c r="AB27" i="183"/>
  <c r="AB28" i="183"/>
  <c r="AB17" i="183"/>
  <c r="Y19" i="187"/>
  <c r="Y20" i="187"/>
  <c r="Y21" i="187"/>
  <c r="Y22" i="187"/>
  <c r="Y23" i="187"/>
  <c r="Y24" i="187"/>
  <c r="Y25" i="187"/>
  <c r="Y26" i="187"/>
  <c r="Y27" i="187"/>
  <c r="Y28" i="187"/>
  <c r="Y17" i="187"/>
  <c r="D16" i="147"/>
  <c r="D16" i="168"/>
  <c r="Q16" i="187"/>
  <c r="J24" i="180" l="1"/>
  <c r="P24" i="180" s="1"/>
  <c r="R24" i="180"/>
  <c r="F24" i="181" s="1"/>
  <c r="Z17" i="187"/>
  <c r="H17" i="187" s="1"/>
  <c r="Z19" i="187"/>
  <c r="H19" i="187" s="1"/>
  <c r="Z18" i="187"/>
  <c r="H18" i="187" s="1"/>
  <c r="J24" i="181" l="1"/>
  <c r="P24" i="181" s="1"/>
  <c r="R24" i="181"/>
  <c r="F24" i="182" s="1"/>
  <c r="Z20" i="187"/>
  <c r="H20" i="187" s="1"/>
  <c r="Q8" i="211"/>
  <c r="J24" i="182" l="1"/>
  <c r="P24" i="182" s="1"/>
  <c r="R24" i="182"/>
  <c r="F24" i="193" s="1"/>
  <c r="Z21" i="187"/>
  <c r="H21" i="187" s="1"/>
  <c r="J24" i="193" l="1"/>
  <c r="P24" i="193" s="1"/>
  <c r="R24" i="193"/>
  <c r="F24" i="194" s="1"/>
  <c r="Z22" i="187"/>
  <c r="H22" i="187" s="1"/>
  <c r="G11" i="170"/>
  <c r="G10" i="184"/>
  <c r="H10" i="184"/>
  <c r="I10" i="184"/>
  <c r="J10" i="184"/>
  <c r="K10" i="184"/>
  <c r="L10" i="184"/>
  <c r="M10" i="184"/>
  <c r="N10" i="184"/>
  <c r="O10" i="184"/>
  <c r="P10" i="184"/>
  <c r="Q10" i="184"/>
  <c r="F11" i="184"/>
  <c r="G11" i="184"/>
  <c r="H11" i="184"/>
  <c r="I11" i="184"/>
  <c r="J11" i="184"/>
  <c r="K11" i="184"/>
  <c r="L11" i="184"/>
  <c r="M11" i="184"/>
  <c r="N11" i="184"/>
  <c r="O11" i="184"/>
  <c r="P11" i="184"/>
  <c r="Q11" i="184"/>
  <c r="F12" i="184"/>
  <c r="G12" i="184"/>
  <c r="H12" i="184"/>
  <c r="I12" i="184"/>
  <c r="J12" i="184"/>
  <c r="K12" i="184"/>
  <c r="L12" i="184"/>
  <c r="M12" i="184"/>
  <c r="N12" i="184"/>
  <c r="O12" i="184"/>
  <c r="P12" i="184"/>
  <c r="Q12" i="184"/>
  <c r="F13" i="184"/>
  <c r="G13" i="184"/>
  <c r="H13" i="184"/>
  <c r="I13" i="184"/>
  <c r="J13" i="184"/>
  <c r="K13" i="184"/>
  <c r="L13" i="184"/>
  <c r="M13" i="184"/>
  <c r="N13" i="184"/>
  <c r="O13" i="184"/>
  <c r="P13" i="184"/>
  <c r="Q13" i="184"/>
  <c r="F14" i="184"/>
  <c r="G14" i="184"/>
  <c r="H14" i="184"/>
  <c r="I14" i="184"/>
  <c r="J14" i="184"/>
  <c r="K14" i="184"/>
  <c r="L14" i="184"/>
  <c r="M14" i="184"/>
  <c r="N14" i="184"/>
  <c r="O14" i="184"/>
  <c r="P14" i="184"/>
  <c r="Q14" i="184"/>
  <c r="F16" i="184"/>
  <c r="G16" i="184"/>
  <c r="H16" i="184"/>
  <c r="I16" i="184"/>
  <c r="J16" i="184"/>
  <c r="K16" i="184"/>
  <c r="L16" i="184"/>
  <c r="M16" i="184"/>
  <c r="N16" i="184"/>
  <c r="O16" i="184"/>
  <c r="P16" i="184"/>
  <c r="Q16" i="184"/>
  <c r="F17" i="184"/>
  <c r="G17" i="184"/>
  <c r="H17" i="184"/>
  <c r="I17" i="184"/>
  <c r="J17" i="184"/>
  <c r="K17" i="184"/>
  <c r="L17" i="184"/>
  <c r="M17" i="184"/>
  <c r="N17" i="184"/>
  <c r="O17" i="184"/>
  <c r="P17" i="184"/>
  <c r="Q17" i="184"/>
  <c r="F18" i="184"/>
  <c r="G18" i="184"/>
  <c r="H18" i="184"/>
  <c r="I18" i="184"/>
  <c r="J18" i="184"/>
  <c r="K18" i="184"/>
  <c r="L18" i="184"/>
  <c r="M18" i="184"/>
  <c r="N18" i="184"/>
  <c r="O18" i="184"/>
  <c r="P18" i="184"/>
  <c r="Q18" i="184"/>
  <c r="F19" i="184"/>
  <c r="G19" i="184"/>
  <c r="H19" i="184"/>
  <c r="I19" i="184"/>
  <c r="J19" i="184"/>
  <c r="K19" i="184"/>
  <c r="L19" i="184"/>
  <c r="M19" i="184"/>
  <c r="N19" i="184"/>
  <c r="O19" i="184"/>
  <c r="P19" i="184"/>
  <c r="Q19" i="184"/>
  <c r="F20" i="184"/>
  <c r="G20" i="184"/>
  <c r="H20" i="184"/>
  <c r="I20" i="184"/>
  <c r="J20" i="184"/>
  <c r="K20" i="184"/>
  <c r="L20" i="184"/>
  <c r="M20" i="184"/>
  <c r="N20" i="184"/>
  <c r="O20" i="184"/>
  <c r="P20" i="184"/>
  <c r="Q20" i="184"/>
  <c r="F21" i="184"/>
  <c r="G21" i="184"/>
  <c r="H21" i="184"/>
  <c r="I21" i="184"/>
  <c r="J21" i="184"/>
  <c r="K21" i="184"/>
  <c r="L21" i="184"/>
  <c r="M21" i="184"/>
  <c r="N21" i="184"/>
  <c r="O21" i="184"/>
  <c r="P21" i="184"/>
  <c r="Q21" i="184"/>
  <c r="C11" i="170"/>
  <c r="D11" i="170"/>
  <c r="E11" i="170"/>
  <c r="F11" i="170"/>
  <c r="H11" i="170"/>
  <c r="I11" i="170"/>
  <c r="J11" i="170"/>
  <c r="K11" i="170"/>
  <c r="L11" i="170"/>
  <c r="M11" i="170"/>
  <c r="N11" i="170"/>
  <c r="R29" i="184"/>
  <c r="G9" i="184"/>
  <c r="H9" i="184"/>
  <c r="I9" i="184"/>
  <c r="J9" i="184"/>
  <c r="K9" i="184"/>
  <c r="L9" i="184"/>
  <c r="M9" i="184"/>
  <c r="N9" i="184"/>
  <c r="O9" i="184"/>
  <c r="P9" i="184"/>
  <c r="Q9" i="184"/>
  <c r="J24" i="194" l="1"/>
  <c r="P24" i="194" s="1"/>
  <c r="R24" i="194"/>
  <c r="F24" i="195" s="1"/>
  <c r="Z23" i="187"/>
  <c r="H23" i="187" s="1"/>
  <c r="J24" i="195" l="1"/>
  <c r="P24" i="195" s="1"/>
  <c r="R24" i="195"/>
  <c r="F24" i="196" s="1"/>
  <c r="Z24" i="187"/>
  <c r="H24" i="187" s="1"/>
  <c r="G50" i="184"/>
  <c r="H50" i="184" s="1"/>
  <c r="R74" i="184"/>
  <c r="R72" i="184"/>
  <c r="R71" i="184"/>
  <c r="R69" i="184"/>
  <c r="R67" i="184"/>
  <c r="R66" i="184"/>
  <c r="R65" i="184"/>
  <c r="R64" i="184"/>
  <c r="R63" i="184"/>
  <c r="R62" i="184"/>
  <c r="R61" i="184"/>
  <c r="R60" i="184"/>
  <c r="R58" i="184"/>
  <c r="R56" i="184"/>
  <c r="R54" i="184"/>
  <c r="S1048492" i="167"/>
  <c r="J24" i="196" l="1"/>
  <c r="P24" i="196" s="1"/>
  <c r="R24" i="196"/>
  <c r="F24" i="197" s="1"/>
  <c r="Z25" i="187"/>
  <c r="H25" i="187" s="1"/>
  <c r="R57" i="184"/>
  <c r="I50" i="184"/>
  <c r="R59" i="184"/>
  <c r="R55" i="184"/>
  <c r="R24" i="197" l="1"/>
  <c r="F24" i="198" s="1"/>
  <c r="J24" i="197"/>
  <c r="P24" i="197" s="1"/>
  <c r="J50" i="184"/>
  <c r="R81" i="184"/>
  <c r="R78" i="184"/>
  <c r="R80" i="184"/>
  <c r="R79" i="184"/>
  <c r="J24" i="198" l="1"/>
  <c r="P24" i="198" s="1"/>
  <c r="R24" i="198"/>
  <c r="F24" i="199" s="1"/>
  <c r="K50" i="184"/>
  <c r="C95" i="205"/>
  <c r="C94" i="205"/>
  <c r="C93" i="205"/>
  <c r="C92" i="205"/>
  <c r="C91" i="205"/>
  <c r="F40" i="135"/>
  <c r="J24" i="199" l="1"/>
  <c r="P24" i="199" s="1"/>
  <c r="R24" i="199"/>
  <c r="F24" i="200" s="1"/>
  <c r="L50" i="184"/>
  <c r="J24" i="200" l="1"/>
  <c r="P24" i="200" s="1"/>
  <c r="R24" i="200"/>
  <c r="F24" i="201" s="1"/>
  <c r="M50" i="184"/>
  <c r="A24" i="192"/>
  <c r="J24" i="201" l="1"/>
  <c r="P24" i="201" s="1"/>
  <c r="R24" i="201"/>
  <c r="F24" i="202" s="1"/>
  <c r="N50" i="184"/>
  <c r="T18" i="206"/>
  <c r="T19" i="206"/>
  <c r="T20" i="206"/>
  <c r="T21" i="206"/>
  <c r="T22" i="206"/>
  <c r="T23" i="206"/>
  <c r="T24" i="206"/>
  <c r="T25" i="206"/>
  <c r="T26" i="206"/>
  <c r="T27" i="206"/>
  <c r="T28" i="206"/>
  <c r="T17" i="206"/>
  <c r="J24" i="202" l="1"/>
  <c r="P24" i="202" s="1"/>
  <c r="R24" i="202"/>
  <c r="F24" i="203" s="1"/>
  <c r="O50" i="184"/>
  <c r="J24" i="203" l="1"/>
  <c r="P24" i="203" s="1"/>
  <c r="R24" i="203"/>
  <c r="F24" i="204" s="1"/>
  <c r="P50" i="184"/>
  <c r="J24" i="204" l="1"/>
  <c r="P24" i="204" s="1"/>
  <c r="R24" i="204"/>
  <c r="Q50" i="184"/>
  <c r="L14" i="181"/>
  <c r="W26" i="187" l="1"/>
  <c r="W27" i="187" s="1"/>
  <c r="D18" i="192"/>
  <c r="E18" i="192"/>
  <c r="F18" i="192"/>
  <c r="G18" i="192"/>
  <c r="H18" i="192"/>
  <c r="I18" i="192"/>
  <c r="J18" i="192"/>
  <c r="K18" i="192"/>
  <c r="L18" i="192"/>
  <c r="M18" i="192"/>
  <c r="N18" i="192"/>
  <c r="C18" i="192"/>
  <c r="N21" i="192"/>
  <c r="D21" i="192"/>
  <c r="E21" i="192"/>
  <c r="F21" i="192"/>
  <c r="G21" i="192"/>
  <c r="H21" i="192"/>
  <c r="I21" i="192"/>
  <c r="J21" i="192"/>
  <c r="K21" i="192"/>
  <c r="L21" i="192"/>
  <c r="M21" i="192"/>
  <c r="C21" i="192"/>
  <c r="T13" i="200" l="1"/>
  <c r="T13" i="203"/>
  <c r="T13" i="199"/>
  <c r="T13" i="202"/>
  <c r="T13" i="198"/>
  <c r="T13" i="204"/>
  <c r="T13" i="197"/>
  <c r="T13" i="201"/>
  <c r="Z26" i="187"/>
  <c r="H26" i="187" s="1"/>
  <c r="I26" i="187" s="1"/>
  <c r="Z27" i="187"/>
  <c r="H27" i="187" s="1"/>
  <c r="L14" i="182"/>
  <c r="R52" i="184"/>
  <c r="R73" i="184"/>
  <c r="L37" i="204"/>
  <c r="L33" i="204"/>
  <c r="L27" i="204"/>
  <c r="N27" i="204" s="1"/>
  <c r="L23" i="204"/>
  <c r="L25" i="204"/>
  <c r="L26" i="204"/>
  <c r="L22" i="204"/>
  <c r="L17" i="204"/>
  <c r="L13" i="204"/>
  <c r="L37" i="203"/>
  <c r="L33" i="203"/>
  <c r="L27" i="203"/>
  <c r="N27" i="203" s="1"/>
  <c r="L23" i="203"/>
  <c r="L25" i="203"/>
  <c r="L26" i="203"/>
  <c r="L22" i="203"/>
  <c r="L17" i="203"/>
  <c r="L13" i="203"/>
  <c r="L37" i="202"/>
  <c r="L33" i="202"/>
  <c r="L27" i="202"/>
  <c r="N27" i="202" s="1"/>
  <c r="L23" i="202"/>
  <c r="N23" i="202" s="1"/>
  <c r="L25" i="202"/>
  <c r="L26" i="202"/>
  <c r="L22" i="202"/>
  <c r="L17" i="202"/>
  <c r="L13" i="202"/>
  <c r="L37" i="201"/>
  <c r="L33" i="201"/>
  <c r="L27" i="201"/>
  <c r="N27" i="201" s="1"/>
  <c r="L23" i="201"/>
  <c r="N23" i="201" s="1"/>
  <c r="L25" i="201"/>
  <c r="L26" i="201"/>
  <c r="L22" i="201"/>
  <c r="L17" i="201"/>
  <c r="L13" i="201"/>
  <c r="L37" i="200"/>
  <c r="L33" i="200"/>
  <c r="L27" i="200"/>
  <c r="N27" i="200" s="1"/>
  <c r="L23" i="200"/>
  <c r="N23" i="200" s="1"/>
  <c r="L25" i="200"/>
  <c r="L26" i="200"/>
  <c r="L22" i="200"/>
  <c r="L17" i="200"/>
  <c r="L13" i="200"/>
  <c r="L37" i="199"/>
  <c r="L33" i="199"/>
  <c r="L27" i="199"/>
  <c r="N27" i="199" s="1"/>
  <c r="L23" i="199"/>
  <c r="N23" i="199" s="1"/>
  <c r="L25" i="199"/>
  <c r="L26" i="199"/>
  <c r="L22" i="199"/>
  <c r="L17" i="199"/>
  <c r="L13" i="199"/>
  <c r="L37" i="198"/>
  <c r="L33" i="198"/>
  <c r="L27" i="198"/>
  <c r="N27" i="198" s="1"/>
  <c r="L23" i="198"/>
  <c r="N23" i="198" s="1"/>
  <c r="L25" i="198"/>
  <c r="L26" i="198"/>
  <c r="L22" i="198"/>
  <c r="L17" i="198"/>
  <c r="L13" i="198"/>
  <c r="L37" i="197"/>
  <c r="L33" i="197"/>
  <c r="L27" i="197"/>
  <c r="N27" i="197" s="1"/>
  <c r="L23" i="197"/>
  <c r="N23" i="197" s="1"/>
  <c r="L25" i="197"/>
  <c r="L26" i="197"/>
  <c r="L22" i="197"/>
  <c r="L17" i="197"/>
  <c r="L13" i="197"/>
  <c r="L37" i="196"/>
  <c r="L33" i="196"/>
  <c r="L27" i="196"/>
  <c r="N27" i="196" s="1"/>
  <c r="L23" i="196"/>
  <c r="L25" i="196"/>
  <c r="L26" i="196"/>
  <c r="L22" i="196"/>
  <c r="L17" i="196"/>
  <c r="L13" i="196"/>
  <c r="L37" i="195"/>
  <c r="L33" i="195"/>
  <c r="L27" i="195"/>
  <c r="N27" i="195" s="1"/>
  <c r="L23" i="195"/>
  <c r="L25" i="195"/>
  <c r="L26" i="195"/>
  <c r="L22" i="195"/>
  <c r="L17" i="195"/>
  <c r="L13" i="195"/>
  <c r="L37" i="194"/>
  <c r="L33" i="194"/>
  <c r="L27" i="194"/>
  <c r="N27" i="194" s="1"/>
  <c r="L23" i="194"/>
  <c r="L25" i="194"/>
  <c r="L26" i="194"/>
  <c r="L22" i="194"/>
  <c r="L17" i="194"/>
  <c r="L13" i="194"/>
  <c r="L37" i="193"/>
  <c r="L33" i="193"/>
  <c r="L27" i="193"/>
  <c r="N27" i="193" s="1"/>
  <c r="L26" i="193"/>
  <c r="L25" i="193"/>
  <c r="L23" i="193"/>
  <c r="L22" i="193"/>
  <c r="L17" i="193"/>
  <c r="L13" i="193"/>
  <c r="D14" i="192"/>
  <c r="L18" i="194" s="1"/>
  <c r="E14" i="192"/>
  <c r="L18" i="195" s="1"/>
  <c r="F14" i="192"/>
  <c r="L18" i="196" s="1"/>
  <c r="G14" i="192"/>
  <c r="L18" i="197" s="1"/>
  <c r="H14" i="192"/>
  <c r="L18" i="198" s="1"/>
  <c r="J14" i="192"/>
  <c r="L18" i="200" s="1"/>
  <c r="N14" i="192"/>
  <c r="L18" i="204" s="1"/>
  <c r="C14" i="192"/>
  <c r="L18" i="193" s="1"/>
  <c r="D11" i="192"/>
  <c r="L14" i="194" s="1"/>
  <c r="I18" i="206" s="1"/>
  <c r="E11" i="192"/>
  <c r="L14" i="195" s="1"/>
  <c r="I19" i="206" s="1"/>
  <c r="F11" i="192"/>
  <c r="L14" i="196" s="1"/>
  <c r="I20" i="206" s="1"/>
  <c r="G11" i="192"/>
  <c r="L14" i="197" s="1"/>
  <c r="I21" i="206" s="1"/>
  <c r="H11" i="192"/>
  <c r="L14" i="198" s="1"/>
  <c r="I22" i="206" s="1"/>
  <c r="C11" i="192"/>
  <c r="L14" i="193" s="1"/>
  <c r="D26" i="192"/>
  <c r="E26" i="192"/>
  <c r="F26" i="192"/>
  <c r="G26" i="192"/>
  <c r="H26" i="192"/>
  <c r="I26" i="192"/>
  <c r="J26" i="192"/>
  <c r="K26" i="192"/>
  <c r="L26" i="192"/>
  <c r="M26" i="192"/>
  <c r="N26" i="192"/>
  <c r="C26" i="192"/>
  <c r="D25" i="192"/>
  <c r="E25" i="192"/>
  <c r="F25" i="192"/>
  <c r="G25" i="192"/>
  <c r="H25" i="192"/>
  <c r="I25" i="192"/>
  <c r="J25" i="192"/>
  <c r="K25" i="192"/>
  <c r="M25" i="192"/>
  <c r="N25" i="192"/>
  <c r="C25" i="192"/>
  <c r="L34" i="193" s="1"/>
  <c r="L38" i="194"/>
  <c r="L38" i="195"/>
  <c r="L38" i="196"/>
  <c r="L38" i="197"/>
  <c r="L38" i="198"/>
  <c r="L38" i="199"/>
  <c r="L38" i="200"/>
  <c r="L38" i="201"/>
  <c r="L38" i="202"/>
  <c r="L38" i="203"/>
  <c r="L38" i="204"/>
  <c r="L38" i="193"/>
  <c r="D31" i="192"/>
  <c r="E31" i="192"/>
  <c r="F31" i="192"/>
  <c r="G31" i="192"/>
  <c r="H31" i="192"/>
  <c r="I31" i="192"/>
  <c r="M26" i="190" s="1"/>
  <c r="J31" i="192"/>
  <c r="N26" i="190" s="1"/>
  <c r="K31" i="192"/>
  <c r="O26" i="190" s="1"/>
  <c r="L31" i="192"/>
  <c r="P26" i="190" s="1"/>
  <c r="M31" i="192"/>
  <c r="Q26" i="190" s="1"/>
  <c r="N31" i="192"/>
  <c r="R26" i="190" s="1"/>
  <c r="D32" i="192"/>
  <c r="E32" i="192"/>
  <c r="F32" i="192"/>
  <c r="G32" i="192"/>
  <c r="H32" i="192"/>
  <c r="I32" i="192"/>
  <c r="M26" i="191" s="1"/>
  <c r="J32" i="192"/>
  <c r="N26" i="191" s="1"/>
  <c r="K32" i="192"/>
  <c r="O26" i="191" s="1"/>
  <c r="L32" i="192"/>
  <c r="P26" i="191" s="1"/>
  <c r="M32" i="192"/>
  <c r="Q26" i="191" s="1"/>
  <c r="N32" i="192"/>
  <c r="R26" i="191" s="1"/>
  <c r="C32" i="192"/>
  <c r="C31" i="192"/>
  <c r="Q27" i="211"/>
  <c r="Q26" i="211"/>
  <c r="Q25" i="211"/>
  <c r="Q24" i="211"/>
  <c r="Q37" i="211" s="1"/>
  <c r="R37" i="211" s="1"/>
  <c r="Q23" i="211"/>
  <c r="Q22" i="211"/>
  <c r="Q21" i="211"/>
  <c r="Q20" i="211"/>
  <c r="K11" i="192"/>
  <c r="L14" i="201" s="1"/>
  <c r="I25" i="206" s="1"/>
  <c r="N11" i="192"/>
  <c r="L14" i="204" s="1"/>
  <c r="I28" i="206" s="1"/>
  <c r="M11" i="192"/>
  <c r="L14" i="203" s="1"/>
  <c r="I27" i="206" s="1"/>
  <c r="L11" i="192"/>
  <c r="J11" i="192"/>
  <c r="L14" i="200" s="1"/>
  <c r="I24" i="206" s="1"/>
  <c r="Q17" i="211"/>
  <c r="Q16" i="211"/>
  <c r="Q15" i="211"/>
  <c r="Q14" i="211"/>
  <c r="Q13" i="211"/>
  <c r="Q12" i="211"/>
  <c r="Q11" i="211"/>
  <c r="Q10" i="211"/>
  <c r="Q9" i="211"/>
  <c r="I26" i="206" l="1"/>
  <c r="Q30" i="211"/>
  <c r="I17" i="206"/>
  <c r="I59" i="206" s="1"/>
  <c r="I11" i="206"/>
  <c r="L36" i="202"/>
  <c r="L36" i="198"/>
  <c r="L36" i="193"/>
  <c r="R35" i="193"/>
  <c r="F35" i="194" s="1"/>
  <c r="R35" i="194" s="1"/>
  <c r="F35" i="195" s="1"/>
  <c r="R35" i="195" s="1"/>
  <c r="F35" i="196" s="1"/>
  <c r="R35" i="196" s="1"/>
  <c r="F35" i="197" s="1"/>
  <c r="R35" i="197" s="1"/>
  <c r="F35" i="198" s="1"/>
  <c r="R35" i="198" s="1"/>
  <c r="F35" i="199" s="1"/>
  <c r="R35" i="199" s="1"/>
  <c r="F35" i="200" s="1"/>
  <c r="R35" i="200" s="1"/>
  <c r="F35" i="201" s="1"/>
  <c r="R35" i="201" s="1"/>
  <c r="F35" i="202" s="1"/>
  <c r="R35" i="202" s="1"/>
  <c r="F35" i="203" s="1"/>
  <c r="R35" i="203" s="1"/>
  <c r="F35" i="204" s="1"/>
  <c r="R35" i="204" s="1"/>
  <c r="L36" i="201"/>
  <c r="L36" i="197"/>
  <c r="Q35" i="211"/>
  <c r="R35" i="211" s="1"/>
  <c r="Q31" i="211"/>
  <c r="L36" i="194"/>
  <c r="Q34" i="211"/>
  <c r="R34" i="211" s="1"/>
  <c r="Q36" i="211"/>
  <c r="R36" i="211" s="1"/>
  <c r="L36" i="204"/>
  <c r="L36" i="200"/>
  <c r="L36" i="196"/>
  <c r="N20" i="205" s="1"/>
  <c r="L36" i="203"/>
  <c r="N27" i="205" s="1"/>
  <c r="L36" i="199"/>
  <c r="L36" i="195"/>
  <c r="W28" i="187"/>
  <c r="Z28" i="187" s="1"/>
  <c r="H28" i="187" s="1"/>
  <c r="G32" i="211"/>
  <c r="L34" i="204"/>
  <c r="K28" i="206" s="1"/>
  <c r="L34" i="199"/>
  <c r="K23" i="206" s="1"/>
  <c r="L34" i="195"/>
  <c r="K19" i="206" s="1"/>
  <c r="L34" i="196"/>
  <c r="K20" i="206" s="1"/>
  <c r="H32" i="211"/>
  <c r="L34" i="203"/>
  <c r="K27" i="206" s="1"/>
  <c r="L34" i="198"/>
  <c r="K22" i="206" s="1"/>
  <c r="L34" i="194"/>
  <c r="K18" i="206" s="1"/>
  <c r="L34" i="200"/>
  <c r="K24" i="206" s="1"/>
  <c r="L34" i="201"/>
  <c r="K25" i="206" s="1"/>
  <c r="L34" i="197"/>
  <c r="K21" i="206" s="1"/>
  <c r="F32" i="211"/>
  <c r="J32" i="211"/>
  <c r="M32" i="211"/>
  <c r="E32" i="211"/>
  <c r="I32" i="211"/>
  <c r="L12" i="205"/>
  <c r="L57" i="205" s="1"/>
  <c r="K17" i="206"/>
  <c r="K59" i="206" s="1"/>
  <c r="C29" i="192"/>
  <c r="N24" i="205"/>
  <c r="N26" i="205"/>
  <c r="N23" i="205"/>
  <c r="N28" i="205"/>
  <c r="N17" i="205"/>
  <c r="N62" i="205" s="1"/>
  <c r="N19" i="205"/>
  <c r="N25" i="205"/>
  <c r="N21" i="205"/>
  <c r="N18" i="205"/>
  <c r="N22" i="205"/>
  <c r="O32" i="211"/>
  <c r="Q19" i="211"/>
  <c r="I11" i="192"/>
  <c r="L14" i="199" s="1"/>
  <c r="I23" i="206" s="1"/>
  <c r="M14" i="192"/>
  <c r="L18" i="203" s="1"/>
  <c r="I14" i="192"/>
  <c r="L18" i="199" s="1"/>
  <c r="L11" i="205" s="1"/>
  <c r="K14" i="192"/>
  <c r="L18" i="201" s="1"/>
  <c r="L32" i="211"/>
  <c r="P32" i="211"/>
  <c r="Q18" i="211"/>
  <c r="L25" i="192"/>
  <c r="L14" i="192"/>
  <c r="L18" i="202" s="1"/>
  <c r="N32" i="211"/>
  <c r="K32" i="211"/>
  <c r="N15" i="195" l="1"/>
  <c r="N15" i="204"/>
  <c r="N15" i="198"/>
  <c r="N15" i="199"/>
  <c r="N15" i="200"/>
  <c r="N15" i="197"/>
  <c r="N15" i="193"/>
  <c r="N15" i="194"/>
  <c r="N15" i="202"/>
  <c r="N15" i="203"/>
  <c r="N15" i="196"/>
  <c r="N15" i="201"/>
  <c r="L34" i="202"/>
  <c r="K26" i="206" s="1"/>
  <c r="Q32" i="211"/>
  <c r="D33" i="192"/>
  <c r="E33" i="192"/>
  <c r="F33" i="192"/>
  <c r="G33" i="192"/>
  <c r="H33" i="192"/>
  <c r="D34" i="192"/>
  <c r="E34" i="192"/>
  <c r="F34" i="192"/>
  <c r="G34" i="192"/>
  <c r="H34" i="192"/>
  <c r="I34" i="192"/>
  <c r="M27" i="191" s="1"/>
  <c r="C34" i="192"/>
  <c r="C33" i="192"/>
  <c r="E13" i="210"/>
  <c r="F13" i="210" s="1"/>
  <c r="E12" i="210"/>
  <c r="F12" i="210" s="1"/>
  <c r="P10" i="210"/>
  <c r="P9" i="210"/>
  <c r="P3" i="210"/>
  <c r="P4" i="210"/>
  <c r="P5" i="210"/>
  <c r="P6" i="210"/>
  <c r="P7" i="210"/>
  <c r="P2" i="210"/>
  <c r="E9" i="210"/>
  <c r="F9" i="210"/>
  <c r="G9" i="210"/>
  <c r="H9" i="210"/>
  <c r="I9" i="210"/>
  <c r="J9" i="210"/>
  <c r="K9" i="210"/>
  <c r="L9" i="210"/>
  <c r="M9" i="210"/>
  <c r="N9" i="210"/>
  <c r="O9" i="210"/>
  <c r="D9" i="210"/>
  <c r="G12" i="210" l="1"/>
  <c r="H12" i="210" s="1"/>
  <c r="I12" i="210" s="1"/>
  <c r="G13" i="210"/>
  <c r="H13" i="210" s="1"/>
  <c r="I13" i="210" s="1"/>
  <c r="K13" i="210" s="1"/>
  <c r="E20" i="191"/>
  <c r="F20" i="191"/>
  <c r="G20" i="191"/>
  <c r="H20" i="191"/>
  <c r="I20" i="191"/>
  <c r="J20" i="191"/>
  <c r="W20" i="191" l="1"/>
  <c r="L13" i="210"/>
  <c r="J34" i="192"/>
  <c r="N27" i="191" s="1"/>
  <c r="M13" i="210" l="1"/>
  <c r="K34" i="192"/>
  <c r="O27" i="191" s="1"/>
  <c r="N11" i="208"/>
  <c r="M11" i="208"/>
  <c r="L11" i="208"/>
  <c r="K11" i="208"/>
  <c r="J11" i="208"/>
  <c r="I11" i="208"/>
  <c r="H11" i="208"/>
  <c r="G11" i="208"/>
  <c r="F11" i="208"/>
  <c r="E11" i="208"/>
  <c r="D11" i="208"/>
  <c r="C11" i="208"/>
  <c r="O10" i="208"/>
  <c r="O9" i="208"/>
  <c r="N13" i="210" l="1"/>
  <c r="L34" i="192"/>
  <c r="P27" i="191" s="1"/>
  <c r="O11" i="208"/>
  <c r="T11" i="192" s="1"/>
  <c r="T12" i="192" s="1"/>
  <c r="J39" i="138"/>
  <c r="J40" i="138"/>
  <c r="J41" i="138"/>
  <c r="J42" i="138"/>
  <c r="J43" i="138"/>
  <c r="J44" i="138"/>
  <c r="J45" i="138"/>
  <c r="J46" i="138"/>
  <c r="J47" i="138"/>
  <c r="J48" i="138"/>
  <c r="J49" i="138"/>
  <c r="J38" i="138"/>
  <c r="O13" i="210" l="1"/>
  <c r="N34" i="192" s="1"/>
  <c r="R27" i="191" s="1"/>
  <c r="M34" i="192"/>
  <c r="Q27" i="191" s="1"/>
  <c r="F39" i="138"/>
  <c r="F40" i="138"/>
  <c r="F41" i="138"/>
  <c r="F42" i="138"/>
  <c r="F43" i="138"/>
  <c r="F44" i="138"/>
  <c r="F45" i="138"/>
  <c r="F46" i="138"/>
  <c r="F47" i="138"/>
  <c r="F48" i="138"/>
  <c r="F49" i="138"/>
  <c r="F38" i="138"/>
  <c r="B21" i="138"/>
  <c r="J15" i="138"/>
  <c r="J16" i="138"/>
  <c r="J17" i="138"/>
  <c r="J18" i="138"/>
  <c r="J19" i="138"/>
  <c r="J20" i="138"/>
  <c r="J21" i="138"/>
  <c r="J22" i="138"/>
  <c r="J23" i="138"/>
  <c r="J24" i="138"/>
  <c r="J25" i="138"/>
  <c r="J14" i="138"/>
  <c r="F15" i="138"/>
  <c r="F16" i="138"/>
  <c r="F17" i="138"/>
  <c r="F18" i="138"/>
  <c r="F19" i="138"/>
  <c r="F20" i="138"/>
  <c r="F21" i="138"/>
  <c r="F22" i="138"/>
  <c r="F23" i="138"/>
  <c r="F24" i="138"/>
  <c r="F25" i="138"/>
  <c r="F14" i="138"/>
  <c r="C12" i="207"/>
  <c r="E11" i="207"/>
  <c r="G11" i="207" s="1"/>
  <c r="G10" i="207"/>
  <c r="E10" i="207"/>
  <c r="E9" i="207"/>
  <c r="G9" i="207" s="1"/>
  <c r="G12" i="207" l="1"/>
  <c r="E12" i="207"/>
  <c r="F11" i="207"/>
  <c r="F12" i="207" s="1"/>
  <c r="F32" i="140" l="1"/>
  <c r="H38" i="138" s="1"/>
  <c r="F33" i="140"/>
  <c r="H39" i="138" s="1"/>
  <c r="F34" i="140"/>
  <c r="H40" i="138" s="1"/>
  <c r="F35" i="140"/>
  <c r="H41" i="138" s="1"/>
  <c r="F36" i="140"/>
  <c r="H42" i="138" s="1"/>
  <c r="F37" i="140"/>
  <c r="H43" i="138" s="1"/>
  <c r="F38" i="140"/>
  <c r="H44" i="138" s="1"/>
  <c r="F39" i="140"/>
  <c r="H45" i="138" s="1"/>
  <c r="F40" i="140"/>
  <c r="H46" i="138" s="1"/>
  <c r="H47" i="138"/>
  <c r="F42" i="140"/>
  <c r="H48" i="138" s="1"/>
  <c r="F43" i="140"/>
  <c r="H49" i="138" s="1"/>
  <c r="I54" i="206" l="1"/>
  <c r="I53" i="206"/>
  <c r="I60" i="206"/>
  <c r="I61" i="206"/>
  <c r="I62" i="206"/>
  <c r="I63" i="206"/>
  <c r="I64" i="206"/>
  <c r="I65" i="206"/>
  <c r="I66" i="206"/>
  <c r="I67" i="206"/>
  <c r="I68" i="206"/>
  <c r="I69" i="206"/>
  <c r="I70" i="206"/>
  <c r="I44" i="206"/>
  <c r="H12" i="206"/>
  <c r="H54" i="206" s="1"/>
  <c r="H13" i="206"/>
  <c r="K13" i="205"/>
  <c r="M85" i="206"/>
  <c r="N85" i="206" s="1"/>
  <c r="R85" i="206" s="1"/>
  <c r="M84" i="206"/>
  <c r="N84" i="206" s="1"/>
  <c r="R84" i="206" s="1"/>
  <c r="M83" i="206"/>
  <c r="N83" i="206" s="1"/>
  <c r="R83" i="206" s="1"/>
  <c r="M82" i="206"/>
  <c r="N82" i="206" s="1"/>
  <c r="R82" i="206" s="1"/>
  <c r="M81" i="206"/>
  <c r="N81" i="206" s="1"/>
  <c r="R81" i="206" s="1"/>
  <c r="M80" i="206"/>
  <c r="N80" i="206" s="1"/>
  <c r="R80" i="206" s="1"/>
  <c r="M79" i="206"/>
  <c r="N79" i="206" s="1"/>
  <c r="R79" i="206" s="1"/>
  <c r="M78" i="206"/>
  <c r="N78" i="206" s="1"/>
  <c r="R78" i="206" s="1"/>
  <c r="M77" i="206"/>
  <c r="N77" i="206" s="1"/>
  <c r="R77" i="206" s="1"/>
  <c r="M76" i="206"/>
  <c r="N76" i="206" s="1"/>
  <c r="R76" i="206" s="1"/>
  <c r="M75" i="206"/>
  <c r="N75" i="206" s="1"/>
  <c r="R75" i="206" s="1"/>
  <c r="M74" i="206"/>
  <c r="N74" i="206" s="1"/>
  <c r="R74" i="206" s="1"/>
  <c r="M73" i="206"/>
  <c r="N73" i="206" s="1"/>
  <c r="R73" i="206" s="1"/>
  <c r="M72" i="206"/>
  <c r="N72" i="206" s="1"/>
  <c r="R72" i="206" s="1"/>
  <c r="M71" i="206"/>
  <c r="N71" i="206" s="1"/>
  <c r="R71" i="206" s="1"/>
  <c r="K70" i="206"/>
  <c r="K69" i="206"/>
  <c r="K68" i="206"/>
  <c r="K67" i="206"/>
  <c r="K66" i="206"/>
  <c r="K65" i="206"/>
  <c r="K64" i="206"/>
  <c r="K63" i="206"/>
  <c r="K62" i="206"/>
  <c r="K61" i="206"/>
  <c r="K60" i="206"/>
  <c r="A59" i="206"/>
  <c r="A60" i="206" s="1"/>
  <c r="A61" i="206" s="1"/>
  <c r="A62" i="206" s="1"/>
  <c r="A63" i="206" s="1"/>
  <c r="A64" i="206" s="1"/>
  <c r="A65" i="206" s="1"/>
  <c r="A66" i="206" s="1"/>
  <c r="A67" i="206" s="1"/>
  <c r="A68" i="206" s="1"/>
  <c r="A69" i="206" s="1"/>
  <c r="A70" i="206" s="1"/>
  <c r="A71" i="206" s="1"/>
  <c r="A72" i="206" s="1"/>
  <c r="A73" i="206" s="1"/>
  <c r="A74" i="206" s="1"/>
  <c r="A75" i="206" s="1"/>
  <c r="A76" i="206" s="1"/>
  <c r="A77" i="206" s="1"/>
  <c r="A78" i="206" s="1"/>
  <c r="A79" i="206" s="1"/>
  <c r="A80" i="206" s="1"/>
  <c r="A81" i="206" s="1"/>
  <c r="A82" i="206" s="1"/>
  <c r="A83" i="206" s="1"/>
  <c r="A84" i="206" s="1"/>
  <c r="A85" i="206" s="1"/>
  <c r="A86" i="206" s="1"/>
  <c r="K44" i="206"/>
  <c r="R43" i="206"/>
  <c r="Q43" i="206"/>
  <c r="R42" i="206"/>
  <c r="Q42" i="206"/>
  <c r="R41" i="206"/>
  <c r="Q41" i="206"/>
  <c r="R40" i="206"/>
  <c r="Q40" i="206"/>
  <c r="R39" i="206"/>
  <c r="Q39" i="206"/>
  <c r="R38" i="206"/>
  <c r="Q38" i="206"/>
  <c r="R37" i="206"/>
  <c r="Q37" i="206"/>
  <c r="R36" i="206"/>
  <c r="Q36" i="206"/>
  <c r="R35" i="206"/>
  <c r="Q35" i="206"/>
  <c r="R34" i="206"/>
  <c r="Q34" i="206"/>
  <c r="R33" i="206"/>
  <c r="Q33" i="206"/>
  <c r="R32" i="206"/>
  <c r="Q32" i="206"/>
  <c r="R31" i="206"/>
  <c r="Q31" i="206"/>
  <c r="R30" i="206"/>
  <c r="Q30" i="206"/>
  <c r="Q29" i="206"/>
  <c r="A17" i="206"/>
  <c r="A18" i="206" s="1"/>
  <c r="A19" i="206" s="1"/>
  <c r="A20" i="206" s="1"/>
  <c r="A21" i="206" s="1"/>
  <c r="A22" i="206" s="1"/>
  <c r="A23" i="206" s="1"/>
  <c r="A24" i="206" s="1"/>
  <c r="A25" i="206" s="1"/>
  <c r="A26" i="206" s="1"/>
  <c r="A27" i="206" s="1"/>
  <c r="A28" i="206" s="1"/>
  <c r="A29" i="206" s="1"/>
  <c r="A30" i="206" s="1"/>
  <c r="A31" i="206" s="1"/>
  <c r="A32" i="206" s="1"/>
  <c r="A33" i="206" s="1"/>
  <c r="A34" i="206" s="1"/>
  <c r="A35" i="206" s="1"/>
  <c r="A36" i="206" s="1"/>
  <c r="A37" i="206" s="1"/>
  <c r="A38" i="206" s="1"/>
  <c r="A39" i="206" s="1"/>
  <c r="A40" i="206" s="1"/>
  <c r="A41" i="206" s="1"/>
  <c r="A42" i="206" s="1"/>
  <c r="A43" i="206" s="1"/>
  <c r="A44" i="206" s="1"/>
  <c r="P88" i="205"/>
  <c r="Q88" i="205" s="1"/>
  <c r="U88" i="205" s="1"/>
  <c r="P87" i="205"/>
  <c r="Q87" i="205" s="1"/>
  <c r="U87" i="205" s="1"/>
  <c r="P86" i="205"/>
  <c r="Q86" i="205" s="1"/>
  <c r="U86" i="205" s="1"/>
  <c r="P85" i="205"/>
  <c r="Q85" i="205" s="1"/>
  <c r="U85" i="205" s="1"/>
  <c r="P84" i="205"/>
  <c r="Q84" i="205" s="1"/>
  <c r="U84" i="205" s="1"/>
  <c r="Q83" i="205"/>
  <c r="U83" i="205" s="1"/>
  <c r="P83" i="205"/>
  <c r="Q82" i="205"/>
  <c r="U82" i="205" s="1"/>
  <c r="P82" i="205"/>
  <c r="P81" i="205"/>
  <c r="Q81" i="205" s="1"/>
  <c r="U81" i="205" s="1"/>
  <c r="P80" i="205"/>
  <c r="Q80" i="205" s="1"/>
  <c r="U80" i="205" s="1"/>
  <c r="P79" i="205"/>
  <c r="Q79" i="205" s="1"/>
  <c r="U79" i="205" s="1"/>
  <c r="P78" i="205"/>
  <c r="Q78" i="205" s="1"/>
  <c r="U78" i="205" s="1"/>
  <c r="P77" i="205"/>
  <c r="Q77" i="205" s="1"/>
  <c r="U77" i="205" s="1"/>
  <c r="P76" i="205"/>
  <c r="Q76" i="205" s="1"/>
  <c r="U76" i="205" s="1"/>
  <c r="Q75" i="205"/>
  <c r="U75" i="205" s="1"/>
  <c r="P75" i="205"/>
  <c r="Q74" i="205"/>
  <c r="U74" i="205" s="1"/>
  <c r="P74" i="205"/>
  <c r="A63" i="205"/>
  <c r="A64" i="205" s="1"/>
  <c r="A65" i="205" s="1"/>
  <c r="A66" i="205" s="1"/>
  <c r="A67" i="205" s="1"/>
  <c r="A68" i="205" s="1"/>
  <c r="A69" i="205" s="1"/>
  <c r="A70" i="205" s="1"/>
  <c r="A71" i="205" s="1"/>
  <c r="A72" i="205" s="1"/>
  <c r="A73" i="205" s="1"/>
  <c r="A74" i="205" s="1"/>
  <c r="A75" i="205" s="1"/>
  <c r="A76" i="205" s="1"/>
  <c r="A77" i="205" s="1"/>
  <c r="A78" i="205" s="1"/>
  <c r="A79" i="205" s="1"/>
  <c r="A80" i="205" s="1"/>
  <c r="A81" i="205" s="1"/>
  <c r="A82" i="205" s="1"/>
  <c r="A83" i="205" s="1"/>
  <c r="A84" i="205" s="1"/>
  <c r="A85" i="205" s="1"/>
  <c r="A86" i="205" s="1"/>
  <c r="A87" i="205" s="1"/>
  <c r="A88" i="205" s="1"/>
  <c r="A89" i="205" s="1"/>
  <c r="A62" i="205"/>
  <c r="U43" i="205"/>
  <c r="T43" i="205"/>
  <c r="U42" i="205"/>
  <c r="T42" i="205"/>
  <c r="U41" i="205"/>
  <c r="T41" i="205"/>
  <c r="U40" i="205"/>
  <c r="T40" i="205"/>
  <c r="U39" i="205"/>
  <c r="T39" i="205"/>
  <c r="U38" i="205"/>
  <c r="T38" i="205"/>
  <c r="U37" i="205"/>
  <c r="T37" i="205"/>
  <c r="U36" i="205"/>
  <c r="T36" i="205"/>
  <c r="U35" i="205"/>
  <c r="T35" i="205"/>
  <c r="U34" i="205"/>
  <c r="T34" i="205"/>
  <c r="U33" i="205"/>
  <c r="T33" i="205"/>
  <c r="U32" i="205"/>
  <c r="T32" i="205"/>
  <c r="U31" i="205"/>
  <c r="T31" i="205"/>
  <c r="U30" i="205"/>
  <c r="T30" i="205"/>
  <c r="T29" i="205"/>
  <c r="N73" i="205"/>
  <c r="N72" i="205"/>
  <c r="N71" i="205"/>
  <c r="N70" i="205"/>
  <c r="N69" i="205"/>
  <c r="N68" i="205"/>
  <c r="N67" i="205"/>
  <c r="N66" i="205"/>
  <c r="N65" i="205"/>
  <c r="N64" i="205"/>
  <c r="N63" i="205"/>
  <c r="A17" i="205"/>
  <c r="A18" i="205" s="1"/>
  <c r="A19" i="205" s="1"/>
  <c r="A20" i="205" s="1"/>
  <c r="A21" i="205" s="1"/>
  <c r="A22" i="205" s="1"/>
  <c r="A23" i="205" s="1"/>
  <c r="A24" i="205" s="1"/>
  <c r="A25" i="205" s="1"/>
  <c r="A26" i="205" s="1"/>
  <c r="A27" i="205" s="1"/>
  <c r="A28" i="205" s="1"/>
  <c r="A29" i="205" s="1"/>
  <c r="A30" i="205" s="1"/>
  <c r="A31" i="205" s="1"/>
  <c r="A32" i="205" s="1"/>
  <c r="A33" i="205" s="1"/>
  <c r="A34" i="205" s="1"/>
  <c r="A35" i="205" s="1"/>
  <c r="A36" i="205" s="1"/>
  <c r="A37" i="205" s="1"/>
  <c r="A38" i="205" s="1"/>
  <c r="A39" i="205" s="1"/>
  <c r="A40" i="205" s="1"/>
  <c r="A41" i="205" s="1"/>
  <c r="A42" i="205" s="1"/>
  <c r="A43" i="205" s="1"/>
  <c r="A44" i="205" s="1"/>
  <c r="J13" i="205"/>
  <c r="I13" i="205"/>
  <c r="K86" i="206" l="1"/>
  <c r="T44" i="205"/>
  <c r="I86" i="206"/>
  <c r="N89" i="205"/>
  <c r="N44" i="205"/>
  <c r="Q44" i="206"/>
  <c r="P39" i="204" l="1"/>
  <c r="N39" i="204"/>
  <c r="J39" i="204"/>
  <c r="L28" i="204"/>
  <c r="L19" i="204"/>
  <c r="L28" i="205" s="1"/>
  <c r="L73" i="205" s="1"/>
  <c r="H18" i="204"/>
  <c r="N18" i="204" s="1"/>
  <c r="H17" i="204"/>
  <c r="N17" i="204" s="1"/>
  <c r="N16" i="204"/>
  <c r="N14" i="204"/>
  <c r="H14" i="204"/>
  <c r="A14" i="204"/>
  <c r="A17" i="204" s="1"/>
  <c r="A18" i="204" s="1"/>
  <c r="A19" i="204" s="1"/>
  <c r="A22" i="204" s="1"/>
  <c r="A23" i="204" s="1"/>
  <c r="N13" i="204"/>
  <c r="H13" i="204"/>
  <c r="P39" i="203"/>
  <c r="N39" i="203"/>
  <c r="L39" i="203"/>
  <c r="J39" i="203"/>
  <c r="L19" i="203"/>
  <c r="L27" i="205" s="1"/>
  <c r="L72" i="205" s="1"/>
  <c r="H18" i="203"/>
  <c r="N18" i="203" s="1"/>
  <c r="H17" i="203"/>
  <c r="N16" i="203"/>
  <c r="N14" i="203"/>
  <c r="H14" i="203"/>
  <c r="A14" i="203"/>
  <c r="A17" i="203" s="1"/>
  <c r="A18" i="203" s="1"/>
  <c r="A19" i="203" s="1"/>
  <c r="A22" i="203" s="1"/>
  <c r="A23" i="203" s="1"/>
  <c r="H13" i="203"/>
  <c r="N13" i="203" s="1"/>
  <c r="P39" i="202"/>
  <c r="N39" i="202"/>
  <c r="J39" i="202"/>
  <c r="L19" i="202"/>
  <c r="H18" i="202"/>
  <c r="N18" i="202" s="1"/>
  <c r="N17" i="202"/>
  <c r="H17" i="202"/>
  <c r="N16" i="202"/>
  <c r="N14" i="202"/>
  <c r="H14" i="202"/>
  <c r="A14" i="202"/>
  <c r="A17" i="202" s="1"/>
  <c r="A18" i="202" s="1"/>
  <c r="A19" i="202" s="1"/>
  <c r="A22" i="202" s="1"/>
  <c r="A23" i="202" s="1"/>
  <c r="N13" i="202"/>
  <c r="H13" i="202"/>
  <c r="P39" i="201"/>
  <c r="N39" i="201"/>
  <c r="L39" i="201"/>
  <c r="J39" i="201"/>
  <c r="L19" i="201"/>
  <c r="L25" i="205" s="1"/>
  <c r="L70" i="205" s="1"/>
  <c r="N18" i="201"/>
  <c r="H18" i="201"/>
  <c r="H17" i="201"/>
  <c r="N16" i="201"/>
  <c r="N14" i="201"/>
  <c r="H14" i="201"/>
  <c r="A14" i="201"/>
  <c r="A17" i="201" s="1"/>
  <c r="A18" i="201" s="1"/>
  <c r="A19" i="201" s="1"/>
  <c r="A22" i="201" s="1"/>
  <c r="A23" i="201" s="1"/>
  <c r="N13" i="201"/>
  <c r="H13" i="201"/>
  <c r="P39" i="200"/>
  <c r="N39" i="200"/>
  <c r="J39" i="200"/>
  <c r="L39" i="200"/>
  <c r="H18" i="200"/>
  <c r="H17" i="200"/>
  <c r="H14" i="200"/>
  <c r="A14" i="200"/>
  <c r="A17" i="200" s="1"/>
  <c r="A18" i="200" s="1"/>
  <c r="A19" i="200" s="1"/>
  <c r="A22" i="200" s="1"/>
  <c r="A23" i="200" s="1"/>
  <c r="H13" i="200"/>
  <c r="P39" i="199"/>
  <c r="N39" i="199"/>
  <c r="J39" i="199"/>
  <c r="H18" i="199"/>
  <c r="N18" i="199" s="1"/>
  <c r="H17" i="199"/>
  <c r="N17" i="199" s="1"/>
  <c r="N16" i="199"/>
  <c r="H14" i="199"/>
  <c r="N14" i="199" s="1"/>
  <c r="A14" i="199"/>
  <c r="A17" i="199" s="1"/>
  <c r="A18" i="199" s="1"/>
  <c r="A19" i="199" s="1"/>
  <c r="A22" i="199" s="1"/>
  <c r="A23" i="199" s="1"/>
  <c r="L19" i="199"/>
  <c r="L23" i="205" s="1"/>
  <c r="H13" i="199"/>
  <c r="N13" i="199" s="1"/>
  <c r="P39" i="198"/>
  <c r="N39" i="198"/>
  <c r="J39" i="198"/>
  <c r="L39" i="198"/>
  <c r="H18" i="198"/>
  <c r="H17" i="198"/>
  <c r="N16" i="198"/>
  <c r="H14" i="198"/>
  <c r="A14" i="198"/>
  <c r="A17" i="198" s="1"/>
  <c r="A18" i="198" s="1"/>
  <c r="A19" i="198" s="1"/>
  <c r="A22" i="198" s="1"/>
  <c r="A23" i="198" s="1"/>
  <c r="N13" i="198"/>
  <c r="H13" i="198"/>
  <c r="P39" i="197"/>
  <c r="N39" i="197"/>
  <c r="J39" i="197"/>
  <c r="L39" i="197"/>
  <c r="L28" i="197"/>
  <c r="H18" i="197"/>
  <c r="N18" i="197" s="1"/>
  <c r="H17" i="197"/>
  <c r="N17" i="197" s="1"/>
  <c r="N16" i="197"/>
  <c r="H14" i="197"/>
  <c r="A14" i="197"/>
  <c r="A17" i="197" s="1"/>
  <c r="A18" i="197" s="1"/>
  <c r="A19" i="197" s="1"/>
  <c r="A22" i="197" s="1"/>
  <c r="A23" i="197" s="1"/>
  <c r="N13" i="197"/>
  <c r="H13" i="197"/>
  <c r="P39" i="196"/>
  <c r="N39" i="196"/>
  <c r="L39" i="196"/>
  <c r="J39" i="196"/>
  <c r="L28" i="196"/>
  <c r="L19" i="196"/>
  <c r="L20" i="205" s="1"/>
  <c r="L65" i="205" s="1"/>
  <c r="H18" i="196"/>
  <c r="N18" i="196" s="1"/>
  <c r="H17" i="196"/>
  <c r="N17" i="196" s="1"/>
  <c r="N16" i="196"/>
  <c r="H14" i="196"/>
  <c r="A14" i="196"/>
  <c r="A17" i="196" s="1"/>
  <c r="A18" i="196" s="1"/>
  <c r="A19" i="196" s="1"/>
  <c r="A22" i="196" s="1"/>
  <c r="A23" i="196" s="1"/>
  <c r="N13" i="196"/>
  <c r="H13" i="196"/>
  <c r="P39" i="195"/>
  <c r="N39" i="195"/>
  <c r="L39" i="195"/>
  <c r="J39" i="195"/>
  <c r="L28" i="195"/>
  <c r="L19" i="195"/>
  <c r="L19" i="205" s="1"/>
  <c r="L64" i="205" s="1"/>
  <c r="H18" i="195"/>
  <c r="N18" i="195" s="1"/>
  <c r="H17" i="195"/>
  <c r="N17" i="195" s="1"/>
  <c r="N16" i="195"/>
  <c r="H14" i="195"/>
  <c r="A14" i="195"/>
  <c r="A17" i="195" s="1"/>
  <c r="A18" i="195" s="1"/>
  <c r="A19" i="195" s="1"/>
  <c r="A22" i="195" s="1"/>
  <c r="A23" i="195" s="1"/>
  <c r="N13" i="195"/>
  <c r="H13" i="195"/>
  <c r="P39" i="194"/>
  <c r="N39" i="194"/>
  <c r="L39" i="194"/>
  <c r="J39" i="194"/>
  <c r="L19" i="194"/>
  <c r="L18" i="205" s="1"/>
  <c r="L63" i="205" s="1"/>
  <c r="N18" i="194"/>
  <c r="H18" i="194"/>
  <c r="N17" i="194"/>
  <c r="H17" i="194"/>
  <c r="N16" i="194"/>
  <c r="H14" i="194"/>
  <c r="A14" i="194"/>
  <c r="A17" i="194" s="1"/>
  <c r="A18" i="194" s="1"/>
  <c r="A19" i="194" s="1"/>
  <c r="A22" i="194" s="1"/>
  <c r="A23" i="194" s="1"/>
  <c r="N13" i="194"/>
  <c r="H13" i="194"/>
  <c r="P39" i="193"/>
  <c r="N39" i="193"/>
  <c r="J39" i="193"/>
  <c r="L28" i="193"/>
  <c r="H27" i="193"/>
  <c r="H26" i="193"/>
  <c r="H25" i="193"/>
  <c r="H23" i="193"/>
  <c r="H22" i="193"/>
  <c r="H18" i="193"/>
  <c r="N18" i="193" s="1"/>
  <c r="H17" i="193"/>
  <c r="N17" i="193" s="1"/>
  <c r="N16" i="193"/>
  <c r="N14" i="193"/>
  <c r="H14" i="193"/>
  <c r="A14" i="193"/>
  <c r="A17" i="193" s="1"/>
  <c r="A18" i="193" s="1"/>
  <c r="A19" i="193" s="1"/>
  <c r="A22" i="193" s="1"/>
  <c r="A23" i="193" s="1"/>
  <c r="H13" i="193"/>
  <c r="L26" i="205" l="1"/>
  <c r="L71" i="205" s="1"/>
  <c r="A26" i="194"/>
  <c r="A27" i="194" s="1"/>
  <c r="A28" i="194" s="1"/>
  <c r="A30" i="194" s="1"/>
  <c r="A33" i="194" s="1"/>
  <c r="A34" i="194" s="1"/>
  <c r="A24" i="194"/>
  <c r="A26" i="203"/>
  <c r="A27" i="203" s="1"/>
  <c r="A28" i="203" s="1"/>
  <c r="A30" i="203" s="1"/>
  <c r="A33" i="203" s="1"/>
  <c r="A34" i="203" s="1"/>
  <c r="A24" i="203"/>
  <c r="A26" i="198"/>
  <c r="A27" i="198" s="1"/>
  <c r="A28" i="198" s="1"/>
  <c r="A30" i="198" s="1"/>
  <c r="A33" i="198" s="1"/>
  <c r="A34" i="198" s="1"/>
  <c r="A24" i="198"/>
  <c r="A26" i="199"/>
  <c r="A27" i="199" s="1"/>
  <c r="A28" i="199" s="1"/>
  <c r="A30" i="199" s="1"/>
  <c r="A33" i="199" s="1"/>
  <c r="A34" i="199" s="1"/>
  <c r="A24" i="199"/>
  <c r="A26" i="204"/>
  <c r="A27" i="204" s="1"/>
  <c r="A28" i="204" s="1"/>
  <c r="A30" i="204" s="1"/>
  <c r="A33" i="204" s="1"/>
  <c r="A34" i="204" s="1"/>
  <c r="A24" i="204"/>
  <c r="A26" i="200"/>
  <c r="A27" i="200" s="1"/>
  <c r="A28" i="200" s="1"/>
  <c r="A30" i="200" s="1"/>
  <c r="A33" i="200" s="1"/>
  <c r="A34" i="200" s="1"/>
  <c r="A24" i="200"/>
  <c r="A26" i="196"/>
  <c r="A27" i="196" s="1"/>
  <c r="A28" i="196" s="1"/>
  <c r="A30" i="196" s="1"/>
  <c r="A33" i="196" s="1"/>
  <c r="A34" i="196" s="1"/>
  <c r="A24" i="196"/>
  <c r="A26" i="202"/>
  <c r="A27" i="202" s="1"/>
  <c r="A28" i="202" s="1"/>
  <c r="A30" i="202" s="1"/>
  <c r="A33" i="202" s="1"/>
  <c r="A34" i="202" s="1"/>
  <c r="A24" i="202"/>
  <c r="A26" i="197"/>
  <c r="A27" i="197" s="1"/>
  <c r="A28" i="197" s="1"/>
  <c r="A30" i="197" s="1"/>
  <c r="A33" i="197" s="1"/>
  <c r="A34" i="197" s="1"/>
  <c r="A24" i="197"/>
  <c r="A26" i="201"/>
  <c r="A27" i="201" s="1"/>
  <c r="A28" i="201" s="1"/>
  <c r="A30" i="201" s="1"/>
  <c r="A33" i="201" s="1"/>
  <c r="A34" i="201" s="1"/>
  <c r="A24" i="201"/>
  <c r="A26" i="193"/>
  <c r="A27" i="193" s="1"/>
  <c r="A28" i="193" s="1"/>
  <c r="A30" i="193" s="1"/>
  <c r="A33" i="193" s="1"/>
  <c r="A34" i="193" s="1"/>
  <c r="A24" i="193"/>
  <c r="A26" i="195"/>
  <c r="A27" i="195" s="1"/>
  <c r="A28" i="195" s="1"/>
  <c r="A30" i="195" s="1"/>
  <c r="A33" i="195" s="1"/>
  <c r="A34" i="195" s="1"/>
  <c r="A24" i="195"/>
  <c r="L68" i="205"/>
  <c r="N19" i="202"/>
  <c r="N28" i="193"/>
  <c r="N14" i="195"/>
  <c r="N19" i="195" s="1"/>
  <c r="L39" i="193"/>
  <c r="N14" i="194"/>
  <c r="N19" i="194" s="1"/>
  <c r="N14" i="196"/>
  <c r="N19" i="196" s="1"/>
  <c r="N13" i="193"/>
  <c r="N19" i="193" s="1"/>
  <c r="L30" i="195"/>
  <c r="N28" i="195"/>
  <c r="N14" i="197"/>
  <c r="N19" i="197" s="1"/>
  <c r="L19" i="193"/>
  <c r="L30" i="196"/>
  <c r="N28" i="196"/>
  <c r="L19" i="197"/>
  <c r="N14" i="198"/>
  <c r="N18" i="198"/>
  <c r="N14" i="200"/>
  <c r="L28" i="199"/>
  <c r="L30" i="199" s="1"/>
  <c r="L39" i="199"/>
  <c r="N16" i="200"/>
  <c r="L28" i="194"/>
  <c r="L30" i="194" s="1"/>
  <c r="N17" i="198"/>
  <c r="N28" i="198"/>
  <c r="N19" i="199"/>
  <c r="L19" i="200"/>
  <c r="L24" i="205" s="1"/>
  <c r="L69" i="205" s="1"/>
  <c r="N13" i="200"/>
  <c r="N18" i="200"/>
  <c r="L19" i="198"/>
  <c r="L22" i="205" s="1"/>
  <c r="L67" i="205" s="1"/>
  <c r="N17" i="200"/>
  <c r="L28" i="198"/>
  <c r="L28" i="201"/>
  <c r="L30" i="201" s="1"/>
  <c r="N28" i="203"/>
  <c r="L28" i="203"/>
  <c r="L30" i="203" s="1"/>
  <c r="L39" i="204"/>
  <c r="L28" i="200"/>
  <c r="L28" i="202"/>
  <c r="L30" i="202" s="1"/>
  <c r="L39" i="202"/>
  <c r="N19" i="204"/>
  <c r="N17" i="201"/>
  <c r="N19" i="201" s="1"/>
  <c r="N17" i="203"/>
  <c r="N19" i="203" s="1"/>
  <c r="L30" i="204"/>
  <c r="O34" i="192"/>
  <c r="R34" i="192" s="1"/>
  <c r="O32" i="192"/>
  <c r="O31" i="192"/>
  <c r="O28" i="192"/>
  <c r="O27" i="192"/>
  <c r="O26" i="192"/>
  <c r="N29" i="192"/>
  <c r="M29" i="192"/>
  <c r="L29" i="192"/>
  <c r="K29" i="192"/>
  <c r="J29" i="192"/>
  <c r="I29" i="192"/>
  <c r="H29" i="192"/>
  <c r="G29" i="192"/>
  <c r="F29" i="192"/>
  <c r="E29" i="192"/>
  <c r="D29" i="192"/>
  <c r="O25" i="192"/>
  <c r="O24" i="192"/>
  <c r="O21" i="192"/>
  <c r="O20" i="192"/>
  <c r="O19" i="192"/>
  <c r="N22" i="192"/>
  <c r="M22" i="192"/>
  <c r="L22" i="192"/>
  <c r="K22" i="192"/>
  <c r="J22" i="192"/>
  <c r="I22" i="192"/>
  <c r="H22" i="192"/>
  <c r="G22" i="192"/>
  <c r="F22" i="192"/>
  <c r="E22" i="192"/>
  <c r="D22" i="192"/>
  <c r="C22" i="192"/>
  <c r="O17" i="192"/>
  <c r="O14" i="192"/>
  <c r="O13" i="192"/>
  <c r="O12" i="192"/>
  <c r="M15" i="192"/>
  <c r="I15" i="192"/>
  <c r="E15" i="192"/>
  <c r="O11" i="192"/>
  <c r="A11" i="192"/>
  <c r="A12" i="192" s="1"/>
  <c r="A13" i="192" s="1"/>
  <c r="A14" i="192" s="1"/>
  <c r="A15" i="192" s="1"/>
  <c r="A17" i="192" s="1"/>
  <c r="A18" i="192" s="1"/>
  <c r="A19" i="192" s="1"/>
  <c r="A20" i="192" s="1"/>
  <c r="A21" i="192" s="1"/>
  <c r="A22" i="192" s="1"/>
  <c r="A25" i="192" s="1"/>
  <c r="A26" i="192" s="1"/>
  <c r="A27" i="192" s="1"/>
  <c r="A28" i="192" s="1"/>
  <c r="A29" i="192" s="1"/>
  <c r="A31" i="192" s="1"/>
  <c r="A32" i="192" s="1"/>
  <c r="A33" i="192" s="1"/>
  <c r="A34" i="192" s="1"/>
  <c r="N15" i="192"/>
  <c r="L15" i="192"/>
  <c r="K15" i="192"/>
  <c r="J15" i="192"/>
  <c r="H15" i="192"/>
  <c r="G15" i="192"/>
  <c r="F15" i="192"/>
  <c r="D15" i="192"/>
  <c r="C15" i="192"/>
  <c r="S1048492" i="191"/>
  <c r="T6" i="191"/>
  <c r="R6" i="191"/>
  <c r="Q6" i="191"/>
  <c r="P6" i="191"/>
  <c r="O6" i="191"/>
  <c r="N6" i="191"/>
  <c r="M6" i="191"/>
  <c r="J6" i="191"/>
  <c r="I6" i="191"/>
  <c r="H6" i="191"/>
  <c r="G6" i="191"/>
  <c r="F6" i="191"/>
  <c r="T6" i="190"/>
  <c r="R6" i="190"/>
  <c r="Q6" i="190"/>
  <c r="P6" i="190"/>
  <c r="O6" i="190"/>
  <c r="N6" i="190"/>
  <c r="M6" i="190"/>
  <c r="J6" i="190"/>
  <c r="I6" i="190"/>
  <c r="H6" i="190"/>
  <c r="G6" i="190"/>
  <c r="F6" i="190"/>
  <c r="A37" i="201" l="1"/>
  <c r="A38" i="201" s="1"/>
  <c r="A39" i="201" s="1"/>
  <c r="A35" i="201"/>
  <c r="A37" i="200"/>
  <c r="A38" i="200" s="1"/>
  <c r="A39" i="200" s="1"/>
  <c r="A35" i="200"/>
  <c r="A37" i="203"/>
  <c r="A38" i="203" s="1"/>
  <c r="A39" i="203" s="1"/>
  <c r="A35" i="203"/>
  <c r="A37" i="195"/>
  <c r="A38" i="195" s="1"/>
  <c r="A39" i="195" s="1"/>
  <c r="A35" i="195"/>
  <c r="A37" i="202"/>
  <c r="A38" i="202" s="1"/>
  <c r="A39" i="202" s="1"/>
  <c r="A35" i="202"/>
  <c r="A37" i="199"/>
  <c r="A38" i="199" s="1"/>
  <c r="A39" i="199" s="1"/>
  <c r="A35" i="199"/>
  <c r="A37" i="193"/>
  <c r="A38" i="193" s="1"/>
  <c r="A39" i="193" s="1"/>
  <c r="A35" i="193"/>
  <c r="A37" i="197"/>
  <c r="A38" i="197" s="1"/>
  <c r="A39" i="197" s="1"/>
  <c r="A35" i="197"/>
  <c r="A37" i="196"/>
  <c r="A38" i="196" s="1"/>
  <c r="A39" i="196" s="1"/>
  <c r="A35" i="196"/>
  <c r="A37" i="204"/>
  <c r="A38" i="204" s="1"/>
  <c r="A39" i="204" s="1"/>
  <c r="A35" i="204"/>
  <c r="A37" i="198"/>
  <c r="A38" i="198" s="1"/>
  <c r="A39" i="198" s="1"/>
  <c r="A35" i="198"/>
  <c r="A37" i="194"/>
  <c r="A38" i="194" s="1"/>
  <c r="A39" i="194" s="1"/>
  <c r="A35" i="194"/>
  <c r="L17" i="205"/>
  <c r="L62" i="205" s="1"/>
  <c r="L56" i="205"/>
  <c r="N28" i="200"/>
  <c r="L30" i="197"/>
  <c r="L21" i="205"/>
  <c r="L66" i="205" s="1"/>
  <c r="N28" i="202"/>
  <c r="N30" i="202" s="1"/>
  <c r="N28" i="197"/>
  <c r="N30" i="197" s="1"/>
  <c r="N28" i="204"/>
  <c r="N30" i="204" s="1"/>
  <c r="L30" i="193"/>
  <c r="N30" i="203"/>
  <c r="N28" i="201"/>
  <c r="N30" i="201" s="1"/>
  <c r="N19" i="200"/>
  <c r="L30" i="198"/>
  <c r="N19" i="198"/>
  <c r="N30" i="198" s="1"/>
  <c r="N28" i="199"/>
  <c r="N30" i="199" s="1"/>
  <c r="L30" i="200"/>
  <c r="N30" i="196"/>
  <c r="N30" i="193"/>
  <c r="N28" i="194"/>
  <c r="N30" i="194" s="1"/>
  <c r="N30" i="195"/>
  <c r="O29" i="192"/>
  <c r="O10" i="192"/>
  <c r="O15" i="192" s="1"/>
  <c r="O18" i="192"/>
  <c r="O22" i="192" s="1"/>
  <c r="R22" i="192" s="1"/>
  <c r="C21" i="170"/>
  <c r="O21" i="170" s="1"/>
  <c r="C18" i="170"/>
  <c r="R29" i="192" l="1"/>
  <c r="T25" i="192"/>
  <c r="T26" i="192" s="1"/>
  <c r="R15" i="192"/>
  <c r="U33" i="204"/>
  <c r="T13" i="192"/>
  <c r="T14" i="192" s="1"/>
  <c r="L89" i="205"/>
  <c r="C22" i="170"/>
  <c r="O18" i="170"/>
  <c r="O22" i="170" s="1"/>
  <c r="L44" i="205"/>
  <c r="N30" i="200"/>
  <c r="P39" i="172" l="1"/>
  <c r="N39" i="172"/>
  <c r="J39" i="172"/>
  <c r="P39" i="173"/>
  <c r="N39" i="173"/>
  <c r="J39" i="173"/>
  <c r="P39" i="174"/>
  <c r="N39" i="174"/>
  <c r="J39" i="174"/>
  <c r="P39" i="175"/>
  <c r="N39" i="175"/>
  <c r="J39" i="175"/>
  <c r="P39" i="176"/>
  <c r="N39" i="176"/>
  <c r="J39" i="176"/>
  <c r="P39" i="177"/>
  <c r="N39" i="177"/>
  <c r="J39" i="177"/>
  <c r="P39" i="178"/>
  <c r="N39" i="178"/>
  <c r="J39" i="178"/>
  <c r="P39" i="179"/>
  <c r="N39" i="179"/>
  <c r="J39" i="179"/>
  <c r="P39" i="180"/>
  <c r="N39" i="180"/>
  <c r="J39" i="180"/>
  <c r="P39" i="182"/>
  <c r="N39" i="182"/>
  <c r="J39" i="182"/>
  <c r="P39" i="181"/>
  <c r="N39" i="181"/>
  <c r="J39" i="181"/>
  <c r="L27" i="172"/>
  <c r="N27" i="172" s="1"/>
  <c r="L27" i="173"/>
  <c r="N27" i="173" s="1"/>
  <c r="L27" i="174"/>
  <c r="N27" i="174" s="1"/>
  <c r="L27" i="175"/>
  <c r="N27" i="175" s="1"/>
  <c r="L27" i="176"/>
  <c r="N27" i="176" s="1"/>
  <c r="L27" i="177"/>
  <c r="N27" i="177" s="1"/>
  <c r="L27" i="178"/>
  <c r="N27" i="178" s="1"/>
  <c r="L27" i="179"/>
  <c r="N27" i="179" s="1"/>
  <c r="L27" i="180"/>
  <c r="N27" i="180" s="1"/>
  <c r="L27" i="182"/>
  <c r="N27" i="182" s="1"/>
  <c r="L27" i="181"/>
  <c r="N27" i="181" s="1"/>
  <c r="L23" i="172"/>
  <c r="N23" i="172" s="1"/>
  <c r="L23" i="173"/>
  <c r="N23" i="173" s="1"/>
  <c r="L23" i="174"/>
  <c r="N23" i="174" s="1"/>
  <c r="L23" i="175"/>
  <c r="N23" i="175" s="1"/>
  <c r="L23" i="176"/>
  <c r="N23" i="176" s="1"/>
  <c r="L23" i="177"/>
  <c r="N23" i="177" s="1"/>
  <c r="L23" i="178"/>
  <c r="N23" i="178" s="1"/>
  <c r="L23" i="179"/>
  <c r="N23" i="179" s="1"/>
  <c r="L23" i="180"/>
  <c r="N23" i="180" s="1"/>
  <c r="L23" i="182"/>
  <c r="N23" i="182" s="1"/>
  <c r="L23" i="181"/>
  <c r="N23" i="181" s="1"/>
  <c r="P39" i="171"/>
  <c r="N39" i="171"/>
  <c r="J39" i="171"/>
  <c r="J27" i="171"/>
  <c r="H27" i="171"/>
  <c r="L27" i="171"/>
  <c r="N27" i="171" s="1"/>
  <c r="H23" i="171"/>
  <c r="J23" i="171" s="1"/>
  <c r="L23" i="171"/>
  <c r="N23" i="171" s="1"/>
  <c r="R23" i="171" l="1"/>
  <c r="F23" i="172" s="1"/>
  <c r="R23" i="172" s="1"/>
  <c r="P27" i="171"/>
  <c r="R27" i="171"/>
  <c r="P23" i="171"/>
  <c r="N33" i="170"/>
  <c r="M33" i="170"/>
  <c r="L33" i="170"/>
  <c r="K33" i="170"/>
  <c r="J33" i="170"/>
  <c r="I33" i="170"/>
  <c r="H33" i="170"/>
  <c r="G33" i="170"/>
  <c r="F33" i="170"/>
  <c r="E33" i="170"/>
  <c r="D33" i="170"/>
  <c r="N35" i="170"/>
  <c r="L38" i="182" s="1"/>
  <c r="M35" i="170"/>
  <c r="L38" i="181" s="1"/>
  <c r="L35" i="170"/>
  <c r="L38" i="180" s="1"/>
  <c r="K35" i="170"/>
  <c r="L38" i="179" s="1"/>
  <c r="J35" i="170"/>
  <c r="I35" i="170"/>
  <c r="H35" i="170"/>
  <c r="G35" i="170"/>
  <c r="F35" i="170"/>
  <c r="L38" i="174" s="1"/>
  <c r="E35" i="170"/>
  <c r="L38" i="173" s="1"/>
  <c r="D35" i="170"/>
  <c r="L38" i="172" s="1"/>
  <c r="C35" i="170"/>
  <c r="L38" i="171" s="1"/>
  <c r="R38" i="171" s="1"/>
  <c r="F38" i="172" s="1"/>
  <c r="C33" i="170"/>
  <c r="N22" i="170"/>
  <c r="M22" i="170"/>
  <c r="L22" i="170"/>
  <c r="K22" i="170"/>
  <c r="J22" i="170"/>
  <c r="I22" i="170"/>
  <c r="H22" i="170"/>
  <c r="G22" i="170"/>
  <c r="F22" i="170"/>
  <c r="E22" i="170"/>
  <c r="D22" i="170"/>
  <c r="R38" i="172" l="1"/>
  <c r="F38" i="173" s="1"/>
  <c r="J23" i="172"/>
  <c r="P23" i="172" s="1"/>
  <c r="F27" i="172"/>
  <c r="J27" i="172" s="1"/>
  <c r="P27" i="172" s="1"/>
  <c r="R38" i="173"/>
  <c r="F38" i="174" s="1"/>
  <c r="R38" i="174" s="1"/>
  <c r="F38" i="175" s="1"/>
  <c r="L38" i="176"/>
  <c r="L38" i="175"/>
  <c r="L38" i="177"/>
  <c r="L38" i="178"/>
  <c r="F23" i="173"/>
  <c r="O35" i="170"/>
  <c r="F11" i="135"/>
  <c r="R27" i="172" l="1"/>
  <c r="F27" i="173" s="1"/>
  <c r="R27" i="173" s="1"/>
  <c r="F27" i="174" s="1"/>
  <c r="R38" i="175"/>
  <c r="F38" i="176" s="1"/>
  <c r="R38" i="176" s="1"/>
  <c r="F38" i="177" s="1"/>
  <c r="R38" i="177" s="1"/>
  <c r="F38" i="178" s="1"/>
  <c r="R38" i="178" s="1"/>
  <c r="F38" i="179" s="1"/>
  <c r="R38" i="179" s="1"/>
  <c r="F38" i="180" s="1"/>
  <c r="R38" i="180" s="1"/>
  <c r="F38" i="181" s="1"/>
  <c r="R38" i="181" s="1"/>
  <c r="F38" i="182" s="1"/>
  <c r="R38" i="182" s="1"/>
  <c r="F38" i="193" s="1"/>
  <c r="R38" i="193" s="1"/>
  <c r="F38" i="194" s="1"/>
  <c r="R38" i="194" s="1"/>
  <c r="F38" i="195" s="1"/>
  <c r="R38" i="195" s="1"/>
  <c r="F38" i="196" s="1"/>
  <c r="R38" i="196" s="1"/>
  <c r="F38" i="197" s="1"/>
  <c r="R38" i="197" s="1"/>
  <c r="F38" i="198" s="1"/>
  <c r="R38" i="198" s="1"/>
  <c r="F38" i="199" s="1"/>
  <c r="R38" i="199" s="1"/>
  <c r="F38" i="200" s="1"/>
  <c r="R38" i="200" s="1"/>
  <c r="F38" i="201" s="1"/>
  <c r="R38" i="201" s="1"/>
  <c r="F38" i="202" s="1"/>
  <c r="R38" i="202" s="1"/>
  <c r="F38" i="203" s="1"/>
  <c r="R38" i="203" s="1"/>
  <c r="F38" i="204" s="1"/>
  <c r="R38" i="204" s="1"/>
  <c r="J23" i="173"/>
  <c r="P23" i="173" s="1"/>
  <c r="R23" i="173"/>
  <c r="J27" i="173" l="1"/>
  <c r="P27" i="173" s="1"/>
  <c r="J27" i="174"/>
  <c r="P27" i="174" s="1"/>
  <c r="R27" i="174"/>
  <c r="F27" i="175" s="1"/>
  <c r="F23" i="174"/>
  <c r="J27" i="175" l="1"/>
  <c r="P27" i="175" s="1"/>
  <c r="R27" i="175"/>
  <c r="F27" i="176" s="1"/>
  <c r="R23" i="174"/>
  <c r="J23" i="174"/>
  <c r="P23" i="174" s="1"/>
  <c r="R27" i="176" l="1"/>
  <c r="F27" i="177" s="1"/>
  <c r="J27" i="176"/>
  <c r="P27" i="176" s="1"/>
  <c r="F23" i="175"/>
  <c r="H61" i="187"/>
  <c r="H60" i="187"/>
  <c r="H59" i="187"/>
  <c r="L84" i="187"/>
  <c r="M84" i="187" s="1"/>
  <c r="Q84" i="187" s="1"/>
  <c r="L83" i="187"/>
  <c r="M83" i="187" s="1"/>
  <c r="Q83" i="187" s="1"/>
  <c r="L82" i="187"/>
  <c r="M82" i="187" s="1"/>
  <c r="Q82" i="187" s="1"/>
  <c r="L81" i="187"/>
  <c r="M81" i="187" s="1"/>
  <c r="Q81" i="187" s="1"/>
  <c r="L80" i="187"/>
  <c r="M80" i="187" s="1"/>
  <c r="Q80" i="187" s="1"/>
  <c r="L79" i="187"/>
  <c r="M79" i="187" s="1"/>
  <c r="Q79" i="187" s="1"/>
  <c r="L78" i="187"/>
  <c r="M78" i="187" s="1"/>
  <c r="Q78" i="187" s="1"/>
  <c r="L77" i="187"/>
  <c r="M77" i="187" s="1"/>
  <c r="Q77" i="187" s="1"/>
  <c r="L76" i="187"/>
  <c r="M76" i="187" s="1"/>
  <c r="Q76" i="187" s="1"/>
  <c r="L75" i="187"/>
  <c r="M75" i="187" s="1"/>
  <c r="Q75" i="187" s="1"/>
  <c r="L74" i="187"/>
  <c r="M74" i="187" s="1"/>
  <c r="Q74" i="187" s="1"/>
  <c r="L73" i="187"/>
  <c r="M73" i="187" s="1"/>
  <c r="Q73" i="187" s="1"/>
  <c r="L72" i="187"/>
  <c r="M72" i="187" s="1"/>
  <c r="Q72" i="187" s="1"/>
  <c r="L71" i="187"/>
  <c r="M71" i="187" s="1"/>
  <c r="Q71" i="187" s="1"/>
  <c r="L70" i="187"/>
  <c r="M70" i="187" s="1"/>
  <c r="Q70" i="187" s="1"/>
  <c r="A58" i="187"/>
  <c r="A59" i="187" s="1"/>
  <c r="A60" i="187" s="1"/>
  <c r="A61" i="187" s="1"/>
  <c r="A62" i="187" s="1"/>
  <c r="A63" i="187" s="1"/>
  <c r="A64" i="187" s="1"/>
  <c r="A65" i="187" s="1"/>
  <c r="A66" i="187" s="1"/>
  <c r="A67" i="187" s="1"/>
  <c r="A68" i="187" s="1"/>
  <c r="A69" i="187" s="1"/>
  <c r="A70" i="187" s="1"/>
  <c r="A71" i="187" s="1"/>
  <c r="A72" i="187" s="1"/>
  <c r="A73" i="187" s="1"/>
  <c r="A74" i="187" s="1"/>
  <c r="A75" i="187" s="1"/>
  <c r="A76" i="187" s="1"/>
  <c r="A77" i="187" s="1"/>
  <c r="A78" i="187" s="1"/>
  <c r="A79" i="187" s="1"/>
  <c r="A80" i="187" s="1"/>
  <c r="A81" i="187" s="1"/>
  <c r="A82" i="187" s="1"/>
  <c r="A83" i="187" s="1"/>
  <c r="A84" i="187" s="1"/>
  <c r="A85" i="187" s="1"/>
  <c r="Q43" i="187"/>
  <c r="P43" i="187"/>
  <c r="Q42" i="187"/>
  <c r="P42" i="187"/>
  <c r="Q41" i="187"/>
  <c r="P41" i="187"/>
  <c r="Q40" i="187"/>
  <c r="P40" i="187"/>
  <c r="Q39" i="187"/>
  <c r="P39" i="187"/>
  <c r="Q38" i="187"/>
  <c r="P38" i="187"/>
  <c r="Q37" i="187"/>
  <c r="P37" i="187"/>
  <c r="Q36" i="187"/>
  <c r="P36" i="187"/>
  <c r="Q35" i="187"/>
  <c r="P35" i="187"/>
  <c r="Q34" i="187"/>
  <c r="P34" i="187"/>
  <c r="Q33" i="187"/>
  <c r="P33" i="187"/>
  <c r="Q32" i="187"/>
  <c r="P32" i="187"/>
  <c r="Q31" i="187"/>
  <c r="P31" i="187"/>
  <c r="Q30" i="187"/>
  <c r="P30" i="187"/>
  <c r="P29" i="187"/>
  <c r="A17" i="187"/>
  <c r="A18" i="187" s="1"/>
  <c r="A19" i="187" s="1"/>
  <c r="A20" i="187" s="1"/>
  <c r="A21" i="187" s="1"/>
  <c r="A22" i="187" s="1"/>
  <c r="A23" i="187" s="1"/>
  <c r="A24" i="187" s="1"/>
  <c r="A25" i="187" s="1"/>
  <c r="A26" i="187" s="1"/>
  <c r="A27" i="187" s="1"/>
  <c r="A28" i="187" s="1"/>
  <c r="A29" i="187" s="1"/>
  <c r="A30" i="187" s="1"/>
  <c r="A31" i="187" s="1"/>
  <c r="A32" i="187" s="1"/>
  <c r="A33" i="187" s="1"/>
  <c r="A34" i="187" s="1"/>
  <c r="A35" i="187" s="1"/>
  <c r="A36" i="187" s="1"/>
  <c r="A37" i="187" s="1"/>
  <c r="A38" i="187" s="1"/>
  <c r="A39" i="187" s="1"/>
  <c r="A40" i="187" s="1"/>
  <c r="A41" i="187" s="1"/>
  <c r="A42" i="187" s="1"/>
  <c r="A43" i="187" s="1"/>
  <c r="A44" i="187" s="1"/>
  <c r="J27" i="177" l="1"/>
  <c r="P27" i="177" s="1"/>
  <c r="R27" i="177"/>
  <c r="F27" i="178" s="1"/>
  <c r="J23" i="175"/>
  <c r="P23" i="175" s="1"/>
  <c r="R23" i="175"/>
  <c r="P44" i="187"/>
  <c r="H53" i="187"/>
  <c r="I19" i="187"/>
  <c r="I17" i="187"/>
  <c r="H58" i="187"/>
  <c r="T16" i="187"/>
  <c r="I18" i="187"/>
  <c r="R27" i="178" l="1"/>
  <c r="F27" i="179" s="1"/>
  <c r="J27" i="178"/>
  <c r="P27" i="178" s="1"/>
  <c r="F23" i="176"/>
  <c r="I61" i="187"/>
  <c r="I60" i="187"/>
  <c r="I59" i="187"/>
  <c r="I20" i="187"/>
  <c r="J27" i="179" l="1"/>
  <c r="P27" i="179" s="1"/>
  <c r="R27" i="179"/>
  <c r="F27" i="180" s="1"/>
  <c r="J23" i="176"/>
  <c r="P23" i="176" s="1"/>
  <c r="R23" i="176"/>
  <c r="I58" i="187"/>
  <c r="J27" i="180" l="1"/>
  <c r="P27" i="180" s="1"/>
  <c r="R27" i="180"/>
  <c r="F27" i="181" s="1"/>
  <c r="F23" i="177"/>
  <c r="J27" i="181" l="1"/>
  <c r="P27" i="181" s="1"/>
  <c r="R27" i="181"/>
  <c r="F27" i="182" s="1"/>
  <c r="J23" i="177"/>
  <c r="P23" i="177" s="1"/>
  <c r="R23" i="177"/>
  <c r="R27" i="182" l="1"/>
  <c r="F27" i="193" s="1"/>
  <c r="J27" i="182"/>
  <c r="P27" i="182" s="1"/>
  <c r="F23" i="178"/>
  <c r="J27" i="193" l="1"/>
  <c r="P27" i="193" s="1"/>
  <c r="R27" i="193"/>
  <c r="F27" i="194" s="1"/>
  <c r="J23" i="178"/>
  <c r="P23" i="178" s="1"/>
  <c r="R23" i="178"/>
  <c r="J27" i="194" l="1"/>
  <c r="P27" i="194" s="1"/>
  <c r="R27" i="194"/>
  <c r="F27" i="195" s="1"/>
  <c r="F23" i="179"/>
  <c r="J27" i="195" l="1"/>
  <c r="P27" i="195" s="1"/>
  <c r="R27" i="195"/>
  <c r="F27" i="196" s="1"/>
  <c r="J23" i="179"/>
  <c r="P23" i="179" s="1"/>
  <c r="R23" i="179"/>
  <c r="R27" i="196" l="1"/>
  <c r="F27" i="197" s="1"/>
  <c r="J27" i="196"/>
  <c r="P27" i="196" s="1"/>
  <c r="F23" i="180"/>
  <c r="R27" i="197" l="1"/>
  <c r="F27" i="198" s="1"/>
  <c r="J27" i="197"/>
  <c r="P27" i="197" s="1"/>
  <c r="R23" i="180"/>
  <c r="J23" i="180"/>
  <c r="P23" i="180" s="1"/>
  <c r="R27" i="198" l="1"/>
  <c r="F27" i="199" s="1"/>
  <c r="J27" i="198"/>
  <c r="P27" i="198" s="1"/>
  <c r="F23" i="181"/>
  <c r="R27" i="199" l="1"/>
  <c r="F27" i="200" s="1"/>
  <c r="J27" i="199"/>
  <c r="P27" i="199" s="1"/>
  <c r="J23" i="181"/>
  <c r="P23" i="181" s="1"/>
  <c r="R23" i="181"/>
  <c r="E26" i="168"/>
  <c r="G38" i="170"/>
  <c r="K38" i="170"/>
  <c r="D38" i="170"/>
  <c r="E38" i="170"/>
  <c r="F38" i="170"/>
  <c r="H38" i="170"/>
  <c r="I38" i="170"/>
  <c r="J38" i="170"/>
  <c r="L38" i="170"/>
  <c r="M38" i="170"/>
  <c r="N38" i="170"/>
  <c r="I34" i="185"/>
  <c r="F26" i="168" s="1"/>
  <c r="J34" i="185"/>
  <c r="G26" i="168" s="1"/>
  <c r="K34" i="185"/>
  <c r="H26" i="168" s="1"/>
  <c r="L34" i="185"/>
  <c r="I26" i="168" s="1"/>
  <c r="M34" i="185"/>
  <c r="J26" i="168" s="1"/>
  <c r="N34" i="185"/>
  <c r="K26" i="168" s="1"/>
  <c r="O34" i="185"/>
  <c r="L26" i="168" s="1"/>
  <c r="P34" i="185"/>
  <c r="M26" i="168" s="1"/>
  <c r="Q34" i="185"/>
  <c r="N26" i="168" s="1"/>
  <c r="R34" i="185"/>
  <c r="O26" i="168" s="1"/>
  <c r="S34" i="185"/>
  <c r="P26" i="168" s="1"/>
  <c r="H34" i="185"/>
  <c r="C39" i="170" s="1"/>
  <c r="C38" i="170"/>
  <c r="J27" i="200" l="1"/>
  <c r="P27" i="200" s="1"/>
  <c r="R27" i="200"/>
  <c r="F27" i="201" s="1"/>
  <c r="I39" i="170"/>
  <c r="F23" i="182"/>
  <c r="N39" i="170"/>
  <c r="H39" i="170"/>
  <c r="M39" i="170"/>
  <c r="G39" i="170"/>
  <c r="L39" i="170"/>
  <c r="F39" i="170"/>
  <c r="K39" i="170"/>
  <c r="E39" i="170"/>
  <c r="J39" i="170"/>
  <c r="D39" i="170"/>
  <c r="D14" i="170"/>
  <c r="L18" i="172" s="1"/>
  <c r="E14" i="170"/>
  <c r="L18" i="173" s="1"/>
  <c r="F14" i="170"/>
  <c r="L18" i="174" s="1"/>
  <c r="G14" i="170"/>
  <c r="L18" i="175" s="1"/>
  <c r="H14" i="170"/>
  <c r="L18" i="176" s="1"/>
  <c r="I14" i="170"/>
  <c r="L18" i="177" s="1"/>
  <c r="J14" i="170"/>
  <c r="L18" i="178" s="1"/>
  <c r="K14" i="170"/>
  <c r="L18" i="179" s="1"/>
  <c r="L14" i="170"/>
  <c r="L18" i="180" s="1"/>
  <c r="M14" i="170"/>
  <c r="L18" i="181" s="1"/>
  <c r="N14" i="170"/>
  <c r="L18" i="182" s="1"/>
  <c r="C14" i="170"/>
  <c r="V3" i="184"/>
  <c r="D10" i="170"/>
  <c r="E10" i="170"/>
  <c r="F10" i="170"/>
  <c r="G10" i="170"/>
  <c r="H10" i="170"/>
  <c r="I10" i="170"/>
  <c r="J10" i="170"/>
  <c r="K10" i="170"/>
  <c r="L10" i="170"/>
  <c r="M10" i="170"/>
  <c r="N10" i="170"/>
  <c r="C10" i="170"/>
  <c r="R27" i="184"/>
  <c r="R26" i="184"/>
  <c r="R43" i="184"/>
  <c r="F45" i="184"/>
  <c r="G45" i="184"/>
  <c r="H45" i="184"/>
  <c r="I45" i="184"/>
  <c r="J45" i="184"/>
  <c r="K45" i="184"/>
  <c r="L45" i="184"/>
  <c r="M45" i="184"/>
  <c r="N45" i="184"/>
  <c r="O45" i="184"/>
  <c r="P45" i="184"/>
  <c r="Q45" i="184"/>
  <c r="L18" i="171" l="1"/>
  <c r="R68" i="184"/>
  <c r="R27" i="201"/>
  <c r="F27" i="202" s="1"/>
  <c r="J27" i="201"/>
  <c r="P27" i="201" s="1"/>
  <c r="R23" i="182"/>
  <c r="F23" i="193" s="1"/>
  <c r="J23" i="182"/>
  <c r="P23" i="182" s="1"/>
  <c r="O39" i="170"/>
  <c r="R23" i="193" l="1"/>
  <c r="J23" i="193"/>
  <c r="J27" i="202"/>
  <c r="P27" i="202" s="1"/>
  <c r="R27" i="202"/>
  <c r="F27" i="203" s="1"/>
  <c r="H65" i="187"/>
  <c r="I65" i="187" s="1"/>
  <c r="I24" i="187"/>
  <c r="A14" i="182"/>
  <c r="H14" i="182"/>
  <c r="A14" i="181"/>
  <c r="H14" i="181"/>
  <c r="A14" i="180"/>
  <c r="H14" i="180"/>
  <c r="A14" i="179"/>
  <c r="H14" i="179"/>
  <c r="A14" i="178"/>
  <c r="H14" i="178"/>
  <c r="H14" i="177"/>
  <c r="A14" i="177"/>
  <c r="A14" i="176"/>
  <c r="H14" i="176"/>
  <c r="R14" i="175"/>
  <c r="P23" i="193" l="1"/>
  <c r="R27" i="203"/>
  <c r="F27" i="204" s="1"/>
  <c r="J27" i="203"/>
  <c r="P27" i="203" s="1"/>
  <c r="F23" i="194"/>
  <c r="N14" i="182"/>
  <c r="H63" i="187"/>
  <c r="I63" i="187" s="1"/>
  <c r="I22" i="187"/>
  <c r="H68" i="187"/>
  <c r="I68" i="187" s="1"/>
  <c r="I27" i="187"/>
  <c r="H66" i="187"/>
  <c r="I66" i="187" s="1"/>
  <c r="I25" i="187"/>
  <c r="H69" i="187"/>
  <c r="I69" i="187" s="1"/>
  <c r="I28" i="187"/>
  <c r="H67" i="187"/>
  <c r="I67" i="187" s="1"/>
  <c r="F14" i="176"/>
  <c r="J14" i="176" s="1"/>
  <c r="H64" i="187"/>
  <c r="I64" i="187" s="1"/>
  <c r="I23" i="187"/>
  <c r="N14" i="179"/>
  <c r="N14" i="181"/>
  <c r="N14" i="180"/>
  <c r="N14" i="178"/>
  <c r="N14" i="177"/>
  <c r="N14" i="176"/>
  <c r="J23" i="194" l="1"/>
  <c r="R23" i="194"/>
  <c r="J27" i="204"/>
  <c r="P27" i="204" s="1"/>
  <c r="R27" i="204"/>
  <c r="R14" i="176"/>
  <c r="F14" i="177" s="1"/>
  <c r="R14" i="177" s="1"/>
  <c r="F14" i="178" s="1"/>
  <c r="J14" i="178" s="1"/>
  <c r="P14" i="178" s="1"/>
  <c r="H62" i="187"/>
  <c r="I21" i="187"/>
  <c r="H44" i="187"/>
  <c r="P14" i="176"/>
  <c r="A14" i="175"/>
  <c r="A17" i="175" s="1"/>
  <c r="H14" i="175"/>
  <c r="N14" i="175" s="1"/>
  <c r="A14" i="174"/>
  <c r="R14" i="174"/>
  <c r="H14" i="174"/>
  <c r="N14" i="174" s="1"/>
  <c r="A14" i="173"/>
  <c r="A17" i="173" s="1"/>
  <c r="A18" i="173" s="1"/>
  <c r="R14" i="173"/>
  <c r="H14" i="173"/>
  <c r="N14" i="173" s="1"/>
  <c r="A14" i="172"/>
  <c r="A17" i="172" s="1"/>
  <c r="A18" i="172" s="1"/>
  <c r="R14" i="172"/>
  <c r="H14" i="172"/>
  <c r="N14" i="172" s="1"/>
  <c r="A14" i="171"/>
  <c r="A17" i="171" s="1"/>
  <c r="A18" i="171" s="1"/>
  <c r="A19" i="171" s="1"/>
  <c r="H14" i="171"/>
  <c r="J14" i="177" l="1"/>
  <c r="P14" i="177" s="1"/>
  <c r="F23" i="195"/>
  <c r="P23" i="194"/>
  <c r="R14" i="178"/>
  <c r="F14" i="179" s="1"/>
  <c r="J14" i="179" s="1"/>
  <c r="P14" i="179" s="1"/>
  <c r="K24" i="187"/>
  <c r="L25" i="168"/>
  <c r="K22" i="187"/>
  <c r="K63" i="187" s="1"/>
  <c r="J25" i="168"/>
  <c r="K23" i="187"/>
  <c r="K64" i="187" s="1"/>
  <c r="K25" i="168"/>
  <c r="H85" i="187"/>
  <c r="I62" i="187"/>
  <c r="I44" i="187"/>
  <c r="J14" i="175"/>
  <c r="P14" i="175" s="1"/>
  <c r="J14" i="174"/>
  <c r="P14" i="174" s="1"/>
  <c r="J14" i="173"/>
  <c r="P14" i="173" s="1"/>
  <c r="J14" i="172"/>
  <c r="P14" i="172" s="1"/>
  <c r="R14" i="171"/>
  <c r="N14" i="171"/>
  <c r="J14" i="171"/>
  <c r="P14" i="171" s="1"/>
  <c r="E13" i="168" s="1"/>
  <c r="F13" i="168" s="1"/>
  <c r="G13" i="168" l="1"/>
  <c r="H13" i="168" s="1"/>
  <c r="I13" i="168" s="1"/>
  <c r="J13" i="168" s="1"/>
  <c r="K13" i="168" s="1"/>
  <c r="L13" i="168" s="1"/>
  <c r="M13" i="168" s="1"/>
  <c r="R14" i="179"/>
  <c r="F14" i="180" s="1"/>
  <c r="K65" i="187"/>
  <c r="J23" i="195"/>
  <c r="R23" i="195"/>
  <c r="K21" i="187"/>
  <c r="K62" i="187" s="1"/>
  <c r="I25" i="168"/>
  <c r="F25" i="168"/>
  <c r="K18" i="187"/>
  <c r="K25" i="187"/>
  <c r="K66" i="187" s="1"/>
  <c r="M25" i="168"/>
  <c r="E25" i="168"/>
  <c r="K17" i="187"/>
  <c r="G25" i="168"/>
  <c r="K19" i="187"/>
  <c r="H25" i="168"/>
  <c r="K20" i="187"/>
  <c r="I85" i="187"/>
  <c r="R14" i="180"/>
  <c r="F14" i="181" s="1"/>
  <c r="J14" i="180"/>
  <c r="P14" i="180" s="1"/>
  <c r="R16" i="184"/>
  <c r="R17" i="184"/>
  <c r="R18" i="184"/>
  <c r="R19" i="184"/>
  <c r="N13" i="168" l="1"/>
  <c r="F23" i="196"/>
  <c r="P23" i="195"/>
  <c r="K26" i="187"/>
  <c r="N25" i="168"/>
  <c r="K59" i="187"/>
  <c r="K60" i="187"/>
  <c r="K61" i="187"/>
  <c r="K58" i="187"/>
  <c r="R14" i="181"/>
  <c r="F14" i="182" s="1"/>
  <c r="J14" i="181"/>
  <c r="P14" i="181" s="1"/>
  <c r="T36" i="185"/>
  <c r="T37" i="185"/>
  <c r="O13" i="168" l="1"/>
  <c r="R23" i="196"/>
  <c r="J23" i="196"/>
  <c r="K67" i="187"/>
  <c r="K27" i="187"/>
  <c r="K68" i="187" s="1"/>
  <c r="O25" i="168"/>
  <c r="J14" i="182"/>
  <c r="P14" i="182" s="1"/>
  <c r="R14" i="182"/>
  <c r="R15" i="184"/>
  <c r="R22" i="184"/>
  <c r="R23" i="184"/>
  <c r="R24" i="184"/>
  <c r="P13" i="168" l="1"/>
  <c r="P23" i="196"/>
  <c r="F23" i="197"/>
  <c r="F14" i="193"/>
  <c r="R14" i="193" s="1"/>
  <c r="H11" i="206"/>
  <c r="H17" i="206" s="1"/>
  <c r="J17" i="206" s="1"/>
  <c r="K28" i="187"/>
  <c r="K69" i="187" s="1"/>
  <c r="P25" i="168"/>
  <c r="F14" i="194" l="1"/>
  <c r="J14" i="194" s="1"/>
  <c r="P14" i="194" s="1"/>
  <c r="P43" i="194" s="1"/>
  <c r="T14" i="193"/>
  <c r="T18" i="193" s="1"/>
  <c r="J14" i="193"/>
  <c r="P14" i="193" s="1"/>
  <c r="J23" i="197"/>
  <c r="R23" i="197"/>
  <c r="K44" i="187"/>
  <c r="Q25" i="168"/>
  <c r="S25" i="168" s="1"/>
  <c r="K85" i="187"/>
  <c r="H61" i="128"/>
  <c r="E11" i="114" s="1"/>
  <c r="I61" i="128"/>
  <c r="F11" i="114" s="1"/>
  <c r="J61" i="128"/>
  <c r="G11" i="114" s="1"/>
  <c r="K61" i="128"/>
  <c r="H11" i="114" s="1"/>
  <c r="L61" i="128"/>
  <c r="I11" i="114" s="1"/>
  <c r="M61" i="128"/>
  <c r="J11" i="114" s="1"/>
  <c r="N61" i="128"/>
  <c r="K11" i="114" s="1"/>
  <c r="O61" i="128"/>
  <c r="L11" i="114" s="1"/>
  <c r="P61" i="128"/>
  <c r="M11" i="114" s="1"/>
  <c r="Q61" i="128"/>
  <c r="N11" i="114" s="1"/>
  <c r="G61" i="128"/>
  <c r="D11" i="114" s="1"/>
  <c r="H50" i="165"/>
  <c r="E11" i="149" s="1"/>
  <c r="I50" i="165"/>
  <c r="F11" i="149" s="1"/>
  <c r="J50" i="165"/>
  <c r="G11" i="149" s="1"/>
  <c r="K50" i="165"/>
  <c r="H11" i="149" s="1"/>
  <c r="L50" i="165"/>
  <c r="I11" i="149" s="1"/>
  <c r="M50" i="165"/>
  <c r="J11" i="149" s="1"/>
  <c r="N50" i="165"/>
  <c r="K11" i="149" s="1"/>
  <c r="O50" i="165"/>
  <c r="L11" i="149" s="1"/>
  <c r="P50" i="165"/>
  <c r="M11" i="149" s="1"/>
  <c r="Q50" i="165"/>
  <c r="N11" i="149" s="1"/>
  <c r="G50" i="165"/>
  <c r="D11" i="149" s="1"/>
  <c r="R14" i="194" l="1"/>
  <c r="F14" i="195"/>
  <c r="J14" i="195" s="1"/>
  <c r="P14" i="195" s="1"/>
  <c r="P43" i="195" s="1"/>
  <c r="T14" i="194"/>
  <c r="L17" i="206"/>
  <c r="L59" i="206" s="1"/>
  <c r="P43" i="193"/>
  <c r="F23" i="198"/>
  <c r="P23" i="197"/>
  <c r="L18" i="206"/>
  <c r="L60" i="206" s="1"/>
  <c r="Q23" i="110"/>
  <c r="R14" i="195" l="1"/>
  <c r="T14" i="195" s="1"/>
  <c r="T18" i="195" s="1"/>
  <c r="T18" i="194"/>
  <c r="M17" i="206"/>
  <c r="N17" i="206" s="1"/>
  <c r="F38" i="191"/>
  <c r="E38" i="191"/>
  <c r="F29" i="191"/>
  <c r="E29" i="191"/>
  <c r="J23" i="198"/>
  <c r="R23" i="198"/>
  <c r="L19" i="206"/>
  <c r="L61" i="206" s="1"/>
  <c r="D40" i="170"/>
  <c r="E40" i="170"/>
  <c r="F40" i="170"/>
  <c r="G40" i="170"/>
  <c r="H40" i="170"/>
  <c r="I40" i="170"/>
  <c r="J40" i="170"/>
  <c r="K40" i="170"/>
  <c r="L40" i="170"/>
  <c r="M40" i="170"/>
  <c r="N40" i="170"/>
  <c r="D41" i="170"/>
  <c r="E41" i="170"/>
  <c r="F41" i="170"/>
  <c r="G41" i="170"/>
  <c r="H41" i="170"/>
  <c r="I41" i="170"/>
  <c r="J41" i="170"/>
  <c r="K41" i="170"/>
  <c r="L41" i="170"/>
  <c r="M41" i="170"/>
  <c r="N41" i="170"/>
  <c r="C41" i="170"/>
  <c r="C40" i="170"/>
  <c r="D25" i="149"/>
  <c r="E25" i="149"/>
  <c r="F25" i="149"/>
  <c r="G25" i="149"/>
  <c r="H25" i="149"/>
  <c r="I25" i="149"/>
  <c r="J25" i="149"/>
  <c r="K25" i="149"/>
  <c r="L25" i="149"/>
  <c r="M25" i="149"/>
  <c r="N25" i="149"/>
  <c r="C25" i="149"/>
  <c r="F14" i="196" l="1"/>
  <c r="J14" i="196" s="1"/>
  <c r="P14" i="196" s="1"/>
  <c r="P43" i="196" s="1"/>
  <c r="R14" i="196"/>
  <c r="F14" i="197" s="1"/>
  <c r="G38" i="191"/>
  <c r="G29" i="191"/>
  <c r="F23" i="199"/>
  <c r="P23" i="198"/>
  <c r="L13" i="191" s="1"/>
  <c r="L20" i="206"/>
  <c r="L62" i="206" s="1"/>
  <c r="F32" i="170"/>
  <c r="G32" i="170"/>
  <c r="H32" i="170"/>
  <c r="I32" i="170"/>
  <c r="J32" i="170"/>
  <c r="K32" i="170"/>
  <c r="L32" i="170"/>
  <c r="M32" i="170"/>
  <c r="N32" i="170"/>
  <c r="C32" i="170"/>
  <c r="D32" i="170"/>
  <c r="E32" i="170"/>
  <c r="L14" i="191" l="1"/>
  <c r="L18" i="191" s="1"/>
  <c r="R14" i="197"/>
  <c r="J14" i="197"/>
  <c r="P14" i="197" s="1"/>
  <c r="P43" i="197" s="1"/>
  <c r="T14" i="196"/>
  <c r="T18" i="196" s="1"/>
  <c r="F14" i="198"/>
  <c r="T14" i="197"/>
  <c r="T18" i="197" s="1"/>
  <c r="H38" i="191"/>
  <c r="H29" i="191"/>
  <c r="J23" i="199"/>
  <c r="R23" i="199"/>
  <c r="L21" i="206"/>
  <c r="L63" i="206" s="1"/>
  <c r="J14" i="198"/>
  <c r="P14" i="198" s="1"/>
  <c r="P43" i="198" s="1"/>
  <c r="R14" i="198"/>
  <c r="L34" i="173"/>
  <c r="J19" i="187" s="1"/>
  <c r="E36" i="170"/>
  <c r="L34" i="181"/>
  <c r="J27" i="187" s="1"/>
  <c r="M36" i="170"/>
  <c r="L34" i="177"/>
  <c r="J23" i="187" s="1"/>
  <c r="I36" i="170"/>
  <c r="L34" i="172"/>
  <c r="J18" i="187" s="1"/>
  <c r="D36" i="170"/>
  <c r="L34" i="180"/>
  <c r="J26" i="187" s="1"/>
  <c r="L36" i="170"/>
  <c r="L34" i="176"/>
  <c r="J22" i="187" s="1"/>
  <c r="H36" i="170"/>
  <c r="L34" i="171"/>
  <c r="C36" i="170"/>
  <c r="L34" i="179"/>
  <c r="J25" i="187" s="1"/>
  <c r="K36" i="170"/>
  <c r="L34" i="175"/>
  <c r="J21" i="187" s="1"/>
  <c r="G36" i="170"/>
  <c r="L34" i="182"/>
  <c r="J28" i="187" s="1"/>
  <c r="N36" i="170"/>
  <c r="L34" i="178"/>
  <c r="J24" i="187" s="1"/>
  <c r="J36" i="170"/>
  <c r="L34" i="174"/>
  <c r="J20" i="187" s="1"/>
  <c r="F36" i="170"/>
  <c r="T2" i="185"/>
  <c r="I31" i="185"/>
  <c r="J31" i="185"/>
  <c r="K31" i="185"/>
  <c r="L31" i="185"/>
  <c r="M31" i="185"/>
  <c r="N31" i="185"/>
  <c r="O31" i="185"/>
  <c r="P31" i="185"/>
  <c r="Q31" i="185"/>
  <c r="R31" i="185"/>
  <c r="S31" i="185"/>
  <c r="H31" i="185"/>
  <c r="T3" i="185"/>
  <c r="T4" i="185"/>
  <c r="T5" i="185"/>
  <c r="T6" i="185"/>
  <c r="T7" i="185"/>
  <c r="T8" i="185"/>
  <c r="T9" i="185"/>
  <c r="T10" i="185"/>
  <c r="T11" i="185"/>
  <c r="T12" i="185"/>
  <c r="T13" i="185"/>
  <c r="T14" i="185"/>
  <c r="T15" i="185"/>
  <c r="T16" i="185"/>
  <c r="T17" i="185"/>
  <c r="T18" i="185"/>
  <c r="T19" i="185"/>
  <c r="T20" i="185"/>
  <c r="T21" i="185"/>
  <c r="T22" i="185"/>
  <c r="T23" i="185"/>
  <c r="T24" i="185"/>
  <c r="T25" i="185"/>
  <c r="T26" i="185"/>
  <c r="T27" i="185"/>
  <c r="T28" i="185"/>
  <c r="T29" i="185"/>
  <c r="T30" i="185"/>
  <c r="R41" i="184"/>
  <c r="R42" i="184"/>
  <c r="R39" i="184"/>
  <c r="F14" i="199" l="1"/>
  <c r="T14" i="198"/>
  <c r="T18" i="198" s="1"/>
  <c r="I38" i="191"/>
  <c r="J61" i="187"/>
  <c r="L61" i="187" s="1"/>
  <c r="M61" i="187" s="1"/>
  <c r="N20" i="187" s="1"/>
  <c r="O20" i="187" s="1"/>
  <c r="L20" i="187"/>
  <c r="M20" i="187" s="1"/>
  <c r="J62" i="187"/>
  <c r="L62" i="187" s="1"/>
  <c r="M62" i="187" s="1"/>
  <c r="N21" i="187" s="1"/>
  <c r="O21" i="187" s="1"/>
  <c r="L21" i="187"/>
  <c r="M21" i="187" s="1"/>
  <c r="R34" i="171"/>
  <c r="F34" i="172" s="1"/>
  <c r="R34" i="172" s="1"/>
  <c r="F34" i="173" s="1"/>
  <c r="R34" i="173" s="1"/>
  <c r="F34" i="174" s="1"/>
  <c r="R34" i="174" s="1"/>
  <c r="F34" i="175" s="1"/>
  <c r="R34" i="175" s="1"/>
  <c r="F34" i="176" s="1"/>
  <c r="R34" i="176" s="1"/>
  <c r="F34" i="177" s="1"/>
  <c r="R34" i="177" s="1"/>
  <c r="F34" i="178" s="1"/>
  <c r="R34" i="178" s="1"/>
  <c r="F34" i="179" s="1"/>
  <c r="R34" i="179" s="1"/>
  <c r="F34" i="180" s="1"/>
  <c r="R34" i="180" s="1"/>
  <c r="F34" i="181" s="1"/>
  <c r="R34" i="181" s="1"/>
  <c r="F34" i="182" s="1"/>
  <c r="R34" i="182" s="1"/>
  <c r="J17" i="187"/>
  <c r="J67" i="187"/>
  <c r="L67" i="187" s="1"/>
  <c r="M67" i="187" s="1"/>
  <c r="N26" i="187" s="1"/>
  <c r="O26" i="187" s="1"/>
  <c r="L26" i="187"/>
  <c r="M26" i="187" s="1"/>
  <c r="J64" i="187"/>
  <c r="L64" i="187" s="1"/>
  <c r="M64" i="187" s="1"/>
  <c r="N23" i="187" s="1"/>
  <c r="O23" i="187" s="1"/>
  <c r="L23" i="187"/>
  <c r="M23" i="187" s="1"/>
  <c r="J60" i="187"/>
  <c r="L60" i="187" s="1"/>
  <c r="M60" i="187" s="1"/>
  <c r="N19" i="187" s="1"/>
  <c r="O19" i="187" s="1"/>
  <c r="L19" i="187"/>
  <c r="M19" i="187" s="1"/>
  <c r="J65" i="187"/>
  <c r="L65" i="187" s="1"/>
  <c r="M65" i="187" s="1"/>
  <c r="N24" i="187" s="1"/>
  <c r="O24" i="187" s="1"/>
  <c r="L24" i="187"/>
  <c r="M24" i="187" s="1"/>
  <c r="J69" i="187"/>
  <c r="L69" i="187" s="1"/>
  <c r="M69" i="187" s="1"/>
  <c r="N28" i="187" s="1"/>
  <c r="O28" i="187" s="1"/>
  <c r="L28" i="187"/>
  <c r="M28" i="187" s="1"/>
  <c r="J66" i="187"/>
  <c r="L66" i="187" s="1"/>
  <c r="M66" i="187" s="1"/>
  <c r="N25" i="187" s="1"/>
  <c r="O25" i="187" s="1"/>
  <c r="L25" i="187"/>
  <c r="M25" i="187" s="1"/>
  <c r="J63" i="187"/>
  <c r="L63" i="187" s="1"/>
  <c r="M63" i="187" s="1"/>
  <c r="N22" i="187" s="1"/>
  <c r="O22" i="187" s="1"/>
  <c r="L22" i="187"/>
  <c r="M22" i="187" s="1"/>
  <c r="J59" i="187"/>
  <c r="L59" i="187" s="1"/>
  <c r="M59" i="187" s="1"/>
  <c r="N18" i="187" s="1"/>
  <c r="O18" i="187" s="1"/>
  <c r="L18" i="187"/>
  <c r="M18" i="187" s="1"/>
  <c r="J68" i="187"/>
  <c r="L68" i="187" s="1"/>
  <c r="M68" i="187" s="1"/>
  <c r="N27" i="187" s="1"/>
  <c r="O27" i="187" s="1"/>
  <c r="L27" i="187"/>
  <c r="M27" i="187" s="1"/>
  <c r="I29" i="191"/>
  <c r="F23" i="200"/>
  <c r="P23" i="199"/>
  <c r="L22" i="206"/>
  <c r="L64" i="206" s="1"/>
  <c r="J14" i="199"/>
  <c r="P14" i="199" s="1"/>
  <c r="R14" i="199"/>
  <c r="T33" i="185"/>
  <c r="T31" i="185"/>
  <c r="T34" i="185"/>
  <c r="R44" i="184"/>
  <c r="R40" i="184"/>
  <c r="R38" i="184"/>
  <c r="R37" i="184"/>
  <c r="R36" i="184"/>
  <c r="R35" i="184"/>
  <c r="R34" i="184"/>
  <c r="R33" i="184"/>
  <c r="J38" i="191" l="1"/>
  <c r="F14" i="200"/>
  <c r="T14" i="199"/>
  <c r="T18" i="199" s="1"/>
  <c r="P43" i="199"/>
  <c r="J58" i="187"/>
  <c r="J44" i="187"/>
  <c r="L17" i="187"/>
  <c r="J29" i="191"/>
  <c r="J23" i="200"/>
  <c r="R23" i="200"/>
  <c r="M25" i="191"/>
  <c r="L23" i="206"/>
  <c r="F34" i="193"/>
  <c r="J14" i="200"/>
  <c r="P14" i="200" s="1"/>
  <c r="R14" i="200"/>
  <c r="M38" i="191"/>
  <c r="R45" i="184"/>
  <c r="F14" i="201" l="1"/>
  <c r="J14" i="201" s="1"/>
  <c r="P14" i="201" s="1"/>
  <c r="T14" i="200"/>
  <c r="T18" i="200" s="1"/>
  <c r="J85" i="187"/>
  <c r="L58" i="187"/>
  <c r="M17" i="187"/>
  <c r="L44" i="187"/>
  <c r="M29" i="191"/>
  <c r="F23" i="201"/>
  <c r="P23" i="200"/>
  <c r="P43" i="200" s="1"/>
  <c r="L65" i="206"/>
  <c r="L24" i="206"/>
  <c r="L66" i="206" s="1"/>
  <c r="R34" i="193"/>
  <c r="H43" i="165"/>
  <c r="I43" i="165"/>
  <c r="J43" i="165"/>
  <c r="K43" i="165"/>
  <c r="L43" i="165"/>
  <c r="M43" i="165"/>
  <c r="N43" i="165"/>
  <c r="O43" i="165"/>
  <c r="P43" i="165"/>
  <c r="Q43" i="165"/>
  <c r="G43" i="165"/>
  <c r="F43" i="165"/>
  <c r="R14" i="201" l="1"/>
  <c r="F14" i="202"/>
  <c r="R14" i="202" s="1"/>
  <c r="T14" i="201"/>
  <c r="T18" i="201" s="1"/>
  <c r="M58" i="187"/>
  <c r="L85" i="187"/>
  <c r="M44" i="187"/>
  <c r="N13" i="191"/>
  <c r="N25" i="191"/>
  <c r="R23" i="201"/>
  <c r="J23" i="201"/>
  <c r="L25" i="206"/>
  <c r="F34" i="194"/>
  <c r="R33" i="165"/>
  <c r="R34" i="165"/>
  <c r="R35" i="165"/>
  <c r="R36" i="165"/>
  <c r="N38" i="191" l="1"/>
  <c r="J14" i="202"/>
  <c r="P14" i="202" s="1"/>
  <c r="F14" i="203"/>
  <c r="R14" i="203" s="1"/>
  <c r="T14" i="202"/>
  <c r="T18" i="202" s="1"/>
  <c r="N17" i="187"/>
  <c r="M85" i="187"/>
  <c r="N29" i="191"/>
  <c r="P23" i="201"/>
  <c r="P43" i="201" s="1"/>
  <c r="F23" i="202"/>
  <c r="L67" i="206"/>
  <c r="L26" i="206"/>
  <c r="L68" i="206" s="1"/>
  <c r="R34" i="194"/>
  <c r="R37" i="165"/>
  <c r="R31" i="165"/>
  <c r="R32" i="165"/>
  <c r="R38" i="165"/>
  <c r="R39" i="165"/>
  <c r="R40" i="165"/>
  <c r="R41" i="165"/>
  <c r="R42" i="165"/>
  <c r="R30" i="165"/>
  <c r="J14" i="203" l="1"/>
  <c r="P14" i="203" s="1"/>
  <c r="L27" i="206" s="1"/>
  <c r="F14" i="204"/>
  <c r="R14" i="204" s="1"/>
  <c r="T14" i="204" s="1"/>
  <c r="T18" i="204" s="1"/>
  <c r="T14" i="203"/>
  <c r="T18" i="203" s="1"/>
  <c r="O17" i="187"/>
  <c r="O44" i="187" s="1"/>
  <c r="N44" i="187"/>
  <c r="R23" i="202"/>
  <c r="J23" i="202"/>
  <c r="O13" i="191"/>
  <c r="P13" i="191" s="1"/>
  <c r="Q13" i="191" s="1"/>
  <c r="R13" i="191" s="1"/>
  <c r="S13" i="191" s="1"/>
  <c r="S14" i="191" s="1"/>
  <c r="S18" i="191" s="1"/>
  <c r="S22" i="191" s="1"/>
  <c r="O25" i="191"/>
  <c r="F34" i="195"/>
  <c r="J14" i="204"/>
  <c r="P14" i="204" s="1"/>
  <c r="R43" i="165"/>
  <c r="D27" i="168"/>
  <c r="O38" i="191" l="1"/>
  <c r="Q17" i="187"/>
  <c r="E16" i="168" s="1"/>
  <c r="Q18" i="187"/>
  <c r="R17" i="187"/>
  <c r="T17" i="187" s="1"/>
  <c r="O29" i="191"/>
  <c r="P23" i="202"/>
  <c r="P43" i="202" s="1"/>
  <c r="F23" i="203"/>
  <c r="L69" i="206"/>
  <c r="L28" i="206"/>
  <c r="L70" i="206" s="1"/>
  <c r="R34" i="195"/>
  <c r="J13" i="183"/>
  <c r="F16" i="168" l="1"/>
  <c r="Q19" i="187"/>
  <c r="R18" i="187"/>
  <c r="T18" i="187" s="1"/>
  <c r="R23" i="203"/>
  <c r="J23" i="203"/>
  <c r="P25" i="191"/>
  <c r="L44" i="206"/>
  <c r="L86" i="206"/>
  <c r="F34" i="196"/>
  <c r="Q20" i="132"/>
  <c r="Q20" i="131"/>
  <c r="O87" i="183"/>
  <c r="P87" i="183" s="1"/>
  <c r="T87" i="183" s="1"/>
  <c r="O86" i="183"/>
  <c r="P86" i="183" s="1"/>
  <c r="T86" i="183" s="1"/>
  <c r="O85" i="183"/>
  <c r="P85" i="183" s="1"/>
  <c r="T85" i="183" s="1"/>
  <c r="O84" i="183"/>
  <c r="P84" i="183" s="1"/>
  <c r="T84" i="183" s="1"/>
  <c r="O83" i="183"/>
  <c r="P83" i="183" s="1"/>
  <c r="T83" i="183" s="1"/>
  <c r="O82" i="183"/>
  <c r="P82" i="183" s="1"/>
  <c r="T82" i="183" s="1"/>
  <c r="O81" i="183"/>
  <c r="P81" i="183" s="1"/>
  <c r="T81" i="183" s="1"/>
  <c r="O80" i="183"/>
  <c r="P80" i="183" s="1"/>
  <c r="T80" i="183" s="1"/>
  <c r="P79" i="183"/>
  <c r="T79" i="183" s="1"/>
  <c r="O79" i="183"/>
  <c r="O78" i="183"/>
  <c r="P78" i="183" s="1"/>
  <c r="T78" i="183" s="1"/>
  <c r="O77" i="183"/>
  <c r="P77" i="183" s="1"/>
  <c r="T77" i="183" s="1"/>
  <c r="P76" i="183"/>
  <c r="T76" i="183" s="1"/>
  <c r="O76" i="183"/>
  <c r="O75" i="183"/>
  <c r="P75" i="183" s="1"/>
  <c r="T75" i="183" s="1"/>
  <c r="P74" i="183"/>
  <c r="T74" i="183" s="1"/>
  <c r="O74" i="183"/>
  <c r="O73" i="183"/>
  <c r="P73" i="183" s="1"/>
  <c r="T73" i="183" s="1"/>
  <c r="A61" i="183"/>
  <c r="A62" i="183" s="1"/>
  <c r="A63" i="183" s="1"/>
  <c r="A64" i="183" s="1"/>
  <c r="A65" i="183" s="1"/>
  <c r="A66" i="183" s="1"/>
  <c r="A67" i="183" s="1"/>
  <c r="A68" i="183" s="1"/>
  <c r="A69" i="183" s="1"/>
  <c r="A70" i="183" s="1"/>
  <c r="A71" i="183" s="1"/>
  <c r="A72" i="183" s="1"/>
  <c r="A73" i="183" s="1"/>
  <c r="A74" i="183" s="1"/>
  <c r="A75" i="183" s="1"/>
  <c r="A76" i="183" s="1"/>
  <c r="A77" i="183" s="1"/>
  <c r="A78" i="183" s="1"/>
  <c r="A79" i="183" s="1"/>
  <c r="A80" i="183" s="1"/>
  <c r="A81" i="183" s="1"/>
  <c r="A82" i="183" s="1"/>
  <c r="A83" i="183" s="1"/>
  <c r="A84" i="183" s="1"/>
  <c r="A85" i="183" s="1"/>
  <c r="A86" i="183" s="1"/>
  <c r="A87" i="183" s="1"/>
  <c r="A88" i="183" s="1"/>
  <c r="T43" i="183"/>
  <c r="S43" i="183"/>
  <c r="T42" i="183"/>
  <c r="S42" i="183"/>
  <c r="T41" i="183"/>
  <c r="S41" i="183"/>
  <c r="T40" i="183"/>
  <c r="S40" i="183"/>
  <c r="T39" i="183"/>
  <c r="S39" i="183"/>
  <c r="T38" i="183"/>
  <c r="S38" i="183"/>
  <c r="T37" i="183"/>
  <c r="S37" i="183"/>
  <c r="T36" i="183"/>
  <c r="S36" i="183"/>
  <c r="T35" i="183"/>
  <c r="S35" i="183"/>
  <c r="T34" i="183"/>
  <c r="S34" i="183"/>
  <c r="T33" i="183"/>
  <c r="S33" i="183"/>
  <c r="T32" i="183"/>
  <c r="S32" i="183"/>
  <c r="T31" i="183"/>
  <c r="S31" i="183"/>
  <c r="T30" i="183"/>
  <c r="S30" i="183"/>
  <c r="S29" i="183"/>
  <c r="A17" i="183"/>
  <c r="A18" i="183" s="1"/>
  <c r="A19" i="183" s="1"/>
  <c r="A20" i="183" s="1"/>
  <c r="A21" i="183" s="1"/>
  <c r="A22" i="183" s="1"/>
  <c r="A23" i="183" s="1"/>
  <c r="A24" i="183" s="1"/>
  <c r="A25" i="183" s="1"/>
  <c r="A26" i="183" s="1"/>
  <c r="A27" i="183" s="1"/>
  <c r="A28" i="183" s="1"/>
  <c r="A29" i="183" s="1"/>
  <c r="A30" i="183" s="1"/>
  <c r="A31" i="183" s="1"/>
  <c r="A32" i="183" s="1"/>
  <c r="A33" i="183" s="1"/>
  <c r="A34" i="183" s="1"/>
  <c r="A35" i="183" s="1"/>
  <c r="A36" i="183" s="1"/>
  <c r="A37" i="183" s="1"/>
  <c r="A38" i="183" s="1"/>
  <c r="A39" i="183" s="1"/>
  <c r="A40" i="183" s="1"/>
  <c r="A41" i="183" s="1"/>
  <c r="A42" i="183" s="1"/>
  <c r="A43" i="183" s="1"/>
  <c r="A44" i="183" s="1"/>
  <c r="I13" i="183"/>
  <c r="L33" i="182"/>
  <c r="L26" i="182"/>
  <c r="N26" i="182" s="1"/>
  <c r="L25" i="182"/>
  <c r="N25" i="182" s="1"/>
  <c r="L22" i="182"/>
  <c r="N22" i="182" s="1"/>
  <c r="H18" i="182"/>
  <c r="L17" i="182"/>
  <c r="H17" i="182"/>
  <c r="A17" i="182"/>
  <c r="A18" i="182" s="1"/>
  <c r="A19" i="182" s="1"/>
  <c r="A22" i="182" s="1"/>
  <c r="A23" i="182" s="1"/>
  <c r="H13" i="182"/>
  <c r="L33" i="181"/>
  <c r="L26" i="181"/>
  <c r="N26" i="181" s="1"/>
  <c r="L25" i="181"/>
  <c r="N25" i="181" s="1"/>
  <c r="L22" i="181"/>
  <c r="N22" i="181" s="1"/>
  <c r="H18" i="181"/>
  <c r="L17" i="181"/>
  <c r="H17" i="181"/>
  <c r="A17" i="181"/>
  <c r="A18" i="181" s="1"/>
  <c r="A19" i="181" s="1"/>
  <c r="A22" i="181" s="1"/>
  <c r="A23" i="181" s="1"/>
  <c r="H13" i="181"/>
  <c r="L33" i="180"/>
  <c r="L26" i="180"/>
  <c r="N26" i="180" s="1"/>
  <c r="L25" i="180"/>
  <c r="N25" i="180" s="1"/>
  <c r="L22" i="180"/>
  <c r="N22" i="180" s="1"/>
  <c r="H18" i="180"/>
  <c r="L17" i="180"/>
  <c r="H17" i="180"/>
  <c r="A17" i="180"/>
  <c r="A18" i="180" s="1"/>
  <c r="A19" i="180" s="1"/>
  <c r="A22" i="180" s="1"/>
  <c r="A23" i="180" s="1"/>
  <c r="H13" i="180"/>
  <c r="L33" i="179"/>
  <c r="L26" i="179"/>
  <c r="N26" i="179" s="1"/>
  <c r="L25" i="179"/>
  <c r="N25" i="179" s="1"/>
  <c r="L22" i="179"/>
  <c r="N22" i="179" s="1"/>
  <c r="H18" i="179"/>
  <c r="L17" i="179"/>
  <c r="H17" i="179"/>
  <c r="A17" i="179"/>
  <c r="A18" i="179" s="1"/>
  <c r="A19" i="179" s="1"/>
  <c r="A22" i="179" s="1"/>
  <c r="A23" i="179" s="1"/>
  <c r="H13" i="179"/>
  <c r="L33" i="178"/>
  <c r="L26" i="178"/>
  <c r="N26" i="178" s="1"/>
  <c r="L25" i="178"/>
  <c r="N25" i="178" s="1"/>
  <c r="L22" i="178"/>
  <c r="N22" i="178" s="1"/>
  <c r="H18" i="178"/>
  <c r="L17" i="178"/>
  <c r="H17" i="178"/>
  <c r="A17" i="178"/>
  <c r="A18" i="178" s="1"/>
  <c r="A19" i="178" s="1"/>
  <c r="A22" i="178" s="1"/>
  <c r="A23" i="178" s="1"/>
  <c r="H13" i="178"/>
  <c r="L33" i="177"/>
  <c r="L26" i="177"/>
  <c r="N26" i="177" s="1"/>
  <c r="L25" i="177"/>
  <c r="N25" i="177" s="1"/>
  <c r="L22" i="177"/>
  <c r="N22" i="177" s="1"/>
  <c r="H18" i="177"/>
  <c r="L17" i="177"/>
  <c r="H17" i="177"/>
  <c r="A17" i="177"/>
  <c r="A18" i="177" s="1"/>
  <c r="A19" i="177" s="1"/>
  <c r="A22" i="177" s="1"/>
  <c r="A23" i="177" s="1"/>
  <c r="H13" i="177"/>
  <c r="L33" i="176"/>
  <c r="L26" i="176"/>
  <c r="N26" i="176" s="1"/>
  <c r="L25" i="176"/>
  <c r="N25" i="176" s="1"/>
  <c r="L22" i="176"/>
  <c r="N22" i="176" s="1"/>
  <c r="H18" i="176"/>
  <c r="L17" i="176"/>
  <c r="H17" i="176"/>
  <c r="A17" i="176"/>
  <c r="A18" i="176" s="1"/>
  <c r="A19" i="176" s="1"/>
  <c r="A22" i="176" s="1"/>
  <c r="A23" i="176" s="1"/>
  <c r="H13" i="176"/>
  <c r="L33" i="175"/>
  <c r="L26" i="175"/>
  <c r="N26" i="175" s="1"/>
  <c r="L25" i="175"/>
  <c r="N25" i="175" s="1"/>
  <c r="L22" i="175"/>
  <c r="N22" i="175" s="1"/>
  <c r="H18" i="175"/>
  <c r="L17" i="175"/>
  <c r="H17" i="175"/>
  <c r="A18" i="175"/>
  <c r="A19" i="175" s="1"/>
  <c r="A22" i="175" s="1"/>
  <c r="A23" i="175" s="1"/>
  <c r="H13" i="175"/>
  <c r="L33" i="174"/>
  <c r="L26" i="174"/>
  <c r="N26" i="174" s="1"/>
  <c r="L25" i="174"/>
  <c r="N25" i="174" s="1"/>
  <c r="L22" i="174"/>
  <c r="N22" i="174" s="1"/>
  <c r="H18" i="174"/>
  <c r="L17" i="174"/>
  <c r="H17" i="174"/>
  <c r="A17" i="174"/>
  <c r="A18" i="174" s="1"/>
  <c r="A19" i="174" s="1"/>
  <c r="A22" i="174" s="1"/>
  <c r="A23" i="174" s="1"/>
  <c r="H13" i="174"/>
  <c r="L33" i="173"/>
  <c r="L26" i="173"/>
  <c r="N26" i="173" s="1"/>
  <c r="L25" i="173"/>
  <c r="N25" i="173" s="1"/>
  <c r="L22" i="173"/>
  <c r="N22" i="173" s="1"/>
  <c r="H18" i="173"/>
  <c r="A19" i="173"/>
  <c r="A22" i="173" s="1"/>
  <c r="A23" i="173" s="1"/>
  <c r="L17" i="173"/>
  <c r="H17" i="173"/>
  <c r="H13" i="173"/>
  <c r="L33" i="172"/>
  <c r="L26" i="172"/>
  <c r="N26" i="172" s="1"/>
  <c r="L25" i="172"/>
  <c r="N25" i="172" s="1"/>
  <c r="L22" i="172"/>
  <c r="N22" i="172" s="1"/>
  <c r="H18" i="172"/>
  <c r="A19" i="172"/>
  <c r="A22" i="172" s="1"/>
  <c r="A23" i="172" s="1"/>
  <c r="H17" i="172"/>
  <c r="H13" i="172"/>
  <c r="L33" i="171"/>
  <c r="L26" i="171"/>
  <c r="N26" i="171" s="1"/>
  <c r="H26" i="171"/>
  <c r="L25" i="171"/>
  <c r="N25" i="171" s="1"/>
  <c r="H25" i="171"/>
  <c r="L22" i="171"/>
  <c r="N22" i="171" s="1"/>
  <c r="H22" i="171"/>
  <c r="H18" i="171"/>
  <c r="L17" i="171"/>
  <c r="H17" i="171"/>
  <c r="A22" i="171"/>
  <c r="H13" i="171"/>
  <c r="P27" i="168"/>
  <c r="J27" i="168"/>
  <c r="J29" i="168" s="1"/>
  <c r="P27" i="167"/>
  <c r="M27" i="167"/>
  <c r="J27" i="167"/>
  <c r="G27" i="167"/>
  <c r="P26" i="167"/>
  <c r="L26" i="167"/>
  <c r="H26" i="167"/>
  <c r="L37" i="182"/>
  <c r="L37" i="181"/>
  <c r="L37" i="180"/>
  <c r="L37" i="179"/>
  <c r="L37" i="178"/>
  <c r="L37" i="177"/>
  <c r="L37" i="176"/>
  <c r="L37" i="175"/>
  <c r="L37" i="174"/>
  <c r="L37" i="173"/>
  <c r="L37" i="172"/>
  <c r="L37" i="171"/>
  <c r="L36" i="182"/>
  <c r="L36" i="180"/>
  <c r="L36" i="179"/>
  <c r="L36" i="178"/>
  <c r="L36" i="177"/>
  <c r="L36" i="176"/>
  <c r="L36" i="175"/>
  <c r="L36" i="174"/>
  <c r="L36" i="173"/>
  <c r="L36" i="172"/>
  <c r="L36" i="171"/>
  <c r="O31" i="170"/>
  <c r="O29" i="170"/>
  <c r="O13" i="170"/>
  <c r="A11" i="170"/>
  <c r="A12" i="170" s="1"/>
  <c r="A13" i="170" s="1"/>
  <c r="A14" i="170" s="1"/>
  <c r="A15" i="170" s="1"/>
  <c r="A17" i="170" s="1"/>
  <c r="A18" i="170" s="1"/>
  <c r="A19" i="170" s="1"/>
  <c r="A20" i="170" s="1"/>
  <c r="S1048492" i="168"/>
  <c r="D29" i="168"/>
  <c r="O27" i="168"/>
  <c r="O29" i="168" s="1"/>
  <c r="N27" i="168"/>
  <c r="N29" i="168" s="1"/>
  <c r="M27" i="168"/>
  <c r="M29" i="168" s="1"/>
  <c r="L27" i="168"/>
  <c r="L29" i="168" s="1"/>
  <c r="K27" i="168"/>
  <c r="K29" i="168" s="1"/>
  <c r="I27" i="168"/>
  <c r="I29" i="168" s="1"/>
  <c r="H27" i="168"/>
  <c r="H29" i="168" s="1"/>
  <c r="G27" i="168"/>
  <c r="G29" i="168" s="1"/>
  <c r="F27" i="168"/>
  <c r="F29" i="168" s="1"/>
  <c r="E27" i="168"/>
  <c r="E29" i="168" s="1"/>
  <c r="Q26" i="168"/>
  <c r="Q13" i="168"/>
  <c r="S13" i="168" s="1"/>
  <c r="Q6" i="168"/>
  <c r="P6" i="168"/>
  <c r="O6" i="168"/>
  <c r="N6" i="168"/>
  <c r="M6" i="168"/>
  <c r="L6" i="168"/>
  <c r="K6" i="168"/>
  <c r="J6" i="168"/>
  <c r="I6" i="168"/>
  <c r="H6" i="168"/>
  <c r="G6" i="168"/>
  <c r="F6" i="168"/>
  <c r="O27" i="167"/>
  <c r="N27" i="167"/>
  <c r="L27" i="167"/>
  <c r="K27" i="167"/>
  <c r="I27" i="167"/>
  <c r="H27" i="167"/>
  <c r="F27" i="167"/>
  <c r="E27" i="167"/>
  <c r="N26" i="167"/>
  <c r="M26" i="167"/>
  <c r="K26" i="167"/>
  <c r="J26" i="167"/>
  <c r="G26" i="167"/>
  <c r="F26" i="167"/>
  <c r="Q6" i="167"/>
  <c r="P6" i="167"/>
  <c r="O6" i="167"/>
  <c r="N6" i="167"/>
  <c r="M6" i="167"/>
  <c r="L6" i="167"/>
  <c r="K6" i="167"/>
  <c r="J6" i="167"/>
  <c r="I6" i="167"/>
  <c r="H6" i="167"/>
  <c r="G6" i="167"/>
  <c r="F6" i="167"/>
  <c r="P38" i="191" l="1"/>
  <c r="M20" i="183"/>
  <c r="M28" i="183"/>
  <c r="M21" i="183"/>
  <c r="M22" i="183"/>
  <c r="M23" i="183"/>
  <c r="M24" i="183"/>
  <c r="M25" i="183"/>
  <c r="M17" i="183"/>
  <c r="M18" i="183"/>
  <c r="M26" i="183"/>
  <c r="M19" i="183"/>
  <c r="A26" i="172"/>
  <c r="A27" i="172" s="1"/>
  <c r="A28" i="172" s="1"/>
  <c r="A24" i="172"/>
  <c r="A26" i="181"/>
  <c r="A27" i="181" s="1"/>
  <c r="A28" i="181" s="1"/>
  <c r="A24" i="181"/>
  <c r="A26" i="174"/>
  <c r="A27" i="174" s="1"/>
  <c r="A28" i="174" s="1"/>
  <c r="A24" i="174"/>
  <c r="A26" i="178"/>
  <c r="A27" i="178" s="1"/>
  <c r="A28" i="178" s="1"/>
  <c r="A24" i="178"/>
  <c r="A26" i="182"/>
  <c r="A27" i="182" s="1"/>
  <c r="A28" i="182" s="1"/>
  <c r="A24" i="182"/>
  <c r="A26" i="173"/>
  <c r="A27" i="173" s="1"/>
  <c r="A28" i="173" s="1"/>
  <c r="A24" i="173"/>
  <c r="A26" i="176"/>
  <c r="A27" i="176" s="1"/>
  <c r="A28" i="176" s="1"/>
  <c r="A24" i="176"/>
  <c r="A26" i="180"/>
  <c r="A27" i="180" s="1"/>
  <c r="A28" i="180" s="1"/>
  <c r="A24" i="180"/>
  <c r="A26" i="175"/>
  <c r="A27" i="175" s="1"/>
  <c r="A28" i="175" s="1"/>
  <c r="A24" i="175"/>
  <c r="A26" i="177"/>
  <c r="A27" i="177" s="1"/>
  <c r="A28" i="177" s="1"/>
  <c r="A30" i="177" s="1"/>
  <c r="A33" i="177" s="1"/>
  <c r="A34" i="177" s="1"/>
  <c r="A24" i="177"/>
  <c r="A26" i="179"/>
  <c r="A27" i="179" s="1"/>
  <c r="A28" i="179" s="1"/>
  <c r="A24" i="179"/>
  <c r="G16" i="168"/>
  <c r="Q20" i="187"/>
  <c r="R19" i="187"/>
  <c r="T19" i="187" s="1"/>
  <c r="L28" i="173"/>
  <c r="L28" i="177"/>
  <c r="L28" i="181"/>
  <c r="P29" i="191"/>
  <c r="P23" i="203"/>
  <c r="P43" i="203" s="1"/>
  <c r="F23" i="204"/>
  <c r="P29" i="168"/>
  <c r="L39" i="171"/>
  <c r="L39" i="173"/>
  <c r="L39" i="175"/>
  <c r="M65" i="183" s="1"/>
  <c r="L39" i="177"/>
  <c r="R34" i="196"/>
  <c r="L39" i="179"/>
  <c r="M69" i="183" s="1"/>
  <c r="L28" i="175"/>
  <c r="L28" i="179"/>
  <c r="N17" i="180"/>
  <c r="L39" i="172"/>
  <c r="L39" i="174"/>
  <c r="L39" i="176"/>
  <c r="L39" i="178"/>
  <c r="L39" i="180"/>
  <c r="N17" i="171"/>
  <c r="L28" i="172"/>
  <c r="L28" i="174"/>
  <c r="L28" i="176"/>
  <c r="L28" i="178"/>
  <c r="N17" i="179"/>
  <c r="L28" i="180"/>
  <c r="L28" i="182"/>
  <c r="L39" i="182"/>
  <c r="M72" i="183" s="1"/>
  <c r="N17" i="181"/>
  <c r="A30" i="172"/>
  <c r="A33" i="172" s="1"/>
  <c r="A34" i="172" s="1"/>
  <c r="A30" i="173"/>
  <c r="A33" i="173" s="1"/>
  <c r="A34" i="173" s="1"/>
  <c r="A30" i="174"/>
  <c r="A33" i="174" s="1"/>
  <c r="A34" i="174" s="1"/>
  <c r="A30" i="175"/>
  <c r="A33" i="175" s="1"/>
  <c r="A34" i="175" s="1"/>
  <c r="A30" i="178"/>
  <c r="A33" i="178" s="1"/>
  <c r="A34" i="178" s="1"/>
  <c r="A30" i="179"/>
  <c r="A33" i="179" s="1"/>
  <c r="A34" i="179" s="1"/>
  <c r="A30" i="182"/>
  <c r="A33" i="182" s="1"/>
  <c r="A34" i="182" s="1"/>
  <c r="A30" i="176"/>
  <c r="A33" i="176" s="1"/>
  <c r="A34" i="176" s="1"/>
  <c r="A30" i="180"/>
  <c r="A33" i="180" s="1"/>
  <c r="A34" i="180" s="1"/>
  <c r="A30" i="181"/>
  <c r="A33" i="181" s="1"/>
  <c r="A34" i="181" s="1"/>
  <c r="L28" i="171"/>
  <c r="A23" i="171"/>
  <c r="A21" i="170"/>
  <c r="A22" i="170" s="1"/>
  <c r="A24" i="170" s="1"/>
  <c r="N17" i="172"/>
  <c r="N17" i="182"/>
  <c r="N17" i="173"/>
  <c r="N17" i="174"/>
  <c r="N17" i="177"/>
  <c r="N28" i="176"/>
  <c r="O40" i="170"/>
  <c r="Q27" i="168"/>
  <c r="Q27" i="167"/>
  <c r="S44" i="183"/>
  <c r="O32" i="170"/>
  <c r="O41" i="170"/>
  <c r="R13" i="184"/>
  <c r="N16" i="181"/>
  <c r="R12" i="184"/>
  <c r="I26" i="167"/>
  <c r="O33" i="170"/>
  <c r="O26" i="167"/>
  <c r="E26" i="167"/>
  <c r="O34" i="170"/>
  <c r="L36" i="181"/>
  <c r="L39" i="181" s="1"/>
  <c r="N17" i="175"/>
  <c r="N28" i="177"/>
  <c r="N28" i="178"/>
  <c r="N17" i="176"/>
  <c r="N17" i="178"/>
  <c r="M27" i="183" l="1"/>
  <c r="A37" i="177"/>
  <c r="A38" i="177" s="1"/>
  <c r="A39" i="177" s="1"/>
  <c r="A35" i="177"/>
  <c r="A37" i="174"/>
  <c r="A38" i="174" s="1"/>
  <c r="A39" i="174" s="1"/>
  <c r="A35" i="174"/>
  <c r="A37" i="173"/>
  <c r="A38" i="173" s="1"/>
  <c r="A39" i="173" s="1"/>
  <c r="A35" i="173"/>
  <c r="A37" i="181"/>
  <c r="A38" i="181" s="1"/>
  <c r="A39" i="181" s="1"/>
  <c r="A35" i="181"/>
  <c r="A37" i="180"/>
  <c r="A38" i="180" s="1"/>
  <c r="A39" i="180" s="1"/>
  <c r="A35" i="180"/>
  <c r="A37" i="176"/>
  <c r="A38" i="176" s="1"/>
  <c r="A39" i="176" s="1"/>
  <c r="A35" i="176"/>
  <c r="A37" i="172"/>
  <c r="A38" i="172" s="1"/>
  <c r="A39" i="172" s="1"/>
  <c r="A35" i="172"/>
  <c r="A37" i="179"/>
  <c r="A38" i="179" s="1"/>
  <c r="A39" i="179" s="1"/>
  <c r="A35" i="179"/>
  <c r="A37" i="178"/>
  <c r="A38" i="178" s="1"/>
  <c r="A39" i="178" s="1"/>
  <c r="A35" i="178"/>
  <c r="A26" i="171"/>
  <c r="A27" i="171" s="1"/>
  <c r="A28" i="171" s="1"/>
  <c r="A30" i="171" s="1"/>
  <c r="A33" i="171" s="1"/>
  <c r="A24" i="171"/>
  <c r="A37" i="182"/>
  <c r="A38" i="182" s="1"/>
  <c r="A39" i="182" s="1"/>
  <c r="A35" i="182"/>
  <c r="A37" i="175"/>
  <c r="A38" i="175" s="1"/>
  <c r="A39" i="175" s="1"/>
  <c r="A35" i="175"/>
  <c r="R20" i="187"/>
  <c r="T20" i="187" s="1"/>
  <c r="Q21" i="187"/>
  <c r="H16" i="168"/>
  <c r="A25" i="170"/>
  <c r="A26" i="170" s="1"/>
  <c r="A27" i="170" s="1"/>
  <c r="A28" i="170" s="1"/>
  <c r="Q29" i="168"/>
  <c r="N28" i="174"/>
  <c r="N28" i="171"/>
  <c r="R23" i="204"/>
  <c r="J23" i="204"/>
  <c r="Q38" i="191"/>
  <c r="Q25" i="191"/>
  <c r="O36" i="170"/>
  <c r="F34" i="197"/>
  <c r="N28" i="180"/>
  <c r="N28" i="175"/>
  <c r="N28" i="179"/>
  <c r="N28" i="181"/>
  <c r="N28" i="173"/>
  <c r="N28" i="182"/>
  <c r="N28" i="172"/>
  <c r="M66" i="183"/>
  <c r="M70" i="183"/>
  <c r="M64" i="183"/>
  <c r="M63" i="183"/>
  <c r="M62" i="183"/>
  <c r="M67" i="183"/>
  <c r="M68" i="183"/>
  <c r="L13" i="181"/>
  <c r="L13" i="174"/>
  <c r="L13" i="180"/>
  <c r="R20" i="184"/>
  <c r="R28" i="184"/>
  <c r="N16" i="173"/>
  <c r="L13" i="173"/>
  <c r="N16" i="175"/>
  <c r="R14" i="184"/>
  <c r="Q26" i="167"/>
  <c r="L13" i="179"/>
  <c r="N16" i="182"/>
  <c r="N16" i="177"/>
  <c r="N16" i="178"/>
  <c r="N16" i="179"/>
  <c r="R11" i="184"/>
  <c r="R9" i="184"/>
  <c r="K12" i="183" s="1"/>
  <c r="R21" i="184"/>
  <c r="O38" i="170"/>
  <c r="M61" i="183"/>
  <c r="R25" i="184"/>
  <c r="L13" i="175"/>
  <c r="R10" i="184"/>
  <c r="N16" i="172"/>
  <c r="H11" i="187" l="1"/>
  <c r="A29" i="170"/>
  <c r="A31" i="170" s="1"/>
  <c r="A32" i="170" s="1"/>
  <c r="A33" i="170" s="1"/>
  <c r="A34" i="170" s="1"/>
  <c r="A35" i="170" s="1"/>
  <c r="A36" i="170" s="1"/>
  <c r="A38" i="170" s="1"/>
  <c r="A39" i="170" s="1"/>
  <c r="A40" i="170" s="1"/>
  <c r="A41" i="170" s="1"/>
  <c r="I16" i="168"/>
  <c r="R21" i="187"/>
  <c r="T21" i="187" s="1"/>
  <c r="Q22" i="187"/>
  <c r="R30" i="184"/>
  <c r="Q29" i="191"/>
  <c r="P23" i="204"/>
  <c r="P43" i="204" s="1"/>
  <c r="K12" i="205"/>
  <c r="K57" i="205" s="1"/>
  <c r="R34" i="197"/>
  <c r="H52" i="187"/>
  <c r="A34" i="171"/>
  <c r="M71" i="183"/>
  <c r="M88" i="183" s="1"/>
  <c r="G15" i="170"/>
  <c r="L15" i="170"/>
  <c r="K15" i="170"/>
  <c r="N18" i="177"/>
  <c r="O11" i="170"/>
  <c r="L13" i="171"/>
  <c r="O10" i="170"/>
  <c r="C15" i="170"/>
  <c r="N18" i="178"/>
  <c r="N18" i="175"/>
  <c r="N18" i="181"/>
  <c r="N16" i="176"/>
  <c r="L13" i="177"/>
  <c r="I15" i="170"/>
  <c r="N18" i="173"/>
  <c r="L19" i="175"/>
  <c r="N13" i="175"/>
  <c r="N18" i="176"/>
  <c r="N18" i="179"/>
  <c r="F15" i="170"/>
  <c r="O14" i="170"/>
  <c r="E15" i="170"/>
  <c r="N18" i="182"/>
  <c r="N16" i="174"/>
  <c r="L13" i="182"/>
  <c r="N15" i="170"/>
  <c r="L13" i="176"/>
  <c r="L19" i="176" s="1"/>
  <c r="H15" i="170"/>
  <c r="L19" i="179"/>
  <c r="N13" i="179"/>
  <c r="L19" i="173"/>
  <c r="N13" i="173"/>
  <c r="O12" i="170"/>
  <c r="M15" i="170"/>
  <c r="L19" i="174"/>
  <c r="N13" i="174"/>
  <c r="L13" i="178"/>
  <c r="J15" i="170"/>
  <c r="L13" i="172"/>
  <c r="D15" i="170"/>
  <c r="N18" i="174"/>
  <c r="N18" i="172"/>
  <c r="N18" i="180"/>
  <c r="N16" i="180"/>
  <c r="L19" i="180"/>
  <c r="N13" i="180"/>
  <c r="L19" i="181"/>
  <c r="N13" i="181"/>
  <c r="N19" i="181" l="1"/>
  <c r="K11" i="205"/>
  <c r="A37" i="171"/>
  <c r="A38" i="171" s="1"/>
  <c r="A39" i="171" s="1"/>
  <c r="A35" i="171"/>
  <c r="J16" i="168"/>
  <c r="Q23" i="187"/>
  <c r="R22" i="187"/>
  <c r="T22" i="187" s="1"/>
  <c r="R25" i="191"/>
  <c r="K11" i="183"/>
  <c r="K55" i="183" s="1"/>
  <c r="K56" i="183"/>
  <c r="F34" i="198"/>
  <c r="H19" i="206"/>
  <c r="J19" i="206" s="1"/>
  <c r="M19" i="206" s="1"/>
  <c r="N19" i="206" s="1"/>
  <c r="H23" i="206"/>
  <c r="J23" i="206" s="1"/>
  <c r="M23" i="206" s="1"/>
  <c r="N23" i="206" s="1"/>
  <c r="H27" i="206"/>
  <c r="J27" i="206" s="1"/>
  <c r="M27" i="206" s="1"/>
  <c r="N27" i="206" s="1"/>
  <c r="H20" i="206"/>
  <c r="J20" i="206" s="1"/>
  <c r="M20" i="206" s="1"/>
  <c r="N20" i="206" s="1"/>
  <c r="H24" i="206"/>
  <c r="J24" i="206" s="1"/>
  <c r="M24" i="206" s="1"/>
  <c r="N24" i="206" s="1"/>
  <c r="H28" i="206"/>
  <c r="J28" i="206" s="1"/>
  <c r="M28" i="206" s="1"/>
  <c r="N28" i="206" s="1"/>
  <c r="H21" i="206"/>
  <c r="J21" i="206" s="1"/>
  <c r="M21" i="206" s="1"/>
  <c r="N21" i="206" s="1"/>
  <c r="H25" i="206"/>
  <c r="J25" i="206" s="1"/>
  <c r="M25" i="206" s="1"/>
  <c r="N25" i="206" s="1"/>
  <c r="H53" i="206"/>
  <c r="H59" i="206" s="1"/>
  <c r="J59" i="206" s="1"/>
  <c r="M59" i="206" s="1"/>
  <c r="N59" i="206" s="1"/>
  <c r="H18" i="206"/>
  <c r="J18" i="206" s="1"/>
  <c r="M18" i="206" s="1"/>
  <c r="N18" i="206" s="1"/>
  <c r="H22" i="206"/>
  <c r="J22" i="206" s="1"/>
  <c r="M22" i="206" s="1"/>
  <c r="N22" i="206" s="1"/>
  <c r="H26" i="206"/>
  <c r="J26" i="206" s="1"/>
  <c r="M26" i="206" s="1"/>
  <c r="N26" i="206" s="1"/>
  <c r="L30" i="180"/>
  <c r="M44" i="183"/>
  <c r="N30" i="181"/>
  <c r="N19" i="179"/>
  <c r="N30" i="179" s="1"/>
  <c r="N19" i="173"/>
  <c r="N30" i="173" s="1"/>
  <c r="L19" i="172"/>
  <c r="N13" i="172"/>
  <c r="N19" i="172" s="1"/>
  <c r="N30" i="172" s="1"/>
  <c r="N16" i="171"/>
  <c r="N13" i="176"/>
  <c r="N19" i="176" s="1"/>
  <c r="N30" i="176" s="1"/>
  <c r="L30" i="175"/>
  <c r="N19" i="180"/>
  <c r="N30" i="180" s="1"/>
  <c r="L30" i="174"/>
  <c r="L30" i="179"/>
  <c r="L30" i="173"/>
  <c r="N18" i="171"/>
  <c r="O15" i="170"/>
  <c r="R47" i="184"/>
  <c r="N13" i="171"/>
  <c r="L19" i="171"/>
  <c r="L19" i="182"/>
  <c r="N13" i="182"/>
  <c r="N19" i="182" s="1"/>
  <c r="N30" i="182" s="1"/>
  <c r="L30" i="181"/>
  <c r="L19" i="178"/>
  <c r="N13" i="178"/>
  <c r="N19" i="178" s="1"/>
  <c r="N30" i="178" s="1"/>
  <c r="N19" i="174"/>
  <c r="N30" i="174" s="1"/>
  <c r="N19" i="175"/>
  <c r="N30" i="175" s="1"/>
  <c r="L19" i="177"/>
  <c r="N13" i="177"/>
  <c r="N19" i="177" s="1"/>
  <c r="N30" i="177" s="1"/>
  <c r="Z17" i="183" l="1"/>
  <c r="AC17" i="183" s="1"/>
  <c r="K17" i="183" s="1"/>
  <c r="K61" i="183" s="1"/>
  <c r="K16" i="168"/>
  <c r="R23" i="187"/>
  <c r="T23" i="187" s="1"/>
  <c r="Q24" i="187"/>
  <c r="R38" i="191"/>
  <c r="T38" i="191" s="1"/>
  <c r="R29" i="191"/>
  <c r="T29" i="191"/>
  <c r="H60" i="206"/>
  <c r="J60" i="206" s="1"/>
  <c r="M60" i="206" s="1"/>
  <c r="N60" i="206" s="1"/>
  <c r="O18" i="206" s="1"/>
  <c r="P18" i="206" s="1"/>
  <c r="H64" i="206"/>
  <c r="J64" i="206" s="1"/>
  <c r="M64" i="206" s="1"/>
  <c r="N64" i="206" s="1"/>
  <c r="O22" i="206" s="1"/>
  <c r="P22" i="206" s="1"/>
  <c r="H68" i="206"/>
  <c r="J68" i="206" s="1"/>
  <c r="M68" i="206" s="1"/>
  <c r="N68" i="206" s="1"/>
  <c r="O26" i="206" s="1"/>
  <c r="P26" i="206" s="1"/>
  <c r="H61" i="206"/>
  <c r="J61" i="206" s="1"/>
  <c r="M61" i="206" s="1"/>
  <c r="N61" i="206" s="1"/>
  <c r="O19" i="206" s="1"/>
  <c r="P19" i="206" s="1"/>
  <c r="H65" i="206"/>
  <c r="J65" i="206" s="1"/>
  <c r="M65" i="206" s="1"/>
  <c r="N65" i="206" s="1"/>
  <c r="O23" i="206" s="1"/>
  <c r="P23" i="206" s="1"/>
  <c r="H69" i="206"/>
  <c r="J69" i="206" s="1"/>
  <c r="M69" i="206" s="1"/>
  <c r="N69" i="206" s="1"/>
  <c r="O27" i="206" s="1"/>
  <c r="P27" i="206" s="1"/>
  <c r="H62" i="206"/>
  <c r="J62" i="206" s="1"/>
  <c r="M62" i="206" s="1"/>
  <c r="N62" i="206" s="1"/>
  <c r="O20" i="206" s="1"/>
  <c r="P20" i="206" s="1"/>
  <c r="H66" i="206"/>
  <c r="J66" i="206" s="1"/>
  <c r="M66" i="206" s="1"/>
  <c r="N66" i="206" s="1"/>
  <c r="O24" i="206" s="1"/>
  <c r="P24" i="206" s="1"/>
  <c r="H70" i="206"/>
  <c r="J70" i="206" s="1"/>
  <c r="M70" i="206" s="1"/>
  <c r="N70" i="206" s="1"/>
  <c r="O28" i="206" s="1"/>
  <c r="P28" i="206" s="1"/>
  <c r="H63" i="206"/>
  <c r="J63" i="206" s="1"/>
  <c r="M63" i="206" s="1"/>
  <c r="N63" i="206" s="1"/>
  <c r="O21" i="206" s="1"/>
  <c r="P21" i="206" s="1"/>
  <c r="H67" i="206"/>
  <c r="J67" i="206" s="1"/>
  <c r="M67" i="206" s="1"/>
  <c r="N67" i="206" s="1"/>
  <c r="O25" i="206" s="1"/>
  <c r="P25" i="206" s="1"/>
  <c r="H44" i="206"/>
  <c r="K17" i="205"/>
  <c r="R34" i="198"/>
  <c r="L30" i="182"/>
  <c r="L30" i="172"/>
  <c r="L30" i="176"/>
  <c r="L30" i="177"/>
  <c r="L30" i="178"/>
  <c r="L30" i="171"/>
  <c r="N19" i="171"/>
  <c r="N30" i="171" s="1"/>
  <c r="Z18" i="183" l="1"/>
  <c r="Z19" i="183" s="1"/>
  <c r="Z20" i="183" s="1"/>
  <c r="Z21" i="183" s="1"/>
  <c r="Z22" i="183" s="1"/>
  <c r="Z23" i="183" s="1"/>
  <c r="L16" i="168"/>
  <c r="Q25" i="187"/>
  <c r="R24" i="187"/>
  <c r="T24" i="187" s="1"/>
  <c r="T39" i="191"/>
  <c r="U38" i="191"/>
  <c r="K21" i="205"/>
  <c r="K56" i="205"/>
  <c r="K62" i="205" s="1"/>
  <c r="K24" i="205"/>
  <c r="K26" i="205"/>
  <c r="K28" i="205"/>
  <c r="K27" i="205"/>
  <c r="K22" i="205"/>
  <c r="K20" i="205"/>
  <c r="K23" i="205"/>
  <c r="K25" i="205"/>
  <c r="K19" i="205"/>
  <c r="K18" i="205"/>
  <c r="H86" i="206"/>
  <c r="F34" i="199"/>
  <c r="J44" i="206"/>
  <c r="Z24" i="183" l="1"/>
  <c r="Z25" i="183" s="1"/>
  <c r="Z26" i="183" s="1"/>
  <c r="Z27" i="183" s="1"/>
  <c r="Z28" i="183" s="1"/>
  <c r="AC18" i="183"/>
  <c r="K18" i="183" s="1"/>
  <c r="K62" i="183" s="1"/>
  <c r="Q26" i="187"/>
  <c r="M16" i="168"/>
  <c r="R25" i="187"/>
  <c r="T25" i="187" s="1"/>
  <c r="AC19" i="183"/>
  <c r="K19" i="183" s="1"/>
  <c r="R34" i="199"/>
  <c r="M44" i="206"/>
  <c r="J86" i="206"/>
  <c r="K44" i="205"/>
  <c r="K63" i="205"/>
  <c r="K72" i="205"/>
  <c r="K68" i="205"/>
  <c r="K64" i="205"/>
  <c r="K73" i="205"/>
  <c r="K65" i="205"/>
  <c r="K71" i="205"/>
  <c r="K67" i="205"/>
  <c r="K70" i="205"/>
  <c r="K66" i="205"/>
  <c r="K69" i="205"/>
  <c r="A339" i="165"/>
  <c r="A338" i="165"/>
  <c r="A337" i="165"/>
  <c r="A336" i="165"/>
  <c r="A335" i="165"/>
  <c r="A334" i="165"/>
  <c r="A333" i="165"/>
  <c r="A332" i="165"/>
  <c r="A331" i="165"/>
  <c r="A330" i="165"/>
  <c r="A329" i="165"/>
  <c r="A328" i="165"/>
  <c r="A327" i="165"/>
  <c r="A326" i="165"/>
  <c r="A325" i="165"/>
  <c r="A324" i="165"/>
  <c r="A323" i="165"/>
  <c r="A322" i="165"/>
  <c r="A321" i="165"/>
  <c r="A320" i="165"/>
  <c r="A319" i="165"/>
  <c r="A318" i="165"/>
  <c r="A317" i="165"/>
  <c r="A316" i="165"/>
  <c r="A315" i="165"/>
  <c r="A314" i="165"/>
  <c r="A313" i="165"/>
  <c r="A312" i="165"/>
  <c r="A311" i="165"/>
  <c r="A310" i="165"/>
  <c r="A309" i="165"/>
  <c r="A308" i="165"/>
  <c r="A307" i="165"/>
  <c r="A306" i="165"/>
  <c r="A305" i="165"/>
  <c r="A304" i="165"/>
  <c r="A303" i="165"/>
  <c r="A302" i="165"/>
  <c r="A301" i="165"/>
  <c r="A300" i="165"/>
  <c r="A299" i="165"/>
  <c r="A298" i="165"/>
  <c r="A297" i="165"/>
  <c r="A296" i="165"/>
  <c r="A295" i="165"/>
  <c r="A294" i="165"/>
  <c r="A293" i="165"/>
  <c r="A292" i="165"/>
  <c r="A291" i="165"/>
  <c r="A290" i="165"/>
  <c r="A289" i="165"/>
  <c r="A288" i="165"/>
  <c r="A287" i="165"/>
  <c r="A286" i="165"/>
  <c r="A285" i="165"/>
  <c r="A284" i="165"/>
  <c r="A283" i="165"/>
  <c r="A282" i="165"/>
  <c r="A281" i="165"/>
  <c r="A280" i="165"/>
  <c r="A279" i="165"/>
  <c r="A278" i="165"/>
  <c r="A277" i="165"/>
  <c r="A276" i="165"/>
  <c r="A275" i="165"/>
  <c r="A274" i="165"/>
  <c r="A273" i="165"/>
  <c r="A272" i="165"/>
  <c r="A271" i="165"/>
  <c r="A270" i="165"/>
  <c r="A269" i="165"/>
  <c r="A268" i="165"/>
  <c r="A267" i="165"/>
  <c r="A266" i="165"/>
  <c r="A265" i="165"/>
  <c r="A264" i="165"/>
  <c r="A263" i="165"/>
  <c r="A262" i="165"/>
  <c r="A261" i="165"/>
  <c r="A260" i="165"/>
  <c r="A259" i="165"/>
  <c r="A258" i="165"/>
  <c r="A257" i="165"/>
  <c r="A256" i="165"/>
  <c r="A255" i="165"/>
  <c r="A254" i="165"/>
  <c r="A253" i="165"/>
  <c r="A252" i="165"/>
  <c r="A251" i="165"/>
  <c r="A250" i="165"/>
  <c r="A249" i="165"/>
  <c r="A248" i="165"/>
  <c r="A247" i="165"/>
  <c r="A246" i="165"/>
  <c r="A245" i="165"/>
  <c r="A244" i="165"/>
  <c r="A243" i="165"/>
  <c r="A242" i="165"/>
  <c r="A241" i="165"/>
  <c r="A240" i="165"/>
  <c r="A239" i="165"/>
  <c r="A238" i="165"/>
  <c r="A237" i="165"/>
  <c r="A236" i="165"/>
  <c r="A235" i="165"/>
  <c r="A234" i="165"/>
  <c r="A233" i="165"/>
  <c r="A232" i="165"/>
  <c r="A231" i="165"/>
  <c r="A230" i="165"/>
  <c r="A229" i="165"/>
  <c r="A228" i="165"/>
  <c r="A227" i="165"/>
  <c r="A226" i="165"/>
  <c r="A225" i="165"/>
  <c r="A224" i="165"/>
  <c r="A223" i="165"/>
  <c r="A222" i="165"/>
  <c r="A221" i="165"/>
  <c r="A220" i="165"/>
  <c r="A219" i="165"/>
  <c r="A218" i="165"/>
  <c r="A217" i="165"/>
  <c r="A216" i="165"/>
  <c r="A215" i="165"/>
  <c r="A214" i="165"/>
  <c r="A213" i="165"/>
  <c r="A212" i="165"/>
  <c r="A211" i="165"/>
  <c r="A210" i="165"/>
  <c r="A209" i="165"/>
  <c r="A208" i="165"/>
  <c r="A207" i="165"/>
  <c r="A206" i="165"/>
  <c r="A205" i="165"/>
  <c r="A204" i="165"/>
  <c r="A203" i="165"/>
  <c r="A202" i="165"/>
  <c r="A201" i="165"/>
  <c r="A200" i="165"/>
  <c r="A199" i="165"/>
  <c r="A198" i="165"/>
  <c r="A197" i="165"/>
  <c r="A196" i="165"/>
  <c r="A195" i="165"/>
  <c r="A194" i="165"/>
  <c r="A193" i="165"/>
  <c r="A192" i="165"/>
  <c r="A191" i="165"/>
  <c r="A190" i="165"/>
  <c r="A189" i="165"/>
  <c r="A188" i="165"/>
  <c r="A187" i="165"/>
  <c r="A186" i="165"/>
  <c r="A185" i="165"/>
  <c r="A184" i="165"/>
  <c r="A183" i="165"/>
  <c r="A182" i="165"/>
  <c r="A181" i="165"/>
  <c r="A180" i="165"/>
  <c r="A179" i="165"/>
  <c r="A178" i="165"/>
  <c r="A177" i="165"/>
  <c r="A176" i="165"/>
  <c r="A175" i="165"/>
  <c r="A174" i="165"/>
  <c r="A173" i="165"/>
  <c r="A172" i="165"/>
  <c r="A171" i="165"/>
  <c r="A170" i="165"/>
  <c r="A169" i="165"/>
  <c r="A168" i="165"/>
  <c r="A167" i="165"/>
  <c r="A166" i="165"/>
  <c r="A165" i="165"/>
  <c r="A164" i="165"/>
  <c r="A163" i="165"/>
  <c r="A162" i="165"/>
  <c r="A161" i="165"/>
  <c r="A160" i="165"/>
  <c r="A159" i="165"/>
  <c r="A158" i="165"/>
  <c r="A157" i="165"/>
  <c r="A156" i="165"/>
  <c r="A155" i="165"/>
  <c r="A154" i="165"/>
  <c r="A153" i="165"/>
  <c r="A152" i="165"/>
  <c r="A151" i="165"/>
  <c r="A150" i="165"/>
  <c r="A149" i="165"/>
  <c r="A148" i="165"/>
  <c r="A147" i="165"/>
  <c r="A146" i="165"/>
  <c r="A145" i="165"/>
  <c r="A144" i="165"/>
  <c r="A143" i="165"/>
  <c r="A142" i="165"/>
  <c r="A141" i="165"/>
  <c r="A140" i="165"/>
  <c r="A139" i="165"/>
  <c r="A138" i="165"/>
  <c r="A137" i="165"/>
  <c r="A136" i="165"/>
  <c r="A135" i="165"/>
  <c r="A134" i="165"/>
  <c r="A133" i="165"/>
  <c r="A132" i="165"/>
  <c r="A131" i="165"/>
  <c r="A130" i="165"/>
  <c r="A129" i="165"/>
  <c r="A128" i="165"/>
  <c r="A127" i="165"/>
  <c r="A126" i="165"/>
  <c r="A125" i="165"/>
  <c r="A124" i="165"/>
  <c r="A123" i="165"/>
  <c r="A122" i="165"/>
  <c r="A121" i="165"/>
  <c r="A120" i="165"/>
  <c r="A119" i="165"/>
  <c r="A118" i="165"/>
  <c r="A117" i="165"/>
  <c r="A116" i="165"/>
  <c r="A115" i="165"/>
  <c r="A114" i="165"/>
  <c r="A113" i="165"/>
  <c r="A112" i="165"/>
  <c r="A111" i="165"/>
  <c r="A110" i="165"/>
  <c r="A109" i="165"/>
  <c r="A108" i="165"/>
  <c r="A107" i="165"/>
  <c r="A106" i="165"/>
  <c r="A105" i="165"/>
  <c r="A104" i="165"/>
  <c r="A103" i="165"/>
  <c r="A102" i="165"/>
  <c r="A101" i="165"/>
  <c r="A100" i="165"/>
  <c r="A99" i="165"/>
  <c r="A98" i="165"/>
  <c r="A97" i="165"/>
  <c r="A96" i="165"/>
  <c r="A95" i="165"/>
  <c r="A94" i="165"/>
  <c r="A93" i="165"/>
  <c r="A92" i="165"/>
  <c r="A91" i="165"/>
  <c r="A90" i="165"/>
  <c r="A89" i="165"/>
  <c r="A88" i="165"/>
  <c r="A87" i="165"/>
  <c r="A86" i="165"/>
  <c r="A85" i="165"/>
  <c r="A84" i="165"/>
  <c r="A83" i="165"/>
  <c r="A82" i="165"/>
  <c r="A81" i="165"/>
  <c r="A80" i="165"/>
  <c r="A79" i="165"/>
  <c r="A78" i="165"/>
  <c r="A77" i="165"/>
  <c r="A76" i="165"/>
  <c r="A75" i="165"/>
  <c r="A74" i="165"/>
  <c r="A73" i="165"/>
  <c r="A72" i="165"/>
  <c r="A71" i="165"/>
  <c r="A70" i="165"/>
  <c r="A69" i="165"/>
  <c r="A68" i="165"/>
  <c r="A67" i="165"/>
  <c r="A66" i="165"/>
  <c r="A65" i="165"/>
  <c r="A64" i="165"/>
  <c r="A63" i="165"/>
  <c r="A62" i="165"/>
  <c r="A61" i="165"/>
  <c r="A60" i="165"/>
  <c r="A59" i="165"/>
  <c r="A58" i="165"/>
  <c r="A57" i="165"/>
  <c r="A56" i="165"/>
  <c r="N16" i="168" l="1"/>
  <c r="Q27" i="187"/>
  <c r="R26" i="187"/>
  <c r="T26" i="187" s="1"/>
  <c r="K63" i="183"/>
  <c r="AC20" i="183"/>
  <c r="K20" i="183" s="1"/>
  <c r="K64" i="183" s="1"/>
  <c r="M86" i="206"/>
  <c r="K89" i="205"/>
  <c r="N44" i="206"/>
  <c r="F34" i="200"/>
  <c r="A55" i="165"/>
  <c r="O16" i="168" l="1"/>
  <c r="Q28" i="187"/>
  <c r="R27" i="187"/>
  <c r="T27" i="187" s="1"/>
  <c r="AC21" i="183"/>
  <c r="K21" i="183" s="1"/>
  <c r="K65" i="183" s="1"/>
  <c r="R34" i="200"/>
  <c r="N86" i="206"/>
  <c r="O17" i="206"/>
  <c r="O21" i="165"/>
  <c r="K21" i="165"/>
  <c r="G21" i="165"/>
  <c r="O20" i="165"/>
  <c r="K20" i="165"/>
  <c r="G20" i="165"/>
  <c r="L10" i="149"/>
  <c r="H10" i="149"/>
  <c r="D10" i="149"/>
  <c r="O14" i="165"/>
  <c r="K14" i="165"/>
  <c r="G14" i="165"/>
  <c r="O13" i="165"/>
  <c r="K13" i="165"/>
  <c r="G13" i="165"/>
  <c r="O12" i="165"/>
  <c r="K12" i="165"/>
  <c r="G12" i="165"/>
  <c r="O11" i="165"/>
  <c r="K11" i="165"/>
  <c r="G11" i="165"/>
  <c r="O10" i="165"/>
  <c r="K10" i="165"/>
  <c r="G10" i="165"/>
  <c r="O9" i="165"/>
  <c r="K9" i="165"/>
  <c r="G9" i="165"/>
  <c r="N14" i="165"/>
  <c r="F14" i="165"/>
  <c r="J13" i="165"/>
  <c r="N12" i="165"/>
  <c r="F12" i="165"/>
  <c r="J11" i="165"/>
  <c r="N10" i="165"/>
  <c r="F10" i="165"/>
  <c r="J9" i="165"/>
  <c r="F9" i="165"/>
  <c r="Q21" i="165"/>
  <c r="Q20" i="165"/>
  <c r="N21" i="165"/>
  <c r="J21" i="165"/>
  <c r="F21" i="165"/>
  <c r="N20" i="165"/>
  <c r="J20" i="165"/>
  <c r="F20" i="165"/>
  <c r="G10" i="149"/>
  <c r="J14" i="165"/>
  <c r="N13" i="165"/>
  <c r="F13" i="165"/>
  <c r="J12" i="165"/>
  <c r="N11" i="165"/>
  <c r="F11" i="165"/>
  <c r="J10" i="165"/>
  <c r="N9" i="165"/>
  <c r="M21" i="165"/>
  <c r="I21" i="165"/>
  <c r="M20" i="165"/>
  <c r="H21" i="165"/>
  <c r="H20" i="165"/>
  <c r="P14" i="165"/>
  <c r="H14" i="165"/>
  <c r="L13" i="165"/>
  <c r="P12" i="165"/>
  <c r="H12" i="165"/>
  <c r="L11" i="165"/>
  <c r="P10" i="165"/>
  <c r="H10" i="165"/>
  <c r="L9" i="165"/>
  <c r="L20" i="165"/>
  <c r="P13" i="165"/>
  <c r="L12" i="165"/>
  <c r="H11" i="165"/>
  <c r="P9" i="165"/>
  <c r="L21" i="165"/>
  <c r="I14" i="165"/>
  <c r="Q12" i="165"/>
  <c r="M11" i="165"/>
  <c r="I10" i="165"/>
  <c r="P20" i="165"/>
  <c r="M14" i="165"/>
  <c r="Q13" i="165"/>
  <c r="I13" i="165"/>
  <c r="M12" i="165"/>
  <c r="Q11" i="165"/>
  <c r="I11" i="165"/>
  <c r="M10" i="165"/>
  <c r="Q9" i="165"/>
  <c r="I9" i="165"/>
  <c r="P21" i="165"/>
  <c r="L14" i="165"/>
  <c r="H13" i="165"/>
  <c r="P11" i="165"/>
  <c r="L10" i="165"/>
  <c r="H9" i="165"/>
  <c r="I20" i="165"/>
  <c r="F10" i="149"/>
  <c r="Q14" i="165"/>
  <c r="M13" i="165"/>
  <c r="I12" i="165"/>
  <c r="Q10" i="165"/>
  <c r="M9" i="165"/>
  <c r="P16" i="168" l="1"/>
  <c r="S16" i="168" s="1"/>
  <c r="R28" i="187"/>
  <c r="T28" i="187" s="1"/>
  <c r="R16" i="206"/>
  <c r="U16" i="206" s="1"/>
  <c r="Q44" i="187"/>
  <c r="AC22" i="183"/>
  <c r="K22" i="183" s="1"/>
  <c r="K66" i="183" s="1"/>
  <c r="P17" i="206"/>
  <c r="O44" i="206"/>
  <c r="F34" i="201"/>
  <c r="J10" i="149"/>
  <c r="M14" i="149"/>
  <c r="P27" i="165"/>
  <c r="P45" i="165" s="1"/>
  <c r="K10" i="149"/>
  <c r="R18" i="165"/>
  <c r="F27" i="165"/>
  <c r="F45" i="165" s="1"/>
  <c r="R9" i="165"/>
  <c r="R14" i="165"/>
  <c r="G27" i="165"/>
  <c r="G45" i="165" s="1"/>
  <c r="D14" i="149"/>
  <c r="R26" i="165"/>
  <c r="I27" i="165"/>
  <c r="I45" i="165" s="1"/>
  <c r="F14" i="149"/>
  <c r="I10" i="149"/>
  <c r="E10" i="149"/>
  <c r="N27" i="165"/>
  <c r="N45" i="165" s="1"/>
  <c r="K14" i="149"/>
  <c r="R15" i="165"/>
  <c r="R17" i="165"/>
  <c r="R21" i="165"/>
  <c r="J27" i="165"/>
  <c r="J45" i="165" s="1"/>
  <c r="G14" i="149"/>
  <c r="R12" i="165"/>
  <c r="H14" i="149"/>
  <c r="K27" i="165"/>
  <c r="K45" i="165" s="1"/>
  <c r="R25" i="165"/>
  <c r="R22" i="165"/>
  <c r="H27" i="165"/>
  <c r="H45" i="165" s="1"/>
  <c r="E14" i="149"/>
  <c r="N14" i="149"/>
  <c r="Q27" i="165"/>
  <c r="Q45" i="165" s="1"/>
  <c r="M10" i="149"/>
  <c r="R13" i="165"/>
  <c r="R20" i="165"/>
  <c r="R10" i="165"/>
  <c r="L14" i="149"/>
  <c r="O27" i="165"/>
  <c r="O45" i="165" s="1"/>
  <c r="R24" i="165"/>
  <c r="M27" i="165"/>
  <c r="M45" i="165" s="1"/>
  <c r="J14" i="149"/>
  <c r="N10" i="149"/>
  <c r="I14" i="149"/>
  <c r="L27" i="165"/>
  <c r="L45" i="165" s="1"/>
  <c r="R11" i="165"/>
  <c r="R19" i="165"/>
  <c r="C10" i="149"/>
  <c r="R16" i="165"/>
  <c r="R23" i="165"/>
  <c r="C14" i="149"/>
  <c r="F10" i="135"/>
  <c r="Q16" i="168" l="1"/>
  <c r="R17" i="206"/>
  <c r="R18" i="206" s="1"/>
  <c r="AC23" i="183"/>
  <c r="K23" i="183" s="1"/>
  <c r="P44" i="206"/>
  <c r="R34" i="201"/>
  <c r="I12" i="162"/>
  <c r="J12" i="205" s="1"/>
  <c r="R27" i="165"/>
  <c r="R45" i="165" s="1"/>
  <c r="E9" i="8"/>
  <c r="G9" i="8" s="1"/>
  <c r="E10" i="8"/>
  <c r="G10" i="8" s="1"/>
  <c r="E11" i="8"/>
  <c r="J57" i="205" l="1"/>
  <c r="S17" i="206"/>
  <c r="U17" i="206" s="1"/>
  <c r="K67" i="183"/>
  <c r="AC24" i="183"/>
  <c r="K24" i="183" s="1"/>
  <c r="K68" i="183" s="1"/>
  <c r="R19" i="206"/>
  <c r="S18" i="206"/>
  <c r="F34" i="202"/>
  <c r="F11" i="8"/>
  <c r="G11" i="8"/>
  <c r="G12" i="8"/>
  <c r="A35" i="139"/>
  <c r="A35" i="138"/>
  <c r="AC25" i="183" l="1"/>
  <c r="K25" i="183" s="1"/>
  <c r="K69" i="183" s="1"/>
  <c r="S19" i="206"/>
  <c r="R20" i="206"/>
  <c r="S20" i="206" s="1"/>
  <c r="R34" i="202"/>
  <c r="E20" i="168"/>
  <c r="I20" i="168"/>
  <c r="M20" i="168"/>
  <c r="D20" i="168"/>
  <c r="G20" i="167"/>
  <c r="K20" i="167"/>
  <c r="O20" i="167"/>
  <c r="F20" i="168"/>
  <c r="J20" i="168"/>
  <c r="N20" i="168"/>
  <c r="H20" i="167"/>
  <c r="L20" i="167"/>
  <c r="P20" i="167"/>
  <c r="G20" i="168"/>
  <c r="K20" i="168"/>
  <c r="O20" i="168"/>
  <c r="E20" i="167"/>
  <c r="I20" i="167"/>
  <c r="M20" i="167"/>
  <c r="D20" i="167"/>
  <c r="H20" i="168"/>
  <c r="L20" i="168"/>
  <c r="P20" i="168"/>
  <c r="F20" i="167"/>
  <c r="J20" i="167"/>
  <c r="N20" i="167"/>
  <c r="H13" i="162"/>
  <c r="L72" i="130"/>
  <c r="L73" i="130"/>
  <c r="L74" i="130"/>
  <c r="L75" i="130"/>
  <c r="L76" i="130"/>
  <c r="L77" i="130"/>
  <c r="L78" i="130"/>
  <c r="L79" i="130"/>
  <c r="L80" i="130"/>
  <c r="L81" i="130"/>
  <c r="L82" i="130"/>
  <c r="L83" i="130"/>
  <c r="L84" i="130"/>
  <c r="L85" i="130"/>
  <c r="L86" i="130"/>
  <c r="H56" i="130"/>
  <c r="AC26" i="183" l="1"/>
  <c r="K26" i="183" s="1"/>
  <c r="K70" i="183" s="1"/>
  <c r="U18" i="206"/>
  <c r="R21" i="206"/>
  <c r="F34" i="203"/>
  <c r="Q20" i="167"/>
  <c r="Q20" i="168"/>
  <c r="J12" i="183"/>
  <c r="AC28" i="183" l="1"/>
  <c r="K28" i="183" s="1"/>
  <c r="AC27" i="183"/>
  <c r="K27" i="183" s="1"/>
  <c r="K71" i="183" s="1"/>
  <c r="U19" i="206"/>
  <c r="R34" i="203"/>
  <c r="R22" i="206"/>
  <c r="S21" i="206"/>
  <c r="L12" i="108"/>
  <c r="H12" i="205" s="1"/>
  <c r="H57" i="205" s="1"/>
  <c r="K72" i="183" l="1"/>
  <c r="K88" i="183" s="1"/>
  <c r="K44" i="183"/>
  <c r="U20" i="206"/>
  <c r="S22" i="206"/>
  <c r="R23" i="206"/>
  <c r="F34" i="204"/>
  <c r="M12" i="108"/>
  <c r="H12" i="183"/>
  <c r="G12" i="162"/>
  <c r="G12" i="130"/>
  <c r="D10" i="114"/>
  <c r="E10" i="114"/>
  <c r="F10" i="114"/>
  <c r="G10" i="114"/>
  <c r="H10" i="114"/>
  <c r="I10" i="114"/>
  <c r="J10" i="114"/>
  <c r="K10" i="114"/>
  <c r="L10" i="114"/>
  <c r="M10" i="114"/>
  <c r="N10" i="114"/>
  <c r="D12" i="114"/>
  <c r="E12" i="114"/>
  <c r="F12" i="114"/>
  <c r="G12" i="114"/>
  <c r="H12" i="114"/>
  <c r="I12" i="114"/>
  <c r="J12" i="114"/>
  <c r="K12" i="114"/>
  <c r="L12" i="114"/>
  <c r="M12" i="114"/>
  <c r="N12" i="114"/>
  <c r="C12" i="114"/>
  <c r="C10" i="114"/>
  <c r="R23" i="128"/>
  <c r="R24" i="128"/>
  <c r="R25" i="128"/>
  <c r="R26" i="128"/>
  <c r="R27" i="128"/>
  <c r="R28" i="128"/>
  <c r="R29" i="128"/>
  <c r="R30" i="128"/>
  <c r="R31" i="128"/>
  <c r="R32" i="128"/>
  <c r="R33" i="128"/>
  <c r="R37" i="128"/>
  <c r="U21" i="206" l="1"/>
  <c r="U22" i="206" s="1"/>
  <c r="R34" i="204"/>
  <c r="R24" i="206"/>
  <c r="S23" i="206"/>
  <c r="M72" i="130"/>
  <c r="M73" i="130"/>
  <c r="M74" i="130"/>
  <c r="M75" i="130"/>
  <c r="M76" i="130"/>
  <c r="M77" i="130"/>
  <c r="M78" i="130"/>
  <c r="M79" i="130"/>
  <c r="M80" i="130"/>
  <c r="M81" i="130"/>
  <c r="M82" i="130"/>
  <c r="M83" i="130"/>
  <c r="M84" i="130"/>
  <c r="M85" i="130"/>
  <c r="M86" i="130"/>
  <c r="R15" i="171" l="1"/>
  <c r="F15" i="172" s="1"/>
  <c r="J15" i="171"/>
  <c r="P15" i="171" s="1"/>
  <c r="U23" i="206"/>
  <c r="S24" i="206"/>
  <c r="R25" i="206"/>
  <c r="R44" i="128"/>
  <c r="R45" i="128"/>
  <c r="R46" i="128"/>
  <c r="R47" i="128"/>
  <c r="R48" i="128"/>
  <c r="R38" i="128"/>
  <c r="R36" i="128"/>
  <c r="R35" i="128"/>
  <c r="R34" i="128"/>
  <c r="R22" i="128"/>
  <c r="R21" i="128"/>
  <c r="R20" i="128"/>
  <c r="R19" i="128"/>
  <c r="R18" i="128"/>
  <c r="R17" i="128"/>
  <c r="R16" i="128"/>
  <c r="R15" i="128"/>
  <c r="R14" i="128"/>
  <c r="R13" i="128"/>
  <c r="R12" i="128"/>
  <c r="R11" i="128"/>
  <c r="R10" i="128"/>
  <c r="R9" i="128"/>
  <c r="R8" i="128"/>
  <c r="H12" i="130" s="1"/>
  <c r="I12" i="205" s="1"/>
  <c r="I57" i="205" s="1"/>
  <c r="R52" i="128"/>
  <c r="R51" i="128"/>
  <c r="R50" i="128"/>
  <c r="R49" i="128"/>
  <c r="R42" i="128"/>
  <c r="R43" i="128"/>
  <c r="J15" i="172" l="1"/>
  <c r="P15" i="172" s="1"/>
  <c r="R15" i="172"/>
  <c r="F15" i="173" s="1"/>
  <c r="U24" i="206"/>
  <c r="M16" i="191"/>
  <c r="R26" i="206"/>
  <c r="S25" i="206"/>
  <c r="H12" i="162"/>
  <c r="I12" i="183"/>
  <c r="D27" i="149"/>
  <c r="E27" i="149"/>
  <c r="F27" i="149"/>
  <c r="G27" i="149"/>
  <c r="H27" i="149"/>
  <c r="I27" i="149"/>
  <c r="J27" i="149"/>
  <c r="K27" i="149"/>
  <c r="L27" i="149"/>
  <c r="M27" i="149"/>
  <c r="N27" i="149"/>
  <c r="D28" i="149"/>
  <c r="E28" i="149"/>
  <c r="F28" i="149"/>
  <c r="G28" i="149"/>
  <c r="H28" i="149"/>
  <c r="I28" i="149"/>
  <c r="J28" i="149"/>
  <c r="K28" i="149"/>
  <c r="L28" i="149"/>
  <c r="M28" i="149"/>
  <c r="N28" i="149"/>
  <c r="C28" i="149"/>
  <c r="C27" i="149"/>
  <c r="D26" i="149"/>
  <c r="E26" i="149"/>
  <c r="F26" i="149"/>
  <c r="G26" i="149"/>
  <c r="H26" i="149"/>
  <c r="I26" i="149"/>
  <c r="J26" i="149"/>
  <c r="K26" i="149"/>
  <c r="L26" i="149"/>
  <c r="M26" i="149"/>
  <c r="N26" i="149"/>
  <c r="D12" i="168" s="1"/>
  <c r="C26" i="149"/>
  <c r="D12" i="149"/>
  <c r="E12" i="149"/>
  <c r="F12" i="149"/>
  <c r="G12" i="149"/>
  <c r="H12" i="149"/>
  <c r="I12" i="149"/>
  <c r="J12" i="149"/>
  <c r="K12" i="149"/>
  <c r="L12" i="149"/>
  <c r="M12" i="149"/>
  <c r="N12" i="149"/>
  <c r="C12" i="149"/>
  <c r="I11" i="162"/>
  <c r="J11" i="183" s="1"/>
  <c r="J15" i="173" l="1"/>
  <c r="P15" i="173" s="1"/>
  <c r="R15" i="173"/>
  <c r="F15" i="174" s="1"/>
  <c r="U25" i="206"/>
  <c r="O16" i="191" s="1"/>
  <c r="N16" i="191"/>
  <c r="R27" i="206"/>
  <c r="R28" i="206" s="1"/>
  <c r="S26" i="206"/>
  <c r="E12" i="168"/>
  <c r="F12" i="168" s="1"/>
  <c r="G12" i="168" s="1"/>
  <c r="H12" i="168" s="1"/>
  <c r="I12" i="168" s="1"/>
  <c r="J12" i="168" s="1"/>
  <c r="K12" i="168" s="1"/>
  <c r="L12" i="168" s="1"/>
  <c r="M12" i="168" s="1"/>
  <c r="N12" i="168" s="1"/>
  <c r="O12" i="168" s="1"/>
  <c r="P12" i="168" s="1"/>
  <c r="J20" i="183"/>
  <c r="J26" i="183"/>
  <c r="J25" i="183"/>
  <c r="J21" i="183"/>
  <c r="J27" i="183"/>
  <c r="J28" i="183"/>
  <c r="J22" i="183"/>
  <c r="J23" i="183"/>
  <c r="J17" i="183"/>
  <c r="J18" i="183"/>
  <c r="J24" i="183"/>
  <c r="J55" i="183"/>
  <c r="J19" i="183"/>
  <c r="P26" i="146"/>
  <c r="D26" i="167" s="1"/>
  <c r="L26" i="146"/>
  <c r="H26" i="146"/>
  <c r="M87" i="162"/>
  <c r="N87" i="162" s="1"/>
  <c r="R87" i="162" s="1"/>
  <c r="M86" i="162"/>
  <c r="N86" i="162" s="1"/>
  <c r="R86" i="162" s="1"/>
  <c r="M85" i="162"/>
  <c r="N85" i="162" s="1"/>
  <c r="R85" i="162" s="1"/>
  <c r="M84" i="162"/>
  <c r="N84" i="162" s="1"/>
  <c r="R84" i="162" s="1"/>
  <c r="M83" i="162"/>
  <c r="N83" i="162" s="1"/>
  <c r="R83" i="162" s="1"/>
  <c r="M82" i="162"/>
  <c r="N82" i="162" s="1"/>
  <c r="R82" i="162" s="1"/>
  <c r="M81" i="162"/>
  <c r="N81" i="162" s="1"/>
  <c r="R81" i="162" s="1"/>
  <c r="M80" i="162"/>
  <c r="N80" i="162" s="1"/>
  <c r="R80" i="162" s="1"/>
  <c r="M79" i="162"/>
  <c r="N79" i="162" s="1"/>
  <c r="R79" i="162" s="1"/>
  <c r="M78" i="162"/>
  <c r="N78" i="162" s="1"/>
  <c r="R78" i="162" s="1"/>
  <c r="M77" i="162"/>
  <c r="N77" i="162" s="1"/>
  <c r="R77" i="162" s="1"/>
  <c r="M76" i="162"/>
  <c r="N76" i="162" s="1"/>
  <c r="R76" i="162" s="1"/>
  <c r="M75" i="162"/>
  <c r="N75" i="162" s="1"/>
  <c r="R75" i="162" s="1"/>
  <c r="M74" i="162"/>
  <c r="N74" i="162" s="1"/>
  <c r="R74" i="162" s="1"/>
  <c r="M73" i="162"/>
  <c r="N73" i="162" s="1"/>
  <c r="R73" i="162" s="1"/>
  <c r="A61" i="162"/>
  <c r="A62" i="162" s="1"/>
  <c r="A63" i="162" s="1"/>
  <c r="A64" i="162" s="1"/>
  <c r="A65" i="162" s="1"/>
  <c r="A66" i="162" s="1"/>
  <c r="A67" i="162" s="1"/>
  <c r="A68" i="162" s="1"/>
  <c r="A69" i="162" s="1"/>
  <c r="A70" i="162" s="1"/>
  <c r="A71" i="162" s="1"/>
  <c r="A72" i="162" s="1"/>
  <c r="A73" i="162" s="1"/>
  <c r="A74" i="162" s="1"/>
  <c r="A75" i="162" s="1"/>
  <c r="A76" i="162" s="1"/>
  <c r="A77" i="162" s="1"/>
  <c r="A78" i="162" s="1"/>
  <c r="A79" i="162" s="1"/>
  <c r="A80" i="162" s="1"/>
  <c r="A81" i="162" s="1"/>
  <c r="A82" i="162" s="1"/>
  <c r="A83" i="162" s="1"/>
  <c r="A84" i="162" s="1"/>
  <c r="A85" i="162" s="1"/>
  <c r="A86" i="162" s="1"/>
  <c r="A87" i="162" s="1"/>
  <c r="A88" i="162" s="1"/>
  <c r="R43" i="162"/>
  <c r="Q43" i="162"/>
  <c r="R42" i="162"/>
  <c r="Q42" i="162"/>
  <c r="R41" i="162"/>
  <c r="Q41" i="162"/>
  <c r="R40" i="162"/>
  <c r="Q40" i="162"/>
  <c r="R39" i="162"/>
  <c r="Q39" i="162"/>
  <c r="R38" i="162"/>
  <c r="Q38" i="162"/>
  <c r="R37" i="162"/>
  <c r="Q37" i="162"/>
  <c r="R36" i="162"/>
  <c r="Q36" i="162"/>
  <c r="R35" i="162"/>
  <c r="Q35" i="162"/>
  <c r="R34" i="162"/>
  <c r="Q34" i="162"/>
  <c r="R33" i="162"/>
  <c r="Q33" i="162"/>
  <c r="R32" i="162"/>
  <c r="Q32" i="162"/>
  <c r="R31" i="162"/>
  <c r="Q31" i="162"/>
  <c r="R30" i="162"/>
  <c r="Q30" i="162"/>
  <c r="Q29" i="162"/>
  <c r="A17" i="162"/>
  <c r="A18" i="162" s="1"/>
  <c r="A19" i="162" s="1"/>
  <c r="A20" i="162" s="1"/>
  <c r="A21" i="162" s="1"/>
  <c r="A22" i="162" s="1"/>
  <c r="A23" i="162" s="1"/>
  <c r="A24" i="162" s="1"/>
  <c r="A25" i="162" s="1"/>
  <c r="A26" i="162" s="1"/>
  <c r="A27" i="162" s="1"/>
  <c r="A28" i="162" s="1"/>
  <c r="A29" i="162" s="1"/>
  <c r="A30" i="162" s="1"/>
  <c r="A31" i="162" s="1"/>
  <c r="A32" i="162" s="1"/>
  <c r="A33" i="162" s="1"/>
  <c r="A34" i="162" s="1"/>
  <c r="A35" i="162" s="1"/>
  <c r="A36" i="162" s="1"/>
  <c r="A37" i="162" s="1"/>
  <c r="A38" i="162" s="1"/>
  <c r="A39" i="162" s="1"/>
  <c r="A40" i="162" s="1"/>
  <c r="A41" i="162" s="1"/>
  <c r="A42" i="162" s="1"/>
  <c r="A43" i="162" s="1"/>
  <c r="A44" i="162" s="1"/>
  <c r="I56" i="162"/>
  <c r="P31" i="161"/>
  <c r="N31" i="161"/>
  <c r="J31" i="161"/>
  <c r="L30" i="161"/>
  <c r="L29" i="161"/>
  <c r="L22" i="161"/>
  <c r="H22" i="161"/>
  <c r="L21" i="161"/>
  <c r="H21" i="161"/>
  <c r="L20" i="161"/>
  <c r="H20" i="161"/>
  <c r="H16" i="161"/>
  <c r="H15" i="161"/>
  <c r="H14" i="161"/>
  <c r="A14" i="161"/>
  <c r="A15" i="161" s="1"/>
  <c r="A16" i="161" s="1"/>
  <c r="A17" i="161" s="1"/>
  <c r="A20" i="161" s="1"/>
  <c r="A21" i="161" s="1"/>
  <c r="A22" i="161" s="1"/>
  <c r="A23" i="161" s="1"/>
  <c r="A25" i="161" s="1"/>
  <c r="A28" i="161" s="1"/>
  <c r="A29" i="161" s="1"/>
  <c r="A30" i="161" s="1"/>
  <c r="A31" i="161" s="1"/>
  <c r="H13" i="161"/>
  <c r="P31" i="160"/>
  <c r="N31" i="160"/>
  <c r="J31" i="160"/>
  <c r="L30" i="160"/>
  <c r="L22" i="160"/>
  <c r="H22" i="160"/>
  <c r="N22" i="160" s="1"/>
  <c r="L21" i="160"/>
  <c r="H21" i="160"/>
  <c r="L20" i="160"/>
  <c r="H20" i="160"/>
  <c r="N20" i="160" s="1"/>
  <c r="H16" i="160"/>
  <c r="H15" i="160"/>
  <c r="H14" i="160"/>
  <c r="A14" i="160"/>
  <c r="A15" i="160" s="1"/>
  <c r="A16" i="160" s="1"/>
  <c r="A17" i="160" s="1"/>
  <c r="A20" i="160" s="1"/>
  <c r="A21" i="160" s="1"/>
  <c r="A22" i="160" s="1"/>
  <c r="A23" i="160" s="1"/>
  <c r="A25" i="160" s="1"/>
  <c r="A28" i="160" s="1"/>
  <c r="A29" i="160" s="1"/>
  <c r="A30" i="160" s="1"/>
  <c r="A31" i="160" s="1"/>
  <c r="H13" i="160"/>
  <c r="P31" i="159"/>
  <c r="N31" i="159"/>
  <c r="J31" i="159"/>
  <c r="L30" i="159"/>
  <c r="L22" i="159"/>
  <c r="H22" i="159"/>
  <c r="L21" i="159"/>
  <c r="H21" i="159"/>
  <c r="L20" i="159"/>
  <c r="H20" i="159"/>
  <c r="N20" i="159" s="1"/>
  <c r="L16" i="159"/>
  <c r="H16" i="159"/>
  <c r="L15" i="159"/>
  <c r="H15" i="159"/>
  <c r="H14" i="159"/>
  <c r="A14" i="159"/>
  <c r="A15" i="159" s="1"/>
  <c r="A16" i="159" s="1"/>
  <c r="A17" i="159" s="1"/>
  <c r="A20" i="159" s="1"/>
  <c r="A21" i="159" s="1"/>
  <c r="A22" i="159" s="1"/>
  <c r="A23" i="159" s="1"/>
  <c r="A25" i="159" s="1"/>
  <c r="A28" i="159" s="1"/>
  <c r="A29" i="159" s="1"/>
  <c r="A30" i="159" s="1"/>
  <c r="A31" i="159" s="1"/>
  <c r="H13" i="159"/>
  <c r="P31" i="158"/>
  <c r="N31" i="158"/>
  <c r="J31" i="158"/>
  <c r="L30" i="158"/>
  <c r="L29" i="158"/>
  <c r="L22" i="158"/>
  <c r="H22" i="158"/>
  <c r="N22" i="158" s="1"/>
  <c r="L21" i="158"/>
  <c r="H21" i="158"/>
  <c r="L20" i="158"/>
  <c r="H20" i="158"/>
  <c r="L16" i="158"/>
  <c r="H16" i="158"/>
  <c r="H15" i="158"/>
  <c r="L14" i="158"/>
  <c r="H14" i="158"/>
  <c r="A14" i="158"/>
  <c r="A15" i="158" s="1"/>
  <c r="A16" i="158" s="1"/>
  <c r="A17" i="158" s="1"/>
  <c r="A20" i="158" s="1"/>
  <c r="A21" i="158" s="1"/>
  <c r="A22" i="158" s="1"/>
  <c r="A23" i="158" s="1"/>
  <c r="A25" i="158" s="1"/>
  <c r="A28" i="158" s="1"/>
  <c r="A29" i="158" s="1"/>
  <c r="A30" i="158" s="1"/>
  <c r="A31" i="158" s="1"/>
  <c r="L13" i="158"/>
  <c r="H13" i="158"/>
  <c r="P31" i="157"/>
  <c r="N31" i="157"/>
  <c r="J31" i="157"/>
  <c r="L30" i="157"/>
  <c r="L29" i="157"/>
  <c r="L22" i="157"/>
  <c r="H22" i="157"/>
  <c r="L21" i="157"/>
  <c r="H21" i="157"/>
  <c r="N20" i="157"/>
  <c r="L20" i="157"/>
  <c r="H20" i="157"/>
  <c r="L16" i="157"/>
  <c r="H16" i="157"/>
  <c r="L15" i="157"/>
  <c r="H15" i="157"/>
  <c r="H14" i="157"/>
  <c r="A14" i="157"/>
  <c r="A15" i="157" s="1"/>
  <c r="A16" i="157" s="1"/>
  <c r="A17" i="157" s="1"/>
  <c r="A20" i="157" s="1"/>
  <c r="A21" i="157" s="1"/>
  <c r="A22" i="157" s="1"/>
  <c r="A23" i="157" s="1"/>
  <c r="A25" i="157" s="1"/>
  <c r="A28" i="157" s="1"/>
  <c r="A29" i="157" s="1"/>
  <c r="A30" i="157" s="1"/>
  <c r="A31" i="157" s="1"/>
  <c r="H13" i="157"/>
  <c r="P31" i="156"/>
  <c r="N31" i="156"/>
  <c r="J31" i="156"/>
  <c r="L30" i="156"/>
  <c r="L29" i="156"/>
  <c r="L28" i="156"/>
  <c r="L22" i="156"/>
  <c r="H22" i="156"/>
  <c r="L21" i="156"/>
  <c r="H21" i="156"/>
  <c r="L20" i="156"/>
  <c r="H20" i="156"/>
  <c r="L16" i="156"/>
  <c r="H16" i="156"/>
  <c r="L15" i="156"/>
  <c r="H15" i="156"/>
  <c r="H14" i="156"/>
  <c r="A14" i="156"/>
  <c r="A15" i="156" s="1"/>
  <c r="A16" i="156" s="1"/>
  <c r="A17" i="156" s="1"/>
  <c r="A20" i="156" s="1"/>
  <c r="A21" i="156" s="1"/>
  <c r="A22" i="156" s="1"/>
  <c r="A23" i="156" s="1"/>
  <c r="A25" i="156" s="1"/>
  <c r="A28" i="156" s="1"/>
  <c r="A29" i="156" s="1"/>
  <c r="A30" i="156" s="1"/>
  <c r="A31" i="156" s="1"/>
  <c r="H13" i="156"/>
  <c r="P31" i="155"/>
  <c r="N31" i="155"/>
  <c r="J31" i="155"/>
  <c r="L30" i="155"/>
  <c r="L28" i="155"/>
  <c r="L22" i="155"/>
  <c r="H22" i="155"/>
  <c r="L21" i="155"/>
  <c r="H21" i="155"/>
  <c r="L20" i="155"/>
  <c r="H20" i="155"/>
  <c r="H16" i="155"/>
  <c r="H15" i="155"/>
  <c r="H14" i="155"/>
  <c r="A14" i="155"/>
  <c r="A15" i="155" s="1"/>
  <c r="A16" i="155" s="1"/>
  <c r="A17" i="155" s="1"/>
  <c r="A20" i="155" s="1"/>
  <c r="A21" i="155" s="1"/>
  <c r="A22" i="155" s="1"/>
  <c r="A23" i="155" s="1"/>
  <c r="A25" i="155" s="1"/>
  <c r="A28" i="155" s="1"/>
  <c r="A29" i="155" s="1"/>
  <c r="A30" i="155" s="1"/>
  <c r="A31" i="155" s="1"/>
  <c r="H13" i="155"/>
  <c r="P31" i="154"/>
  <c r="N31" i="154"/>
  <c r="J31" i="154"/>
  <c r="L30" i="154"/>
  <c r="L22" i="154"/>
  <c r="H22" i="154"/>
  <c r="L21" i="154"/>
  <c r="H21" i="154"/>
  <c r="N21" i="154" s="1"/>
  <c r="L20" i="154"/>
  <c r="H20" i="154"/>
  <c r="L16" i="154"/>
  <c r="H16" i="154"/>
  <c r="H15" i="154"/>
  <c r="L14" i="154"/>
  <c r="H14" i="154"/>
  <c r="A14" i="154"/>
  <c r="A15" i="154" s="1"/>
  <c r="A16" i="154" s="1"/>
  <c r="A17" i="154" s="1"/>
  <c r="A20" i="154" s="1"/>
  <c r="A21" i="154" s="1"/>
  <c r="A22" i="154" s="1"/>
  <c r="A23" i="154" s="1"/>
  <c r="A25" i="154" s="1"/>
  <c r="A28" i="154" s="1"/>
  <c r="A29" i="154" s="1"/>
  <c r="A30" i="154" s="1"/>
  <c r="A31" i="154" s="1"/>
  <c r="L13" i="154"/>
  <c r="H13" i="154"/>
  <c r="P31" i="153"/>
  <c r="N31" i="153"/>
  <c r="J31" i="153"/>
  <c r="L30" i="153"/>
  <c r="L29" i="153"/>
  <c r="L22" i="153"/>
  <c r="H22" i="153"/>
  <c r="L21" i="153"/>
  <c r="H21" i="153"/>
  <c r="L20" i="153"/>
  <c r="H20" i="153"/>
  <c r="L16" i="153"/>
  <c r="H16" i="153"/>
  <c r="L15" i="153"/>
  <c r="H15" i="153"/>
  <c r="H14" i="153"/>
  <c r="A14" i="153"/>
  <c r="A15" i="153" s="1"/>
  <c r="A16" i="153" s="1"/>
  <c r="A17" i="153" s="1"/>
  <c r="A20" i="153" s="1"/>
  <c r="A21" i="153" s="1"/>
  <c r="A22" i="153" s="1"/>
  <c r="A23" i="153" s="1"/>
  <c r="A25" i="153" s="1"/>
  <c r="A28" i="153" s="1"/>
  <c r="A29" i="153" s="1"/>
  <c r="A30" i="153" s="1"/>
  <c r="A31" i="153" s="1"/>
  <c r="H13" i="153"/>
  <c r="P31" i="152"/>
  <c r="N31" i="152"/>
  <c r="J31" i="152"/>
  <c r="L30" i="152"/>
  <c r="L29" i="152"/>
  <c r="L28" i="152"/>
  <c r="L22" i="152"/>
  <c r="H22" i="152"/>
  <c r="N22" i="152" s="1"/>
  <c r="L21" i="152"/>
  <c r="H21" i="152"/>
  <c r="L20" i="152"/>
  <c r="L23" i="152" s="1"/>
  <c r="H20" i="152"/>
  <c r="L16" i="152"/>
  <c r="H16" i="152"/>
  <c r="L15" i="152"/>
  <c r="H15" i="152"/>
  <c r="H14" i="152"/>
  <c r="A14" i="152"/>
  <c r="A15" i="152" s="1"/>
  <c r="A16" i="152" s="1"/>
  <c r="A17" i="152" s="1"/>
  <c r="A20" i="152" s="1"/>
  <c r="A21" i="152" s="1"/>
  <c r="A22" i="152" s="1"/>
  <c r="A23" i="152" s="1"/>
  <c r="A25" i="152" s="1"/>
  <c r="A28" i="152" s="1"/>
  <c r="A29" i="152" s="1"/>
  <c r="A30" i="152" s="1"/>
  <c r="A31" i="152" s="1"/>
  <c r="H13" i="152"/>
  <c r="P31" i="151"/>
  <c r="N31" i="151"/>
  <c r="J31" i="151"/>
  <c r="L30" i="151"/>
  <c r="L28" i="151"/>
  <c r="L22" i="151"/>
  <c r="H22" i="151"/>
  <c r="L21" i="151"/>
  <c r="H21" i="151"/>
  <c r="N21" i="151" s="1"/>
  <c r="L20" i="151"/>
  <c r="H20" i="151"/>
  <c r="H16" i="151"/>
  <c r="H15" i="151"/>
  <c r="H14" i="151"/>
  <c r="A14" i="151"/>
  <c r="A15" i="151" s="1"/>
  <c r="A16" i="151" s="1"/>
  <c r="A17" i="151" s="1"/>
  <c r="A20" i="151" s="1"/>
  <c r="A21" i="151" s="1"/>
  <c r="A22" i="151" s="1"/>
  <c r="A23" i="151" s="1"/>
  <c r="A25" i="151" s="1"/>
  <c r="A28" i="151" s="1"/>
  <c r="A29" i="151" s="1"/>
  <c r="A30" i="151" s="1"/>
  <c r="A31" i="151" s="1"/>
  <c r="H13" i="151"/>
  <c r="P31" i="150"/>
  <c r="N31" i="150"/>
  <c r="J31" i="150"/>
  <c r="L30" i="150"/>
  <c r="L22" i="150"/>
  <c r="H22" i="150"/>
  <c r="L21" i="150"/>
  <c r="H21" i="150"/>
  <c r="L20" i="150"/>
  <c r="L23" i="150" s="1"/>
  <c r="H20" i="150"/>
  <c r="L16" i="150"/>
  <c r="H16" i="150"/>
  <c r="H15" i="150"/>
  <c r="L14" i="150"/>
  <c r="H14" i="150"/>
  <c r="A14" i="150"/>
  <c r="A15" i="150" s="1"/>
  <c r="A16" i="150" s="1"/>
  <c r="A17" i="150" s="1"/>
  <c r="A20" i="150" s="1"/>
  <c r="A21" i="150" s="1"/>
  <c r="A22" i="150" s="1"/>
  <c r="A23" i="150" s="1"/>
  <c r="A25" i="150" s="1"/>
  <c r="A28" i="150" s="1"/>
  <c r="A29" i="150" s="1"/>
  <c r="A30" i="150" s="1"/>
  <c r="A31" i="150" s="1"/>
  <c r="L13" i="150"/>
  <c r="H13" i="150"/>
  <c r="O27" i="147"/>
  <c r="O29" i="147" s="1"/>
  <c r="N27" i="147"/>
  <c r="N29" i="147" s="1"/>
  <c r="J27" i="147"/>
  <c r="J29" i="147" s="1"/>
  <c r="G27" i="147"/>
  <c r="G29" i="147" s="1"/>
  <c r="F27" i="147"/>
  <c r="F29" i="147" s="1"/>
  <c r="P27" i="146"/>
  <c r="D27" i="167" s="1"/>
  <c r="O27" i="146"/>
  <c r="N27" i="146"/>
  <c r="K27" i="146"/>
  <c r="J27" i="146"/>
  <c r="G27" i="146"/>
  <c r="F27" i="146"/>
  <c r="N26" i="146"/>
  <c r="M26" i="146"/>
  <c r="I26" i="146"/>
  <c r="O31" i="149"/>
  <c r="E29" i="149"/>
  <c r="O28" i="149"/>
  <c r="L29" i="160"/>
  <c r="L29" i="159"/>
  <c r="L29" i="155"/>
  <c r="L29" i="154"/>
  <c r="L29" i="151"/>
  <c r="L29" i="150"/>
  <c r="L28" i="160"/>
  <c r="L28" i="159"/>
  <c r="L28" i="158"/>
  <c r="L28" i="157"/>
  <c r="I29" i="149"/>
  <c r="L28" i="154"/>
  <c r="L28" i="153"/>
  <c r="L28" i="150"/>
  <c r="O23" i="149"/>
  <c r="N21" i="149"/>
  <c r="M21" i="149"/>
  <c r="L21" i="149"/>
  <c r="K21" i="149"/>
  <c r="J21" i="149"/>
  <c r="I21" i="149"/>
  <c r="H21" i="149"/>
  <c r="G21" i="149"/>
  <c r="F21" i="149"/>
  <c r="E21" i="149"/>
  <c r="D21" i="149"/>
  <c r="C21" i="149"/>
  <c r="O20" i="149"/>
  <c r="O19" i="149"/>
  <c r="O18" i="149"/>
  <c r="O17" i="149"/>
  <c r="D15" i="149"/>
  <c r="L16" i="161"/>
  <c r="L16" i="160"/>
  <c r="L16" i="155"/>
  <c r="L16" i="151"/>
  <c r="L15" i="161"/>
  <c r="N15" i="161" s="1"/>
  <c r="L15" i="160"/>
  <c r="L15" i="158"/>
  <c r="L15" i="155"/>
  <c r="N15" i="155" s="1"/>
  <c r="L15" i="154"/>
  <c r="L15" i="151"/>
  <c r="L15" i="150"/>
  <c r="L14" i="161"/>
  <c r="L14" i="160"/>
  <c r="L14" i="159"/>
  <c r="N14" i="159" s="1"/>
  <c r="L14" i="157"/>
  <c r="N14" i="157" s="1"/>
  <c r="L14" i="156"/>
  <c r="L14" i="155"/>
  <c r="L14" i="153"/>
  <c r="L14" i="152"/>
  <c r="L14" i="151"/>
  <c r="J15" i="149"/>
  <c r="A11" i="149"/>
  <c r="A12" i="149" s="1"/>
  <c r="A13" i="149" s="1"/>
  <c r="A14" i="149" s="1"/>
  <c r="A15" i="149" s="1"/>
  <c r="A17" i="149" s="1"/>
  <c r="A18" i="149" s="1"/>
  <c r="A19" i="149" s="1"/>
  <c r="A20" i="149" s="1"/>
  <c r="A21" i="149" s="1"/>
  <c r="A23" i="149" s="1"/>
  <c r="A25" i="149" s="1"/>
  <c r="A26" i="149" s="1"/>
  <c r="A27" i="149" s="1"/>
  <c r="A28" i="149" s="1"/>
  <c r="A29" i="149" s="1"/>
  <c r="A31" i="149" s="1"/>
  <c r="A32" i="149" s="1"/>
  <c r="L13" i="161"/>
  <c r="L15" i="149"/>
  <c r="L13" i="157"/>
  <c r="N13" i="157" s="1"/>
  <c r="L13" i="153"/>
  <c r="L13" i="151"/>
  <c r="O10" i="149"/>
  <c r="S1048492" i="147"/>
  <c r="P27" i="147"/>
  <c r="P29" i="147" s="1"/>
  <c r="M27" i="147"/>
  <c r="M29" i="147" s="1"/>
  <c r="L27" i="147"/>
  <c r="L29" i="147" s="1"/>
  <c r="K27" i="147"/>
  <c r="K29" i="147" s="1"/>
  <c r="I27" i="147"/>
  <c r="I29" i="147" s="1"/>
  <c r="H27" i="147"/>
  <c r="H29" i="147" s="1"/>
  <c r="E27" i="147"/>
  <c r="Q26" i="147"/>
  <c r="Q25" i="147"/>
  <c r="Q13" i="147"/>
  <c r="Q6" i="147"/>
  <c r="P6" i="147"/>
  <c r="O6" i="147"/>
  <c r="N6" i="147"/>
  <c r="M6" i="147"/>
  <c r="L6" i="147"/>
  <c r="K6" i="147"/>
  <c r="J6" i="147"/>
  <c r="I6" i="147"/>
  <c r="H6" i="147"/>
  <c r="G6" i="147"/>
  <c r="F6" i="147"/>
  <c r="S1048576" i="146"/>
  <c r="M27" i="146"/>
  <c r="L27" i="146"/>
  <c r="I27" i="146"/>
  <c r="H27" i="146"/>
  <c r="E27" i="146"/>
  <c r="O26" i="146"/>
  <c r="K26" i="146"/>
  <c r="J26" i="146"/>
  <c r="G26" i="146"/>
  <c r="F26" i="146"/>
  <c r="E26" i="146"/>
  <c r="Q6" i="146"/>
  <c r="P6" i="146"/>
  <c r="O6" i="146"/>
  <c r="N6" i="146"/>
  <c r="M6" i="146"/>
  <c r="L6" i="146"/>
  <c r="K6" i="146"/>
  <c r="J6" i="146"/>
  <c r="I6" i="146"/>
  <c r="H6" i="146"/>
  <c r="G6" i="146"/>
  <c r="F6" i="146"/>
  <c r="R15" i="174" l="1"/>
  <c r="F15" i="175" s="1"/>
  <c r="J15" i="174"/>
  <c r="P15" i="174" s="1"/>
  <c r="N12" i="191"/>
  <c r="U26" i="206"/>
  <c r="S27" i="206"/>
  <c r="N22" i="150"/>
  <c r="N20" i="153"/>
  <c r="N22" i="153"/>
  <c r="L23" i="154"/>
  <c r="N22" i="156"/>
  <c r="N22" i="157"/>
  <c r="L23" i="160"/>
  <c r="N21" i="150"/>
  <c r="N21" i="160"/>
  <c r="N21" i="152"/>
  <c r="J44" i="183"/>
  <c r="J67" i="183"/>
  <c r="J71" i="183"/>
  <c r="J72" i="183"/>
  <c r="J66" i="183"/>
  <c r="J68" i="183"/>
  <c r="J65" i="183"/>
  <c r="J62" i="183"/>
  <c r="J70" i="183"/>
  <c r="J61" i="183"/>
  <c r="J64" i="183"/>
  <c r="J69" i="183"/>
  <c r="J63" i="183"/>
  <c r="Q12" i="168"/>
  <c r="S12" i="168" s="1"/>
  <c r="L31" i="160"/>
  <c r="K27" i="162" s="1"/>
  <c r="K71" i="162" s="1"/>
  <c r="N14" i="158"/>
  <c r="N14" i="153"/>
  <c r="N20" i="150"/>
  <c r="N23" i="150" s="1"/>
  <c r="N20" i="161"/>
  <c r="N13" i="150"/>
  <c r="N21" i="153"/>
  <c r="N23" i="153" s="1"/>
  <c r="N22" i="154"/>
  <c r="N21" i="161"/>
  <c r="N16" i="160"/>
  <c r="N20" i="154"/>
  <c r="N23" i="154" s="1"/>
  <c r="N21" i="155"/>
  <c r="N21" i="157"/>
  <c r="N16" i="158"/>
  <c r="N16" i="151"/>
  <c r="N13" i="154"/>
  <c r="Q27" i="146"/>
  <c r="Q26" i="146"/>
  <c r="Q44" i="162"/>
  <c r="N15" i="156"/>
  <c r="L17" i="151"/>
  <c r="I18" i="162" s="1"/>
  <c r="L17" i="161"/>
  <c r="I28" i="162" s="1"/>
  <c r="N15" i="154"/>
  <c r="N16" i="155"/>
  <c r="N15" i="160"/>
  <c r="L17" i="153"/>
  <c r="I20" i="162" s="1"/>
  <c r="N14" i="151"/>
  <c r="N13" i="161"/>
  <c r="N15" i="152"/>
  <c r="N15" i="150"/>
  <c r="L29" i="149"/>
  <c r="L31" i="151"/>
  <c r="K18" i="162" s="1"/>
  <c r="K62" i="162" s="1"/>
  <c r="N15" i="153"/>
  <c r="N20" i="156"/>
  <c r="N23" i="156" s="1"/>
  <c r="L17" i="158"/>
  <c r="I25" i="162" s="1"/>
  <c r="N20" i="158"/>
  <c r="L23" i="158"/>
  <c r="N15" i="159"/>
  <c r="N14" i="160"/>
  <c r="Q27" i="147"/>
  <c r="Q29" i="147" s="1"/>
  <c r="L13" i="155"/>
  <c r="H15" i="149"/>
  <c r="G15" i="149"/>
  <c r="F15" i="149"/>
  <c r="L31" i="157"/>
  <c r="K24" i="162" s="1"/>
  <c r="K68" i="162" s="1"/>
  <c r="L28" i="161"/>
  <c r="N29" i="149"/>
  <c r="L23" i="151"/>
  <c r="N16" i="153"/>
  <c r="L31" i="153"/>
  <c r="K20" i="162" s="1"/>
  <c r="K64" i="162" s="1"/>
  <c r="L31" i="155"/>
  <c r="K22" i="162" s="1"/>
  <c r="K66" i="162" s="1"/>
  <c r="N21" i="156"/>
  <c r="L13" i="159"/>
  <c r="E29" i="147"/>
  <c r="O13" i="149"/>
  <c r="L31" i="158"/>
  <c r="K25" i="162" s="1"/>
  <c r="K69" i="162" s="1"/>
  <c r="F29" i="149"/>
  <c r="L31" i="150"/>
  <c r="K17" i="162" s="1"/>
  <c r="K61" i="162" s="1"/>
  <c r="N13" i="151"/>
  <c r="L31" i="152"/>
  <c r="K19" i="162" s="1"/>
  <c r="K63" i="162" s="1"/>
  <c r="N16" i="154"/>
  <c r="L23" i="155"/>
  <c r="N16" i="157"/>
  <c r="L31" i="159"/>
  <c r="K26" i="162" s="1"/>
  <c r="K70" i="162" s="1"/>
  <c r="L17" i="157"/>
  <c r="I24" i="162" s="1"/>
  <c r="K15" i="149"/>
  <c r="D29" i="149"/>
  <c r="H29" i="149"/>
  <c r="O26" i="149"/>
  <c r="J29" i="149"/>
  <c r="O33" i="149"/>
  <c r="N14" i="150"/>
  <c r="N16" i="150"/>
  <c r="N15" i="151"/>
  <c r="N20" i="152"/>
  <c r="N23" i="152" s="1"/>
  <c r="N13" i="153"/>
  <c r="N14" i="154"/>
  <c r="L31" i="154"/>
  <c r="K21" i="162" s="1"/>
  <c r="K65" i="162" s="1"/>
  <c r="N14" i="155"/>
  <c r="L23" i="156"/>
  <c r="L31" i="156"/>
  <c r="K23" i="162" s="1"/>
  <c r="K67" i="162" s="1"/>
  <c r="N23" i="157"/>
  <c r="N15" i="158"/>
  <c r="N16" i="161"/>
  <c r="E15" i="149"/>
  <c r="I15" i="149"/>
  <c r="L13" i="160"/>
  <c r="M15" i="149"/>
  <c r="O14" i="149"/>
  <c r="O21" i="149"/>
  <c r="M29" i="149"/>
  <c r="L17" i="150"/>
  <c r="L17" i="154"/>
  <c r="I21" i="162" s="1"/>
  <c r="N15" i="157"/>
  <c r="N22" i="159"/>
  <c r="N23" i="160"/>
  <c r="N22" i="161"/>
  <c r="N23" i="161" s="1"/>
  <c r="I55" i="162"/>
  <c r="O12" i="149"/>
  <c r="N15" i="149"/>
  <c r="O32" i="149"/>
  <c r="N20" i="151"/>
  <c r="N22" i="151"/>
  <c r="L13" i="152"/>
  <c r="N14" i="152"/>
  <c r="N16" i="152"/>
  <c r="L23" i="153"/>
  <c r="N20" i="155"/>
  <c r="N22" i="155"/>
  <c r="L13" i="156"/>
  <c r="N14" i="156"/>
  <c r="N16" i="156"/>
  <c r="L23" i="157"/>
  <c r="N13" i="158"/>
  <c r="N21" i="158"/>
  <c r="N16" i="159"/>
  <c r="L23" i="159"/>
  <c r="N21" i="159"/>
  <c r="N14" i="161"/>
  <c r="L23" i="161"/>
  <c r="O25" i="149"/>
  <c r="O27" i="149"/>
  <c r="C29" i="149"/>
  <c r="G29" i="149"/>
  <c r="K29" i="149"/>
  <c r="O12" i="191" l="1"/>
  <c r="P12" i="191" s="1"/>
  <c r="Q12" i="191" s="1"/>
  <c r="R12" i="191" s="1"/>
  <c r="I17" i="162"/>
  <c r="J15" i="175"/>
  <c r="P15" i="175" s="1"/>
  <c r="R15" i="175"/>
  <c r="F15" i="176" s="1"/>
  <c r="U27" i="206"/>
  <c r="Q16" i="191" s="1"/>
  <c r="P16" i="191"/>
  <c r="S28" i="206"/>
  <c r="R44" i="206"/>
  <c r="N23" i="159"/>
  <c r="J88" i="183"/>
  <c r="N17" i="157"/>
  <c r="N25" i="157" s="1"/>
  <c r="N17" i="161"/>
  <c r="N25" i="161" s="1"/>
  <c r="L25" i="153"/>
  <c r="I64" i="162"/>
  <c r="N23" i="158"/>
  <c r="L25" i="151"/>
  <c r="O29" i="149"/>
  <c r="N17" i="151"/>
  <c r="L25" i="161"/>
  <c r="N17" i="154"/>
  <c r="N25" i="154" s="1"/>
  <c r="N17" i="150"/>
  <c r="N25" i="150" s="1"/>
  <c r="I72" i="162"/>
  <c r="I68" i="162"/>
  <c r="I62" i="162"/>
  <c r="I69" i="162"/>
  <c r="I65" i="162"/>
  <c r="I61" i="162"/>
  <c r="L17" i="160"/>
  <c r="L17" i="159"/>
  <c r="N13" i="159"/>
  <c r="N17" i="159" s="1"/>
  <c r="N25" i="159" s="1"/>
  <c r="L31" i="161"/>
  <c r="K28" i="162" s="1"/>
  <c r="K72" i="162" s="1"/>
  <c r="L17" i="155"/>
  <c r="L17" i="156"/>
  <c r="L17" i="152"/>
  <c r="N13" i="156"/>
  <c r="N17" i="156" s="1"/>
  <c r="N25" i="156" s="1"/>
  <c r="L25" i="150"/>
  <c r="L25" i="157"/>
  <c r="N13" i="152"/>
  <c r="N17" i="152" s="1"/>
  <c r="N25" i="152" s="1"/>
  <c r="L25" i="158"/>
  <c r="N17" i="158"/>
  <c r="N23" i="155"/>
  <c r="N23" i="151"/>
  <c r="L25" i="154"/>
  <c r="N13" i="155"/>
  <c r="N17" i="155" s="1"/>
  <c r="N17" i="153"/>
  <c r="N25" i="153" s="1"/>
  <c r="N13" i="160"/>
  <c r="N17" i="160" s="1"/>
  <c r="N25" i="160" s="1"/>
  <c r="J11" i="205" l="1"/>
  <c r="J18" i="205"/>
  <c r="J17" i="205"/>
  <c r="J21" i="205"/>
  <c r="J24" i="205"/>
  <c r="J20" i="205"/>
  <c r="J56" i="205"/>
  <c r="J26" i="205"/>
  <c r="J23" i="205"/>
  <c r="J25" i="205"/>
  <c r="J19" i="205"/>
  <c r="J28" i="205"/>
  <c r="J22" i="205"/>
  <c r="J27" i="205"/>
  <c r="R15" i="176"/>
  <c r="F15" i="177" s="1"/>
  <c r="J15" i="176"/>
  <c r="P15" i="176" s="1"/>
  <c r="U28" i="206"/>
  <c r="I19" i="162"/>
  <c r="I63" i="162" s="1"/>
  <c r="I23" i="162"/>
  <c r="I67" i="162" s="1"/>
  <c r="I26" i="162"/>
  <c r="I70" i="162" s="1"/>
  <c r="N25" i="155"/>
  <c r="I22" i="162"/>
  <c r="I66" i="162" s="1"/>
  <c r="I27" i="162"/>
  <c r="I71" i="162" s="1"/>
  <c r="N25" i="158"/>
  <c r="N25" i="151"/>
  <c r="L25" i="160"/>
  <c r="L25" i="156"/>
  <c r="L25" i="159"/>
  <c r="L25" i="152"/>
  <c r="L25" i="155"/>
  <c r="J44" i="205" l="1"/>
  <c r="J62" i="205"/>
  <c r="J73" i="205"/>
  <c r="J70" i="205"/>
  <c r="J64" i="205"/>
  <c r="J63" i="205"/>
  <c r="J69" i="205"/>
  <c r="J71" i="205"/>
  <c r="J66" i="205"/>
  <c r="J65" i="205"/>
  <c r="J67" i="205"/>
  <c r="J72" i="205"/>
  <c r="J68" i="205"/>
  <c r="R15" i="177"/>
  <c r="F15" i="178" s="1"/>
  <c r="J15" i="177"/>
  <c r="P15" i="177" s="1"/>
  <c r="R16" i="191"/>
  <c r="U44" i="206"/>
  <c r="I88" i="162"/>
  <c r="I44" i="162"/>
  <c r="K88" i="162"/>
  <c r="K44" i="162"/>
  <c r="W16" i="191" l="1"/>
  <c r="J89" i="205"/>
  <c r="J15" i="178"/>
  <c r="P15" i="178" s="1"/>
  <c r="R15" i="178"/>
  <c r="F15" i="179" s="1"/>
  <c r="E11" i="92"/>
  <c r="F11" i="92"/>
  <c r="G11" i="92"/>
  <c r="H11" i="92"/>
  <c r="D11" i="92"/>
  <c r="J15" i="179" l="1"/>
  <c r="P15" i="179" s="1"/>
  <c r="R15" i="179"/>
  <c r="F15" i="180" s="1"/>
  <c r="L13" i="108"/>
  <c r="J15" i="180" l="1"/>
  <c r="P15" i="180" s="1"/>
  <c r="R15" i="180"/>
  <c r="F15" i="181" s="1"/>
  <c r="H13" i="183"/>
  <c r="H13" i="205"/>
  <c r="G13" i="130"/>
  <c r="G13" i="162"/>
  <c r="J15" i="181" l="1"/>
  <c r="P15" i="181" s="1"/>
  <c r="R15" i="181"/>
  <c r="F15" i="182" s="1"/>
  <c r="D10" i="92"/>
  <c r="E10" i="92"/>
  <c r="F10" i="92"/>
  <c r="G10" i="92"/>
  <c r="H10" i="92"/>
  <c r="D12" i="92"/>
  <c r="E12" i="92"/>
  <c r="F12" i="92"/>
  <c r="G12" i="92"/>
  <c r="H12" i="92"/>
  <c r="D13" i="92"/>
  <c r="E13" i="92"/>
  <c r="F13" i="92"/>
  <c r="G13" i="92"/>
  <c r="H13" i="92"/>
  <c r="D14" i="92"/>
  <c r="E14" i="92"/>
  <c r="F14" i="92"/>
  <c r="G14" i="92"/>
  <c r="H14" i="92"/>
  <c r="C12" i="92"/>
  <c r="C10" i="92"/>
  <c r="J15" i="182" l="1"/>
  <c r="P15" i="182" s="1"/>
  <c r="R15" i="182"/>
  <c r="F15" i="193" s="1"/>
  <c r="H22" i="113"/>
  <c r="H21" i="113"/>
  <c r="H20" i="113"/>
  <c r="H16" i="113"/>
  <c r="H15" i="113"/>
  <c r="H14" i="113"/>
  <c r="H13" i="113"/>
  <c r="H22" i="116"/>
  <c r="H21" i="116"/>
  <c r="H20" i="116"/>
  <c r="H16" i="116"/>
  <c r="H15" i="116"/>
  <c r="H14" i="116"/>
  <c r="H13" i="116"/>
  <c r="H22" i="117"/>
  <c r="H21" i="117"/>
  <c r="H20" i="117"/>
  <c r="H16" i="117"/>
  <c r="H15" i="117"/>
  <c r="H14" i="117"/>
  <c r="H13" i="117"/>
  <c r="H22" i="118"/>
  <c r="H21" i="118"/>
  <c r="H20" i="118"/>
  <c r="H16" i="118"/>
  <c r="H15" i="118"/>
  <c r="H14" i="118"/>
  <c r="H13" i="118"/>
  <c r="H22" i="119"/>
  <c r="H21" i="119"/>
  <c r="H20" i="119"/>
  <c r="H16" i="119"/>
  <c r="H15" i="119"/>
  <c r="H14" i="119"/>
  <c r="H13" i="119"/>
  <c r="H22" i="120"/>
  <c r="H21" i="120"/>
  <c r="H20" i="120"/>
  <c r="H16" i="120"/>
  <c r="H15" i="120"/>
  <c r="H14" i="120"/>
  <c r="H13" i="120"/>
  <c r="H22" i="121"/>
  <c r="H21" i="121"/>
  <c r="H20" i="121"/>
  <c r="H16" i="121"/>
  <c r="H15" i="121"/>
  <c r="H14" i="121"/>
  <c r="H13" i="121"/>
  <c r="H22" i="122"/>
  <c r="H21" i="122"/>
  <c r="H20" i="122"/>
  <c r="H16" i="122"/>
  <c r="H15" i="122"/>
  <c r="H14" i="122"/>
  <c r="H13" i="122"/>
  <c r="H22" i="123"/>
  <c r="H21" i="123"/>
  <c r="H20" i="123"/>
  <c r="H16" i="123"/>
  <c r="H15" i="123"/>
  <c r="H14" i="123"/>
  <c r="H13" i="123"/>
  <c r="H22" i="124"/>
  <c r="H21" i="124"/>
  <c r="H20" i="124"/>
  <c r="H16" i="124"/>
  <c r="H15" i="124"/>
  <c r="H14" i="124"/>
  <c r="H13" i="124"/>
  <c r="H22" i="125"/>
  <c r="H21" i="125"/>
  <c r="H20" i="125"/>
  <c r="H16" i="125"/>
  <c r="H15" i="125"/>
  <c r="H14" i="125"/>
  <c r="H13" i="125"/>
  <c r="H22" i="126"/>
  <c r="H21" i="126"/>
  <c r="H20" i="126"/>
  <c r="H16" i="126"/>
  <c r="H15" i="126"/>
  <c r="H14" i="126"/>
  <c r="H13" i="126"/>
  <c r="H22" i="99"/>
  <c r="H21" i="99"/>
  <c r="H20" i="99"/>
  <c r="H16" i="99"/>
  <c r="H15" i="99"/>
  <c r="H14" i="99"/>
  <c r="H13" i="99"/>
  <c r="H22" i="100"/>
  <c r="H21" i="100"/>
  <c r="H20" i="100"/>
  <c r="H16" i="100"/>
  <c r="H15" i="100"/>
  <c r="H14" i="100"/>
  <c r="H13" i="100"/>
  <c r="H22" i="101"/>
  <c r="H21" i="101"/>
  <c r="H20" i="101"/>
  <c r="H16" i="101"/>
  <c r="H15" i="101"/>
  <c r="H14" i="101"/>
  <c r="H13" i="101"/>
  <c r="H22" i="102"/>
  <c r="H21" i="102"/>
  <c r="H20" i="102"/>
  <c r="H16" i="102"/>
  <c r="H15" i="102"/>
  <c r="H14" i="102"/>
  <c r="H13" i="102"/>
  <c r="H22" i="103"/>
  <c r="H21" i="103"/>
  <c r="H20" i="103"/>
  <c r="H16" i="103"/>
  <c r="H15" i="103"/>
  <c r="H14" i="103"/>
  <c r="H13" i="103"/>
  <c r="H21" i="104"/>
  <c r="H22" i="104"/>
  <c r="H20" i="104"/>
  <c r="H15" i="104"/>
  <c r="H16" i="104"/>
  <c r="H14" i="104"/>
  <c r="H13" i="104"/>
  <c r="J15" i="193" l="1"/>
  <c r="P15" i="193" s="1"/>
  <c r="R15" i="193"/>
  <c r="F15" i="194" s="1"/>
  <c r="L27" i="111"/>
  <c r="M27" i="111"/>
  <c r="N27" i="111"/>
  <c r="O27" i="111"/>
  <c r="P27" i="111"/>
  <c r="K27" i="111"/>
  <c r="I31" i="92"/>
  <c r="J15" i="194" l="1"/>
  <c r="P15" i="194" s="1"/>
  <c r="R15" i="194"/>
  <c r="F15" i="195" s="1"/>
  <c r="A14" i="126"/>
  <c r="A14" i="125"/>
  <c r="A14" i="124"/>
  <c r="A14" i="123"/>
  <c r="A14" i="122"/>
  <c r="A14" i="121"/>
  <c r="A14" i="120"/>
  <c r="A14" i="119"/>
  <c r="A14" i="118"/>
  <c r="A14" i="117"/>
  <c r="A14" i="116"/>
  <c r="A14" i="113"/>
  <c r="A14" i="104"/>
  <c r="A14" i="103"/>
  <c r="A14" i="102"/>
  <c r="A14" i="101"/>
  <c r="A14" i="100"/>
  <c r="A14" i="99"/>
  <c r="L30" i="126"/>
  <c r="L30" i="125"/>
  <c r="L30" i="124"/>
  <c r="L30" i="123"/>
  <c r="L30" i="122"/>
  <c r="L30" i="121"/>
  <c r="L30" i="120"/>
  <c r="L30" i="119"/>
  <c r="L30" i="118"/>
  <c r="F27" i="132"/>
  <c r="G27" i="132"/>
  <c r="H27" i="132"/>
  <c r="I27" i="132"/>
  <c r="J27" i="132"/>
  <c r="K27" i="132"/>
  <c r="L27" i="132"/>
  <c r="M27" i="132"/>
  <c r="N27" i="132"/>
  <c r="O27" i="132"/>
  <c r="D27" i="147"/>
  <c r="D29" i="147" s="1"/>
  <c r="E27" i="132"/>
  <c r="J15" i="195" l="1"/>
  <c r="P15" i="195" s="1"/>
  <c r="R15" i="195"/>
  <c r="F15" i="196" s="1"/>
  <c r="P27" i="132"/>
  <c r="O33" i="114"/>
  <c r="J15" i="196" l="1"/>
  <c r="P15" i="196" s="1"/>
  <c r="R15" i="196"/>
  <c r="F15" i="197" s="1"/>
  <c r="A15" i="104"/>
  <c r="A16" i="104" s="1"/>
  <c r="A17" i="104" s="1"/>
  <c r="L21" i="103"/>
  <c r="A15" i="103"/>
  <c r="A16" i="103" s="1"/>
  <c r="A17" i="103" s="1"/>
  <c r="A15" i="102"/>
  <c r="A16" i="102" s="1"/>
  <c r="A17" i="102" s="1"/>
  <c r="L21" i="101"/>
  <c r="A15" i="101"/>
  <c r="A16" i="101" s="1"/>
  <c r="A17" i="101" s="1"/>
  <c r="A15" i="100"/>
  <c r="A16" i="100" s="1"/>
  <c r="A17" i="100" s="1"/>
  <c r="A15" i="99"/>
  <c r="A16" i="99" s="1"/>
  <c r="A17" i="99" s="1"/>
  <c r="J15" i="197" l="1"/>
  <c r="P15" i="197" s="1"/>
  <c r="R15" i="197"/>
  <c r="F15" i="198" s="1"/>
  <c r="A15" i="124"/>
  <c r="A16" i="124" s="1"/>
  <c r="A17" i="124" s="1"/>
  <c r="A15" i="125"/>
  <c r="A16" i="125" s="1"/>
  <c r="A17" i="125" s="1"/>
  <c r="A15" i="126"/>
  <c r="A16" i="126" s="1"/>
  <c r="A17" i="126" s="1"/>
  <c r="A15" i="123"/>
  <c r="A16" i="123" s="1"/>
  <c r="A17" i="123" s="1"/>
  <c r="A15" i="122"/>
  <c r="A16" i="122" s="1"/>
  <c r="A17" i="122" s="1"/>
  <c r="A15" i="121"/>
  <c r="A16" i="121" s="1"/>
  <c r="A17" i="121" s="1"/>
  <c r="A15" i="120"/>
  <c r="A16" i="120" s="1"/>
  <c r="A17" i="120" s="1"/>
  <c r="A15" i="119"/>
  <c r="A16" i="119" s="1"/>
  <c r="A17" i="119" s="1"/>
  <c r="A15" i="118"/>
  <c r="A16" i="118" s="1"/>
  <c r="A17" i="118" s="1"/>
  <c r="A15" i="117"/>
  <c r="A16" i="117" s="1"/>
  <c r="A17" i="117" s="1"/>
  <c r="A15" i="116"/>
  <c r="A16" i="116" s="1"/>
  <c r="A17" i="116" s="1"/>
  <c r="L30" i="113"/>
  <c r="L21" i="113"/>
  <c r="L22" i="113"/>
  <c r="A15" i="113"/>
  <c r="O18" i="114"/>
  <c r="F31" i="135"/>
  <c r="F32" i="135"/>
  <c r="F30" i="135"/>
  <c r="J15" i="198" l="1"/>
  <c r="P15" i="198" s="1"/>
  <c r="R15" i="198"/>
  <c r="F15" i="199" s="1"/>
  <c r="N21" i="103"/>
  <c r="N21" i="101"/>
  <c r="N22" i="113"/>
  <c r="N21" i="113"/>
  <c r="J15" i="199" l="1"/>
  <c r="P15" i="199" s="1"/>
  <c r="R15" i="199"/>
  <c r="F15" i="200" s="1"/>
  <c r="E44" i="140"/>
  <c r="S27" i="168" s="1"/>
  <c r="D44" i="140"/>
  <c r="C44" i="140"/>
  <c r="B44" i="140"/>
  <c r="S26" i="168" s="1"/>
  <c r="A32" i="140"/>
  <c r="E23" i="140"/>
  <c r="S27" i="167" s="1"/>
  <c r="C23" i="140"/>
  <c r="B23" i="140"/>
  <c r="S26" i="167" s="1"/>
  <c r="F22" i="140"/>
  <c r="H25" i="138" s="1"/>
  <c r="F21" i="140"/>
  <c r="H24" i="138" s="1"/>
  <c r="F20" i="140"/>
  <c r="H23" i="138" s="1"/>
  <c r="F19" i="140"/>
  <c r="H22" i="138" s="1"/>
  <c r="H21" i="138"/>
  <c r="F17" i="140"/>
  <c r="H20" i="138" s="1"/>
  <c r="F16" i="140"/>
  <c r="H19" i="138" s="1"/>
  <c r="F15" i="140"/>
  <c r="H18" i="138" s="1"/>
  <c r="F14" i="140"/>
  <c r="H17" i="138" s="1"/>
  <c r="F13" i="140"/>
  <c r="H16" i="138" s="1"/>
  <c r="F12" i="140"/>
  <c r="H15" i="138" s="1"/>
  <c r="A12" i="140"/>
  <c r="F11" i="140"/>
  <c r="H14" i="138" s="1"/>
  <c r="A3" i="140"/>
  <c r="B49" i="138"/>
  <c r="B48" i="138"/>
  <c r="B47" i="138"/>
  <c r="I46" i="139"/>
  <c r="B46" i="138" s="1"/>
  <c r="I45" i="139"/>
  <c r="B45" i="138" s="1"/>
  <c r="I44" i="139"/>
  <c r="B44" i="138" s="1"/>
  <c r="I43" i="139"/>
  <c r="B43" i="138" s="1"/>
  <c r="I42" i="139"/>
  <c r="B42" i="138" s="1"/>
  <c r="I41" i="139"/>
  <c r="B41" i="138" s="1"/>
  <c r="I40" i="139"/>
  <c r="B40" i="138" s="1"/>
  <c r="I39" i="139"/>
  <c r="B39" i="138" s="1"/>
  <c r="I38" i="139"/>
  <c r="B38" i="138" s="1"/>
  <c r="I36" i="139"/>
  <c r="B36" i="138" s="1"/>
  <c r="A36" i="139"/>
  <c r="B25" i="138"/>
  <c r="I24" i="139"/>
  <c r="B24" i="138" s="1"/>
  <c r="I23" i="139"/>
  <c r="B23" i="138" s="1"/>
  <c r="B22" i="138"/>
  <c r="I20" i="139"/>
  <c r="B20" i="138" s="1"/>
  <c r="I19" i="139"/>
  <c r="B19" i="138" s="1"/>
  <c r="I18" i="139"/>
  <c r="B18" i="138" s="1"/>
  <c r="I17" i="139"/>
  <c r="B17" i="138" s="1"/>
  <c r="I16" i="139"/>
  <c r="B16" i="138" s="1"/>
  <c r="I15" i="139"/>
  <c r="B15" i="138" s="1"/>
  <c r="I14" i="139"/>
  <c r="B14" i="138" s="1"/>
  <c r="A14" i="139"/>
  <c r="A15" i="139" s="1"/>
  <c r="I12" i="139"/>
  <c r="B12" i="138" s="1"/>
  <c r="A3" i="139"/>
  <c r="H50" i="138"/>
  <c r="S29" i="168" s="1"/>
  <c r="A36" i="138"/>
  <c r="J26" i="138"/>
  <c r="A14" i="138"/>
  <c r="A38" i="138" s="1"/>
  <c r="A3" i="138"/>
  <c r="A32" i="137"/>
  <c r="A12" i="137"/>
  <c r="A13" i="137" s="1"/>
  <c r="F43" i="135"/>
  <c r="C43" i="135"/>
  <c r="F42" i="135"/>
  <c r="F41" i="135"/>
  <c r="F33" i="135"/>
  <c r="C32" i="135"/>
  <c r="C31" i="135"/>
  <c r="C30" i="135"/>
  <c r="F23" i="135"/>
  <c r="C21" i="135"/>
  <c r="C42" i="135" s="1"/>
  <c r="C20" i="135"/>
  <c r="C41" i="135" s="1"/>
  <c r="C19" i="135"/>
  <c r="C40" i="135" s="1"/>
  <c r="F12" i="135"/>
  <c r="C12" i="135"/>
  <c r="D10" i="135" s="1"/>
  <c r="J15" i="200" l="1"/>
  <c r="P15" i="200" s="1"/>
  <c r="R15" i="200"/>
  <c r="F15" i="201" s="1"/>
  <c r="C41" i="138"/>
  <c r="C39" i="138"/>
  <c r="C38" i="138"/>
  <c r="C43" i="138"/>
  <c r="C46" i="138"/>
  <c r="C42" i="138"/>
  <c r="C44" i="138"/>
  <c r="C40" i="138"/>
  <c r="C45" i="138"/>
  <c r="C16" i="138"/>
  <c r="C19" i="138"/>
  <c r="C20" i="138"/>
  <c r="C21" i="138"/>
  <c r="C15" i="138"/>
  <c r="C18" i="138"/>
  <c r="C14" i="138"/>
  <c r="C17" i="138"/>
  <c r="C49" i="138"/>
  <c r="C48" i="138"/>
  <c r="C47" i="138"/>
  <c r="C22" i="138"/>
  <c r="C23" i="138"/>
  <c r="C24" i="138"/>
  <c r="C25" i="138"/>
  <c r="H26" i="138"/>
  <c r="J50" i="138"/>
  <c r="F44" i="140"/>
  <c r="F23" i="140"/>
  <c r="A38" i="139"/>
  <c r="A34" i="137"/>
  <c r="A14" i="137"/>
  <c r="A15" i="137" s="1"/>
  <c r="A36" i="137" s="1"/>
  <c r="A33" i="137"/>
  <c r="D9" i="135"/>
  <c r="F44" i="135"/>
  <c r="C44" i="135"/>
  <c r="D42" i="135" s="1"/>
  <c r="D11" i="135"/>
  <c r="C33" i="135"/>
  <c r="D30" i="135" s="1"/>
  <c r="A15" i="138"/>
  <c r="A39" i="139"/>
  <c r="A16" i="139"/>
  <c r="A33" i="140"/>
  <c r="A13" i="140"/>
  <c r="C23" i="135"/>
  <c r="D21" i="135" s="1"/>
  <c r="J15" i="201" l="1"/>
  <c r="P15" i="201" s="1"/>
  <c r="R15" i="201"/>
  <c r="F15" i="202" s="1"/>
  <c r="D44" i="138"/>
  <c r="E44" i="138" s="1"/>
  <c r="G44" i="138" s="1"/>
  <c r="I44" i="138" s="1"/>
  <c r="D46" i="138"/>
  <c r="E46" i="138" s="1"/>
  <c r="G46" i="138" s="1"/>
  <c r="I46" i="138" s="1"/>
  <c r="D49" i="138"/>
  <c r="E49" i="138" s="1"/>
  <c r="G49" i="138" s="1"/>
  <c r="I49" i="138" s="1"/>
  <c r="D42" i="138"/>
  <c r="E42" i="138" s="1"/>
  <c r="G42" i="138" s="1"/>
  <c r="I42" i="138" s="1"/>
  <c r="D45" i="138"/>
  <c r="E45" i="138" s="1"/>
  <c r="G45" i="138" s="1"/>
  <c r="I45" i="138" s="1"/>
  <c r="D40" i="138"/>
  <c r="E40" i="138" s="1"/>
  <c r="G40" i="138" s="1"/>
  <c r="I40" i="138" s="1"/>
  <c r="D43" i="138"/>
  <c r="E43" i="138" s="1"/>
  <c r="G43" i="138" s="1"/>
  <c r="I43" i="138" s="1"/>
  <c r="D39" i="138"/>
  <c r="E39" i="138" s="1"/>
  <c r="G39" i="138" s="1"/>
  <c r="I39" i="138" s="1"/>
  <c r="D47" i="138"/>
  <c r="E47" i="138" s="1"/>
  <c r="G47" i="138" s="1"/>
  <c r="I47" i="138" s="1"/>
  <c r="D48" i="138"/>
  <c r="E48" i="138" s="1"/>
  <c r="G48" i="138" s="1"/>
  <c r="I48" i="138" s="1"/>
  <c r="D41" i="138"/>
  <c r="E41" i="138" s="1"/>
  <c r="G41" i="138" s="1"/>
  <c r="I41" i="138" s="1"/>
  <c r="D38" i="138"/>
  <c r="E38" i="138" s="1"/>
  <c r="G38" i="138" s="1"/>
  <c r="D16" i="138"/>
  <c r="E16" i="138" s="1"/>
  <c r="G16" i="138" s="1"/>
  <c r="I16" i="138" s="1"/>
  <c r="B13" i="137" s="1"/>
  <c r="D13" i="137" s="1"/>
  <c r="G13" i="137" s="1"/>
  <c r="D15" i="138"/>
  <c r="E15" i="138" s="1"/>
  <c r="G15" i="138" s="1"/>
  <c r="I15" i="138" s="1"/>
  <c r="B12" i="137" s="1"/>
  <c r="D12" i="137" s="1"/>
  <c r="G12" i="137" s="1"/>
  <c r="D17" i="138"/>
  <c r="E17" i="138" s="1"/>
  <c r="G17" i="138" s="1"/>
  <c r="I17" i="138" s="1"/>
  <c r="B14" i="137" s="1"/>
  <c r="D14" i="137" s="1"/>
  <c r="G14" i="137" s="1"/>
  <c r="D19" i="138"/>
  <c r="E19" i="138" s="1"/>
  <c r="G19" i="138" s="1"/>
  <c r="I19" i="138" s="1"/>
  <c r="K19" i="138" s="1"/>
  <c r="D24" i="138"/>
  <c r="E24" i="138" s="1"/>
  <c r="G24" i="138" s="1"/>
  <c r="I24" i="138" s="1"/>
  <c r="K24" i="138" s="1"/>
  <c r="D23" i="138"/>
  <c r="E23" i="138" s="1"/>
  <c r="G23" i="138" s="1"/>
  <c r="I23" i="138" s="1"/>
  <c r="K23" i="138" s="1"/>
  <c r="D20" i="138"/>
  <c r="E20" i="138" s="1"/>
  <c r="G20" i="138" s="1"/>
  <c r="I20" i="138" s="1"/>
  <c r="B17" i="137" s="1"/>
  <c r="D17" i="137" s="1"/>
  <c r="G17" i="137" s="1"/>
  <c r="D14" i="138"/>
  <c r="E14" i="138" s="1"/>
  <c r="G14" i="138" s="1"/>
  <c r="D22" i="138"/>
  <c r="E22" i="138" s="1"/>
  <c r="G22" i="138" s="1"/>
  <c r="I22" i="138" s="1"/>
  <c r="K22" i="138" s="1"/>
  <c r="D18" i="138"/>
  <c r="E18" i="138" s="1"/>
  <c r="G18" i="138" s="1"/>
  <c r="I18" i="138" s="1"/>
  <c r="B15" i="137" s="1"/>
  <c r="D15" i="137" s="1"/>
  <c r="G15" i="137" s="1"/>
  <c r="D21" i="138"/>
  <c r="E21" i="138" s="1"/>
  <c r="G21" i="138" s="1"/>
  <c r="I21" i="138" s="1"/>
  <c r="B18" i="137" s="1"/>
  <c r="D18" i="137" s="1"/>
  <c r="G18" i="137" s="1"/>
  <c r="D25" i="138"/>
  <c r="E25" i="138" s="1"/>
  <c r="G25" i="138" s="1"/>
  <c r="I25" i="138" s="1"/>
  <c r="K25" i="138" s="1"/>
  <c r="D41" i="135"/>
  <c r="D40" i="135"/>
  <c r="D43" i="135"/>
  <c r="A35" i="137"/>
  <c r="A16" i="137"/>
  <c r="A37" i="137" s="1"/>
  <c r="D31" i="135"/>
  <c r="D20" i="135"/>
  <c r="D32" i="135"/>
  <c r="D12" i="135"/>
  <c r="D19" i="135"/>
  <c r="A40" i="139"/>
  <c r="A17" i="139"/>
  <c r="A39" i="138"/>
  <c r="A16" i="138"/>
  <c r="D22" i="135"/>
  <c r="A34" i="140"/>
  <c r="A14" i="140"/>
  <c r="R15" i="202" l="1"/>
  <c r="F15" i="203" s="1"/>
  <c r="J15" i="202"/>
  <c r="P15" i="202" s="1"/>
  <c r="K15" i="138"/>
  <c r="B39" i="137"/>
  <c r="D39" i="137" s="1"/>
  <c r="G39" i="137" s="1"/>
  <c r="K45" i="138"/>
  <c r="B34" i="137"/>
  <c r="D34" i="137" s="1"/>
  <c r="G34" i="137" s="1"/>
  <c r="K40" i="138"/>
  <c r="B36" i="137"/>
  <c r="D36" i="137" s="1"/>
  <c r="G36" i="137" s="1"/>
  <c r="K42" i="138"/>
  <c r="K39" i="138"/>
  <c r="B33" i="137"/>
  <c r="D33" i="137" s="1"/>
  <c r="G33" i="137" s="1"/>
  <c r="B35" i="137"/>
  <c r="D35" i="137" s="1"/>
  <c r="G35" i="137" s="1"/>
  <c r="K41" i="138"/>
  <c r="B43" i="137"/>
  <c r="D43" i="137" s="1"/>
  <c r="G43" i="137" s="1"/>
  <c r="K49" i="138"/>
  <c r="K43" i="138"/>
  <c r="B37" i="137"/>
  <c r="D37" i="137" s="1"/>
  <c r="G37" i="137" s="1"/>
  <c r="I38" i="138"/>
  <c r="G50" i="138"/>
  <c r="B42" i="137"/>
  <c r="D42" i="137" s="1"/>
  <c r="G42" i="137" s="1"/>
  <c r="K48" i="138"/>
  <c r="B40" i="137"/>
  <c r="D40" i="137" s="1"/>
  <c r="G40" i="137" s="1"/>
  <c r="K46" i="138"/>
  <c r="K47" i="138"/>
  <c r="B41" i="137"/>
  <c r="D41" i="137" s="1"/>
  <c r="G41" i="137" s="1"/>
  <c r="B38" i="137"/>
  <c r="D38" i="137" s="1"/>
  <c r="G38" i="137" s="1"/>
  <c r="K44" i="138"/>
  <c r="K17" i="138"/>
  <c r="K18" i="138"/>
  <c r="I14" i="138"/>
  <c r="B11" i="137" s="1"/>
  <c r="D11" i="137" s="1"/>
  <c r="G11" i="137" s="1"/>
  <c r="B16" i="137"/>
  <c r="D16" i="137" s="1"/>
  <c r="G16" i="137" s="1"/>
  <c r="K21" i="138"/>
  <c r="B22" i="137"/>
  <c r="D22" i="137" s="1"/>
  <c r="G22" i="137" s="1"/>
  <c r="B19" i="137"/>
  <c r="D19" i="137" s="1"/>
  <c r="G19" i="137" s="1"/>
  <c r="K16" i="138"/>
  <c r="K20" i="138"/>
  <c r="G26" i="138"/>
  <c r="B20" i="137"/>
  <c r="D20" i="137" s="1"/>
  <c r="G20" i="137" s="1"/>
  <c r="B21" i="137"/>
  <c r="D21" i="137" s="1"/>
  <c r="G21" i="137" s="1"/>
  <c r="A17" i="137"/>
  <c r="A38" i="137" s="1"/>
  <c r="A35" i="140"/>
  <c r="A15" i="140"/>
  <c r="A41" i="139"/>
  <c r="A18" i="139"/>
  <c r="D33" i="135"/>
  <c r="D44" i="135"/>
  <c r="A17" i="138"/>
  <c r="A40" i="138"/>
  <c r="D23" i="135"/>
  <c r="J15" i="203" l="1"/>
  <c r="P15" i="203" s="1"/>
  <c r="R15" i="203"/>
  <c r="F15" i="204" s="1"/>
  <c r="K14" i="138"/>
  <c r="I26" i="138"/>
  <c r="B32" i="137"/>
  <c r="D32" i="137" s="1"/>
  <c r="G32" i="137" s="1"/>
  <c r="G44" i="137" s="1"/>
  <c r="E44" i="135" s="1"/>
  <c r="K38" i="138"/>
  <c r="K50" i="138" s="1"/>
  <c r="I50" i="138"/>
  <c r="K26" i="138"/>
  <c r="G23" i="137"/>
  <c r="A18" i="137"/>
  <c r="A19" i="137" s="1"/>
  <c r="A41" i="138"/>
  <c r="A18" i="138"/>
  <c r="A16" i="140"/>
  <c r="A36" i="140"/>
  <c r="A19" i="139"/>
  <c r="A42" i="139"/>
  <c r="R15" i="204" l="1"/>
  <c r="J15" i="204"/>
  <c r="P15" i="204" s="1"/>
  <c r="E43" i="135"/>
  <c r="G43" i="135" s="1"/>
  <c r="H22" i="135" s="1"/>
  <c r="R22" i="135" s="1"/>
  <c r="E42" i="135"/>
  <c r="G42" i="135" s="1"/>
  <c r="H21" i="135" s="1"/>
  <c r="R21" i="135" s="1"/>
  <c r="E41" i="135"/>
  <c r="G41" i="135" s="1"/>
  <c r="H20" i="135" s="1"/>
  <c r="R20" i="135" s="1"/>
  <c r="E40" i="135"/>
  <c r="G40" i="135" s="1"/>
  <c r="H19" i="135" s="1"/>
  <c r="R19" i="135" s="1"/>
  <c r="E33" i="135"/>
  <c r="A39" i="137"/>
  <c r="A42" i="138"/>
  <c r="A19" i="138"/>
  <c r="A20" i="137"/>
  <c r="A40" i="137"/>
  <c r="A43" i="139"/>
  <c r="A20" i="139"/>
  <c r="A37" i="140"/>
  <c r="A17" i="140"/>
  <c r="E30" i="135" l="1"/>
  <c r="G30" i="135" s="1"/>
  <c r="H9" i="135" s="1"/>
  <c r="R9" i="135" s="1"/>
  <c r="E32" i="135"/>
  <c r="G32" i="135" s="1"/>
  <c r="H11" i="135" s="1"/>
  <c r="R11" i="135" s="1"/>
  <c r="E31" i="135"/>
  <c r="G31" i="135" s="1"/>
  <c r="H10" i="135" s="1"/>
  <c r="R10" i="135" s="1"/>
  <c r="A21" i="139"/>
  <c r="A44" i="139"/>
  <c r="A43" i="138"/>
  <c r="A20" i="138"/>
  <c r="A38" i="140"/>
  <c r="A18" i="140"/>
  <c r="A41" i="137"/>
  <c r="A21" i="137"/>
  <c r="A39" i="140" l="1"/>
  <c r="A19" i="140"/>
  <c r="A45" i="139"/>
  <c r="A22" i="139"/>
  <c r="A42" i="137"/>
  <c r="A22" i="137"/>
  <c r="A21" i="138"/>
  <c r="A44" i="138"/>
  <c r="F23" i="137" l="1"/>
  <c r="A43" i="137"/>
  <c r="F44" i="137" s="1"/>
  <c r="A40" i="140"/>
  <c r="A20" i="140"/>
  <c r="A23" i="139"/>
  <c r="A46" i="139"/>
  <c r="A45" i="138"/>
  <c r="A22" i="138"/>
  <c r="A47" i="139" l="1"/>
  <c r="A24" i="139"/>
  <c r="A46" i="138"/>
  <c r="A23" i="138"/>
  <c r="A41" i="140"/>
  <c r="A21" i="140"/>
  <c r="A42" i="140" l="1"/>
  <c r="A22" i="140"/>
  <c r="A48" i="139"/>
  <c r="A25" i="139"/>
  <c r="A24" i="138"/>
  <c r="A47" i="138"/>
  <c r="A43" i="140" l="1"/>
  <c r="A44" i="140" s="1"/>
  <c r="A23" i="140"/>
  <c r="A25" i="138"/>
  <c r="A48" i="138"/>
  <c r="A49" i="139"/>
  <c r="A50" i="139" s="1"/>
  <c r="A26" i="139"/>
  <c r="A49" i="138" l="1"/>
  <c r="A26" i="138"/>
  <c r="A50" i="138" s="1"/>
  <c r="H55" i="130" l="1"/>
  <c r="D25" i="92" l="1"/>
  <c r="E25" i="92"/>
  <c r="F25" i="92"/>
  <c r="G25" i="92"/>
  <c r="H25" i="92"/>
  <c r="C25" i="92"/>
  <c r="D24" i="92"/>
  <c r="E24" i="92"/>
  <c r="F24" i="92"/>
  <c r="G24" i="92"/>
  <c r="H24" i="92"/>
  <c r="C24" i="92"/>
  <c r="C14" i="92"/>
  <c r="C13" i="92"/>
  <c r="L14" i="100"/>
  <c r="L14" i="101"/>
  <c r="L14" i="102"/>
  <c r="L14" i="103"/>
  <c r="L14" i="99"/>
  <c r="R14" i="99" s="1"/>
  <c r="N14" i="103" l="1"/>
  <c r="N14" i="102"/>
  <c r="N14" i="101"/>
  <c r="Q19" i="110" l="1"/>
  <c r="Q14" i="110"/>
  <c r="Q15" i="110"/>
  <c r="Q16" i="110"/>
  <c r="Q17" i="110"/>
  <c r="Q18" i="110"/>
  <c r="J32" i="110"/>
  <c r="H32" i="110"/>
  <c r="Q26" i="110" l="1"/>
  <c r="Q27" i="110"/>
  <c r="Q28" i="110"/>
  <c r="Q29" i="110"/>
  <c r="Q30" i="110"/>
  <c r="Q20" i="91" l="1"/>
  <c r="Q20" i="111"/>
  <c r="D29" i="132"/>
  <c r="Q26" i="132" l="1"/>
  <c r="F27" i="131" l="1"/>
  <c r="G27" i="131"/>
  <c r="H27" i="131"/>
  <c r="I27" i="131"/>
  <c r="J27" i="131"/>
  <c r="K27" i="131"/>
  <c r="L27" i="131"/>
  <c r="M27" i="131"/>
  <c r="N27" i="131"/>
  <c r="O27" i="131"/>
  <c r="P27" i="131"/>
  <c r="D27" i="146" s="1"/>
  <c r="E27" i="131"/>
  <c r="Q6" i="131"/>
  <c r="Q27" i="131" l="1"/>
  <c r="S1048492" i="132"/>
  <c r="P29" i="132"/>
  <c r="O29" i="132"/>
  <c r="N29" i="132"/>
  <c r="M29" i="132"/>
  <c r="L29" i="132"/>
  <c r="K29" i="132"/>
  <c r="J29" i="132"/>
  <c r="I29" i="132"/>
  <c r="H29" i="132"/>
  <c r="G29" i="132"/>
  <c r="F29" i="132"/>
  <c r="E29" i="132"/>
  <c r="Q27" i="132"/>
  <c r="Q25" i="132"/>
  <c r="Q6" i="132"/>
  <c r="P6" i="132"/>
  <c r="O6" i="132"/>
  <c r="N6" i="132"/>
  <c r="M6" i="132"/>
  <c r="L6" i="132"/>
  <c r="K6" i="132"/>
  <c r="J6" i="132"/>
  <c r="I6" i="132"/>
  <c r="H6" i="132"/>
  <c r="G6" i="132"/>
  <c r="F6" i="132"/>
  <c r="S1048576" i="131"/>
  <c r="P6" i="131"/>
  <c r="O6" i="131"/>
  <c r="N6" i="131"/>
  <c r="M6" i="131"/>
  <c r="L6" i="131"/>
  <c r="K6" i="131"/>
  <c r="J6" i="131"/>
  <c r="I6" i="131"/>
  <c r="H6" i="131"/>
  <c r="G6" i="131"/>
  <c r="F6" i="131"/>
  <c r="Q29" i="132" l="1"/>
  <c r="Q72" i="130" l="1"/>
  <c r="Q73" i="130" s="1"/>
  <c r="Q74" i="130" s="1"/>
  <c r="Q75" i="130" s="1"/>
  <c r="Q76" i="130" s="1"/>
  <c r="Q77" i="130" s="1"/>
  <c r="Q78" i="130" s="1"/>
  <c r="Q79" i="130" s="1"/>
  <c r="Q80" i="130" s="1"/>
  <c r="Q81" i="130" s="1"/>
  <c r="Q82" i="130" s="1"/>
  <c r="Q83" i="130" s="1"/>
  <c r="Q84" i="130" s="1"/>
  <c r="Q85" i="130" s="1"/>
  <c r="Q86" i="130" s="1"/>
  <c r="A60" i="130"/>
  <c r="A61" i="130" s="1"/>
  <c r="A62" i="130" s="1"/>
  <c r="A63" i="130" s="1"/>
  <c r="A64" i="130" s="1"/>
  <c r="A65" i="130" s="1"/>
  <c r="A66" i="130" s="1"/>
  <c r="A67" i="130" s="1"/>
  <c r="A68" i="130" s="1"/>
  <c r="A69" i="130" s="1"/>
  <c r="A70" i="130" s="1"/>
  <c r="A71" i="130" s="1"/>
  <c r="A72" i="130" s="1"/>
  <c r="A73" i="130" s="1"/>
  <c r="A74" i="130" s="1"/>
  <c r="A75" i="130" s="1"/>
  <c r="A76" i="130" s="1"/>
  <c r="A77" i="130" s="1"/>
  <c r="A78" i="130" s="1"/>
  <c r="A79" i="130" s="1"/>
  <c r="A80" i="130" s="1"/>
  <c r="A81" i="130" s="1"/>
  <c r="A82" i="130" s="1"/>
  <c r="A83" i="130" s="1"/>
  <c r="A84" i="130" s="1"/>
  <c r="A85" i="130" s="1"/>
  <c r="A86" i="130" s="1"/>
  <c r="A87" i="130" s="1"/>
  <c r="Q43" i="130"/>
  <c r="P43" i="130"/>
  <c r="Q42" i="130"/>
  <c r="P42" i="130"/>
  <c r="Q41" i="130"/>
  <c r="P41" i="130"/>
  <c r="Q40" i="130"/>
  <c r="P40" i="130"/>
  <c r="Q39" i="130"/>
  <c r="P39" i="130"/>
  <c r="Q38" i="130"/>
  <c r="P38" i="130"/>
  <c r="Q37" i="130"/>
  <c r="P37" i="130"/>
  <c r="Q36" i="130"/>
  <c r="P36" i="130"/>
  <c r="Q35" i="130"/>
  <c r="P35" i="130"/>
  <c r="Q34" i="130"/>
  <c r="P34" i="130"/>
  <c r="Q33" i="130"/>
  <c r="P33" i="130"/>
  <c r="Q32" i="130"/>
  <c r="P32" i="130"/>
  <c r="Q31" i="130"/>
  <c r="P31" i="130"/>
  <c r="Q30" i="130"/>
  <c r="P30" i="130"/>
  <c r="P29" i="130"/>
  <c r="A17" i="130"/>
  <c r="A18" i="130" s="1"/>
  <c r="A19" i="130" s="1"/>
  <c r="A20" i="130" s="1"/>
  <c r="A21" i="130" s="1"/>
  <c r="A22" i="130" s="1"/>
  <c r="A23" i="130" s="1"/>
  <c r="A24" i="130" s="1"/>
  <c r="A25" i="130" s="1"/>
  <c r="A26" i="130" s="1"/>
  <c r="A27" i="130" s="1"/>
  <c r="A28" i="130" s="1"/>
  <c r="A29" i="130" s="1"/>
  <c r="A30" i="130" s="1"/>
  <c r="A31" i="130" s="1"/>
  <c r="A32" i="130" s="1"/>
  <c r="A33" i="130" s="1"/>
  <c r="A34" i="130" s="1"/>
  <c r="A35" i="130" s="1"/>
  <c r="A36" i="130" s="1"/>
  <c r="A37" i="130" s="1"/>
  <c r="A38" i="130" s="1"/>
  <c r="A39" i="130" s="1"/>
  <c r="A40" i="130" s="1"/>
  <c r="A41" i="130" s="1"/>
  <c r="A42" i="130" s="1"/>
  <c r="A43" i="130" s="1"/>
  <c r="A44" i="130" s="1"/>
  <c r="E26" i="131"/>
  <c r="F26" i="131"/>
  <c r="G26" i="131"/>
  <c r="H26" i="131"/>
  <c r="I26" i="131"/>
  <c r="J26" i="131"/>
  <c r="K26" i="131"/>
  <c r="L26" i="131"/>
  <c r="M26" i="131"/>
  <c r="N26" i="131"/>
  <c r="O26" i="131"/>
  <c r="P26" i="131"/>
  <c r="D26" i="146" s="1"/>
  <c r="D25" i="114"/>
  <c r="E25" i="114"/>
  <c r="F25" i="114"/>
  <c r="L28" i="118" s="1"/>
  <c r="G25" i="114"/>
  <c r="L28" i="119" s="1"/>
  <c r="H25" i="114"/>
  <c r="L28" i="120" s="1"/>
  <c r="I25" i="114"/>
  <c r="L28" i="121" s="1"/>
  <c r="J25" i="114"/>
  <c r="L28" i="122" s="1"/>
  <c r="K25" i="114"/>
  <c r="L28" i="123" s="1"/>
  <c r="L25" i="114"/>
  <c r="L28" i="124" s="1"/>
  <c r="M25" i="114"/>
  <c r="L28" i="125" s="1"/>
  <c r="N25" i="114"/>
  <c r="L28" i="126" s="1"/>
  <c r="D26" i="114"/>
  <c r="E26" i="114"/>
  <c r="F26" i="114"/>
  <c r="G26" i="114"/>
  <c r="H26" i="114"/>
  <c r="I26" i="114"/>
  <c r="J26" i="114"/>
  <c r="K26" i="114"/>
  <c r="L26" i="114"/>
  <c r="M26" i="114"/>
  <c r="N26" i="114"/>
  <c r="D12" i="147" s="1"/>
  <c r="D27" i="114"/>
  <c r="E27" i="114"/>
  <c r="F27" i="114"/>
  <c r="L29" i="118" s="1"/>
  <c r="G27" i="114"/>
  <c r="L29" i="119" s="1"/>
  <c r="H27" i="114"/>
  <c r="L29" i="120" s="1"/>
  <c r="I27" i="114"/>
  <c r="L29" i="121" s="1"/>
  <c r="J27" i="114"/>
  <c r="L29" i="122" s="1"/>
  <c r="K27" i="114"/>
  <c r="L29" i="123" s="1"/>
  <c r="L27" i="114"/>
  <c r="L29" i="124" s="1"/>
  <c r="M27" i="114"/>
  <c r="L29" i="125" s="1"/>
  <c r="N27" i="114"/>
  <c r="L29" i="126" s="1"/>
  <c r="C26" i="114"/>
  <c r="E12" i="132" s="1"/>
  <c r="C27" i="114"/>
  <c r="L29" i="113" s="1"/>
  <c r="C25" i="114"/>
  <c r="L14" i="116"/>
  <c r="L14" i="117"/>
  <c r="L14" i="118"/>
  <c r="L14" i="119"/>
  <c r="L14" i="120"/>
  <c r="L14" i="121"/>
  <c r="L14" i="122"/>
  <c r="L14" i="123"/>
  <c r="L14" i="124"/>
  <c r="L14" i="125"/>
  <c r="L14" i="126"/>
  <c r="D13" i="114"/>
  <c r="L15" i="116" s="1"/>
  <c r="E13" i="114"/>
  <c r="L15" i="117" s="1"/>
  <c r="F13" i="114"/>
  <c r="L15" i="118" s="1"/>
  <c r="G13" i="114"/>
  <c r="L15" i="119" s="1"/>
  <c r="H13" i="114"/>
  <c r="L15" i="120" s="1"/>
  <c r="I13" i="114"/>
  <c r="L15" i="121" s="1"/>
  <c r="J13" i="114"/>
  <c r="L15" i="122" s="1"/>
  <c r="K13" i="114"/>
  <c r="L15" i="123" s="1"/>
  <c r="L13" i="114"/>
  <c r="L15" i="124" s="1"/>
  <c r="M13" i="114"/>
  <c r="L15" i="125" s="1"/>
  <c r="N13" i="114"/>
  <c r="L15" i="126" s="1"/>
  <c r="D14" i="114"/>
  <c r="L16" i="116" s="1"/>
  <c r="E14" i="114"/>
  <c r="L16" i="117" s="1"/>
  <c r="F14" i="114"/>
  <c r="L16" i="118" s="1"/>
  <c r="G14" i="114"/>
  <c r="L16" i="119" s="1"/>
  <c r="H14" i="114"/>
  <c r="L16" i="120" s="1"/>
  <c r="I14" i="114"/>
  <c r="L16" i="121" s="1"/>
  <c r="J14" i="114"/>
  <c r="L16" i="122" s="1"/>
  <c r="K14" i="114"/>
  <c r="L16" i="123" s="1"/>
  <c r="L14" i="114"/>
  <c r="L16" i="124" s="1"/>
  <c r="M14" i="114"/>
  <c r="L16" i="125" s="1"/>
  <c r="N14" i="114"/>
  <c r="L16" i="126" s="1"/>
  <c r="C13" i="114"/>
  <c r="L15" i="113" s="1"/>
  <c r="C14" i="114"/>
  <c r="L16" i="113" s="1"/>
  <c r="Q26" i="131" l="1"/>
  <c r="F12" i="132"/>
  <c r="G12" i="132" s="1"/>
  <c r="H12" i="132" s="1"/>
  <c r="I12" i="132" s="1"/>
  <c r="J12" i="132" s="1"/>
  <c r="K12" i="132" s="1"/>
  <c r="L12" i="132" s="1"/>
  <c r="M12" i="132" s="1"/>
  <c r="N12" i="132" s="1"/>
  <c r="O12" i="132" s="1"/>
  <c r="P12" i="132" s="1"/>
  <c r="E12" i="147"/>
  <c r="O26" i="114"/>
  <c r="P44" i="130"/>
  <c r="L14" i="113"/>
  <c r="N14" i="113" s="1"/>
  <c r="Q53" i="128"/>
  <c r="P53" i="128"/>
  <c r="O53" i="128"/>
  <c r="N53" i="128"/>
  <c r="M53" i="128"/>
  <c r="L53" i="128"/>
  <c r="K53" i="128"/>
  <c r="J53" i="128"/>
  <c r="I53" i="128"/>
  <c r="H53" i="128"/>
  <c r="G53" i="128"/>
  <c r="F53" i="128"/>
  <c r="Q39" i="128"/>
  <c r="P39" i="128"/>
  <c r="O39" i="128"/>
  <c r="N39" i="128"/>
  <c r="M39" i="128"/>
  <c r="M55" i="128" s="1"/>
  <c r="L39" i="128"/>
  <c r="K39" i="128"/>
  <c r="J39" i="128"/>
  <c r="I39" i="128"/>
  <c r="H39" i="128"/>
  <c r="G39" i="128"/>
  <c r="G55" i="128" s="1"/>
  <c r="F39" i="128"/>
  <c r="F55" i="128" s="1"/>
  <c r="H55" i="128" l="1"/>
  <c r="Q55" i="128"/>
  <c r="F12" i="147"/>
  <c r="J55" i="128"/>
  <c r="N55" i="128"/>
  <c r="K55" i="128"/>
  <c r="O55" i="128"/>
  <c r="L55" i="128"/>
  <c r="P55" i="128"/>
  <c r="R53" i="128"/>
  <c r="I55" i="128"/>
  <c r="R39" i="128"/>
  <c r="H11" i="130" s="1"/>
  <c r="I11" i="183" s="1"/>
  <c r="O32" i="114"/>
  <c r="O31" i="114"/>
  <c r="O27" i="114"/>
  <c r="O28" i="114"/>
  <c r="O25" i="114"/>
  <c r="O23" i="114"/>
  <c r="O19" i="114"/>
  <c r="O20" i="114"/>
  <c r="O17" i="114"/>
  <c r="O12" i="114"/>
  <c r="O13" i="114"/>
  <c r="O14" i="114"/>
  <c r="O10" i="114"/>
  <c r="L22" i="126"/>
  <c r="N22" i="126" s="1"/>
  <c r="L21" i="126"/>
  <c r="N21" i="126" s="1"/>
  <c r="L20" i="126"/>
  <c r="N20" i="126" s="1"/>
  <c r="L13" i="126"/>
  <c r="P31" i="126"/>
  <c r="N31" i="126"/>
  <c r="J31" i="126"/>
  <c r="A20" i="126"/>
  <c r="A21" i="126" s="1"/>
  <c r="L22" i="125"/>
  <c r="N22" i="125" s="1"/>
  <c r="L21" i="125"/>
  <c r="L20" i="125"/>
  <c r="N20" i="125" s="1"/>
  <c r="L13" i="125"/>
  <c r="P31" i="125"/>
  <c r="N31" i="125"/>
  <c r="J31" i="125"/>
  <c r="A20" i="125"/>
  <c r="A21" i="125" s="1"/>
  <c r="L22" i="124"/>
  <c r="L21" i="124"/>
  <c r="L20" i="124"/>
  <c r="N20" i="124" s="1"/>
  <c r="L13" i="124"/>
  <c r="P31" i="124"/>
  <c r="N31" i="124"/>
  <c r="J31" i="124"/>
  <c r="A20" i="124"/>
  <c r="A21" i="124" s="1"/>
  <c r="L22" i="123"/>
  <c r="L21" i="123"/>
  <c r="N21" i="123" s="1"/>
  <c r="L20" i="123"/>
  <c r="N20" i="123" s="1"/>
  <c r="L13" i="123"/>
  <c r="N13" i="123" s="1"/>
  <c r="P31" i="123"/>
  <c r="N31" i="123"/>
  <c r="J31" i="123"/>
  <c r="A20" i="123"/>
  <c r="A21" i="123" s="1"/>
  <c r="L22" i="122"/>
  <c r="N22" i="122" s="1"/>
  <c r="L21" i="122"/>
  <c r="N21" i="122" s="1"/>
  <c r="L20" i="122"/>
  <c r="N20" i="122" s="1"/>
  <c r="L13" i="122"/>
  <c r="P31" i="122"/>
  <c r="N31" i="122"/>
  <c r="J31" i="122"/>
  <c r="A20" i="122"/>
  <c r="A21" i="122" s="1"/>
  <c r="L22" i="121"/>
  <c r="L21" i="121"/>
  <c r="N21" i="121" s="1"/>
  <c r="L20" i="121"/>
  <c r="N20" i="121" s="1"/>
  <c r="L13" i="121"/>
  <c r="P31" i="121"/>
  <c r="N31" i="121"/>
  <c r="J31" i="121"/>
  <c r="A20" i="121"/>
  <c r="A21" i="121" s="1"/>
  <c r="L22" i="120"/>
  <c r="N22" i="120" s="1"/>
  <c r="L21" i="120"/>
  <c r="N21" i="120" s="1"/>
  <c r="L20" i="120"/>
  <c r="N20" i="120" s="1"/>
  <c r="L13" i="120"/>
  <c r="P31" i="120"/>
  <c r="N31" i="120"/>
  <c r="J31" i="120"/>
  <c r="A20" i="120"/>
  <c r="A21" i="120" s="1"/>
  <c r="L22" i="119"/>
  <c r="L21" i="119"/>
  <c r="L20" i="119"/>
  <c r="N20" i="119" s="1"/>
  <c r="L13" i="119"/>
  <c r="P31" i="119"/>
  <c r="N31" i="119"/>
  <c r="J31" i="119"/>
  <c r="A20" i="119"/>
  <c r="A21" i="119" s="1"/>
  <c r="L31" i="118"/>
  <c r="L22" i="118"/>
  <c r="N22" i="118" s="1"/>
  <c r="L21" i="118"/>
  <c r="N21" i="118" s="1"/>
  <c r="L20" i="118"/>
  <c r="L13" i="118"/>
  <c r="L17" i="118" s="1"/>
  <c r="H20" i="130" s="1"/>
  <c r="H63" i="130" s="1"/>
  <c r="P31" i="118"/>
  <c r="N31" i="118"/>
  <c r="J31" i="118"/>
  <c r="A20" i="118"/>
  <c r="A21" i="118" s="1"/>
  <c r="L29" i="117"/>
  <c r="L30" i="117"/>
  <c r="L28" i="117"/>
  <c r="L21" i="117"/>
  <c r="L22" i="117"/>
  <c r="L20" i="117"/>
  <c r="N14" i="117"/>
  <c r="N15" i="117"/>
  <c r="L13" i="117"/>
  <c r="N13" i="117" s="1"/>
  <c r="P31" i="117"/>
  <c r="N31" i="117"/>
  <c r="J31" i="117"/>
  <c r="N16" i="117"/>
  <c r="A20" i="117"/>
  <c r="A21" i="117" s="1"/>
  <c r="L29" i="116"/>
  <c r="L30" i="116"/>
  <c r="L28" i="116"/>
  <c r="L21" i="116"/>
  <c r="N21" i="116" s="1"/>
  <c r="L22" i="116"/>
  <c r="N22" i="116" s="1"/>
  <c r="L20" i="116"/>
  <c r="N20" i="116" s="1"/>
  <c r="L13" i="116"/>
  <c r="P31" i="116"/>
  <c r="N31" i="116"/>
  <c r="J31" i="116"/>
  <c r="A20" i="116"/>
  <c r="A21" i="116" s="1"/>
  <c r="L28" i="113"/>
  <c r="L20" i="113"/>
  <c r="L13" i="113"/>
  <c r="N13" i="113" s="1"/>
  <c r="C29" i="114"/>
  <c r="D29" i="114"/>
  <c r="G29" i="114"/>
  <c r="H29" i="114"/>
  <c r="E29" i="114"/>
  <c r="F29" i="114"/>
  <c r="H21" i="114"/>
  <c r="G21" i="114"/>
  <c r="F21" i="114"/>
  <c r="E21" i="114"/>
  <c r="D21" i="114"/>
  <c r="C21" i="114"/>
  <c r="H15" i="114"/>
  <c r="G15" i="114"/>
  <c r="D15" i="114"/>
  <c r="F15" i="114"/>
  <c r="E15" i="114"/>
  <c r="I20" i="183" l="1"/>
  <c r="I26" i="183"/>
  <c r="I21" i="183"/>
  <c r="I22" i="183"/>
  <c r="I28" i="183"/>
  <c r="I23" i="183"/>
  <c r="I17" i="183"/>
  <c r="I24" i="183"/>
  <c r="I19" i="183"/>
  <c r="I27" i="183"/>
  <c r="I25" i="183"/>
  <c r="I18" i="183"/>
  <c r="I55" i="183"/>
  <c r="H54" i="130"/>
  <c r="H11" i="162"/>
  <c r="R55" i="128"/>
  <c r="G12" i="147"/>
  <c r="A22" i="126"/>
  <c r="A23" i="126" s="1"/>
  <c r="A25" i="126" s="1"/>
  <c r="A28" i="126" s="1"/>
  <c r="A22" i="125"/>
  <c r="A23" i="125" s="1"/>
  <c r="A25" i="125" s="1"/>
  <c r="A28" i="125" s="1"/>
  <c r="A22" i="124"/>
  <c r="A23" i="124" s="1"/>
  <c r="A25" i="124" s="1"/>
  <c r="A28" i="124" s="1"/>
  <c r="A22" i="123"/>
  <c r="A23" i="123" s="1"/>
  <c r="A25" i="123" s="1"/>
  <c r="A28" i="123" s="1"/>
  <c r="A22" i="122"/>
  <c r="A23" i="122" s="1"/>
  <c r="A25" i="122" s="1"/>
  <c r="A28" i="122" s="1"/>
  <c r="A22" i="121"/>
  <c r="A23" i="121" s="1"/>
  <c r="A25" i="121" s="1"/>
  <c r="A28" i="121" s="1"/>
  <c r="A22" i="120"/>
  <c r="A23" i="120" s="1"/>
  <c r="A25" i="120" s="1"/>
  <c r="A28" i="120" s="1"/>
  <c r="A22" i="119"/>
  <c r="A23" i="119" s="1"/>
  <c r="A25" i="119" s="1"/>
  <c r="A28" i="119" s="1"/>
  <c r="A22" i="118"/>
  <c r="A23" i="118" s="1"/>
  <c r="A25" i="118" s="1"/>
  <c r="A28" i="118" s="1"/>
  <c r="A22" i="117"/>
  <c r="A23" i="117" s="1"/>
  <c r="A25" i="117" s="1"/>
  <c r="A28" i="117" s="1"/>
  <c r="A22" i="116"/>
  <c r="A23" i="116" s="1"/>
  <c r="A25" i="116" s="1"/>
  <c r="A28" i="116" s="1"/>
  <c r="L17" i="124"/>
  <c r="H26" i="130" s="1"/>
  <c r="H69" i="130" s="1"/>
  <c r="L23" i="123"/>
  <c r="J63" i="130"/>
  <c r="J20" i="130"/>
  <c r="L23" i="125"/>
  <c r="N16" i="116"/>
  <c r="N22" i="117"/>
  <c r="L23" i="119"/>
  <c r="L31" i="116"/>
  <c r="N22" i="124"/>
  <c r="L17" i="116"/>
  <c r="H18" i="130" s="1"/>
  <c r="H61" i="130" s="1"/>
  <c r="L23" i="126"/>
  <c r="L23" i="121"/>
  <c r="N22" i="121"/>
  <c r="N23" i="121" s="1"/>
  <c r="N16" i="120"/>
  <c r="N23" i="120"/>
  <c r="L31" i="120"/>
  <c r="N22" i="119"/>
  <c r="L17" i="120"/>
  <c r="H22" i="130" s="1"/>
  <c r="H65" i="130" s="1"/>
  <c r="L23" i="120"/>
  <c r="N22" i="123"/>
  <c r="N23" i="123" s="1"/>
  <c r="N20" i="117"/>
  <c r="N15" i="118"/>
  <c r="L31" i="119"/>
  <c r="L23" i="124"/>
  <c r="N14" i="118"/>
  <c r="N13" i="116"/>
  <c r="L17" i="117"/>
  <c r="H19" i="130" s="1"/>
  <c r="H62" i="130" s="1"/>
  <c r="N13" i="118"/>
  <c r="N13" i="119"/>
  <c r="N16" i="119"/>
  <c r="L17" i="119"/>
  <c r="N15" i="120"/>
  <c r="L17" i="121"/>
  <c r="H23" i="130" s="1"/>
  <c r="H66" i="130" s="1"/>
  <c r="N16" i="123"/>
  <c r="L17" i="126"/>
  <c r="H28" i="130" s="1"/>
  <c r="H71" i="130" s="1"/>
  <c r="N23" i="126"/>
  <c r="N13" i="126"/>
  <c r="N14" i="126"/>
  <c r="N15" i="126"/>
  <c r="N16" i="126"/>
  <c r="N21" i="125"/>
  <c r="N23" i="125" s="1"/>
  <c r="L17" i="125"/>
  <c r="H27" i="130" s="1"/>
  <c r="H70" i="130" s="1"/>
  <c r="N15" i="125"/>
  <c r="N16" i="125"/>
  <c r="N21" i="124"/>
  <c r="N13" i="124"/>
  <c r="N14" i="124"/>
  <c r="N15" i="124"/>
  <c r="N16" i="124"/>
  <c r="N15" i="123"/>
  <c r="L17" i="123"/>
  <c r="H25" i="130" s="1"/>
  <c r="H68" i="130" s="1"/>
  <c r="N14" i="123"/>
  <c r="L23" i="122"/>
  <c r="N23" i="122"/>
  <c r="L17" i="122"/>
  <c r="H24" i="130" s="1"/>
  <c r="H67" i="130" s="1"/>
  <c r="N13" i="122"/>
  <c r="N14" i="122"/>
  <c r="N15" i="122"/>
  <c r="N16" i="122"/>
  <c r="N13" i="121"/>
  <c r="N14" i="121"/>
  <c r="N15" i="121"/>
  <c r="N16" i="121"/>
  <c r="N14" i="120"/>
  <c r="N13" i="120"/>
  <c r="N21" i="119"/>
  <c r="N15" i="119"/>
  <c r="N14" i="119"/>
  <c r="L23" i="118"/>
  <c r="L25" i="118" s="1"/>
  <c r="N20" i="118"/>
  <c r="N23" i="118" s="1"/>
  <c r="N16" i="118"/>
  <c r="L31" i="117"/>
  <c r="N21" i="117"/>
  <c r="L23" i="117"/>
  <c r="N17" i="117"/>
  <c r="N23" i="116"/>
  <c r="L23" i="116"/>
  <c r="N14" i="116"/>
  <c r="N15" i="116"/>
  <c r="N21" i="114"/>
  <c r="M21" i="114"/>
  <c r="L21" i="114"/>
  <c r="K21" i="114"/>
  <c r="J21" i="114"/>
  <c r="I21" i="114"/>
  <c r="O21" i="114"/>
  <c r="A11" i="114"/>
  <c r="A12" i="114" s="1"/>
  <c r="A13" i="114" s="1"/>
  <c r="A14" i="114" s="1"/>
  <c r="A15" i="114" s="1"/>
  <c r="A17" i="114" s="1"/>
  <c r="P31" i="113"/>
  <c r="N31" i="113"/>
  <c r="J31" i="113"/>
  <c r="L31" i="113"/>
  <c r="J17" i="130" s="1"/>
  <c r="L23" i="113"/>
  <c r="N20" i="113"/>
  <c r="L17" i="113"/>
  <c r="N16" i="113"/>
  <c r="N15" i="113"/>
  <c r="A16" i="113"/>
  <c r="A17" i="113" s="1"/>
  <c r="A20" i="113" s="1"/>
  <c r="A21" i="113" s="1"/>
  <c r="H17" i="130" l="1"/>
  <c r="H60" i="130" s="1"/>
  <c r="I11" i="205"/>
  <c r="I67" i="183"/>
  <c r="I62" i="183"/>
  <c r="I68" i="183"/>
  <c r="I69" i="183"/>
  <c r="I64" i="183"/>
  <c r="I70" i="183"/>
  <c r="I65" i="183"/>
  <c r="I71" i="183"/>
  <c r="I72" i="183"/>
  <c r="I63" i="183"/>
  <c r="I66" i="183"/>
  <c r="I61" i="183"/>
  <c r="I44" i="183"/>
  <c r="L25" i="119"/>
  <c r="H21" i="130"/>
  <c r="H64" i="130" s="1"/>
  <c r="A18" i="114"/>
  <c r="A19" i="114" s="1"/>
  <c r="A20" i="114" s="1"/>
  <c r="A21" i="114" s="1"/>
  <c r="A23" i="114" s="1"/>
  <c r="A25" i="114" s="1"/>
  <c r="A26" i="114" s="1"/>
  <c r="A27" i="114" s="1"/>
  <c r="A28" i="114" s="1"/>
  <c r="A29" i="114" s="1"/>
  <c r="A31" i="114" s="1"/>
  <c r="A32" i="114" s="1"/>
  <c r="H55" i="162"/>
  <c r="H21" i="162"/>
  <c r="H17" i="162"/>
  <c r="H24" i="162"/>
  <c r="H25" i="162"/>
  <c r="H20" i="162"/>
  <c r="H28" i="162"/>
  <c r="H23" i="162"/>
  <c r="H18" i="162"/>
  <c r="H19" i="162"/>
  <c r="H26" i="162"/>
  <c r="H27" i="162"/>
  <c r="H22" i="162"/>
  <c r="H12" i="147"/>
  <c r="A29" i="126"/>
  <c r="A30" i="126" s="1"/>
  <c r="A31" i="126" s="1"/>
  <c r="A29" i="125"/>
  <c r="A30" i="125" s="1"/>
  <c r="A31" i="125" s="1"/>
  <c r="A29" i="124"/>
  <c r="A30" i="124" s="1"/>
  <c r="A31" i="124" s="1"/>
  <c r="A29" i="123"/>
  <c r="A30" i="123" s="1"/>
  <c r="A31" i="123" s="1"/>
  <c r="A29" i="122"/>
  <c r="A30" i="122" s="1"/>
  <c r="A31" i="122" s="1"/>
  <c r="A29" i="121"/>
  <c r="A30" i="121" s="1"/>
  <c r="A31" i="121" s="1"/>
  <c r="A29" i="120"/>
  <c r="A30" i="120" s="1"/>
  <c r="A31" i="120" s="1"/>
  <c r="A30" i="119"/>
  <c r="A31" i="119" s="1"/>
  <c r="A29" i="119"/>
  <c r="A29" i="118"/>
  <c r="A30" i="118" s="1"/>
  <c r="A31" i="118" s="1"/>
  <c r="A29" i="117"/>
  <c r="A30" i="117" s="1"/>
  <c r="A31" i="117" s="1"/>
  <c r="A29" i="116"/>
  <c r="A30" i="116" s="1"/>
  <c r="A31" i="116" s="1"/>
  <c r="A22" i="113"/>
  <c r="A23" i="113" s="1"/>
  <c r="A25" i="113" s="1"/>
  <c r="A28" i="113" s="1"/>
  <c r="L25" i="120"/>
  <c r="L25" i="124"/>
  <c r="L25" i="126"/>
  <c r="L25" i="123"/>
  <c r="J65" i="130"/>
  <c r="J22" i="130"/>
  <c r="J64" i="130"/>
  <c r="J21" i="130"/>
  <c r="J62" i="130"/>
  <c r="J19" i="130"/>
  <c r="L25" i="117"/>
  <c r="L25" i="116"/>
  <c r="J61" i="130"/>
  <c r="J18" i="130"/>
  <c r="J60" i="130"/>
  <c r="L25" i="113"/>
  <c r="N17" i="123"/>
  <c r="N25" i="123" s="1"/>
  <c r="N23" i="119"/>
  <c r="N23" i="124"/>
  <c r="N23" i="117"/>
  <c r="N25" i="117" s="1"/>
  <c r="L25" i="125"/>
  <c r="L25" i="121"/>
  <c r="N17" i="120"/>
  <c r="N25" i="120" s="1"/>
  <c r="N17" i="119"/>
  <c r="N17" i="116"/>
  <c r="N25" i="116" s="1"/>
  <c r="N17" i="118"/>
  <c r="N25" i="118" s="1"/>
  <c r="L25" i="122"/>
  <c r="N17" i="126"/>
  <c r="N25" i="126" s="1"/>
  <c r="N17" i="125"/>
  <c r="N25" i="125" s="1"/>
  <c r="N17" i="124"/>
  <c r="N17" i="122"/>
  <c r="N25" i="122" s="1"/>
  <c r="N17" i="121"/>
  <c r="N25" i="121" s="1"/>
  <c r="N23" i="113"/>
  <c r="L15" i="114"/>
  <c r="K29" i="114"/>
  <c r="L29" i="114"/>
  <c r="I15" i="114"/>
  <c r="M15" i="114"/>
  <c r="J15" i="114"/>
  <c r="N15" i="114"/>
  <c r="I29" i="114"/>
  <c r="M29" i="114"/>
  <c r="K15" i="114"/>
  <c r="J29" i="114"/>
  <c r="N29" i="114"/>
  <c r="N17" i="113"/>
  <c r="I17" i="205" l="1"/>
  <c r="I20" i="205"/>
  <c r="I24" i="205"/>
  <c r="I25" i="205"/>
  <c r="I19" i="205"/>
  <c r="I28" i="205"/>
  <c r="I21" i="205"/>
  <c r="I22" i="205"/>
  <c r="I27" i="205"/>
  <c r="I23" i="205"/>
  <c r="I18" i="205"/>
  <c r="I56" i="205"/>
  <c r="I26" i="205"/>
  <c r="I88" i="183"/>
  <c r="H66" i="162"/>
  <c r="H72" i="162"/>
  <c r="H67" i="162"/>
  <c r="H61" i="162"/>
  <c r="H62" i="162"/>
  <c r="H68" i="162"/>
  <c r="H63" i="162"/>
  <c r="H69" i="162"/>
  <c r="H64" i="162"/>
  <c r="H70" i="162"/>
  <c r="H65" i="162"/>
  <c r="H71" i="162"/>
  <c r="H44" i="162"/>
  <c r="I12" i="147"/>
  <c r="A29" i="113"/>
  <c r="A30" i="113" s="1"/>
  <c r="A31" i="113" s="1"/>
  <c r="N25" i="124"/>
  <c r="H87" i="130"/>
  <c r="H44" i="130"/>
  <c r="N25" i="119"/>
  <c r="L31" i="126"/>
  <c r="L31" i="121"/>
  <c r="L31" i="122"/>
  <c r="L31" i="124"/>
  <c r="L31" i="123"/>
  <c r="L31" i="125"/>
  <c r="N25" i="113"/>
  <c r="O29" i="114"/>
  <c r="I73" i="205" l="1"/>
  <c r="I72" i="205"/>
  <c r="I62" i="205"/>
  <c r="I65" i="205"/>
  <c r="I63" i="205"/>
  <c r="I64" i="205"/>
  <c r="I66" i="205"/>
  <c r="I67" i="205"/>
  <c r="I68" i="205"/>
  <c r="I69" i="205"/>
  <c r="I70" i="205"/>
  <c r="I71" i="205"/>
  <c r="I44" i="205"/>
  <c r="H88" i="162"/>
  <c r="J12" i="147"/>
  <c r="J71" i="130"/>
  <c r="J28" i="130"/>
  <c r="J70" i="130"/>
  <c r="J27" i="130"/>
  <c r="J69" i="130"/>
  <c r="J26" i="130"/>
  <c r="J68" i="130"/>
  <c r="J25" i="130"/>
  <c r="J67" i="130"/>
  <c r="J24" i="130"/>
  <c r="J66" i="130"/>
  <c r="J23" i="130"/>
  <c r="I89" i="205" l="1"/>
  <c r="K12" i="147"/>
  <c r="C11" i="92"/>
  <c r="K11" i="111" s="1"/>
  <c r="L11" i="111" s="1"/>
  <c r="M11" i="111" s="1"/>
  <c r="N11" i="111" s="1"/>
  <c r="O11" i="111" s="1"/>
  <c r="P11" i="111" s="1"/>
  <c r="F61" i="128" s="1"/>
  <c r="C11" i="114" l="1"/>
  <c r="O11" i="114"/>
  <c r="O15" i="114" s="1"/>
  <c r="C15" i="114"/>
  <c r="L12" i="147"/>
  <c r="L60" i="108"/>
  <c r="Q13" i="111"/>
  <c r="Q12" i="111"/>
  <c r="M12" i="147" l="1"/>
  <c r="P27" i="91"/>
  <c r="D27" i="131" s="1"/>
  <c r="O27" i="91"/>
  <c r="N27" i="91"/>
  <c r="M27" i="91"/>
  <c r="L27" i="91"/>
  <c r="K27" i="91"/>
  <c r="N12" i="147" l="1"/>
  <c r="K92" i="108"/>
  <c r="J92" i="108"/>
  <c r="I92" i="108"/>
  <c r="H92" i="108"/>
  <c r="G92" i="108"/>
  <c r="P91" i="108"/>
  <c r="Q91" i="108" s="1"/>
  <c r="U91" i="108" s="1"/>
  <c r="P90" i="108"/>
  <c r="Q90" i="108" s="1"/>
  <c r="U90" i="108" s="1"/>
  <c r="P89" i="108"/>
  <c r="Q89" i="108" s="1"/>
  <c r="U89" i="108" s="1"/>
  <c r="P88" i="108"/>
  <c r="Q88" i="108" s="1"/>
  <c r="U88" i="108" s="1"/>
  <c r="P87" i="108"/>
  <c r="Q87" i="108" s="1"/>
  <c r="U87" i="108" s="1"/>
  <c r="P86" i="108"/>
  <c r="Q86" i="108" s="1"/>
  <c r="U86" i="108" s="1"/>
  <c r="P85" i="108"/>
  <c r="Q85" i="108" s="1"/>
  <c r="U85" i="108" s="1"/>
  <c r="P84" i="108"/>
  <c r="Q84" i="108" s="1"/>
  <c r="U84" i="108" s="1"/>
  <c r="P83" i="108"/>
  <c r="Q83" i="108" s="1"/>
  <c r="U83" i="108" s="1"/>
  <c r="P82" i="108"/>
  <c r="Q82" i="108" s="1"/>
  <c r="U82" i="108" s="1"/>
  <c r="P81" i="108"/>
  <c r="Q81" i="108" s="1"/>
  <c r="U81" i="108" s="1"/>
  <c r="P80" i="108"/>
  <c r="Q80" i="108" s="1"/>
  <c r="U80" i="108" s="1"/>
  <c r="P79" i="108"/>
  <c r="Q79" i="108" s="1"/>
  <c r="U79" i="108" s="1"/>
  <c r="P78" i="108"/>
  <c r="Q78" i="108" s="1"/>
  <c r="U78" i="108" s="1"/>
  <c r="P77" i="108"/>
  <c r="Q77" i="108" s="1"/>
  <c r="U77" i="108" s="1"/>
  <c r="A65" i="108"/>
  <c r="A66" i="108" s="1"/>
  <c r="A67" i="108" s="1"/>
  <c r="A68" i="108" s="1"/>
  <c r="A69" i="108" s="1"/>
  <c r="A70" i="108" s="1"/>
  <c r="A71" i="108" s="1"/>
  <c r="A72" i="108" s="1"/>
  <c r="A73" i="108" s="1"/>
  <c r="A74" i="108" s="1"/>
  <c r="A75" i="108" s="1"/>
  <c r="A76" i="108" s="1"/>
  <c r="A77" i="108" s="1"/>
  <c r="A78" i="108" s="1"/>
  <c r="A79" i="108" s="1"/>
  <c r="A80" i="108" s="1"/>
  <c r="A81" i="108" s="1"/>
  <c r="A82" i="108" s="1"/>
  <c r="A83" i="108" s="1"/>
  <c r="A84" i="108" s="1"/>
  <c r="A85" i="108" s="1"/>
  <c r="A86" i="108" s="1"/>
  <c r="A87" i="108" s="1"/>
  <c r="A88" i="108" s="1"/>
  <c r="A89" i="108" s="1"/>
  <c r="A90" i="108" s="1"/>
  <c r="A91" i="108" s="1"/>
  <c r="A92" i="108" s="1"/>
  <c r="U43" i="108"/>
  <c r="T43" i="108"/>
  <c r="U42" i="108"/>
  <c r="T42" i="108"/>
  <c r="U41" i="108"/>
  <c r="T41" i="108"/>
  <c r="U40" i="108"/>
  <c r="T40" i="108"/>
  <c r="U39" i="108"/>
  <c r="T39" i="108"/>
  <c r="U38" i="108"/>
  <c r="T38" i="108"/>
  <c r="U37" i="108"/>
  <c r="T37" i="108"/>
  <c r="U36" i="108"/>
  <c r="T36" i="108"/>
  <c r="U35" i="108"/>
  <c r="T35" i="108"/>
  <c r="U34" i="108"/>
  <c r="T34" i="108"/>
  <c r="U33" i="108"/>
  <c r="T33" i="108"/>
  <c r="U32" i="108"/>
  <c r="T32" i="108"/>
  <c r="U31" i="108"/>
  <c r="T31" i="108"/>
  <c r="U30" i="108"/>
  <c r="T30" i="108"/>
  <c r="T29" i="108"/>
  <c r="V22" i="108"/>
  <c r="V21" i="108"/>
  <c r="V20" i="108"/>
  <c r="V19" i="108"/>
  <c r="V18" i="108"/>
  <c r="V17" i="108"/>
  <c r="A17" i="108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X16" i="108"/>
  <c r="P31" i="104"/>
  <c r="N31" i="104"/>
  <c r="J31" i="104"/>
  <c r="L30" i="104"/>
  <c r="L22" i="104"/>
  <c r="A20" i="104"/>
  <c r="A21" i="104" s="1"/>
  <c r="P31" i="103"/>
  <c r="N31" i="103"/>
  <c r="J31" i="103"/>
  <c r="L30" i="103"/>
  <c r="A20" i="103"/>
  <c r="A21" i="103" s="1"/>
  <c r="P31" i="102"/>
  <c r="N31" i="102"/>
  <c r="J31" i="102"/>
  <c r="L30" i="102"/>
  <c r="L22" i="102"/>
  <c r="N22" i="102" s="1"/>
  <c r="A20" i="102"/>
  <c r="A21" i="102" s="1"/>
  <c r="P31" i="101"/>
  <c r="N31" i="101"/>
  <c r="J31" i="101"/>
  <c r="L30" i="101"/>
  <c r="L22" i="101"/>
  <c r="N22" i="101" s="1"/>
  <c r="A20" i="101"/>
  <c r="A21" i="101" s="1"/>
  <c r="P31" i="100"/>
  <c r="N31" i="100"/>
  <c r="J31" i="100"/>
  <c r="L30" i="100"/>
  <c r="L22" i="100"/>
  <c r="A20" i="100"/>
  <c r="A21" i="100" s="1"/>
  <c r="P31" i="99"/>
  <c r="N31" i="99"/>
  <c r="J31" i="99"/>
  <c r="F31" i="99"/>
  <c r="L30" i="99"/>
  <c r="F23" i="99"/>
  <c r="L22" i="99"/>
  <c r="R22" i="99" s="1"/>
  <c r="J22" i="99"/>
  <c r="J21" i="99"/>
  <c r="J20" i="99"/>
  <c r="F17" i="99"/>
  <c r="J16" i="99"/>
  <c r="J15" i="99"/>
  <c r="J14" i="99"/>
  <c r="A20" i="99"/>
  <c r="A21" i="99" s="1"/>
  <c r="J13" i="99"/>
  <c r="I30" i="92"/>
  <c r="I26" i="92"/>
  <c r="L29" i="104"/>
  <c r="L29" i="103"/>
  <c r="L29" i="102"/>
  <c r="L29" i="101"/>
  <c r="L29" i="100"/>
  <c r="L29" i="99"/>
  <c r="L28" i="104"/>
  <c r="L28" i="103"/>
  <c r="L28" i="102"/>
  <c r="L28" i="101"/>
  <c r="L28" i="100"/>
  <c r="L28" i="99"/>
  <c r="R28" i="99" s="1"/>
  <c r="G22" i="92"/>
  <c r="L16" i="104"/>
  <c r="L16" i="103"/>
  <c r="L16" i="102"/>
  <c r="L16" i="101"/>
  <c r="L16" i="100"/>
  <c r="N16" i="100" s="1"/>
  <c r="L16" i="99"/>
  <c r="R16" i="99" s="1"/>
  <c r="L15" i="104"/>
  <c r="N15" i="104" s="1"/>
  <c r="L15" i="103"/>
  <c r="L15" i="102"/>
  <c r="L15" i="101"/>
  <c r="L15" i="100"/>
  <c r="N15" i="100" s="1"/>
  <c r="L15" i="99"/>
  <c r="L14" i="104"/>
  <c r="A11" i="92"/>
  <c r="A12" i="92" s="1"/>
  <c r="A13" i="92" s="1"/>
  <c r="A14" i="92" s="1"/>
  <c r="A15" i="92" s="1"/>
  <c r="A17" i="92" s="1"/>
  <c r="A18" i="92" s="1"/>
  <c r="A19" i="92" s="1"/>
  <c r="A20" i="92" s="1"/>
  <c r="A22" i="92" s="1"/>
  <c r="A24" i="92" s="1"/>
  <c r="A25" i="92" s="1"/>
  <c r="A26" i="92" s="1"/>
  <c r="A27" i="92" s="1"/>
  <c r="A29" i="92" s="1"/>
  <c r="A30" i="92" s="1"/>
  <c r="A31" i="92" s="1"/>
  <c r="L13" i="103"/>
  <c r="L13" i="99"/>
  <c r="R13" i="99" s="1"/>
  <c r="P75" i="110"/>
  <c r="O75" i="110"/>
  <c r="N75" i="110"/>
  <c r="M75" i="110"/>
  <c r="L75" i="110"/>
  <c r="K75" i="110"/>
  <c r="J75" i="110"/>
  <c r="I75" i="110"/>
  <c r="H75" i="110"/>
  <c r="G75" i="110"/>
  <c r="F75" i="110"/>
  <c r="E75" i="110"/>
  <c r="Q74" i="110"/>
  <c r="Q73" i="110"/>
  <c r="Q72" i="110"/>
  <c r="P70" i="110"/>
  <c r="O70" i="110"/>
  <c r="N70" i="110"/>
  <c r="M70" i="110"/>
  <c r="L70" i="110"/>
  <c r="K70" i="110"/>
  <c r="J70" i="110"/>
  <c r="I70" i="110"/>
  <c r="H70" i="110"/>
  <c r="G70" i="110"/>
  <c r="F70" i="110"/>
  <c r="E70" i="110"/>
  <c r="Q69" i="110"/>
  <c r="Q68" i="110"/>
  <c r="Q67" i="110"/>
  <c r="Q66" i="110"/>
  <c r="Q65" i="110"/>
  <c r="Q64" i="110"/>
  <c r="Q63" i="110"/>
  <c r="Q62" i="110"/>
  <c r="Q61" i="110"/>
  <c r="Q60" i="110"/>
  <c r="Q59" i="110"/>
  <c r="P54" i="110"/>
  <c r="O54" i="110"/>
  <c r="N54" i="110"/>
  <c r="M54" i="110"/>
  <c r="L54" i="110"/>
  <c r="K54" i="110"/>
  <c r="J54" i="110"/>
  <c r="I54" i="110"/>
  <c r="H54" i="110"/>
  <c r="G54" i="110"/>
  <c r="F54" i="110"/>
  <c r="E54" i="110"/>
  <c r="Q53" i="110"/>
  <c r="Q52" i="110"/>
  <c r="Q51" i="110"/>
  <c r="P49" i="110"/>
  <c r="O49" i="110"/>
  <c r="N49" i="110"/>
  <c r="M49" i="110"/>
  <c r="L49" i="110"/>
  <c r="K49" i="110"/>
  <c r="J49" i="110"/>
  <c r="I49" i="110"/>
  <c r="H49" i="110"/>
  <c r="G49" i="110"/>
  <c r="F49" i="110"/>
  <c r="E49" i="110"/>
  <c r="Q48" i="110"/>
  <c r="Q47" i="110"/>
  <c r="Q46" i="110"/>
  <c r="Q45" i="110"/>
  <c r="Q44" i="110"/>
  <c r="Q43" i="110"/>
  <c r="Q42" i="110"/>
  <c r="Q41" i="110"/>
  <c r="Q40" i="110"/>
  <c r="Q39" i="110"/>
  <c r="Q38" i="110"/>
  <c r="Q37" i="110"/>
  <c r="P32" i="110"/>
  <c r="O32" i="110"/>
  <c r="N32" i="110"/>
  <c r="M32" i="110"/>
  <c r="L32" i="110"/>
  <c r="K32" i="110"/>
  <c r="I32" i="110"/>
  <c r="G32" i="110"/>
  <c r="F32" i="110"/>
  <c r="E32" i="110"/>
  <c r="Q31" i="110"/>
  <c r="P20" i="110"/>
  <c r="O20" i="110"/>
  <c r="N20" i="110"/>
  <c r="M20" i="110"/>
  <c r="L20" i="110"/>
  <c r="K20" i="110"/>
  <c r="J20" i="110"/>
  <c r="I20" i="110"/>
  <c r="I34" i="110" s="1"/>
  <c r="H20" i="110"/>
  <c r="G20" i="110"/>
  <c r="F20" i="110"/>
  <c r="Q13" i="110"/>
  <c r="Q12" i="110"/>
  <c r="Q11" i="110"/>
  <c r="Q10" i="110"/>
  <c r="Q9" i="110"/>
  <c r="Q8" i="110"/>
  <c r="Q7" i="110"/>
  <c r="Q6" i="110"/>
  <c r="Q5" i="110"/>
  <c r="Q4" i="110"/>
  <c r="Q3" i="110"/>
  <c r="P26" i="91"/>
  <c r="D26" i="131" s="1"/>
  <c r="O26" i="91"/>
  <c r="N26" i="91"/>
  <c r="M26" i="91"/>
  <c r="L26" i="91"/>
  <c r="K26" i="91"/>
  <c r="Q26" i="91" s="1"/>
  <c r="C12" i="8"/>
  <c r="S1048490" i="111"/>
  <c r="P29" i="111"/>
  <c r="O29" i="111"/>
  <c r="N29" i="111"/>
  <c r="M29" i="111"/>
  <c r="L29" i="111"/>
  <c r="K29" i="111"/>
  <c r="J29" i="111"/>
  <c r="I29" i="111"/>
  <c r="H29" i="111"/>
  <c r="G29" i="111"/>
  <c r="F29" i="111"/>
  <c r="E29" i="111"/>
  <c r="D29" i="111"/>
  <c r="Q27" i="111"/>
  <c r="Q26" i="111"/>
  <c r="Q25" i="111"/>
  <c r="D14" i="111"/>
  <c r="D18" i="111" s="1"/>
  <c r="D22" i="111" s="1"/>
  <c r="J14" i="111"/>
  <c r="J18" i="111" s="1"/>
  <c r="J22" i="111" s="1"/>
  <c r="I14" i="111"/>
  <c r="I18" i="111" s="1"/>
  <c r="I22" i="111" s="1"/>
  <c r="H14" i="111"/>
  <c r="H18" i="111" s="1"/>
  <c r="H22" i="111" s="1"/>
  <c r="G14" i="111"/>
  <c r="G18" i="111" s="1"/>
  <c r="G22" i="111" s="1"/>
  <c r="F14" i="111"/>
  <c r="F18" i="111" s="1"/>
  <c r="F22" i="111" s="1"/>
  <c r="E14" i="111"/>
  <c r="E18" i="111" s="1"/>
  <c r="E22" i="111" s="1"/>
  <c r="Q6" i="111"/>
  <c r="P6" i="111"/>
  <c r="O6" i="111"/>
  <c r="N6" i="111"/>
  <c r="M6" i="111"/>
  <c r="L6" i="111"/>
  <c r="K6" i="111"/>
  <c r="J6" i="111"/>
  <c r="I6" i="111"/>
  <c r="H6" i="111"/>
  <c r="G6" i="111"/>
  <c r="F6" i="111"/>
  <c r="S1048575" i="91"/>
  <c r="Q27" i="91"/>
  <c r="P6" i="91"/>
  <c r="O6" i="91"/>
  <c r="N6" i="91"/>
  <c r="M6" i="91"/>
  <c r="L6" i="91"/>
  <c r="K6" i="91"/>
  <c r="J6" i="91"/>
  <c r="I6" i="91"/>
  <c r="H6" i="91"/>
  <c r="G6" i="91"/>
  <c r="F6" i="91"/>
  <c r="D31" i="111" l="1"/>
  <c r="N15" i="99"/>
  <c r="P15" i="99" s="1"/>
  <c r="R15" i="99"/>
  <c r="F15" i="100" s="1"/>
  <c r="R15" i="100" s="1"/>
  <c r="R29" i="99"/>
  <c r="F29" i="100" s="1"/>
  <c r="R29" i="100" s="1"/>
  <c r="F29" i="101" s="1"/>
  <c r="R29" i="101" s="1"/>
  <c r="R30" i="99"/>
  <c r="F30" i="100" s="1"/>
  <c r="R30" i="100" s="1"/>
  <c r="F30" i="101" s="1"/>
  <c r="R30" i="101" s="1"/>
  <c r="L11" i="108"/>
  <c r="F12" i="8"/>
  <c r="O12" i="147"/>
  <c r="A22" i="104"/>
  <c r="A23" i="104" s="1"/>
  <c r="A25" i="104" s="1"/>
  <c r="A28" i="104" s="1"/>
  <c r="A22" i="103"/>
  <c r="A23" i="103" s="1"/>
  <c r="A25" i="103" s="1"/>
  <c r="A28" i="103" s="1"/>
  <c r="A22" i="102"/>
  <c r="A23" i="102" s="1"/>
  <c r="A25" i="102" s="1"/>
  <c r="A28" i="102" s="1"/>
  <c r="A22" i="101"/>
  <c r="A23" i="101" s="1"/>
  <c r="A25" i="101" s="1"/>
  <c r="A28" i="101" s="1"/>
  <c r="A22" i="100"/>
  <c r="A23" i="100" s="1"/>
  <c r="A25" i="100" s="1"/>
  <c r="A28" i="100" s="1"/>
  <c r="A22" i="99"/>
  <c r="A23" i="99" s="1"/>
  <c r="A25" i="99" s="1"/>
  <c r="A28" i="99" s="1"/>
  <c r="A29" i="99" s="1"/>
  <c r="A30" i="99" s="1"/>
  <c r="A31" i="99" s="1"/>
  <c r="F56" i="110"/>
  <c r="J56" i="110"/>
  <c r="N56" i="110"/>
  <c r="G56" i="110"/>
  <c r="K56" i="110"/>
  <c r="O56" i="110"/>
  <c r="Q20" i="110"/>
  <c r="F34" i="110"/>
  <c r="G34" i="110"/>
  <c r="O34" i="110"/>
  <c r="F77" i="110"/>
  <c r="L34" i="110"/>
  <c r="M77" i="110"/>
  <c r="F31" i="111"/>
  <c r="J31" i="111"/>
  <c r="G31" i="111"/>
  <c r="H34" i="110"/>
  <c r="P34" i="110"/>
  <c r="E77" i="110"/>
  <c r="I77" i="110"/>
  <c r="M34" i="110"/>
  <c r="Q70" i="110"/>
  <c r="J77" i="110"/>
  <c r="N77" i="110"/>
  <c r="F25" i="99"/>
  <c r="H56" i="110"/>
  <c r="P56" i="110"/>
  <c r="G77" i="110"/>
  <c r="O77" i="110"/>
  <c r="Q49" i="110"/>
  <c r="E56" i="110"/>
  <c r="I56" i="110"/>
  <c r="M56" i="110"/>
  <c r="H77" i="110"/>
  <c r="L77" i="110"/>
  <c r="P77" i="110"/>
  <c r="Q32" i="110"/>
  <c r="L56" i="110"/>
  <c r="K77" i="110"/>
  <c r="E20" i="110"/>
  <c r="E34" i="110" s="1"/>
  <c r="J34" i="110"/>
  <c r="N34" i="110"/>
  <c r="Q54" i="110"/>
  <c r="Q75" i="110"/>
  <c r="E12" i="8"/>
  <c r="E31" i="111"/>
  <c r="I31" i="111"/>
  <c r="J23" i="99"/>
  <c r="J17" i="99"/>
  <c r="X17" i="108"/>
  <c r="X18" i="108" s="1"/>
  <c r="X19" i="108" s="1"/>
  <c r="X20" i="108" s="1"/>
  <c r="X21" i="108" s="1"/>
  <c r="X22" i="108" s="1"/>
  <c r="N14" i="104"/>
  <c r="N16" i="104"/>
  <c r="N13" i="99"/>
  <c r="P13" i="99" s="1"/>
  <c r="K34" i="110"/>
  <c r="Q29" i="111"/>
  <c r="H31" i="111"/>
  <c r="T44" i="108"/>
  <c r="I44" i="108"/>
  <c r="J44" i="108"/>
  <c r="G44" i="108"/>
  <c r="K44" i="108"/>
  <c r="H44" i="108"/>
  <c r="E15" i="92"/>
  <c r="L31" i="101"/>
  <c r="L31" i="99"/>
  <c r="I12" i="92"/>
  <c r="I11" i="92"/>
  <c r="C15" i="92"/>
  <c r="G15" i="92"/>
  <c r="I22" i="92"/>
  <c r="N16" i="101"/>
  <c r="N15" i="101"/>
  <c r="F16" i="100"/>
  <c r="R16" i="100" s="1"/>
  <c r="N16" i="99"/>
  <c r="P16" i="99" s="1"/>
  <c r="L31" i="100"/>
  <c r="L13" i="102"/>
  <c r="F15" i="92"/>
  <c r="L31" i="104"/>
  <c r="K14" i="111"/>
  <c r="K18" i="111" s="1"/>
  <c r="I10" i="92"/>
  <c r="I13" i="92"/>
  <c r="I14" i="92"/>
  <c r="D27" i="92"/>
  <c r="F22" i="100"/>
  <c r="N22" i="99"/>
  <c r="P22" i="99" s="1"/>
  <c r="N22" i="100"/>
  <c r="H27" i="92"/>
  <c r="L17" i="99"/>
  <c r="L17" i="103"/>
  <c r="L75" i="108" s="1"/>
  <c r="N13" i="103"/>
  <c r="N14" i="99"/>
  <c r="P14" i="99" s="1"/>
  <c r="F14" i="100"/>
  <c r="R14" i="100" s="1"/>
  <c r="N15" i="103"/>
  <c r="N16" i="103"/>
  <c r="L13" i="101"/>
  <c r="N15" i="102"/>
  <c r="L13" i="100"/>
  <c r="D15" i="92"/>
  <c r="L13" i="104"/>
  <c r="H15" i="92"/>
  <c r="I29" i="92"/>
  <c r="N16" i="102"/>
  <c r="I24" i="92"/>
  <c r="I25" i="92"/>
  <c r="E27" i="92"/>
  <c r="L31" i="102"/>
  <c r="F27" i="92"/>
  <c r="L31" i="103"/>
  <c r="C27" i="92"/>
  <c r="G27" i="92"/>
  <c r="N22" i="104"/>
  <c r="G11" i="162" l="1"/>
  <c r="H11" i="183"/>
  <c r="L71" i="108"/>
  <c r="L23" i="108"/>
  <c r="M23" i="108" s="1"/>
  <c r="Q77" i="110"/>
  <c r="A29" i="101"/>
  <c r="A30" i="101" s="1"/>
  <c r="A31" i="101" s="1"/>
  <c r="G22" i="162"/>
  <c r="J22" i="162" s="1"/>
  <c r="G20" i="162"/>
  <c r="J20" i="162" s="1"/>
  <c r="G17" i="162"/>
  <c r="G55" i="162"/>
  <c r="G23" i="162"/>
  <c r="J23" i="162" s="1"/>
  <c r="G24" i="162"/>
  <c r="J24" i="162" s="1"/>
  <c r="G25" i="162"/>
  <c r="J25" i="162" s="1"/>
  <c r="G26" i="162"/>
  <c r="J26" i="162" s="1"/>
  <c r="G18" i="162"/>
  <c r="J18" i="162" s="1"/>
  <c r="G28" i="162"/>
  <c r="J28" i="162" s="1"/>
  <c r="G27" i="162"/>
  <c r="J27" i="162" s="1"/>
  <c r="G21" i="162"/>
  <c r="J21" i="162" s="1"/>
  <c r="G19" i="162"/>
  <c r="J19" i="162" s="1"/>
  <c r="P12" i="147"/>
  <c r="J22" i="100"/>
  <c r="R22" i="100"/>
  <c r="F22" i="101" s="1"/>
  <c r="J22" i="101" s="1"/>
  <c r="P22" i="101" s="1"/>
  <c r="P14" i="111"/>
  <c r="P18" i="111" s="1"/>
  <c r="D11" i="132"/>
  <c r="E11" i="132" s="1"/>
  <c r="F11" i="132" s="1"/>
  <c r="G11" i="132" s="1"/>
  <c r="H11" i="132" s="1"/>
  <c r="I11" i="132" s="1"/>
  <c r="J11" i="132" s="1"/>
  <c r="K11" i="132" s="1"/>
  <c r="L11" i="132" s="1"/>
  <c r="M11" i="132" s="1"/>
  <c r="N11" i="132" s="1"/>
  <c r="O11" i="132" s="1"/>
  <c r="P11" i="132" s="1"/>
  <c r="A29" i="104"/>
  <c r="A30" i="104" s="1"/>
  <c r="A31" i="104" s="1"/>
  <c r="A29" i="103"/>
  <c r="A30" i="103" s="1"/>
  <c r="A31" i="103" s="1"/>
  <c r="A29" i="102"/>
  <c r="A30" i="102" s="1"/>
  <c r="A31" i="102" s="1"/>
  <c r="A29" i="100"/>
  <c r="A30" i="100" s="1"/>
  <c r="A31" i="100" s="1"/>
  <c r="F30" i="102"/>
  <c r="R30" i="102" s="1"/>
  <c r="F30" i="103" s="1"/>
  <c r="R30" i="103" s="1"/>
  <c r="F30" i="104" s="1"/>
  <c r="R30" i="104" s="1"/>
  <c r="F30" i="113" s="1"/>
  <c r="R30" i="113" s="1"/>
  <c r="F30" i="116" s="1"/>
  <c r="R30" i="116" s="1"/>
  <c r="F30" i="117" s="1"/>
  <c r="R30" i="117" s="1"/>
  <c r="F30" i="118" s="1"/>
  <c r="R30" i="118" s="1"/>
  <c r="F30" i="119" s="1"/>
  <c r="R30" i="119" s="1"/>
  <c r="F30" i="120" s="1"/>
  <c r="R30" i="120" s="1"/>
  <c r="F30" i="121" s="1"/>
  <c r="R30" i="121" s="1"/>
  <c r="F30" i="122" s="1"/>
  <c r="R30" i="122" s="1"/>
  <c r="F30" i="123" s="1"/>
  <c r="R30" i="123" s="1"/>
  <c r="F30" i="124" s="1"/>
  <c r="R30" i="124" s="1"/>
  <c r="F30" i="125" s="1"/>
  <c r="R30" i="125" s="1"/>
  <c r="F30" i="126" s="1"/>
  <c r="R30" i="126" s="1"/>
  <c r="F30" i="150" s="1"/>
  <c r="R30" i="150" s="1"/>
  <c r="F30" i="151" s="1"/>
  <c r="R30" i="151" s="1"/>
  <c r="F30" i="152" s="1"/>
  <c r="R30" i="152" s="1"/>
  <c r="F30" i="153" s="1"/>
  <c r="R30" i="153" s="1"/>
  <c r="F30" i="154" s="1"/>
  <c r="R30" i="154" s="1"/>
  <c r="F30" i="155" s="1"/>
  <c r="R30" i="155" s="1"/>
  <c r="F30" i="156" s="1"/>
  <c r="R30" i="156" s="1"/>
  <c r="F30" i="157" s="1"/>
  <c r="R30" i="157" s="1"/>
  <c r="F30" i="158" s="1"/>
  <c r="R30" i="158" s="1"/>
  <c r="F30" i="159" s="1"/>
  <c r="R30" i="159" s="1"/>
  <c r="F30" i="160" s="1"/>
  <c r="R30" i="160" s="1"/>
  <c r="F30" i="161" s="1"/>
  <c r="R30" i="161" s="1"/>
  <c r="F37" i="171" s="1"/>
  <c r="R37" i="171" s="1"/>
  <c r="F37" i="172" s="1"/>
  <c r="R37" i="172" s="1"/>
  <c r="F37" i="173" s="1"/>
  <c r="R37" i="173" s="1"/>
  <c r="F37" i="174" s="1"/>
  <c r="R37" i="174" s="1"/>
  <c r="F37" i="175" s="1"/>
  <c r="R37" i="175" s="1"/>
  <c r="F37" i="176" s="1"/>
  <c r="R37" i="176" s="1"/>
  <c r="F37" i="177" s="1"/>
  <c r="R37" i="177" s="1"/>
  <c r="F37" i="178" s="1"/>
  <c r="R37" i="178" s="1"/>
  <c r="F37" i="179" s="1"/>
  <c r="R37" i="179" s="1"/>
  <c r="F37" i="180" s="1"/>
  <c r="R37" i="180" s="1"/>
  <c r="F37" i="181" s="1"/>
  <c r="R37" i="181" s="1"/>
  <c r="F37" i="182" s="1"/>
  <c r="R37" i="182" s="1"/>
  <c r="F37" i="193" s="1"/>
  <c r="R37" i="193" s="1"/>
  <c r="F37" i="194" s="1"/>
  <c r="R37" i="194" s="1"/>
  <c r="F37" i="195" s="1"/>
  <c r="R37" i="195" s="1"/>
  <c r="F37" i="196" s="1"/>
  <c r="R37" i="196" s="1"/>
  <c r="F37" i="197" s="1"/>
  <c r="R37" i="197" s="1"/>
  <c r="F37" i="198" s="1"/>
  <c r="R37" i="198" s="1"/>
  <c r="F37" i="199" s="1"/>
  <c r="R37" i="199" s="1"/>
  <c r="F37" i="200" s="1"/>
  <c r="R37" i="200" s="1"/>
  <c r="F37" i="201" s="1"/>
  <c r="R37" i="201" s="1"/>
  <c r="F37" i="202" s="1"/>
  <c r="R37" i="202" s="1"/>
  <c r="F37" i="203" s="1"/>
  <c r="R37" i="203" s="1"/>
  <c r="F37" i="204" s="1"/>
  <c r="R37" i="204" s="1"/>
  <c r="F29" i="102"/>
  <c r="R29" i="102" s="1"/>
  <c r="F29" i="103" s="1"/>
  <c r="R29" i="103" s="1"/>
  <c r="F29" i="104" s="1"/>
  <c r="R29" i="104" s="1"/>
  <c r="F29" i="113" s="1"/>
  <c r="R29" i="113" s="1"/>
  <c r="F29" i="116" s="1"/>
  <c r="R29" i="116" s="1"/>
  <c r="F29" i="117" s="1"/>
  <c r="R29" i="117" s="1"/>
  <c r="F29" i="118" s="1"/>
  <c r="R29" i="118" s="1"/>
  <c r="F29" i="119" s="1"/>
  <c r="R29" i="119" s="1"/>
  <c r="F29" i="120" s="1"/>
  <c r="R29" i="120" s="1"/>
  <c r="F29" i="121" s="1"/>
  <c r="R29" i="121" s="1"/>
  <c r="F29" i="122" s="1"/>
  <c r="R29" i="122" s="1"/>
  <c r="F29" i="123" s="1"/>
  <c r="R29" i="123" s="1"/>
  <c r="F29" i="124" s="1"/>
  <c r="R29" i="124" s="1"/>
  <c r="F29" i="125" s="1"/>
  <c r="R29" i="125" s="1"/>
  <c r="L59" i="108"/>
  <c r="G11" i="130"/>
  <c r="J14" i="100"/>
  <c r="F14" i="101"/>
  <c r="L27" i="108"/>
  <c r="M27" i="108" s="1"/>
  <c r="N23" i="108"/>
  <c r="N71" i="108" s="1"/>
  <c r="N25" i="108"/>
  <c r="N73" i="108" s="1"/>
  <c r="Q11" i="111"/>
  <c r="Q14" i="111" s="1"/>
  <c r="Q18" i="111" s="1"/>
  <c r="L14" i="111"/>
  <c r="L18" i="111" s="1"/>
  <c r="Q34" i="110"/>
  <c r="Q56" i="110"/>
  <c r="O14" i="111"/>
  <c r="O18" i="111" s="1"/>
  <c r="N14" i="111"/>
  <c r="N18" i="111" s="1"/>
  <c r="M14" i="111"/>
  <c r="M18" i="111" s="1"/>
  <c r="J25" i="99"/>
  <c r="I15" i="92"/>
  <c r="N27" i="108"/>
  <c r="N75" i="108" s="1"/>
  <c r="N26" i="108"/>
  <c r="N74" i="108" s="1"/>
  <c r="I27" i="92"/>
  <c r="N13" i="104"/>
  <c r="L17" i="104"/>
  <c r="L76" i="108" s="1"/>
  <c r="N17" i="103"/>
  <c r="M71" i="108"/>
  <c r="L17" i="102"/>
  <c r="N13" i="102"/>
  <c r="N17" i="102" s="1"/>
  <c r="J16" i="100"/>
  <c r="P16" i="100" s="1"/>
  <c r="F16" i="101"/>
  <c r="N28" i="108"/>
  <c r="N76" i="108" s="1"/>
  <c r="P22" i="100"/>
  <c r="N17" i="99"/>
  <c r="F13" i="100"/>
  <c r="R13" i="100" s="1"/>
  <c r="R17" i="100" s="1"/>
  <c r="R17" i="99"/>
  <c r="L17" i="100"/>
  <c r="L17" i="101"/>
  <c r="N13" i="101"/>
  <c r="N17" i="101" s="1"/>
  <c r="F28" i="100"/>
  <c r="R28" i="100" s="1"/>
  <c r="R31" i="100" s="1"/>
  <c r="R31" i="99"/>
  <c r="K12" i="91" s="1"/>
  <c r="M75" i="108"/>
  <c r="J15" i="100"/>
  <c r="P15" i="100" s="1"/>
  <c r="F15" i="101"/>
  <c r="N24" i="108"/>
  <c r="N72" i="108" s="1"/>
  <c r="P17" i="99"/>
  <c r="O23" i="108" s="1"/>
  <c r="H11" i="205" l="1"/>
  <c r="H17" i="205" s="1"/>
  <c r="H19" i="205"/>
  <c r="M19" i="205" s="1"/>
  <c r="H27" i="205"/>
  <c r="M27" i="205" s="1"/>
  <c r="H25" i="205"/>
  <c r="M25" i="205" s="1"/>
  <c r="H28" i="205"/>
  <c r="M28" i="205" s="1"/>
  <c r="H24" i="205"/>
  <c r="M24" i="205" s="1"/>
  <c r="H20" i="205"/>
  <c r="M20" i="205" s="1"/>
  <c r="H22" i="205"/>
  <c r="M22" i="205" s="1"/>
  <c r="H21" i="205"/>
  <c r="M21" i="205" s="1"/>
  <c r="H26" i="205"/>
  <c r="M26" i="205" s="1"/>
  <c r="H17" i="183"/>
  <c r="H20" i="183"/>
  <c r="L20" i="183" s="1"/>
  <c r="H27" i="183"/>
  <c r="L27" i="183" s="1"/>
  <c r="H19" i="183"/>
  <c r="L19" i="183" s="1"/>
  <c r="H23" i="183"/>
  <c r="L23" i="183" s="1"/>
  <c r="H24" i="183"/>
  <c r="L24" i="183" s="1"/>
  <c r="H22" i="183"/>
  <c r="L22" i="183" s="1"/>
  <c r="H55" i="183"/>
  <c r="H25" i="183"/>
  <c r="L25" i="183" s="1"/>
  <c r="H28" i="183"/>
  <c r="L28" i="183" s="1"/>
  <c r="H26" i="183"/>
  <c r="L26" i="183" s="1"/>
  <c r="H21" i="183"/>
  <c r="L21" i="183" s="1"/>
  <c r="H18" i="183"/>
  <c r="L18" i="183" s="1"/>
  <c r="D11" i="147"/>
  <c r="D14" i="147" s="1"/>
  <c r="D18" i="147" s="1"/>
  <c r="F50" i="165"/>
  <c r="L74" i="108"/>
  <c r="M74" i="108" s="1"/>
  <c r="L26" i="108"/>
  <c r="M26" i="108" s="1"/>
  <c r="P14" i="100"/>
  <c r="G66" i="162"/>
  <c r="J66" i="162" s="1"/>
  <c r="G72" i="162"/>
  <c r="J72" i="162" s="1"/>
  <c r="G67" i="162"/>
  <c r="J67" i="162" s="1"/>
  <c r="G61" i="162"/>
  <c r="G62" i="162"/>
  <c r="J62" i="162" s="1"/>
  <c r="G68" i="162"/>
  <c r="J68" i="162" s="1"/>
  <c r="G63" i="162"/>
  <c r="J63" i="162" s="1"/>
  <c r="G70" i="162"/>
  <c r="J70" i="162" s="1"/>
  <c r="G65" i="162"/>
  <c r="J65" i="162" s="1"/>
  <c r="G64" i="162"/>
  <c r="J64" i="162" s="1"/>
  <c r="G71" i="162"/>
  <c r="J71" i="162" s="1"/>
  <c r="G69" i="162"/>
  <c r="J69" i="162" s="1"/>
  <c r="G44" i="162"/>
  <c r="J17" i="162"/>
  <c r="J44" i="162" s="1"/>
  <c r="L73" i="108"/>
  <c r="M73" i="108" s="1"/>
  <c r="L25" i="108"/>
  <c r="M25" i="108" s="1"/>
  <c r="L72" i="108"/>
  <c r="M72" i="108" s="1"/>
  <c r="L24" i="108"/>
  <c r="M24" i="108" s="1"/>
  <c r="G19" i="130"/>
  <c r="G23" i="130"/>
  <c r="G27" i="130"/>
  <c r="G21" i="130"/>
  <c r="G25" i="130"/>
  <c r="G22" i="130"/>
  <c r="G26" i="130"/>
  <c r="G20" i="130"/>
  <c r="G24" i="130"/>
  <c r="G28" i="130"/>
  <c r="I28" i="130" s="1"/>
  <c r="G17" i="130"/>
  <c r="I17" i="130" s="1"/>
  <c r="G18" i="130"/>
  <c r="M20" i="147"/>
  <c r="I20" i="147"/>
  <c r="L20" i="146"/>
  <c r="P20" i="146"/>
  <c r="L20" i="147"/>
  <c r="I20" i="146"/>
  <c r="K20" i="147"/>
  <c r="J20" i="146"/>
  <c r="N20" i="147"/>
  <c r="J20" i="147"/>
  <c r="K20" i="146"/>
  <c r="O20" i="146"/>
  <c r="P20" i="147"/>
  <c r="M20" i="146"/>
  <c r="O20" i="147"/>
  <c r="N20" i="146"/>
  <c r="Q12" i="147"/>
  <c r="D14" i="132"/>
  <c r="D18" i="132" s="1"/>
  <c r="D22" i="132" s="1"/>
  <c r="D31" i="132" s="1"/>
  <c r="O71" i="108"/>
  <c r="K13" i="91"/>
  <c r="J14" i="101"/>
  <c r="P14" i="101" s="1"/>
  <c r="R14" i="101"/>
  <c r="F14" i="102" s="1"/>
  <c r="G54" i="130"/>
  <c r="N17" i="104"/>
  <c r="Q12" i="132"/>
  <c r="L28" i="108"/>
  <c r="M28" i="108" s="1"/>
  <c r="F29" i="126"/>
  <c r="R29" i="126" s="1"/>
  <c r="F29" i="150" s="1"/>
  <c r="R29" i="150" s="1"/>
  <c r="F29" i="151" s="1"/>
  <c r="R29" i="151" s="1"/>
  <c r="F29" i="152" s="1"/>
  <c r="R29" i="152" s="1"/>
  <c r="F29" i="153" s="1"/>
  <c r="R29" i="153" s="1"/>
  <c r="F29" i="154" s="1"/>
  <c r="R29" i="154" s="1"/>
  <c r="F29" i="155" s="1"/>
  <c r="R29" i="155" s="1"/>
  <c r="F29" i="156" s="1"/>
  <c r="R29" i="156" s="1"/>
  <c r="F29" i="157" s="1"/>
  <c r="R29" i="157" s="1"/>
  <c r="F29" i="158" s="1"/>
  <c r="R29" i="158" s="1"/>
  <c r="F29" i="159" s="1"/>
  <c r="R29" i="159" s="1"/>
  <c r="F29" i="160" s="1"/>
  <c r="R29" i="160" s="1"/>
  <c r="F29" i="161" s="1"/>
  <c r="R29" i="161" s="1"/>
  <c r="F36" i="171" s="1"/>
  <c r="J87" i="130"/>
  <c r="J44" i="130"/>
  <c r="P22" i="111"/>
  <c r="P31" i="111" s="1"/>
  <c r="N44" i="108"/>
  <c r="N92" i="108"/>
  <c r="R22" i="101"/>
  <c r="J15" i="101"/>
  <c r="P15" i="101" s="1"/>
  <c r="R15" i="101"/>
  <c r="F15" i="102" s="1"/>
  <c r="P71" i="108"/>
  <c r="Q71" i="108" s="1"/>
  <c r="R23" i="108" s="1"/>
  <c r="S23" i="108" s="1"/>
  <c r="F31" i="100"/>
  <c r="J16" i="101"/>
  <c r="P16" i="101" s="1"/>
  <c r="R16" i="101"/>
  <c r="F16" i="102" s="1"/>
  <c r="F13" i="101"/>
  <c r="F17" i="100"/>
  <c r="J13" i="100"/>
  <c r="M76" i="108"/>
  <c r="C11" i="149" l="1"/>
  <c r="H56" i="205"/>
  <c r="H18" i="205"/>
  <c r="M18" i="205" s="1"/>
  <c r="H23" i="205"/>
  <c r="M23" i="205" s="1"/>
  <c r="H62" i="205"/>
  <c r="M62" i="205" s="1"/>
  <c r="H68" i="205"/>
  <c r="M68" i="205" s="1"/>
  <c r="H65" i="205"/>
  <c r="M65" i="205" s="1"/>
  <c r="H72" i="205"/>
  <c r="M72" i="205" s="1"/>
  <c r="H63" i="205"/>
  <c r="H69" i="205"/>
  <c r="M69" i="205" s="1"/>
  <c r="H66" i="205"/>
  <c r="M66" i="205" s="1"/>
  <c r="H67" i="205"/>
  <c r="M67" i="205" s="1"/>
  <c r="H73" i="205"/>
  <c r="M73" i="205" s="1"/>
  <c r="H64" i="205"/>
  <c r="M64" i="205" s="1"/>
  <c r="H70" i="205"/>
  <c r="M70" i="205" s="1"/>
  <c r="H71" i="205"/>
  <c r="M71" i="205" s="1"/>
  <c r="H44" i="205"/>
  <c r="M17" i="205"/>
  <c r="H72" i="183"/>
  <c r="L72" i="183" s="1"/>
  <c r="H71" i="183"/>
  <c r="L71" i="183" s="1"/>
  <c r="H69" i="183"/>
  <c r="L69" i="183" s="1"/>
  <c r="H62" i="183"/>
  <c r="L62" i="183" s="1"/>
  <c r="H63" i="183"/>
  <c r="L63" i="183" s="1"/>
  <c r="H65" i="183"/>
  <c r="L65" i="183" s="1"/>
  <c r="H67" i="183"/>
  <c r="L67" i="183" s="1"/>
  <c r="H61" i="183"/>
  <c r="H66" i="183"/>
  <c r="L66" i="183" s="1"/>
  <c r="H64" i="183"/>
  <c r="L64" i="183" s="1"/>
  <c r="H70" i="183"/>
  <c r="L70" i="183" s="1"/>
  <c r="H68" i="183"/>
  <c r="L68" i="183" s="1"/>
  <c r="C15" i="149"/>
  <c r="O11" i="149"/>
  <c r="O15" i="149" s="1"/>
  <c r="E11" i="147"/>
  <c r="F11" i="147" s="1"/>
  <c r="Q20" i="146"/>
  <c r="Q20" i="147"/>
  <c r="L17" i="183"/>
  <c r="L44" i="183" s="1"/>
  <c r="H44" i="183"/>
  <c r="R36" i="171"/>
  <c r="G61" i="130"/>
  <c r="I61" i="130" s="1"/>
  <c r="G62" i="130"/>
  <c r="I62" i="130" s="1"/>
  <c r="G68" i="130"/>
  <c r="I68" i="130" s="1"/>
  <c r="G63" i="130"/>
  <c r="I63" i="130" s="1"/>
  <c r="G69" i="130"/>
  <c r="I69" i="130" s="1"/>
  <c r="G65" i="130"/>
  <c r="I65" i="130" s="1"/>
  <c r="G64" i="130"/>
  <c r="I64" i="130" s="1"/>
  <c r="G70" i="130"/>
  <c r="I70" i="130" s="1"/>
  <c r="G71" i="130"/>
  <c r="I71" i="130" s="1"/>
  <c r="G66" i="130"/>
  <c r="I66" i="130" s="1"/>
  <c r="G60" i="130"/>
  <c r="I60" i="130" s="1"/>
  <c r="G67" i="130"/>
  <c r="I67" i="130" s="1"/>
  <c r="N17" i="100"/>
  <c r="G88" i="162"/>
  <c r="J61" i="162"/>
  <c r="J88" i="162" s="1"/>
  <c r="D22" i="147"/>
  <c r="D31" i="147" s="1"/>
  <c r="I23" i="130"/>
  <c r="I24" i="130"/>
  <c r="P23" i="108"/>
  <c r="Q23" i="108" s="1"/>
  <c r="U23" i="108" s="1"/>
  <c r="K16" i="91" s="1"/>
  <c r="F22" i="102"/>
  <c r="J22" i="102" s="1"/>
  <c r="P22" i="102" s="1"/>
  <c r="I25" i="130"/>
  <c r="I27" i="130"/>
  <c r="I18" i="130"/>
  <c r="I20" i="130"/>
  <c r="I22" i="130"/>
  <c r="J14" i="102"/>
  <c r="P14" i="102" s="1"/>
  <c r="R14" i="102"/>
  <c r="F14" i="103" s="1"/>
  <c r="I19" i="130"/>
  <c r="I21" i="130"/>
  <c r="G44" i="130"/>
  <c r="I26" i="130"/>
  <c r="N22" i="111"/>
  <c r="N31" i="111" s="1"/>
  <c r="Q22" i="111"/>
  <c r="Q31" i="111" s="1"/>
  <c r="M22" i="111"/>
  <c r="M31" i="111" s="1"/>
  <c r="L22" i="111"/>
  <c r="L31" i="111" s="1"/>
  <c r="O22" i="111"/>
  <c r="O31" i="111" s="1"/>
  <c r="K22" i="111"/>
  <c r="K31" i="111" s="1"/>
  <c r="L44" i="108"/>
  <c r="L92" i="108"/>
  <c r="J13" i="101"/>
  <c r="F17" i="101"/>
  <c r="R13" i="101"/>
  <c r="F13" i="102" s="1"/>
  <c r="F17" i="102" s="1"/>
  <c r="J16" i="102"/>
  <c r="P16" i="102" s="1"/>
  <c r="R16" i="102"/>
  <c r="F16" i="103" s="1"/>
  <c r="J17" i="100"/>
  <c r="F28" i="101"/>
  <c r="L12" i="91"/>
  <c r="J15" i="102"/>
  <c r="P15" i="102" s="1"/>
  <c r="R15" i="102"/>
  <c r="F15" i="103" s="1"/>
  <c r="M44" i="108"/>
  <c r="M92" i="108"/>
  <c r="M44" i="205" l="1"/>
  <c r="H89" i="205"/>
  <c r="M63" i="205"/>
  <c r="M89" i="205" s="1"/>
  <c r="H88" i="183"/>
  <c r="L61" i="183"/>
  <c r="L88" i="183" s="1"/>
  <c r="E14" i="147"/>
  <c r="E18" i="147" s="1"/>
  <c r="F36" i="172"/>
  <c r="P13" i="100"/>
  <c r="P17" i="100" s="1"/>
  <c r="O24" i="108" s="1"/>
  <c r="O72" i="108" s="1"/>
  <c r="P72" i="108" s="1"/>
  <c r="Q72" i="108" s="1"/>
  <c r="R24" i="108" s="1"/>
  <c r="S24" i="108" s="1"/>
  <c r="G11" i="147"/>
  <c r="F14" i="147"/>
  <c r="F18" i="147" s="1"/>
  <c r="F22" i="147" s="1"/>
  <c r="F31" i="147" s="1"/>
  <c r="L13" i="91"/>
  <c r="R22" i="102"/>
  <c r="F22" i="103" s="1"/>
  <c r="J22" i="103" s="1"/>
  <c r="I87" i="130"/>
  <c r="J14" i="103"/>
  <c r="P14" i="103" s="1"/>
  <c r="R14" i="103"/>
  <c r="F14" i="104" s="1"/>
  <c r="G87" i="130"/>
  <c r="I44" i="130"/>
  <c r="J15" i="103"/>
  <c r="P15" i="103" s="1"/>
  <c r="R15" i="103"/>
  <c r="F15" i="104" s="1"/>
  <c r="F31" i="101"/>
  <c r="R28" i="101"/>
  <c r="F28" i="102" s="1"/>
  <c r="F31" i="102" s="1"/>
  <c r="J16" i="103"/>
  <c r="P16" i="103" s="1"/>
  <c r="R16" i="103"/>
  <c r="F16" i="104" s="1"/>
  <c r="J17" i="101"/>
  <c r="P13" i="101"/>
  <c r="P17" i="101" s="1"/>
  <c r="O25" i="108" s="1"/>
  <c r="V23" i="108"/>
  <c r="X23" i="108" s="1"/>
  <c r="R17" i="101"/>
  <c r="E22" i="147" l="1"/>
  <c r="E31" i="147" s="1"/>
  <c r="R36" i="172"/>
  <c r="H11" i="147"/>
  <c r="G14" i="147"/>
  <c r="G18" i="147" s="1"/>
  <c r="G22" i="147" s="1"/>
  <c r="G31" i="147" s="1"/>
  <c r="P24" i="108"/>
  <c r="Q24" i="108" s="1"/>
  <c r="U24" i="108" s="1"/>
  <c r="O73" i="108"/>
  <c r="P73" i="108" s="1"/>
  <c r="Q73" i="108" s="1"/>
  <c r="R25" i="108" s="1"/>
  <c r="S25" i="108" s="1"/>
  <c r="M13" i="91"/>
  <c r="E14" i="132"/>
  <c r="E18" i="132" s="1"/>
  <c r="E22" i="132" s="1"/>
  <c r="E31" i="132" s="1"/>
  <c r="R31" i="101"/>
  <c r="M12" i="91" s="1"/>
  <c r="J13" i="102"/>
  <c r="R13" i="102"/>
  <c r="J15" i="104"/>
  <c r="P15" i="104" s="1"/>
  <c r="R15" i="104"/>
  <c r="F15" i="113" s="1"/>
  <c r="J14" i="104"/>
  <c r="P14" i="104" s="1"/>
  <c r="R14" i="104"/>
  <c r="F14" i="113" s="1"/>
  <c r="J16" i="104"/>
  <c r="P16" i="104" s="1"/>
  <c r="R16" i="104"/>
  <c r="F16" i="113" s="1"/>
  <c r="V24" i="108" l="1"/>
  <c r="X24" i="108" s="1"/>
  <c r="L16" i="91"/>
  <c r="F36" i="173"/>
  <c r="I11" i="147"/>
  <c r="H14" i="147"/>
  <c r="H18" i="147" s="1"/>
  <c r="H22" i="147" s="1"/>
  <c r="H31" i="147" s="1"/>
  <c r="P25" i="108"/>
  <c r="Q25" i="108" s="1"/>
  <c r="U25" i="108" s="1"/>
  <c r="R14" i="113"/>
  <c r="F14" i="116" s="1"/>
  <c r="J14" i="113"/>
  <c r="P14" i="113" s="1"/>
  <c r="R16" i="113"/>
  <c r="F16" i="116" s="1"/>
  <c r="J16" i="113"/>
  <c r="P16" i="113" s="1"/>
  <c r="R15" i="113"/>
  <c r="F15" i="116" s="1"/>
  <c r="J15" i="113"/>
  <c r="P15" i="113" s="1"/>
  <c r="P13" i="102"/>
  <c r="P17" i="102" s="1"/>
  <c r="O26" i="108" s="1"/>
  <c r="J17" i="102"/>
  <c r="F13" i="103"/>
  <c r="R17" i="102"/>
  <c r="R28" i="102"/>
  <c r="V25" i="108" l="1"/>
  <c r="X25" i="108" s="1"/>
  <c r="M16" i="91"/>
  <c r="R36" i="173"/>
  <c r="J11" i="147"/>
  <c r="I14" i="147"/>
  <c r="I18" i="147" s="1"/>
  <c r="I22" i="147" s="1"/>
  <c r="I31" i="147" s="1"/>
  <c r="N13" i="91"/>
  <c r="O74" i="108"/>
  <c r="P74" i="108" s="1"/>
  <c r="Q74" i="108" s="1"/>
  <c r="R26" i="108" s="1"/>
  <c r="S26" i="108" s="1"/>
  <c r="F14" i="132"/>
  <c r="F18" i="132" s="1"/>
  <c r="F22" i="132" s="1"/>
  <c r="F31" i="132" s="1"/>
  <c r="R15" i="116"/>
  <c r="F15" i="117" s="1"/>
  <c r="J15" i="116"/>
  <c r="P15" i="116" s="1"/>
  <c r="R16" i="116"/>
  <c r="F16" i="117" s="1"/>
  <c r="J16" i="116"/>
  <c r="P16" i="116" s="1"/>
  <c r="J14" i="116"/>
  <c r="P14" i="116" s="1"/>
  <c r="R14" i="116"/>
  <c r="F14" i="117" s="1"/>
  <c r="J13" i="103"/>
  <c r="F17" i="103"/>
  <c r="R13" i="103"/>
  <c r="R31" i="102"/>
  <c r="N12" i="91" s="1"/>
  <c r="F28" i="103"/>
  <c r="F36" i="174" l="1"/>
  <c r="K11" i="147"/>
  <c r="J14" i="147"/>
  <c r="J18" i="147" s="1"/>
  <c r="J22" i="147" s="1"/>
  <c r="J31" i="147" s="1"/>
  <c r="P26" i="108"/>
  <c r="Q26" i="108" s="1"/>
  <c r="U26" i="108" s="1"/>
  <c r="R14" i="117"/>
  <c r="F14" i="118" s="1"/>
  <c r="J14" i="117"/>
  <c r="P14" i="117" s="1"/>
  <c r="R16" i="117"/>
  <c r="F16" i="118" s="1"/>
  <c r="J16" i="117"/>
  <c r="P16" i="117" s="1"/>
  <c r="J15" i="117"/>
  <c r="P15" i="117" s="1"/>
  <c r="R15" i="117"/>
  <c r="F15" i="118" s="1"/>
  <c r="P13" i="103"/>
  <c r="P17" i="103" s="1"/>
  <c r="O27" i="108" s="1"/>
  <c r="J17" i="103"/>
  <c r="F31" i="103"/>
  <c r="R28" i="103"/>
  <c r="F13" i="104"/>
  <c r="R17" i="103"/>
  <c r="V26" i="108" l="1"/>
  <c r="X26" i="108" s="1"/>
  <c r="N16" i="91"/>
  <c r="R36" i="174"/>
  <c r="L11" i="147"/>
  <c r="K14" i="147"/>
  <c r="K18" i="147" s="1"/>
  <c r="K22" i="147" s="1"/>
  <c r="K31" i="147" s="1"/>
  <c r="O13" i="91"/>
  <c r="O75" i="108"/>
  <c r="P75" i="108" s="1"/>
  <c r="Q75" i="108" s="1"/>
  <c r="R27" i="108" s="1"/>
  <c r="S27" i="108" s="1"/>
  <c r="G14" i="132"/>
  <c r="G18" i="132" s="1"/>
  <c r="G22" i="132" s="1"/>
  <c r="G31" i="132" s="1"/>
  <c r="R16" i="118"/>
  <c r="F16" i="119" s="1"/>
  <c r="J16" i="118"/>
  <c r="P16" i="118" s="1"/>
  <c r="R15" i="118"/>
  <c r="F15" i="119" s="1"/>
  <c r="J15" i="118"/>
  <c r="P15" i="118" s="1"/>
  <c r="R14" i="118"/>
  <c r="F14" i="119" s="1"/>
  <c r="J14" i="118"/>
  <c r="P14" i="118" s="1"/>
  <c r="F17" i="104"/>
  <c r="J13" i="104"/>
  <c r="R13" i="104"/>
  <c r="R31" i="103"/>
  <c r="O12" i="91" s="1"/>
  <c r="F28" i="104"/>
  <c r="F36" i="175" l="1"/>
  <c r="M11" i="147"/>
  <c r="L14" i="147"/>
  <c r="L18" i="147" s="1"/>
  <c r="L22" i="147" s="1"/>
  <c r="L31" i="147" s="1"/>
  <c r="P27" i="108"/>
  <c r="Q27" i="108" s="1"/>
  <c r="U27" i="108" s="1"/>
  <c r="R14" i="119"/>
  <c r="F14" i="120" s="1"/>
  <c r="J14" i="119"/>
  <c r="P14" i="119" s="1"/>
  <c r="J15" i="119"/>
  <c r="P15" i="119" s="1"/>
  <c r="R15" i="119"/>
  <c r="F15" i="120" s="1"/>
  <c r="R17" i="104"/>
  <c r="F13" i="113"/>
  <c r="R16" i="119"/>
  <c r="F16" i="120" s="1"/>
  <c r="J16" i="119"/>
  <c r="P16" i="119" s="1"/>
  <c r="F31" i="104"/>
  <c r="R28" i="104"/>
  <c r="J17" i="104"/>
  <c r="P13" i="104"/>
  <c r="P17" i="104" s="1"/>
  <c r="O28" i="108" s="1"/>
  <c r="V27" i="108" l="1"/>
  <c r="X27" i="108" s="1"/>
  <c r="O16" i="91"/>
  <c r="R36" i="175"/>
  <c r="N11" i="147"/>
  <c r="M14" i="147"/>
  <c r="M18" i="147" s="1"/>
  <c r="M22" i="147" s="1"/>
  <c r="M31" i="147" s="1"/>
  <c r="O76" i="108"/>
  <c r="P76" i="108" s="1"/>
  <c r="Q76" i="108" s="1"/>
  <c r="R28" i="108" s="1"/>
  <c r="S28" i="108" s="1"/>
  <c r="P13" i="91"/>
  <c r="H14" i="132"/>
  <c r="H18" i="132" s="1"/>
  <c r="H22" i="132" s="1"/>
  <c r="H31" i="132" s="1"/>
  <c r="R16" i="120"/>
  <c r="F16" i="121" s="1"/>
  <c r="J16" i="120"/>
  <c r="P16" i="120" s="1"/>
  <c r="J14" i="120"/>
  <c r="P14" i="120" s="1"/>
  <c r="R14" i="120"/>
  <c r="F14" i="121" s="1"/>
  <c r="F17" i="113"/>
  <c r="R13" i="113"/>
  <c r="J13" i="113"/>
  <c r="P13" i="113" s="1"/>
  <c r="R15" i="120"/>
  <c r="F15" i="121" s="1"/>
  <c r="J15" i="120"/>
  <c r="P15" i="120" s="1"/>
  <c r="R31" i="104"/>
  <c r="P12" i="91" s="1"/>
  <c r="F28" i="113"/>
  <c r="F36" i="176" l="1"/>
  <c r="O11" i="147"/>
  <c r="N14" i="147"/>
  <c r="N18" i="147" s="1"/>
  <c r="N22" i="147" s="1"/>
  <c r="N31" i="147" s="1"/>
  <c r="P28" i="108"/>
  <c r="Q28" i="108" s="1"/>
  <c r="U28" i="108" s="1"/>
  <c r="R16" i="121"/>
  <c r="F16" i="122" s="1"/>
  <c r="J16" i="121"/>
  <c r="P16" i="121" s="1"/>
  <c r="R15" i="121"/>
  <c r="F15" i="122" s="1"/>
  <c r="J15" i="121"/>
  <c r="P15" i="121" s="1"/>
  <c r="R14" i="121"/>
  <c r="F14" i="122" s="1"/>
  <c r="J14" i="121"/>
  <c r="P14" i="121" s="1"/>
  <c r="Q13" i="91"/>
  <c r="D13" i="131"/>
  <c r="J17" i="113"/>
  <c r="F13" i="116"/>
  <c r="R17" i="113"/>
  <c r="Q12" i="91"/>
  <c r="D12" i="131"/>
  <c r="F31" i="113"/>
  <c r="R28" i="113"/>
  <c r="E12" i="131" s="1"/>
  <c r="Q16" i="130" l="1"/>
  <c r="T16" i="130" s="1"/>
  <c r="P16" i="91"/>
  <c r="R36" i="176"/>
  <c r="P11" i="147"/>
  <c r="D11" i="168" s="1"/>
  <c r="E11" i="168" s="1"/>
  <c r="F11" i="168" s="1"/>
  <c r="G11" i="168" s="1"/>
  <c r="H11" i="168" s="1"/>
  <c r="I11" i="168" s="1"/>
  <c r="J11" i="168" s="1"/>
  <c r="K11" i="168" s="1"/>
  <c r="L11" i="168" s="1"/>
  <c r="M11" i="168" s="1"/>
  <c r="O14" i="147"/>
  <c r="O18" i="147" s="1"/>
  <c r="O22" i="147" s="1"/>
  <c r="O31" i="147" s="1"/>
  <c r="I14" i="132"/>
  <c r="I18" i="132" s="1"/>
  <c r="I22" i="132" s="1"/>
  <c r="I31" i="132" s="1"/>
  <c r="P17" i="113"/>
  <c r="K60" i="130" s="1"/>
  <c r="L60" i="130" s="1"/>
  <c r="E13" i="131"/>
  <c r="R13" i="116"/>
  <c r="J13" i="116"/>
  <c r="F17" i="116"/>
  <c r="J14" i="122"/>
  <c r="P14" i="122" s="1"/>
  <c r="R14" i="122"/>
  <c r="F14" i="123" s="1"/>
  <c r="R16" i="122"/>
  <c r="F16" i="123" s="1"/>
  <c r="J16" i="122"/>
  <c r="P16" i="122" s="1"/>
  <c r="R15" i="122"/>
  <c r="F15" i="123" s="1"/>
  <c r="J15" i="122"/>
  <c r="P15" i="122" s="1"/>
  <c r="R31" i="113"/>
  <c r="F28" i="116"/>
  <c r="V28" i="108"/>
  <c r="X28" i="108" s="1"/>
  <c r="U44" i="108"/>
  <c r="O44" i="108"/>
  <c r="O92" i="108"/>
  <c r="D16" i="131" l="1"/>
  <c r="N11" i="168"/>
  <c r="O11" i="168" s="1"/>
  <c r="P11" i="168" s="1"/>
  <c r="D14" i="168"/>
  <c r="D18" i="168" s="1"/>
  <c r="D22" i="168" s="1"/>
  <c r="D31" i="168" s="1"/>
  <c r="F36" i="177"/>
  <c r="P14" i="147"/>
  <c r="P18" i="147" s="1"/>
  <c r="P22" i="147" s="1"/>
  <c r="P31" i="147" s="1"/>
  <c r="Q11" i="147"/>
  <c r="Q14" i="147" s="1"/>
  <c r="Q18" i="147" s="1"/>
  <c r="K17" i="130"/>
  <c r="L17" i="130" s="1"/>
  <c r="M17" i="130" s="1"/>
  <c r="M60" i="130"/>
  <c r="R15" i="123"/>
  <c r="F15" i="124" s="1"/>
  <c r="J15" i="123"/>
  <c r="P15" i="123" s="1"/>
  <c r="R16" i="123"/>
  <c r="F16" i="124" s="1"/>
  <c r="J16" i="123"/>
  <c r="P16" i="123" s="1"/>
  <c r="J14" i="123"/>
  <c r="P14" i="123" s="1"/>
  <c r="R14" i="123"/>
  <c r="F14" i="124" s="1"/>
  <c r="J17" i="116"/>
  <c r="P13" i="116"/>
  <c r="F13" i="117"/>
  <c r="R17" i="116"/>
  <c r="R28" i="116"/>
  <c r="F12" i="131" s="1"/>
  <c r="F31" i="116"/>
  <c r="P92" i="108"/>
  <c r="Q44" i="108"/>
  <c r="P44" i="108"/>
  <c r="Q22" i="147" l="1"/>
  <c r="Q31" i="147" s="1"/>
  <c r="E14" i="168"/>
  <c r="E18" i="168" s="1"/>
  <c r="E22" i="168" s="1"/>
  <c r="E31" i="168" s="1"/>
  <c r="R36" i="177"/>
  <c r="J14" i="132"/>
  <c r="J18" i="132" s="1"/>
  <c r="J22" i="132" s="1"/>
  <c r="J31" i="132" s="1"/>
  <c r="P17" i="116"/>
  <c r="K61" i="130" s="1"/>
  <c r="L61" i="130" s="1"/>
  <c r="F13" i="131"/>
  <c r="J15" i="124"/>
  <c r="P15" i="124" s="1"/>
  <c r="R15" i="124"/>
  <c r="F15" i="125" s="1"/>
  <c r="R16" i="124"/>
  <c r="F16" i="125" s="1"/>
  <c r="J16" i="124"/>
  <c r="P16" i="124" s="1"/>
  <c r="R14" i="124"/>
  <c r="F14" i="125" s="1"/>
  <c r="J14" i="124"/>
  <c r="P14" i="124" s="1"/>
  <c r="J13" i="117"/>
  <c r="R13" i="117"/>
  <c r="F17" i="117"/>
  <c r="F28" i="117"/>
  <c r="R31" i="116"/>
  <c r="Q92" i="108"/>
  <c r="T19" i="194" l="1"/>
  <c r="T20" i="194" s="1"/>
  <c r="T19" i="193"/>
  <c r="T20" i="193" s="1"/>
  <c r="E14" i="191"/>
  <c r="E18" i="191" s="1"/>
  <c r="E22" i="191" s="1"/>
  <c r="E31" i="191" s="1"/>
  <c r="T19" i="195"/>
  <c r="T20" i="195" s="1"/>
  <c r="F14" i="191"/>
  <c r="F18" i="191" s="1"/>
  <c r="F22" i="191" s="1"/>
  <c r="F31" i="191" s="1"/>
  <c r="F14" i="168"/>
  <c r="F18" i="168" s="1"/>
  <c r="F22" i="168" s="1"/>
  <c r="F31" i="168" s="1"/>
  <c r="F36" i="178"/>
  <c r="K18" i="130"/>
  <c r="L18" i="130" s="1"/>
  <c r="R14" i="125"/>
  <c r="F14" i="126" s="1"/>
  <c r="M61" i="130"/>
  <c r="N17" i="130"/>
  <c r="O17" i="130" s="1"/>
  <c r="J16" i="125"/>
  <c r="P16" i="125" s="1"/>
  <c r="R16" i="125"/>
  <c r="F16" i="126" s="1"/>
  <c r="F13" i="118"/>
  <c r="R17" i="117"/>
  <c r="P13" i="117"/>
  <c r="J17" i="117"/>
  <c r="R15" i="125"/>
  <c r="F15" i="126" s="1"/>
  <c r="J15" i="125"/>
  <c r="P15" i="125" s="1"/>
  <c r="F31" i="117"/>
  <c r="R28" i="117"/>
  <c r="G12" i="131" s="1"/>
  <c r="S44" i="108"/>
  <c r="R44" i="108"/>
  <c r="I18" i="92"/>
  <c r="L21" i="104"/>
  <c r="L21" i="102"/>
  <c r="L20" i="103"/>
  <c r="L20" i="104"/>
  <c r="N20" i="104" s="1"/>
  <c r="L21" i="100"/>
  <c r="N21" i="100" s="1"/>
  <c r="L21" i="99"/>
  <c r="D20" i="92"/>
  <c r="L20" i="100"/>
  <c r="I17" i="92"/>
  <c r="T19" i="196" l="1"/>
  <c r="T20" i="196" s="1"/>
  <c r="G14" i="191"/>
  <c r="G18" i="191" s="1"/>
  <c r="G22" i="191" s="1"/>
  <c r="G31" i="191" s="1"/>
  <c r="G14" i="168"/>
  <c r="G18" i="168" s="1"/>
  <c r="G22" i="168" s="1"/>
  <c r="G31" i="168" s="1"/>
  <c r="R36" i="178"/>
  <c r="R21" i="99"/>
  <c r="F21" i="100" s="1"/>
  <c r="K14" i="132"/>
  <c r="K18" i="132" s="1"/>
  <c r="K22" i="132" s="1"/>
  <c r="K31" i="132" s="1"/>
  <c r="P17" i="117"/>
  <c r="K19" i="130" s="1"/>
  <c r="G13" i="131"/>
  <c r="J14" i="125"/>
  <c r="P14" i="125" s="1"/>
  <c r="J14" i="126"/>
  <c r="P14" i="126" s="1"/>
  <c r="M18" i="130"/>
  <c r="R14" i="126"/>
  <c r="F14" i="150" s="1"/>
  <c r="R13" i="118"/>
  <c r="J13" i="118"/>
  <c r="F17" i="118"/>
  <c r="R15" i="126"/>
  <c r="F15" i="150" s="1"/>
  <c r="J15" i="126"/>
  <c r="P15" i="126" s="1"/>
  <c r="J16" i="126"/>
  <c r="P16" i="126" s="1"/>
  <c r="R16" i="126"/>
  <c r="F16" i="150" s="1"/>
  <c r="R31" i="117"/>
  <c r="F28" i="118"/>
  <c r="L23" i="104"/>
  <c r="L25" i="104" s="1"/>
  <c r="N21" i="99"/>
  <c r="P21" i="99" s="1"/>
  <c r="L20" i="102"/>
  <c r="F20" i="92"/>
  <c r="N20" i="103"/>
  <c r="G20" i="92"/>
  <c r="N20" i="100"/>
  <c r="N23" i="100" s="1"/>
  <c r="N25" i="100" s="1"/>
  <c r="L23" i="100"/>
  <c r="L25" i="100" s="1"/>
  <c r="E20" i="92"/>
  <c r="L20" i="101"/>
  <c r="H20" i="92"/>
  <c r="L20" i="99"/>
  <c r="R20" i="99" s="1"/>
  <c r="C20" i="92"/>
  <c r="N21" i="102"/>
  <c r="I19" i="92"/>
  <c r="I20" i="92" s="1"/>
  <c r="L22" i="103"/>
  <c r="L23" i="103" s="1"/>
  <c r="L25" i="103" s="1"/>
  <c r="N21" i="104"/>
  <c r="N23" i="104" s="1"/>
  <c r="N25" i="104" s="1"/>
  <c r="T19" i="197" l="1"/>
  <c r="T20" i="197" s="1"/>
  <c r="H14" i="191"/>
  <c r="H18" i="191" s="1"/>
  <c r="H22" i="191" s="1"/>
  <c r="H31" i="191" s="1"/>
  <c r="H14" i="168"/>
  <c r="H18" i="168" s="1"/>
  <c r="H22" i="168" s="1"/>
  <c r="H31" i="168" s="1"/>
  <c r="F36" i="179"/>
  <c r="R21" i="100"/>
  <c r="F21" i="101" s="1"/>
  <c r="J21" i="100"/>
  <c r="P21" i="100" s="1"/>
  <c r="J16" i="150"/>
  <c r="P16" i="150" s="1"/>
  <c r="R16" i="150"/>
  <c r="F16" i="151" s="1"/>
  <c r="J15" i="150"/>
  <c r="P15" i="150" s="1"/>
  <c r="R15" i="150"/>
  <c r="F15" i="151" s="1"/>
  <c r="J14" i="150"/>
  <c r="P14" i="150" s="1"/>
  <c r="R14" i="150"/>
  <c r="F14" i="151" s="1"/>
  <c r="J21" i="101"/>
  <c r="P21" i="101" s="1"/>
  <c r="R21" i="101"/>
  <c r="F21" i="102" s="1"/>
  <c r="K62" i="130"/>
  <c r="L19" i="130"/>
  <c r="N18" i="130"/>
  <c r="Q17" i="130"/>
  <c r="E16" i="131" s="1"/>
  <c r="R17" i="118"/>
  <c r="F13" i="119"/>
  <c r="P13" i="118"/>
  <c r="J17" i="118"/>
  <c r="F31" i="118"/>
  <c r="R28" i="118"/>
  <c r="H12" i="131" s="1"/>
  <c r="R22" i="103"/>
  <c r="F22" i="104" s="1"/>
  <c r="N22" i="103"/>
  <c r="P22" i="103" s="1"/>
  <c r="L23" i="99"/>
  <c r="L25" i="99" s="1"/>
  <c r="N20" i="99"/>
  <c r="L23" i="102"/>
  <c r="L25" i="102" s="1"/>
  <c r="N20" i="102"/>
  <c r="N23" i="102" s="1"/>
  <c r="N25" i="102" s="1"/>
  <c r="N20" i="101"/>
  <c r="N23" i="101" s="1"/>
  <c r="N25" i="101" s="1"/>
  <c r="L23" i="101"/>
  <c r="L25" i="101" s="1"/>
  <c r="T19" i="198" l="1"/>
  <c r="T20" i="198" s="1"/>
  <c r="I14" i="191"/>
  <c r="I18" i="191" s="1"/>
  <c r="I22" i="191" s="1"/>
  <c r="I31" i="191" s="1"/>
  <c r="I14" i="168"/>
  <c r="I18" i="168" s="1"/>
  <c r="I22" i="168" s="1"/>
  <c r="I31" i="168" s="1"/>
  <c r="R36" i="179"/>
  <c r="L62" i="130"/>
  <c r="M62" i="130" s="1"/>
  <c r="J14" i="151"/>
  <c r="P14" i="151" s="1"/>
  <c r="R14" i="151"/>
  <c r="F14" i="152" s="1"/>
  <c r="R16" i="151"/>
  <c r="F16" i="152" s="1"/>
  <c r="J16" i="151"/>
  <c r="P16" i="151" s="1"/>
  <c r="J15" i="151"/>
  <c r="P15" i="151" s="1"/>
  <c r="R15" i="151"/>
  <c r="F15" i="152" s="1"/>
  <c r="L14" i="132"/>
  <c r="L18" i="132" s="1"/>
  <c r="L22" i="132" s="1"/>
  <c r="L31" i="132" s="1"/>
  <c r="P17" i="118"/>
  <c r="K63" i="130" s="1"/>
  <c r="L63" i="130" s="1"/>
  <c r="H13" i="131"/>
  <c r="M19" i="130"/>
  <c r="O18" i="130"/>
  <c r="R17" i="130"/>
  <c r="T17" i="130" s="1"/>
  <c r="R13" i="119"/>
  <c r="F17" i="119"/>
  <c r="J13" i="119"/>
  <c r="R31" i="118"/>
  <c r="F28" i="119"/>
  <c r="N23" i="103"/>
  <c r="N25" i="103" s="1"/>
  <c r="J21" i="102"/>
  <c r="P21" i="102" s="1"/>
  <c r="R21" i="102"/>
  <c r="F21" i="103" s="1"/>
  <c r="R23" i="99"/>
  <c r="R25" i="99" s="1"/>
  <c r="K11" i="91" s="1"/>
  <c r="F20" i="100"/>
  <c r="R20" i="100" s="1"/>
  <c r="R23" i="100" s="1"/>
  <c r="R25" i="100" s="1"/>
  <c r="R22" i="104"/>
  <c r="F22" i="113" s="1"/>
  <c r="J22" i="104"/>
  <c r="P22" i="104" s="1"/>
  <c r="N23" i="99"/>
  <c r="N25" i="99" s="1"/>
  <c r="P20" i="99"/>
  <c r="P23" i="99" s="1"/>
  <c r="P25" i="99" s="1"/>
  <c r="K25" i="91" s="1"/>
  <c r="T19" i="199" l="1"/>
  <c r="T20" i="199" s="1"/>
  <c r="J14" i="191"/>
  <c r="J18" i="191" s="1"/>
  <c r="J22" i="191" s="1"/>
  <c r="J31" i="191" s="1"/>
  <c r="J14" i="168"/>
  <c r="J18" i="168" s="1"/>
  <c r="J22" i="168" s="1"/>
  <c r="J31" i="168" s="1"/>
  <c r="F36" i="180"/>
  <c r="J16" i="152"/>
  <c r="P16" i="152" s="1"/>
  <c r="R16" i="152"/>
  <c r="F16" i="153" s="1"/>
  <c r="R15" i="152"/>
  <c r="F15" i="153" s="1"/>
  <c r="J15" i="152"/>
  <c r="P15" i="152" s="1"/>
  <c r="J14" i="152"/>
  <c r="P14" i="152" s="1"/>
  <c r="R14" i="152"/>
  <c r="F14" i="153" s="1"/>
  <c r="J21" i="103"/>
  <c r="P21" i="103" s="1"/>
  <c r="R21" i="103"/>
  <c r="F21" i="104" s="1"/>
  <c r="K20" i="130"/>
  <c r="L20" i="130" s="1"/>
  <c r="J22" i="113"/>
  <c r="P22" i="113" s="1"/>
  <c r="R22" i="113"/>
  <c r="F22" i="116" s="1"/>
  <c r="M63" i="130"/>
  <c r="N19" i="130"/>
  <c r="Q18" i="130"/>
  <c r="F13" i="120"/>
  <c r="R17" i="119"/>
  <c r="J17" i="119"/>
  <c r="P13" i="119"/>
  <c r="R28" i="119"/>
  <c r="I12" i="131" s="1"/>
  <c r="F31" i="119"/>
  <c r="K29" i="91"/>
  <c r="J20" i="100"/>
  <c r="F23" i="100"/>
  <c r="F25" i="100" s="1"/>
  <c r="K14" i="91"/>
  <c r="K18" i="91" s="1"/>
  <c r="K22" i="91" s="1"/>
  <c r="R18" i="130" l="1"/>
  <c r="T18" i="130" s="1"/>
  <c r="F16" i="131"/>
  <c r="M14" i="191"/>
  <c r="M18" i="191" s="1"/>
  <c r="M22" i="191" s="1"/>
  <c r="M31" i="191" s="1"/>
  <c r="K14" i="168"/>
  <c r="K18" i="168" s="1"/>
  <c r="K22" i="168" s="1"/>
  <c r="K31" i="168" s="1"/>
  <c r="R36" i="180"/>
  <c r="J15" i="153"/>
  <c r="P15" i="153" s="1"/>
  <c r="R15" i="153"/>
  <c r="F15" i="154" s="1"/>
  <c r="J14" i="153"/>
  <c r="P14" i="153" s="1"/>
  <c r="R14" i="153"/>
  <c r="F14" i="154" s="1"/>
  <c r="J16" i="153"/>
  <c r="P16" i="153" s="1"/>
  <c r="R16" i="153"/>
  <c r="F16" i="154" s="1"/>
  <c r="P17" i="119"/>
  <c r="K21" i="130" s="1"/>
  <c r="I13" i="131"/>
  <c r="R22" i="116"/>
  <c r="F22" i="117" s="1"/>
  <c r="J22" i="116"/>
  <c r="P22" i="116" s="1"/>
  <c r="M20" i="130"/>
  <c r="O19" i="130"/>
  <c r="Q19" i="130" s="1"/>
  <c r="G16" i="131" s="1"/>
  <c r="F17" i="120"/>
  <c r="J13" i="120"/>
  <c r="R13" i="120"/>
  <c r="F28" i="120"/>
  <c r="R31" i="119"/>
  <c r="J23" i="100"/>
  <c r="J25" i="100" s="1"/>
  <c r="P20" i="100"/>
  <c r="P23" i="100" s="1"/>
  <c r="P25" i="100" s="1"/>
  <c r="L25" i="91" s="1"/>
  <c r="K31" i="91"/>
  <c r="J21" i="104"/>
  <c r="P21" i="104" s="1"/>
  <c r="R21" i="104"/>
  <c r="F21" i="113" s="1"/>
  <c r="L11" i="91"/>
  <c r="F20" i="101"/>
  <c r="T19" i="200" l="1"/>
  <c r="T20" i="200" s="1"/>
  <c r="O11" i="191"/>
  <c r="T19" i="201" s="1"/>
  <c r="T20" i="201" s="1"/>
  <c r="N14" i="191"/>
  <c r="N18" i="191" s="1"/>
  <c r="N22" i="191" s="1"/>
  <c r="N31" i="191" s="1"/>
  <c r="L14" i="168"/>
  <c r="L18" i="168" s="1"/>
  <c r="L22" i="168" s="1"/>
  <c r="L31" i="168" s="1"/>
  <c r="F36" i="181"/>
  <c r="J14" i="154"/>
  <c r="P14" i="154" s="1"/>
  <c r="R14" i="154"/>
  <c r="F14" i="155" s="1"/>
  <c r="J16" i="154"/>
  <c r="P16" i="154" s="1"/>
  <c r="R16" i="154"/>
  <c r="F16" i="155" s="1"/>
  <c r="J15" i="154"/>
  <c r="P15" i="154" s="1"/>
  <c r="R15" i="154"/>
  <c r="F15" i="155" s="1"/>
  <c r="M14" i="132"/>
  <c r="M18" i="132" s="1"/>
  <c r="M22" i="132" s="1"/>
  <c r="M31" i="132" s="1"/>
  <c r="K64" i="130"/>
  <c r="R22" i="117"/>
  <c r="F22" i="118" s="1"/>
  <c r="J22" i="117"/>
  <c r="P22" i="117" s="1"/>
  <c r="R21" i="113"/>
  <c r="F21" i="116" s="1"/>
  <c r="J21" i="113"/>
  <c r="P21" i="113" s="1"/>
  <c r="L21" i="130"/>
  <c r="N20" i="130"/>
  <c r="R19" i="130"/>
  <c r="T19" i="130" s="1"/>
  <c r="J17" i="120"/>
  <c r="P13" i="120"/>
  <c r="F13" i="121"/>
  <c r="R17" i="120"/>
  <c r="F31" i="120"/>
  <c r="R28" i="120"/>
  <c r="J12" i="131" s="1"/>
  <c r="L29" i="91"/>
  <c r="L14" i="91"/>
  <c r="L18" i="91" s="1"/>
  <c r="L22" i="91" s="1"/>
  <c r="J20" i="101"/>
  <c r="F23" i="101"/>
  <c r="F25" i="101" s="1"/>
  <c r="R20" i="101"/>
  <c r="F20" i="102" s="1"/>
  <c r="F23" i="102" s="1"/>
  <c r="F25" i="102" s="1"/>
  <c r="P11" i="191" l="1"/>
  <c r="T19" i="202" s="1"/>
  <c r="T20" i="202" s="1"/>
  <c r="O14" i="191"/>
  <c r="O18" i="191" s="1"/>
  <c r="O22" i="191" s="1"/>
  <c r="O31" i="191" s="1"/>
  <c r="M14" i="168"/>
  <c r="M18" i="168" s="1"/>
  <c r="M22" i="168" s="1"/>
  <c r="M31" i="168" s="1"/>
  <c r="R36" i="181"/>
  <c r="L64" i="130"/>
  <c r="M64" i="130" s="1"/>
  <c r="R15" i="155"/>
  <c r="F15" i="156" s="1"/>
  <c r="J15" i="155"/>
  <c r="P15" i="155" s="1"/>
  <c r="J14" i="155"/>
  <c r="P14" i="155" s="1"/>
  <c r="R14" i="155"/>
  <c r="F14" i="156" s="1"/>
  <c r="R16" i="155"/>
  <c r="F16" i="156" s="1"/>
  <c r="J16" i="155"/>
  <c r="P16" i="155" s="1"/>
  <c r="R21" i="116"/>
  <c r="F21" i="117" s="1"/>
  <c r="J21" i="116"/>
  <c r="P21" i="116" s="1"/>
  <c r="P17" i="120"/>
  <c r="K65" i="130" s="1"/>
  <c r="L65" i="130" s="1"/>
  <c r="J13" i="131"/>
  <c r="J22" i="118"/>
  <c r="P22" i="118" s="1"/>
  <c r="R22" i="118"/>
  <c r="F22" i="119" s="1"/>
  <c r="M21" i="130"/>
  <c r="O20" i="130"/>
  <c r="F17" i="121"/>
  <c r="R13" i="121"/>
  <c r="J13" i="121"/>
  <c r="F28" i="121"/>
  <c r="R31" i="120"/>
  <c r="L31" i="91"/>
  <c r="J23" i="101"/>
  <c r="J25" i="101" s="1"/>
  <c r="P20" i="101"/>
  <c r="P23" i="101" s="1"/>
  <c r="P25" i="101" s="1"/>
  <c r="M25" i="91" s="1"/>
  <c r="R23" i="101"/>
  <c r="R25" i="101" s="1"/>
  <c r="M11" i="91" s="1"/>
  <c r="Q11" i="191" l="1"/>
  <c r="T19" i="203" s="1"/>
  <c r="T20" i="203" s="1"/>
  <c r="P14" i="191"/>
  <c r="P18" i="191" s="1"/>
  <c r="P22" i="191" s="1"/>
  <c r="P31" i="191" s="1"/>
  <c r="N14" i="168"/>
  <c r="N18" i="168" s="1"/>
  <c r="N22" i="168" s="1"/>
  <c r="N31" i="168" s="1"/>
  <c r="F36" i="182"/>
  <c r="J14" i="156"/>
  <c r="P14" i="156" s="1"/>
  <c r="R14" i="156"/>
  <c r="F14" i="157" s="1"/>
  <c r="R16" i="156"/>
  <c r="F16" i="157" s="1"/>
  <c r="J16" i="156"/>
  <c r="P16" i="156" s="1"/>
  <c r="J15" i="156"/>
  <c r="P15" i="156" s="1"/>
  <c r="R15" i="156"/>
  <c r="F15" i="157" s="1"/>
  <c r="N14" i="132"/>
  <c r="N18" i="132" s="1"/>
  <c r="N22" i="132" s="1"/>
  <c r="N31" i="132" s="1"/>
  <c r="R22" i="119"/>
  <c r="F22" i="120" s="1"/>
  <c r="J22" i="119"/>
  <c r="P22" i="119" s="1"/>
  <c r="K22" i="130"/>
  <c r="L22" i="130" s="1"/>
  <c r="R21" i="117"/>
  <c r="F21" i="118" s="1"/>
  <c r="J21" i="117"/>
  <c r="P21" i="117" s="1"/>
  <c r="M65" i="130"/>
  <c r="N21" i="130"/>
  <c r="Q20" i="130"/>
  <c r="H16" i="131" s="1"/>
  <c r="J17" i="121"/>
  <c r="P13" i="121"/>
  <c r="F13" i="122"/>
  <c r="R17" i="121"/>
  <c r="R28" i="121"/>
  <c r="K12" i="131" s="1"/>
  <c r="F31" i="121"/>
  <c r="M29" i="91"/>
  <c r="M14" i="91"/>
  <c r="M18" i="91" s="1"/>
  <c r="M22" i="91" s="1"/>
  <c r="J20" i="102"/>
  <c r="R20" i="102"/>
  <c r="R11" i="191" l="1"/>
  <c r="T19" i="204" s="1"/>
  <c r="T20" i="204" s="1"/>
  <c r="Q14" i="191"/>
  <c r="Q18" i="191" s="1"/>
  <c r="Q22" i="191" s="1"/>
  <c r="Q31" i="191" s="1"/>
  <c r="O14" i="168"/>
  <c r="O18" i="168" s="1"/>
  <c r="O22" i="168" s="1"/>
  <c r="O31" i="168" s="1"/>
  <c r="R36" i="182"/>
  <c r="R16" i="157"/>
  <c r="F16" i="158" s="1"/>
  <c r="J16" i="157"/>
  <c r="P16" i="157" s="1"/>
  <c r="R15" i="157"/>
  <c r="F15" i="158" s="1"/>
  <c r="J15" i="157"/>
  <c r="P15" i="157" s="1"/>
  <c r="J14" i="157"/>
  <c r="P14" i="157" s="1"/>
  <c r="R14" i="157"/>
  <c r="F14" i="158" s="1"/>
  <c r="P17" i="121"/>
  <c r="K66" i="130" s="1"/>
  <c r="L66" i="130" s="1"/>
  <c r="K13" i="131"/>
  <c r="R21" i="118"/>
  <c r="F21" i="119" s="1"/>
  <c r="J21" i="118"/>
  <c r="P21" i="118" s="1"/>
  <c r="R22" i="120"/>
  <c r="F22" i="121" s="1"/>
  <c r="J22" i="120"/>
  <c r="P22" i="120" s="1"/>
  <c r="M22" i="130"/>
  <c r="O21" i="130"/>
  <c r="Q21" i="130" s="1"/>
  <c r="I16" i="131" s="1"/>
  <c r="R20" i="130"/>
  <c r="T20" i="130" s="1"/>
  <c r="J13" i="122"/>
  <c r="F17" i="122"/>
  <c r="R13" i="122"/>
  <c r="R31" i="121"/>
  <c r="F28" i="122"/>
  <c r="M31" i="91"/>
  <c r="R23" i="102"/>
  <c r="R25" i="102" s="1"/>
  <c r="N11" i="91" s="1"/>
  <c r="F20" i="103"/>
  <c r="J23" i="102"/>
  <c r="J25" i="102" s="1"/>
  <c r="P20" i="102"/>
  <c r="P23" i="102" s="1"/>
  <c r="P25" i="102" s="1"/>
  <c r="N25" i="91" s="1"/>
  <c r="F36" i="193" l="1"/>
  <c r="R14" i="191"/>
  <c r="R18" i="191" s="1"/>
  <c r="R22" i="191" s="1"/>
  <c r="R31" i="191" s="1"/>
  <c r="P14" i="168"/>
  <c r="P18" i="168" s="1"/>
  <c r="P22" i="168" s="1"/>
  <c r="P31" i="168" s="1"/>
  <c r="Q11" i="168"/>
  <c r="S11" i="168" s="1"/>
  <c r="J15" i="158"/>
  <c r="P15" i="158" s="1"/>
  <c r="R15" i="158"/>
  <c r="F15" i="159" s="1"/>
  <c r="J14" i="158"/>
  <c r="P14" i="158" s="1"/>
  <c r="R14" i="158"/>
  <c r="F14" i="159" s="1"/>
  <c r="J16" i="158"/>
  <c r="P16" i="158" s="1"/>
  <c r="R16" i="158"/>
  <c r="F16" i="159" s="1"/>
  <c r="O14" i="132"/>
  <c r="O18" i="132" s="1"/>
  <c r="O22" i="132" s="1"/>
  <c r="O31" i="132" s="1"/>
  <c r="Q13" i="132"/>
  <c r="K23" i="130"/>
  <c r="L23" i="130" s="1"/>
  <c r="R21" i="119"/>
  <c r="F21" i="120" s="1"/>
  <c r="J21" i="119"/>
  <c r="P21" i="119" s="1"/>
  <c r="J22" i="121"/>
  <c r="P22" i="121" s="1"/>
  <c r="R22" i="121"/>
  <c r="F22" i="122" s="1"/>
  <c r="M66" i="130"/>
  <c r="N22" i="130"/>
  <c r="R21" i="130"/>
  <c r="T21" i="130" s="1"/>
  <c r="F13" i="123"/>
  <c r="R17" i="122"/>
  <c r="J17" i="122"/>
  <c r="P13" i="122"/>
  <c r="P17" i="122" s="1"/>
  <c r="R28" i="122"/>
  <c r="L12" i="131" s="1"/>
  <c r="F31" i="122"/>
  <c r="N29" i="91"/>
  <c r="N14" i="91"/>
  <c r="N18" i="91" s="1"/>
  <c r="N22" i="91" s="1"/>
  <c r="F23" i="103"/>
  <c r="F25" i="103" s="1"/>
  <c r="R20" i="103"/>
  <c r="J20" i="103"/>
  <c r="T18" i="191" l="1"/>
  <c r="Q14" i="168"/>
  <c r="Q18" i="168" s="1"/>
  <c r="Q22" i="168" s="1"/>
  <c r="S22" i="168" s="1"/>
  <c r="R36" i="193"/>
  <c r="R16" i="159"/>
  <c r="F16" i="160" s="1"/>
  <c r="J16" i="159"/>
  <c r="P16" i="159" s="1"/>
  <c r="R15" i="159"/>
  <c r="F15" i="160" s="1"/>
  <c r="J15" i="159"/>
  <c r="P15" i="159" s="1"/>
  <c r="R14" i="159"/>
  <c r="F14" i="160" s="1"/>
  <c r="J14" i="159"/>
  <c r="P14" i="159" s="1"/>
  <c r="P14" i="132"/>
  <c r="P18" i="132" s="1"/>
  <c r="P22" i="132" s="1"/>
  <c r="P31" i="132" s="1"/>
  <c r="Q11" i="132"/>
  <c r="Q14" i="132" s="1"/>
  <c r="Q18" i="132" s="1"/>
  <c r="Q22" i="132" s="1"/>
  <c r="Q31" i="132" s="1"/>
  <c r="L13" i="131"/>
  <c r="J22" i="122"/>
  <c r="P22" i="122" s="1"/>
  <c r="R22" i="122"/>
  <c r="F22" i="123" s="1"/>
  <c r="R21" i="120"/>
  <c r="F21" i="121" s="1"/>
  <c r="J21" i="120"/>
  <c r="P21" i="120" s="1"/>
  <c r="K67" i="130"/>
  <c r="L67" i="130" s="1"/>
  <c r="K24" i="130"/>
  <c r="M23" i="130"/>
  <c r="O22" i="130"/>
  <c r="F17" i="123"/>
  <c r="R13" i="123"/>
  <c r="J13" i="123"/>
  <c r="R31" i="122"/>
  <c r="F28" i="123"/>
  <c r="N31" i="91"/>
  <c r="P20" i="103"/>
  <c r="P23" i="103" s="1"/>
  <c r="P25" i="103" s="1"/>
  <c r="O25" i="91" s="1"/>
  <c r="J23" i="103"/>
  <c r="J25" i="103" s="1"/>
  <c r="R23" i="103"/>
  <c r="R25" i="103" s="1"/>
  <c r="O11" i="91" s="1"/>
  <c r="F20" i="104"/>
  <c r="T22" i="191" l="1"/>
  <c r="T31" i="191" s="1"/>
  <c r="E23" i="135" s="1"/>
  <c r="V24" i="135" s="1"/>
  <c r="W24" i="135" s="1"/>
  <c r="Q31" i="168"/>
  <c r="F36" i="194"/>
  <c r="J15" i="160"/>
  <c r="P15" i="160" s="1"/>
  <c r="R15" i="160"/>
  <c r="F15" i="161" s="1"/>
  <c r="R14" i="160"/>
  <c r="F14" i="161" s="1"/>
  <c r="J14" i="160"/>
  <c r="P14" i="160" s="1"/>
  <c r="J16" i="160"/>
  <c r="P16" i="160" s="1"/>
  <c r="R16" i="160"/>
  <c r="F16" i="161" s="1"/>
  <c r="J22" i="123"/>
  <c r="P22" i="123" s="1"/>
  <c r="R22" i="123"/>
  <c r="F22" i="124" s="1"/>
  <c r="J21" i="121"/>
  <c r="P21" i="121" s="1"/>
  <c r="R21" i="121"/>
  <c r="F21" i="122" s="1"/>
  <c r="L24" i="130"/>
  <c r="M67" i="130"/>
  <c r="N23" i="130"/>
  <c r="Q22" i="130"/>
  <c r="J16" i="131" s="1"/>
  <c r="F13" i="124"/>
  <c r="R17" i="123"/>
  <c r="P13" i="123"/>
  <c r="P17" i="123" s="1"/>
  <c r="J17" i="123"/>
  <c r="R28" i="123"/>
  <c r="M12" i="131" s="1"/>
  <c r="F31" i="123"/>
  <c r="O14" i="91"/>
  <c r="O18" i="91" s="1"/>
  <c r="O22" i="91" s="1"/>
  <c r="O29" i="91"/>
  <c r="J20" i="104"/>
  <c r="F23" i="104"/>
  <c r="F25" i="104" s="1"/>
  <c r="R20" i="104"/>
  <c r="E22" i="135" l="1"/>
  <c r="G22" i="135" s="1"/>
  <c r="X22" i="135" s="1"/>
  <c r="E21" i="135"/>
  <c r="G21" i="135" s="1"/>
  <c r="X21" i="135" s="1"/>
  <c r="E20" i="135"/>
  <c r="G20" i="135" s="1"/>
  <c r="X20" i="135" s="1"/>
  <c r="S31" i="168"/>
  <c r="O24" i="135"/>
  <c r="P24" i="135" s="1"/>
  <c r="E19" i="135"/>
  <c r="G19" i="135" s="1"/>
  <c r="X19" i="135" s="1"/>
  <c r="R36" i="194"/>
  <c r="J14" i="161"/>
  <c r="P14" i="161" s="1"/>
  <c r="R14" i="161"/>
  <c r="F16" i="171" s="1"/>
  <c r="J16" i="161"/>
  <c r="P16" i="161" s="1"/>
  <c r="R16" i="161"/>
  <c r="F18" i="171" s="1"/>
  <c r="J15" i="161"/>
  <c r="P15" i="161" s="1"/>
  <c r="R15" i="161"/>
  <c r="F17" i="171" s="1"/>
  <c r="R23" i="104"/>
  <c r="R25" i="104" s="1"/>
  <c r="P11" i="91" s="1"/>
  <c r="F20" i="113"/>
  <c r="M13" i="131"/>
  <c r="J22" i="124"/>
  <c r="P22" i="124" s="1"/>
  <c r="R22" i="124"/>
  <c r="F22" i="125" s="1"/>
  <c r="J21" i="122"/>
  <c r="P21" i="122" s="1"/>
  <c r="R21" i="122"/>
  <c r="F21" i="123" s="1"/>
  <c r="K68" i="130"/>
  <c r="L68" i="130" s="1"/>
  <c r="K25" i="130"/>
  <c r="M24" i="130"/>
  <c r="O23" i="130"/>
  <c r="R22" i="130"/>
  <c r="T22" i="130" s="1"/>
  <c r="R13" i="124"/>
  <c r="J13" i="124"/>
  <c r="F17" i="124"/>
  <c r="R31" i="123"/>
  <c r="F28" i="124"/>
  <c r="O31" i="91"/>
  <c r="J23" i="104"/>
  <c r="J25" i="104" s="1"/>
  <c r="P20" i="104"/>
  <c r="P23" i="104" s="1"/>
  <c r="P25" i="104" s="1"/>
  <c r="P25" i="91" s="1"/>
  <c r="D25" i="131" s="1"/>
  <c r="D29" i="131" s="1"/>
  <c r="I19" i="135" l="1"/>
  <c r="Q19" i="135"/>
  <c r="I20" i="135"/>
  <c r="Q20" i="135"/>
  <c r="I21" i="135"/>
  <c r="Q21" i="135"/>
  <c r="I22" i="135"/>
  <c r="Q22" i="135"/>
  <c r="F36" i="195"/>
  <c r="J17" i="171"/>
  <c r="P17" i="171" s="1"/>
  <c r="R17" i="171"/>
  <c r="F17" i="172" s="1"/>
  <c r="J18" i="171"/>
  <c r="P18" i="171" s="1"/>
  <c r="R18" i="171"/>
  <c r="F18" i="172" s="1"/>
  <c r="J16" i="171"/>
  <c r="R16" i="171"/>
  <c r="D11" i="131"/>
  <c r="D14" i="131" s="1"/>
  <c r="D18" i="131" s="1"/>
  <c r="D22" i="131" s="1"/>
  <c r="D31" i="131" s="1"/>
  <c r="J21" i="123"/>
  <c r="P21" i="123" s="1"/>
  <c r="R21" i="123"/>
  <c r="F21" i="124" s="1"/>
  <c r="J20" i="113"/>
  <c r="R20" i="113"/>
  <c r="F23" i="113"/>
  <c r="F25" i="113" s="1"/>
  <c r="R22" i="125"/>
  <c r="F22" i="126" s="1"/>
  <c r="J22" i="125"/>
  <c r="P22" i="125" s="1"/>
  <c r="M68" i="130"/>
  <c r="L25" i="130"/>
  <c r="N24" i="130"/>
  <c r="Q23" i="130"/>
  <c r="Q11" i="91"/>
  <c r="Q14" i="91" s="1"/>
  <c r="Q18" i="91" s="1"/>
  <c r="Q22" i="91" s="1"/>
  <c r="J17" i="124"/>
  <c r="P13" i="124"/>
  <c r="P17" i="124" s="1"/>
  <c r="R17" i="124"/>
  <c r="F13" i="125"/>
  <c r="R28" i="124"/>
  <c r="N12" i="131" s="1"/>
  <c r="F31" i="124"/>
  <c r="P29" i="91"/>
  <c r="Q25" i="91"/>
  <c r="Q29" i="91" s="1"/>
  <c r="S21" i="135" l="1"/>
  <c r="Z21" i="135"/>
  <c r="S22" i="135"/>
  <c r="Z22" i="135"/>
  <c r="S20" i="135"/>
  <c r="Z20" i="135"/>
  <c r="S19" i="135"/>
  <c r="Z19" i="135"/>
  <c r="R23" i="130"/>
  <c r="T23" i="130" s="1"/>
  <c r="K16" i="131"/>
  <c r="R36" i="195"/>
  <c r="F16" i="172"/>
  <c r="R16" i="172" s="1"/>
  <c r="J17" i="172"/>
  <c r="P17" i="172" s="1"/>
  <c r="R17" i="172"/>
  <c r="F17" i="173" s="1"/>
  <c r="P16" i="171"/>
  <c r="R18" i="172"/>
  <c r="F18" i="173" s="1"/>
  <c r="J18" i="172"/>
  <c r="P18" i="172" s="1"/>
  <c r="P14" i="91"/>
  <c r="P18" i="91" s="1"/>
  <c r="P22" i="91" s="1"/>
  <c r="P31" i="91" s="1"/>
  <c r="F20" i="116"/>
  <c r="R23" i="113"/>
  <c r="R25" i="113" s="1"/>
  <c r="E11" i="131"/>
  <c r="E14" i="131" s="1"/>
  <c r="E18" i="131" s="1"/>
  <c r="E22" i="131" s="1"/>
  <c r="J23" i="113"/>
  <c r="J25" i="113" s="1"/>
  <c r="P20" i="113"/>
  <c r="P23" i="113" s="1"/>
  <c r="P25" i="113" s="1"/>
  <c r="J21" i="124"/>
  <c r="P21" i="124" s="1"/>
  <c r="R21" i="124"/>
  <c r="F21" i="125" s="1"/>
  <c r="R22" i="126"/>
  <c r="F22" i="150" s="1"/>
  <c r="J22" i="126"/>
  <c r="P22" i="126" s="1"/>
  <c r="N13" i="131"/>
  <c r="K69" i="130"/>
  <c r="L69" i="130" s="1"/>
  <c r="K26" i="130"/>
  <c r="M25" i="130"/>
  <c r="O24" i="130"/>
  <c r="Q24" i="130" s="1"/>
  <c r="F17" i="125"/>
  <c r="R13" i="125"/>
  <c r="J13" i="125"/>
  <c r="R31" i="124"/>
  <c r="F28" i="125"/>
  <c r="Q31" i="91"/>
  <c r="R24" i="130" l="1"/>
  <c r="T24" i="130" s="1"/>
  <c r="L16" i="131"/>
  <c r="F16" i="173"/>
  <c r="J16" i="173" s="1"/>
  <c r="P16" i="173" s="1"/>
  <c r="F36" i="196"/>
  <c r="J16" i="172"/>
  <c r="P16" i="172" s="1"/>
  <c r="J17" i="173"/>
  <c r="P17" i="173" s="1"/>
  <c r="R17" i="173"/>
  <c r="F17" i="174" s="1"/>
  <c r="J18" i="173"/>
  <c r="P18" i="173" s="1"/>
  <c r="R18" i="173"/>
  <c r="F18" i="174" s="1"/>
  <c r="R16" i="173"/>
  <c r="R22" i="150"/>
  <c r="F22" i="151" s="1"/>
  <c r="J22" i="150"/>
  <c r="P22" i="150" s="1"/>
  <c r="J21" i="125"/>
  <c r="P21" i="125" s="1"/>
  <c r="R21" i="125"/>
  <c r="F21" i="126" s="1"/>
  <c r="E25" i="131"/>
  <c r="F23" i="116"/>
  <c r="F25" i="116" s="1"/>
  <c r="J20" i="116"/>
  <c r="R20" i="116"/>
  <c r="M69" i="130"/>
  <c r="L26" i="130"/>
  <c r="N25" i="130"/>
  <c r="J17" i="125"/>
  <c r="P13" i="125"/>
  <c r="P17" i="125" s="1"/>
  <c r="F13" i="126"/>
  <c r="R17" i="125"/>
  <c r="R28" i="125"/>
  <c r="O12" i="131" s="1"/>
  <c r="F31" i="125"/>
  <c r="F16" i="174" l="1"/>
  <c r="J16" i="174" s="1"/>
  <c r="P16" i="174" s="1"/>
  <c r="R36" i="196"/>
  <c r="J17" i="174"/>
  <c r="P17" i="174" s="1"/>
  <c r="R17" i="174"/>
  <c r="F17" i="175" s="1"/>
  <c r="R18" i="174"/>
  <c r="F18" i="175" s="1"/>
  <c r="J18" i="174"/>
  <c r="P18" i="174" s="1"/>
  <c r="E29" i="131"/>
  <c r="E31" i="131" s="1"/>
  <c r="K70" i="130"/>
  <c r="L70" i="130" s="1"/>
  <c r="K27" i="130"/>
  <c r="J22" i="151"/>
  <c r="P22" i="151" s="1"/>
  <c r="R22" i="151"/>
  <c r="F22" i="152" s="1"/>
  <c r="O13" i="131"/>
  <c r="F20" i="117"/>
  <c r="R23" i="116"/>
  <c r="R25" i="116" s="1"/>
  <c r="F11" i="131"/>
  <c r="F14" i="131" s="1"/>
  <c r="F18" i="131" s="1"/>
  <c r="F22" i="131" s="1"/>
  <c r="J23" i="116"/>
  <c r="J25" i="116" s="1"/>
  <c r="P20" i="116"/>
  <c r="P23" i="116" s="1"/>
  <c r="P25" i="116" s="1"/>
  <c r="F25" i="131" s="1"/>
  <c r="F29" i="131" s="1"/>
  <c r="J21" i="126"/>
  <c r="P21" i="126" s="1"/>
  <c r="R21" i="126"/>
  <c r="F21" i="150" s="1"/>
  <c r="M26" i="130"/>
  <c r="O25" i="130"/>
  <c r="J13" i="126"/>
  <c r="F17" i="126"/>
  <c r="R13" i="126"/>
  <c r="F13" i="150" s="1"/>
  <c r="F28" i="126"/>
  <c r="R31" i="125"/>
  <c r="R16" i="174" l="1"/>
  <c r="F16" i="175" s="1"/>
  <c r="J16" i="175" s="1"/>
  <c r="P16" i="175" s="1"/>
  <c r="F36" i="197"/>
  <c r="J17" i="175"/>
  <c r="P17" i="175" s="1"/>
  <c r="R17" i="175"/>
  <c r="F17" i="176" s="1"/>
  <c r="J18" i="175"/>
  <c r="P18" i="175" s="1"/>
  <c r="R18" i="175"/>
  <c r="F18" i="176" s="1"/>
  <c r="J22" i="152"/>
  <c r="P22" i="152" s="1"/>
  <c r="R22" i="152"/>
  <c r="F22" i="153" s="1"/>
  <c r="J21" i="150"/>
  <c r="P21" i="150" s="1"/>
  <c r="R21" i="150"/>
  <c r="F21" i="151" s="1"/>
  <c r="F17" i="150"/>
  <c r="R13" i="150"/>
  <c r="J13" i="150"/>
  <c r="F31" i="131"/>
  <c r="R17" i="126"/>
  <c r="F23" i="117"/>
  <c r="F25" i="117" s="1"/>
  <c r="J20" i="117"/>
  <c r="R20" i="117"/>
  <c r="L27" i="130"/>
  <c r="M70" i="130"/>
  <c r="N26" i="130"/>
  <c r="Q25" i="130"/>
  <c r="M16" i="131" s="1"/>
  <c r="J17" i="126"/>
  <c r="P13" i="126"/>
  <c r="F31" i="126"/>
  <c r="R28" i="126"/>
  <c r="F28" i="150" s="1"/>
  <c r="R16" i="175" l="1"/>
  <c r="F16" i="176" s="1"/>
  <c r="R36" i="197"/>
  <c r="J17" i="176"/>
  <c r="P17" i="176" s="1"/>
  <c r="R17" i="176"/>
  <c r="F17" i="177" s="1"/>
  <c r="J18" i="176"/>
  <c r="P18" i="176" s="1"/>
  <c r="R18" i="176"/>
  <c r="F18" i="177" s="1"/>
  <c r="J21" i="151"/>
  <c r="P21" i="151" s="1"/>
  <c r="R21" i="151"/>
  <c r="F21" i="152" s="1"/>
  <c r="J22" i="153"/>
  <c r="P22" i="153" s="1"/>
  <c r="R22" i="153"/>
  <c r="F22" i="154" s="1"/>
  <c r="P13" i="150"/>
  <c r="J17" i="150"/>
  <c r="F13" i="151"/>
  <c r="R17" i="150"/>
  <c r="F31" i="150"/>
  <c r="R28" i="150"/>
  <c r="P17" i="126"/>
  <c r="K28" i="130" s="1"/>
  <c r="P13" i="131"/>
  <c r="P20" i="117"/>
  <c r="P23" i="117" s="1"/>
  <c r="P25" i="117" s="1"/>
  <c r="G25" i="131" s="1"/>
  <c r="J23" i="117"/>
  <c r="J25" i="117" s="1"/>
  <c r="R31" i="126"/>
  <c r="D12" i="146" s="1"/>
  <c r="P12" i="131"/>
  <c r="Q12" i="131" s="1"/>
  <c r="F20" i="118"/>
  <c r="R23" i="117"/>
  <c r="R25" i="117" s="1"/>
  <c r="G11" i="131"/>
  <c r="G14" i="131" s="1"/>
  <c r="G18" i="131" s="1"/>
  <c r="G22" i="131" s="1"/>
  <c r="M27" i="130"/>
  <c r="O26" i="130"/>
  <c r="Q26" i="130" s="1"/>
  <c r="N16" i="131" s="1"/>
  <c r="R25" i="130"/>
  <c r="T25" i="130" s="1"/>
  <c r="J16" i="176" l="1"/>
  <c r="P16" i="176" s="1"/>
  <c r="R16" i="176"/>
  <c r="F36" i="198"/>
  <c r="J17" i="177"/>
  <c r="P17" i="177" s="1"/>
  <c r="R17" i="177"/>
  <c r="F17" i="178" s="1"/>
  <c r="R18" i="177"/>
  <c r="F18" i="178" s="1"/>
  <c r="J18" i="177"/>
  <c r="P18" i="177" s="1"/>
  <c r="J21" i="152"/>
  <c r="P21" i="152" s="1"/>
  <c r="R21" i="152"/>
  <c r="F21" i="153" s="1"/>
  <c r="J22" i="154"/>
  <c r="P22" i="154" s="1"/>
  <c r="R22" i="154"/>
  <c r="F22" i="155" s="1"/>
  <c r="G29" i="131"/>
  <c r="G31" i="131" s="1"/>
  <c r="R13" i="151"/>
  <c r="J13" i="151"/>
  <c r="F17" i="151"/>
  <c r="Q13" i="131"/>
  <c r="D13" i="146"/>
  <c r="E13" i="146" s="1"/>
  <c r="P17" i="150"/>
  <c r="R31" i="150"/>
  <c r="E12" i="146"/>
  <c r="F28" i="151"/>
  <c r="K71" i="130"/>
  <c r="F23" i="118"/>
  <c r="F25" i="118" s="1"/>
  <c r="J20" i="118"/>
  <c r="R20" i="118"/>
  <c r="L28" i="130"/>
  <c r="K44" i="130"/>
  <c r="N27" i="130"/>
  <c r="R26" i="130"/>
  <c r="T26" i="130" s="1"/>
  <c r="F16" i="177" l="1"/>
  <c r="J16" i="177" s="1"/>
  <c r="P16" i="177" s="1"/>
  <c r="R36" i="198"/>
  <c r="R17" i="178"/>
  <c r="F17" i="179" s="1"/>
  <c r="J17" i="178"/>
  <c r="P17" i="178" s="1"/>
  <c r="J18" i="178"/>
  <c r="P18" i="178" s="1"/>
  <c r="R18" i="178"/>
  <c r="F18" i="179" s="1"/>
  <c r="J22" i="155"/>
  <c r="P22" i="155" s="1"/>
  <c r="R22" i="155"/>
  <c r="F22" i="156" s="1"/>
  <c r="J21" i="153"/>
  <c r="P21" i="153" s="1"/>
  <c r="R21" i="153"/>
  <c r="F21" i="154" s="1"/>
  <c r="K87" i="130"/>
  <c r="L71" i="130"/>
  <c r="L87" i="130" s="1"/>
  <c r="L61" i="162"/>
  <c r="L17" i="162"/>
  <c r="J17" i="151"/>
  <c r="P13" i="151"/>
  <c r="F13" i="152"/>
  <c r="R17" i="151"/>
  <c r="F31" i="151"/>
  <c r="R28" i="151"/>
  <c r="R23" i="118"/>
  <c r="R25" i="118" s="1"/>
  <c r="F20" i="119"/>
  <c r="H11" i="131"/>
  <c r="H14" i="131" s="1"/>
  <c r="H18" i="131" s="1"/>
  <c r="H22" i="131" s="1"/>
  <c r="J23" i="118"/>
  <c r="J25" i="118" s="1"/>
  <c r="P20" i="118"/>
  <c r="P23" i="118" s="1"/>
  <c r="P25" i="118" s="1"/>
  <c r="H25" i="131" s="1"/>
  <c r="M28" i="130"/>
  <c r="M44" i="130" s="1"/>
  <c r="L44" i="130"/>
  <c r="O27" i="130"/>
  <c r="R16" i="177" l="1"/>
  <c r="F36" i="199"/>
  <c r="M71" i="130"/>
  <c r="M87" i="130" s="1"/>
  <c r="J17" i="179"/>
  <c r="P17" i="179" s="1"/>
  <c r="R17" i="179"/>
  <c r="F17" i="180" s="1"/>
  <c r="J18" i="179"/>
  <c r="P18" i="179" s="1"/>
  <c r="R18" i="179"/>
  <c r="F18" i="180" s="1"/>
  <c r="J21" i="154"/>
  <c r="P21" i="154" s="1"/>
  <c r="R21" i="154"/>
  <c r="F21" i="155" s="1"/>
  <c r="H29" i="131"/>
  <c r="H31" i="131" s="1"/>
  <c r="J22" i="156"/>
  <c r="P22" i="156" s="1"/>
  <c r="R22" i="156"/>
  <c r="F22" i="157" s="1"/>
  <c r="R13" i="152"/>
  <c r="F17" i="152"/>
  <c r="J13" i="152"/>
  <c r="M61" i="162"/>
  <c r="N61" i="162" s="1"/>
  <c r="P17" i="151"/>
  <c r="F13" i="146"/>
  <c r="M17" i="162"/>
  <c r="F28" i="152"/>
  <c r="F12" i="146"/>
  <c r="R31" i="151"/>
  <c r="R20" i="119"/>
  <c r="F23" i="119"/>
  <c r="F25" i="119" s="1"/>
  <c r="J20" i="119"/>
  <c r="Q27" i="130"/>
  <c r="O16" i="131" s="1"/>
  <c r="N28" i="130" l="1"/>
  <c r="F16" i="178"/>
  <c r="R36" i="199"/>
  <c r="J17" i="180"/>
  <c r="P17" i="180" s="1"/>
  <c r="R17" i="180"/>
  <c r="F17" i="181" s="1"/>
  <c r="R18" i="180"/>
  <c r="F18" i="181" s="1"/>
  <c r="J18" i="180"/>
  <c r="P18" i="180" s="1"/>
  <c r="J21" i="155"/>
  <c r="P21" i="155" s="1"/>
  <c r="R21" i="155"/>
  <c r="F21" i="156" s="1"/>
  <c r="R22" i="157"/>
  <c r="F22" i="158" s="1"/>
  <c r="J22" i="157"/>
  <c r="P22" i="157" s="1"/>
  <c r="N17" i="162"/>
  <c r="J17" i="152"/>
  <c r="P13" i="152"/>
  <c r="F13" i="153"/>
  <c r="R17" i="152"/>
  <c r="L62" i="162"/>
  <c r="L18" i="162"/>
  <c r="F31" i="152"/>
  <c r="R28" i="152"/>
  <c r="F20" i="120"/>
  <c r="R23" i="119"/>
  <c r="R25" i="119" s="1"/>
  <c r="I11" i="131"/>
  <c r="I14" i="131" s="1"/>
  <c r="I18" i="131" s="1"/>
  <c r="I22" i="131" s="1"/>
  <c r="J23" i="119"/>
  <c r="J25" i="119" s="1"/>
  <c r="P20" i="119"/>
  <c r="P23" i="119" s="1"/>
  <c r="P25" i="119" s="1"/>
  <c r="I25" i="131" s="1"/>
  <c r="O28" i="130"/>
  <c r="O44" i="130" s="1"/>
  <c r="N44" i="130"/>
  <c r="R27" i="130"/>
  <c r="T27" i="130" s="1"/>
  <c r="R16" i="178" l="1"/>
  <c r="J16" i="178"/>
  <c r="P16" i="178" s="1"/>
  <c r="F36" i="200"/>
  <c r="J17" i="181"/>
  <c r="P17" i="181" s="1"/>
  <c r="R17" i="181"/>
  <c r="F17" i="182" s="1"/>
  <c r="R18" i="181"/>
  <c r="F18" i="182" s="1"/>
  <c r="J18" i="181"/>
  <c r="P18" i="181" s="1"/>
  <c r="J21" i="156"/>
  <c r="P21" i="156" s="1"/>
  <c r="R21" i="156"/>
  <c r="F21" i="157" s="1"/>
  <c r="I29" i="131"/>
  <c r="I31" i="131" s="1"/>
  <c r="J22" i="158"/>
  <c r="P22" i="158" s="1"/>
  <c r="R22" i="158"/>
  <c r="F22" i="159" s="1"/>
  <c r="M18" i="162"/>
  <c r="M62" i="162"/>
  <c r="N62" i="162" s="1"/>
  <c r="O17" i="162"/>
  <c r="R13" i="153"/>
  <c r="J13" i="153"/>
  <c r="F17" i="153"/>
  <c r="G13" i="146"/>
  <c r="P17" i="152"/>
  <c r="R31" i="152"/>
  <c r="G12" i="146"/>
  <c r="F28" i="153"/>
  <c r="J20" i="120"/>
  <c r="R20" i="120"/>
  <c r="F23" i="120"/>
  <c r="F25" i="120" s="1"/>
  <c r="Q28" i="130"/>
  <c r="P16" i="131" s="1"/>
  <c r="D16" i="146" l="1"/>
  <c r="F16" i="179"/>
  <c r="R36" i="200"/>
  <c r="J17" i="182"/>
  <c r="P17" i="182" s="1"/>
  <c r="R17" i="182"/>
  <c r="F17" i="193" s="1"/>
  <c r="J18" i="182"/>
  <c r="P18" i="182" s="1"/>
  <c r="R18" i="182"/>
  <c r="F18" i="193" s="1"/>
  <c r="R21" i="157"/>
  <c r="F21" i="158" s="1"/>
  <c r="J21" i="157"/>
  <c r="P21" i="157" s="1"/>
  <c r="J22" i="159"/>
  <c r="P22" i="159" s="1"/>
  <c r="R22" i="159"/>
  <c r="F22" i="160" s="1"/>
  <c r="F13" i="154"/>
  <c r="R17" i="153"/>
  <c r="J17" i="153"/>
  <c r="P13" i="153"/>
  <c r="L63" i="162"/>
  <c r="L19" i="162"/>
  <c r="P17" i="162"/>
  <c r="N18" i="162"/>
  <c r="R28" i="130"/>
  <c r="T28" i="130" s="1"/>
  <c r="R16" i="162"/>
  <c r="U16" i="162" s="1"/>
  <c r="R28" i="153"/>
  <c r="F31" i="153"/>
  <c r="F20" i="121"/>
  <c r="R23" i="120"/>
  <c r="R25" i="120" s="1"/>
  <c r="J11" i="131"/>
  <c r="J14" i="131" s="1"/>
  <c r="J18" i="131" s="1"/>
  <c r="J22" i="131" s="1"/>
  <c r="P20" i="120"/>
  <c r="P23" i="120" s="1"/>
  <c r="P25" i="120" s="1"/>
  <c r="J25" i="131" s="1"/>
  <c r="J29" i="131" s="1"/>
  <c r="J23" i="120"/>
  <c r="J25" i="120" s="1"/>
  <c r="Q44" i="130"/>
  <c r="R16" i="179" l="1"/>
  <c r="J16" i="179"/>
  <c r="P16" i="179" s="1"/>
  <c r="R17" i="193"/>
  <c r="F17" i="194" s="1"/>
  <c r="J17" i="193"/>
  <c r="P17" i="193" s="1"/>
  <c r="J18" i="193"/>
  <c r="P18" i="193" s="1"/>
  <c r="R18" i="193"/>
  <c r="F36" i="201"/>
  <c r="R22" i="160"/>
  <c r="F22" i="161" s="1"/>
  <c r="J22" i="160"/>
  <c r="P22" i="160" s="1"/>
  <c r="J21" i="158"/>
  <c r="P21" i="158" s="1"/>
  <c r="R21" i="158"/>
  <c r="F21" i="159" s="1"/>
  <c r="M19" i="162"/>
  <c r="M63" i="162"/>
  <c r="N63" i="162" s="1"/>
  <c r="J13" i="154"/>
  <c r="F17" i="154"/>
  <c r="R13" i="154"/>
  <c r="O18" i="162"/>
  <c r="P17" i="153"/>
  <c r="H13" i="146"/>
  <c r="F28" i="154"/>
  <c r="R31" i="153"/>
  <c r="H12" i="146"/>
  <c r="R17" i="162"/>
  <c r="E16" i="146" s="1"/>
  <c r="F23" i="121"/>
  <c r="F25" i="121" s="1"/>
  <c r="R20" i="121"/>
  <c r="J20" i="121"/>
  <c r="J31" i="131"/>
  <c r="F16" i="180" l="1"/>
  <c r="F18" i="194"/>
  <c r="J18" i="194" s="1"/>
  <c r="P18" i="194" s="1"/>
  <c r="R17" i="194"/>
  <c r="F17" i="195" s="1"/>
  <c r="J17" i="194"/>
  <c r="P17" i="194" s="1"/>
  <c r="R36" i="201"/>
  <c r="J21" i="159"/>
  <c r="P21" i="159" s="1"/>
  <c r="R21" i="159"/>
  <c r="F21" i="160" s="1"/>
  <c r="J22" i="161"/>
  <c r="P22" i="161" s="1"/>
  <c r="R22" i="161"/>
  <c r="F26" i="171" s="1"/>
  <c r="F13" i="155"/>
  <c r="R17" i="154"/>
  <c r="L64" i="162"/>
  <c r="L20" i="162"/>
  <c r="P13" i="154"/>
  <c r="J17" i="154"/>
  <c r="N19" i="162"/>
  <c r="P18" i="162"/>
  <c r="R18" i="162" s="1"/>
  <c r="F16" i="146" s="1"/>
  <c r="S17" i="162"/>
  <c r="U17" i="162" s="1"/>
  <c r="F31" i="154"/>
  <c r="R28" i="154"/>
  <c r="J23" i="121"/>
  <c r="J25" i="121" s="1"/>
  <c r="P20" i="121"/>
  <c r="P23" i="121" s="1"/>
  <c r="P25" i="121" s="1"/>
  <c r="K25" i="131" s="1"/>
  <c r="K29" i="131" s="1"/>
  <c r="F20" i="122"/>
  <c r="R23" i="121"/>
  <c r="R25" i="121" s="1"/>
  <c r="K11" i="131"/>
  <c r="K14" i="131" s="1"/>
  <c r="K18" i="131" s="1"/>
  <c r="K22" i="131" s="1"/>
  <c r="R18" i="194" l="1"/>
  <c r="F18" i="195" s="1"/>
  <c r="R16" i="180"/>
  <c r="J16" i="180"/>
  <c r="P16" i="180" s="1"/>
  <c r="R17" i="195"/>
  <c r="F17" i="196" s="1"/>
  <c r="J17" i="195"/>
  <c r="P17" i="195" s="1"/>
  <c r="F36" i="202"/>
  <c r="J26" i="171"/>
  <c r="P26" i="171" s="1"/>
  <c r="R26" i="171"/>
  <c r="F26" i="172" s="1"/>
  <c r="R21" i="160"/>
  <c r="F21" i="161" s="1"/>
  <c r="J21" i="160"/>
  <c r="P21" i="160" s="1"/>
  <c r="P17" i="154"/>
  <c r="I13" i="146"/>
  <c r="R13" i="155"/>
  <c r="J13" i="155"/>
  <c r="F17" i="155"/>
  <c r="O19" i="162"/>
  <c r="M20" i="162"/>
  <c r="M64" i="162"/>
  <c r="N64" i="162" s="1"/>
  <c r="R31" i="154"/>
  <c r="F28" i="155"/>
  <c r="I12" i="146"/>
  <c r="S18" i="162"/>
  <c r="U18" i="162" s="1"/>
  <c r="K31" i="131"/>
  <c r="F23" i="122"/>
  <c r="F25" i="122" s="1"/>
  <c r="R20" i="122"/>
  <c r="J20" i="122"/>
  <c r="J18" i="195" l="1"/>
  <c r="P18" i="195" s="1"/>
  <c r="R18" i="195"/>
  <c r="F18" i="196" s="1"/>
  <c r="F16" i="181"/>
  <c r="J17" i="196"/>
  <c r="P17" i="196" s="1"/>
  <c r="R17" i="196"/>
  <c r="F17" i="197" s="1"/>
  <c r="R36" i="202"/>
  <c r="J26" i="172"/>
  <c r="P26" i="172" s="1"/>
  <c r="R26" i="172"/>
  <c r="F26" i="173" s="1"/>
  <c r="J21" i="161"/>
  <c r="P21" i="161" s="1"/>
  <c r="R21" i="161"/>
  <c r="F25" i="171" s="1"/>
  <c r="N20" i="162"/>
  <c r="F13" i="156"/>
  <c r="R17" i="155"/>
  <c r="P19" i="162"/>
  <c r="R19" i="162" s="1"/>
  <c r="L21" i="162"/>
  <c r="L65" i="162"/>
  <c r="J17" i="155"/>
  <c r="P13" i="155"/>
  <c r="F31" i="155"/>
  <c r="R28" i="155"/>
  <c r="P20" i="122"/>
  <c r="P23" i="122" s="1"/>
  <c r="P25" i="122" s="1"/>
  <c r="L25" i="131" s="1"/>
  <c r="L29" i="131" s="1"/>
  <c r="J23" i="122"/>
  <c r="J25" i="122" s="1"/>
  <c r="F20" i="123"/>
  <c r="R23" i="122"/>
  <c r="R25" i="122" s="1"/>
  <c r="L11" i="131"/>
  <c r="L14" i="131" s="1"/>
  <c r="L18" i="131" s="1"/>
  <c r="L22" i="131" s="1"/>
  <c r="S19" i="162" l="1"/>
  <c r="U19" i="162" s="1"/>
  <c r="G16" i="146"/>
  <c r="J18" i="196"/>
  <c r="P18" i="196" s="1"/>
  <c r="R18" i="196"/>
  <c r="F18" i="197" s="1"/>
  <c r="J18" i="197" s="1"/>
  <c r="P18" i="197" s="1"/>
  <c r="J16" i="181"/>
  <c r="P16" i="181" s="1"/>
  <c r="R16" i="181"/>
  <c r="R17" i="197"/>
  <c r="F17" i="198" s="1"/>
  <c r="J17" i="197"/>
  <c r="P17" i="197" s="1"/>
  <c r="F36" i="203"/>
  <c r="J25" i="171"/>
  <c r="P25" i="171" s="1"/>
  <c r="R25" i="171"/>
  <c r="F25" i="172" s="1"/>
  <c r="J26" i="173"/>
  <c r="P26" i="173" s="1"/>
  <c r="R26" i="173"/>
  <c r="F26" i="174" s="1"/>
  <c r="P17" i="155"/>
  <c r="J13" i="146"/>
  <c r="M21" i="162"/>
  <c r="O20" i="162"/>
  <c r="J13" i="156"/>
  <c r="R13" i="156"/>
  <c r="F17" i="156"/>
  <c r="M65" i="162"/>
  <c r="N65" i="162" s="1"/>
  <c r="F28" i="156"/>
  <c r="J12" i="146"/>
  <c r="R31" i="155"/>
  <c r="L31" i="131"/>
  <c r="F23" i="123"/>
  <c r="F25" i="123" s="1"/>
  <c r="J20" i="123"/>
  <c r="R20" i="123"/>
  <c r="R18" i="197" l="1"/>
  <c r="F18" i="198" s="1"/>
  <c r="R18" i="198" s="1"/>
  <c r="F16" i="182"/>
  <c r="R17" i="198"/>
  <c r="F17" i="199" s="1"/>
  <c r="J17" i="198"/>
  <c r="P17" i="198" s="1"/>
  <c r="R36" i="203"/>
  <c r="J26" i="174"/>
  <c r="P26" i="174" s="1"/>
  <c r="R26" i="174"/>
  <c r="F26" i="175" s="1"/>
  <c r="J25" i="172"/>
  <c r="P25" i="172" s="1"/>
  <c r="R25" i="172"/>
  <c r="F25" i="173" s="1"/>
  <c r="F13" i="157"/>
  <c r="R17" i="156"/>
  <c r="P13" i="156"/>
  <c r="J17" i="156"/>
  <c r="N21" i="162"/>
  <c r="P20" i="162"/>
  <c r="R20" i="162" s="1"/>
  <c r="H16" i="146" s="1"/>
  <c r="L22" i="162"/>
  <c r="M22" i="162" s="1"/>
  <c r="N22" i="162" s="1"/>
  <c r="L66" i="162"/>
  <c r="M66" i="162" s="1"/>
  <c r="R28" i="156"/>
  <c r="F31" i="156"/>
  <c r="P20" i="123"/>
  <c r="P23" i="123" s="1"/>
  <c r="P25" i="123" s="1"/>
  <c r="M25" i="131" s="1"/>
  <c r="M29" i="131" s="1"/>
  <c r="J23" i="123"/>
  <c r="J25" i="123" s="1"/>
  <c r="F20" i="124"/>
  <c r="R23" i="123"/>
  <c r="R25" i="123" s="1"/>
  <c r="M11" i="131"/>
  <c r="M14" i="131" s="1"/>
  <c r="M18" i="131" s="1"/>
  <c r="M22" i="131" s="1"/>
  <c r="J18" i="198" l="1"/>
  <c r="P18" i="198" s="1"/>
  <c r="J16" i="182"/>
  <c r="P16" i="182" s="1"/>
  <c r="R16" i="182"/>
  <c r="F18" i="199"/>
  <c r="J18" i="199" s="1"/>
  <c r="P18" i="199" s="1"/>
  <c r="R17" i="199"/>
  <c r="F17" i="200" s="1"/>
  <c r="J17" i="199"/>
  <c r="P17" i="199" s="1"/>
  <c r="F36" i="204"/>
  <c r="J25" i="173"/>
  <c r="P25" i="173" s="1"/>
  <c r="R25" i="173"/>
  <c r="F25" i="174" s="1"/>
  <c r="J26" i="175"/>
  <c r="P26" i="175" s="1"/>
  <c r="R26" i="175"/>
  <c r="F26" i="176" s="1"/>
  <c r="N66" i="162"/>
  <c r="O22" i="162" s="1"/>
  <c r="P22" i="162" s="1"/>
  <c r="S20" i="162"/>
  <c r="U20" i="162" s="1"/>
  <c r="P17" i="156"/>
  <c r="K13" i="146"/>
  <c r="O21" i="162"/>
  <c r="R13" i="157"/>
  <c r="F17" i="157"/>
  <c r="J13" i="157"/>
  <c r="K12" i="146"/>
  <c r="F28" i="157"/>
  <c r="R31" i="156"/>
  <c r="M31" i="131"/>
  <c r="F23" i="124"/>
  <c r="F25" i="124" s="1"/>
  <c r="J20" i="124"/>
  <c r="R20" i="124"/>
  <c r="R18" i="199" l="1"/>
  <c r="F16" i="193"/>
  <c r="F18" i="200"/>
  <c r="J18" i="200" s="1"/>
  <c r="P18" i="200" s="1"/>
  <c r="J17" i="200"/>
  <c r="P17" i="200" s="1"/>
  <c r="R17" i="200"/>
  <c r="F17" i="201" s="1"/>
  <c r="R36" i="204"/>
  <c r="R26" i="176"/>
  <c r="F26" i="177" s="1"/>
  <c r="J26" i="176"/>
  <c r="P26" i="176" s="1"/>
  <c r="R25" i="174"/>
  <c r="F25" i="175" s="1"/>
  <c r="J25" i="174"/>
  <c r="P25" i="174" s="1"/>
  <c r="L67" i="162"/>
  <c r="M67" i="162" s="1"/>
  <c r="L23" i="162"/>
  <c r="M23" i="162" s="1"/>
  <c r="N23" i="162" s="1"/>
  <c r="J17" i="157"/>
  <c r="P13" i="157"/>
  <c r="P21" i="162"/>
  <c r="R21" i="162" s="1"/>
  <c r="I16" i="146" s="1"/>
  <c r="F13" i="158"/>
  <c r="R17" i="157"/>
  <c r="R28" i="157"/>
  <c r="F31" i="157"/>
  <c r="F20" i="125"/>
  <c r="R23" i="124"/>
  <c r="R25" i="124" s="1"/>
  <c r="N11" i="131"/>
  <c r="N14" i="131" s="1"/>
  <c r="N18" i="131" s="1"/>
  <c r="N22" i="131" s="1"/>
  <c r="P20" i="124"/>
  <c r="P23" i="124" s="1"/>
  <c r="P25" i="124" s="1"/>
  <c r="N25" i="131" s="1"/>
  <c r="N29" i="131" s="1"/>
  <c r="J23" i="124"/>
  <c r="J25" i="124" s="1"/>
  <c r="R18" i="200" l="1"/>
  <c r="R16" i="193"/>
  <c r="J16" i="193"/>
  <c r="P16" i="193" s="1"/>
  <c r="F18" i="201"/>
  <c r="R18" i="201" s="1"/>
  <c r="J17" i="201"/>
  <c r="P17" i="201" s="1"/>
  <c r="R17" i="201"/>
  <c r="F17" i="202" s="1"/>
  <c r="J25" i="175"/>
  <c r="P25" i="175" s="1"/>
  <c r="R25" i="175"/>
  <c r="F25" i="176" s="1"/>
  <c r="R26" i="177"/>
  <c r="F26" i="178" s="1"/>
  <c r="J26" i="177"/>
  <c r="P26" i="177" s="1"/>
  <c r="N67" i="162"/>
  <c r="O23" i="162" s="1"/>
  <c r="P23" i="162" s="1"/>
  <c r="R13" i="158"/>
  <c r="F17" i="158"/>
  <c r="J13" i="158"/>
  <c r="R22" i="162"/>
  <c r="J16" i="146" s="1"/>
  <c r="S21" i="162"/>
  <c r="U21" i="162" s="1"/>
  <c r="P17" i="157"/>
  <c r="L13" i="146"/>
  <c r="F28" i="158"/>
  <c r="R31" i="157"/>
  <c r="L12" i="146"/>
  <c r="N31" i="131"/>
  <c r="R20" i="125"/>
  <c r="F23" i="125"/>
  <c r="F25" i="125" s="1"/>
  <c r="J20" i="125"/>
  <c r="J18" i="201" l="1"/>
  <c r="P18" i="201" s="1"/>
  <c r="F16" i="194"/>
  <c r="F18" i="202"/>
  <c r="R18" i="202" s="1"/>
  <c r="J17" i="202"/>
  <c r="P17" i="202" s="1"/>
  <c r="R17" i="202"/>
  <c r="F17" i="203" s="1"/>
  <c r="J26" i="178"/>
  <c r="P26" i="178" s="1"/>
  <c r="R26" i="178"/>
  <c r="F26" i="179" s="1"/>
  <c r="R25" i="176"/>
  <c r="F25" i="177" s="1"/>
  <c r="J25" i="176"/>
  <c r="P25" i="176" s="1"/>
  <c r="J17" i="158"/>
  <c r="P13" i="158"/>
  <c r="L24" i="162"/>
  <c r="M24" i="162" s="1"/>
  <c r="N24" i="162" s="1"/>
  <c r="L68" i="162"/>
  <c r="M68" i="162" s="1"/>
  <c r="R17" i="158"/>
  <c r="F13" i="159"/>
  <c r="S22" i="162"/>
  <c r="U22" i="162" s="1"/>
  <c r="R23" i="162"/>
  <c r="K16" i="146" s="1"/>
  <c r="F31" i="158"/>
  <c r="R28" i="158"/>
  <c r="R23" i="125"/>
  <c r="R25" i="125" s="1"/>
  <c r="F20" i="126"/>
  <c r="O11" i="131"/>
  <c r="O14" i="131" s="1"/>
  <c r="O18" i="131" s="1"/>
  <c r="O22" i="131" s="1"/>
  <c r="J23" i="125"/>
  <c r="J25" i="125" s="1"/>
  <c r="P20" i="125"/>
  <c r="P23" i="125" s="1"/>
  <c r="P25" i="125" s="1"/>
  <c r="O25" i="131" s="1"/>
  <c r="O29" i="131" s="1"/>
  <c r="J18" i="202" l="1"/>
  <c r="P18" i="202" s="1"/>
  <c r="J16" i="194"/>
  <c r="P16" i="194" s="1"/>
  <c r="R16" i="194"/>
  <c r="F18" i="203"/>
  <c r="J18" i="203" s="1"/>
  <c r="P18" i="203" s="1"/>
  <c r="J17" i="203"/>
  <c r="P17" i="203" s="1"/>
  <c r="R17" i="203"/>
  <c r="F17" i="204" s="1"/>
  <c r="J25" i="177"/>
  <c r="P25" i="177" s="1"/>
  <c r="R25" i="177"/>
  <c r="F25" i="178" s="1"/>
  <c r="R26" i="179"/>
  <c r="F26" i="180" s="1"/>
  <c r="J26" i="179"/>
  <c r="P26" i="179" s="1"/>
  <c r="N68" i="162"/>
  <c r="O24" i="162" s="1"/>
  <c r="S23" i="162"/>
  <c r="U23" i="162" s="1"/>
  <c r="P17" i="158"/>
  <c r="M13" i="146"/>
  <c r="F17" i="159"/>
  <c r="J13" i="159"/>
  <c r="R13" i="159"/>
  <c r="F28" i="159"/>
  <c r="M12" i="146"/>
  <c r="R31" i="158"/>
  <c r="O31" i="131"/>
  <c r="R20" i="126"/>
  <c r="F20" i="150" s="1"/>
  <c r="F23" i="126"/>
  <c r="F25" i="126" s="1"/>
  <c r="J20" i="126"/>
  <c r="R18" i="203" l="1"/>
  <c r="F18" i="204" s="1"/>
  <c r="R18" i="204" s="1"/>
  <c r="F16" i="195"/>
  <c r="J17" i="204"/>
  <c r="P17" i="204" s="1"/>
  <c r="R17" i="204"/>
  <c r="R26" i="180"/>
  <c r="F26" i="181" s="1"/>
  <c r="J26" i="180"/>
  <c r="P26" i="180" s="1"/>
  <c r="J25" i="178"/>
  <c r="P25" i="178" s="1"/>
  <c r="R25" i="178"/>
  <c r="F25" i="179" s="1"/>
  <c r="R20" i="150"/>
  <c r="J20" i="150"/>
  <c r="F23" i="150"/>
  <c r="F25" i="150" s="1"/>
  <c r="P24" i="162"/>
  <c r="R24" i="162" s="1"/>
  <c r="R17" i="159"/>
  <c r="F13" i="160"/>
  <c r="L25" i="162"/>
  <c r="M25" i="162" s="1"/>
  <c r="N25" i="162" s="1"/>
  <c r="L69" i="162"/>
  <c r="M69" i="162" s="1"/>
  <c r="J17" i="159"/>
  <c r="P13" i="159"/>
  <c r="F31" i="159"/>
  <c r="R28" i="159"/>
  <c r="R23" i="126"/>
  <c r="R25" i="126" s="1"/>
  <c r="P11" i="131"/>
  <c r="P20" i="126"/>
  <c r="P23" i="126" s="1"/>
  <c r="P25" i="126" s="1"/>
  <c r="P25" i="131" s="1"/>
  <c r="J23" i="126"/>
  <c r="J25" i="126" s="1"/>
  <c r="S24" i="162" l="1"/>
  <c r="U24" i="162" s="1"/>
  <c r="L16" i="146"/>
  <c r="J16" i="195"/>
  <c r="P16" i="195" s="1"/>
  <c r="R16" i="195"/>
  <c r="J18" i="204"/>
  <c r="P18" i="204" s="1"/>
  <c r="J25" i="179"/>
  <c r="P25" i="179" s="1"/>
  <c r="R25" i="179"/>
  <c r="F25" i="180" s="1"/>
  <c r="J26" i="181"/>
  <c r="P26" i="181" s="1"/>
  <c r="R26" i="181"/>
  <c r="F26" i="182" s="1"/>
  <c r="J23" i="150"/>
  <c r="J25" i="150" s="1"/>
  <c r="P20" i="150"/>
  <c r="P23" i="150" s="1"/>
  <c r="P25" i="150" s="1"/>
  <c r="E25" i="146" s="1"/>
  <c r="E29" i="146" s="1"/>
  <c r="D25" i="146"/>
  <c r="D29" i="146" s="1"/>
  <c r="Q25" i="131"/>
  <c r="Q29" i="131" s="1"/>
  <c r="F20" i="151"/>
  <c r="R23" i="150"/>
  <c r="R25" i="150" s="1"/>
  <c r="E11" i="146"/>
  <c r="E14" i="146" s="1"/>
  <c r="E18" i="146" s="1"/>
  <c r="E22" i="146" s="1"/>
  <c r="N69" i="162"/>
  <c r="O25" i="162" s="1"/>
  <c r="P17" i="159"/>
  <c r="N13" i="146"/>
  <c r="J13" i="160"/>
  <c r="F17" i="160"/>
  <c r="R13" i="160"/>
  <c r="P14" i="131"/>
  <c r="P18" i="131" s="1"/>
  <c r="P22" i="131" s="1"/>
  <c r="D11" i="146"/>
  <c r="R31" i="159"/>
  <c r="N12" i="146"/>
  <c r="F28" i="160"/>
  <c r="Q11" i="131"/>
  <c r="Q14" i="131" s="1"/>
  <c r="P29" i="131"/>
  <c r="F16" i="196" l="1"/>
  <c r="J26" i="182"/>
  <c r="P26" i="182" s="1"/>
  <c r="R26" i="182"/>
  <c r="F26" i="193" s="1"/>
  <c r="J25" i="180"/>
  <c r="P25" i="180" s="1"/>
  <c r="R25" i="180"/>
  <c r="F25" i="181" s="1"/>
  <c r="Q18" i="131"/>
  <c r="Q22" i="131" s="1"/>
  <c r="Q31" i="131" s="1"/>
  <c r="E31" i="146"/>
  <c r="R20" i="151"/>
  <c r="F23" i="151"/>
  <c r="F25" i="151" s="1"/>
  <c r="J20" i="151"/>
  <c r="P25" i="162"/>
  <c r="R25" i="162" s="1"/>
  <c r="P31" i="131"/>
  <c r="R17" i="160"/>
  <c r="F13" i="161"/>
  <c r="J17" i="160"/>
  <c r="P13" i="160"/>
  <c r="L70" i="162"/>
  <c r="M70" i="162" s="1"/>
  <c r="L26" i="162"/>
  <c r="M26" i="162" s="1"/>
  <c r="N26" i="162" s="1"/>
  <c r="D14" i="146"/>
  <c r="D18" i="146" s="1"/>
  <c r="D22" i="146" s="1"/>
  <c r="D31" i="146" s="1"/>
  <c r="R28" i="160"/>
  <c r="F31" i="160"/>
  <c r="S25" i="162" l="1"/>
  <c r="U25" i="162" s="1"/>
  <c r="M16" i="146"/>
  <c r="J16" i="196"/>
  <c r="P16" i="196" s="1"/>
  <c r="R16" i="196"/>
  <c r="R26" i="193"/>
  <c r="F26" i="194" s="1"/>
  <c r="J26" i="193"/>
  <c r="P26" i="193" s="1"/>
  <c r="J25" i="181"/>
  <c r="P25" i="181" s="1"/>
  <c r="R25" i="181"/>
  <c r="F25" i="182" s="1"/>
  <c r="P20" i="151"/>
  <c r="P23" i="151" s="1"/>
  <c r="P25" i="151" s="1"/>
  <c r="F25" i="146" s="1"/>
  <c r="F29" i="146" s="1"/>
  <c r="J23" i="151"/>
  <c r="J25" i="151" s="1"/>
  <c r="F20" i="152"/>
  <c r="R23" i="151"/>
  <c r="R25" i="151" s="1"/>
  <c r="F11" i="146"/>
  <c r="F14" i="146" s="1"/>
  <c r="F18" i="146" s="1"/>
  <c r="F22" i="146" s="1"/>
  <c r="N70" i="162"/>
  <c r="O26" i="162" s="1"/>
  <c r="J13" i="161"/>
  <c r="F17" i="161"/>
  <c r="R13" i="161"/>
  <c r="F13" i="171" s="1"/>
  <c r="P17" i="160"/>
  <c r="O13" i="146"/>
  <c r="R31" i="160"/>
  <c r="F28" i="161"/>
  <c r="O12" i="146"/>
  <c r="F16" i="197" l="1"/>
  <c r="J26" i="194"/>
  <c r="P26" i="194" s="1"/>
  <c r="R26" i="194"/>
  <c r="F26" i="195" s="1"/>
  <c r="J25" i="182"/>
  <c r="P25" i="182" s="1"/>
  <c r="R25" i="182"/>
  <c r="F25" i="193" s="1"/>
  <c r="J13" i="171"/>
  <c r="F19" i="171"/>
  <c r="R13" i="171"/>
  <c r="F23" i="152"/>
  <c r="F25" i="152" s="1"/>
  <c r="J20" i="152"/>
  <c r="R20" i="152"/>
  <c r="F31" i="146"/>
  <c r="P26" i="162"/>
  <c r="R26" i="162" s="1"/>
  <c r="L71" i="162"/>
  <c r="M71" i="162" s="1"/>
  <c r="L27" i="162"/>
  <c r="M27" i="162" s="1"/>
  <c r="N27" i="162" s="1"/>
  <c r="R17" i="161"/>
  <c r="J17" i="161"/>
  <c r="P13" i="161"/>
  <c r="P13" i="146" s="1"/>
  <c r="F31" i="161"/>
  <c r="R28" i="161"/>
  <c r="F33" i="171" s="1"/>
  <c r="F39" i="171" s="1"/>
  <c r="S26" i="162" l="1"/>
  <c r="U26" i="162" s="1"/>
  <c r="N16" i="146"/>
  <c r="R16" i="197"/>
  <c r="J16" i="197"/>
  <c r="P16" i="197" s="1"/>
  <c r="J26" i="195"/>
  <c r="P26" i="195" s="1"/>
  <c r="R26" i="195"/>
  <c r="F26" i="196" s="1"/>
  <c r="R25" i="193"/>
  <c r="F25" i="194" s="1"/>
  <c r="J25" i="193"/>
  <c r="P25" i="193" s="1"/>
  <c r="R19" i="171"/>
  <c r="V2" i="184"/>
  <c r="V5" i="184" s="1"/>
  <c r="R33" i="171"/>
  <c r="F13" i="172"/>
  <c r="P13" i="171"/>
  <c r="J19" i="171"/>
  <c r="R23" i="152"/>
  <c r="R25" i="152" s="1"/>
  <c r="F20" i="153"/>
  <c r="G11" i="146"/>
  <c r="J23" i="152"/>
  <c r="J25" i="152" s="1"/>
  <c r="P20" i="152"/>
  <c r="P23" i="152" s="1"/>
  <c r="P25" i="152" s="1"/>
  <c r="G25" i="146" s="1"/>
  <c r="G29" i="146" s="1"/>
  <c r="N71" i="162"/>
  <c r="O27" i="162" s="1"/>
  <c r="P17" i="161"/>
  <c r="R31" i="161"/>
  <c r="P12" i="146"/>
  <c r="D12" i="167" s="1"/>
  <c r="E12" i="167" s="1"/>
  <c r="F12" i="167" s="1"/>
  <c r="G12" i="167" s="1"/>
  <c r="H12" i="167" s="1"/>
  <c r="I12" i="167" s="1"/>
  <c r="J12" i="167" s="1"/>
  <c r="K12" i="167" s="1"/>
  <c r="L12" i="167" s="1"/>
  <c r="M12" i="167" s="1"/>
  <c r="N12" i="167" s="1"/>
  <c r="O12" i="167" s="1"/>
  <c r="P12" i="167" s="1"/>
  <c r="N17" i="183" l="1"/>
  <c r="F16" i="198"/>
  <c r="J26" i="196"/>
  <c r="P26" i="196" s="1"/>
  <c r="R26" i="196"/>
  <c r="F26" i="197" s="1"/>
  <c r="J25" i="194"/>
  <c r="P25" i="194" s="1"/>
  <c r="R25" i="194"/>
  <c r="F25" i="195" s="1"/>
  <c r="N61" i="183"/>
  <c r="R39" i="171"/>
  <c r="P19" i="171"/>
  <c r="F33" i="172"/>
  <c r="F39" i="172" s="1"/>
  <c r="F19" i="172"/>
  <c r="J13" i="172"/>
  <c r="R13" i="172"/>
  <c r="Q13" i="146"/>
  <c r="D13" i="167"/>
  <c r="E13" i="167" s="1"/>
  <c r="J20" i="153"/>
  <c r="F23" i="153"/>
  <c r="F25" i="153" s="1"/>
  <c r="R20" i="153"/>
  <c r="G14" i="146"/>
  <c r="G18" i="146" s="1"/>
  <c r="G22" i="146" s="1"/>
  <c r="G31" i="146" s="1"/>
  <c r="P27" i="162"/>
  <c r="R27" i="162" s="1"/>
  <c r="L72" i="162"/>
  <c r="L28" i="162"/>
  <c r="Q12" i="146"/>
  <c r="S27" i="162" l="1"/>
  <c r="U27" i="162" s="1"/>
  <c r="O16" i="146"/>
  <c r="J16" i="198"/>
  <c r="P16" i="198" s="1"/>
  <c r="R16" i="198"/>
  <c r="J26" i="197"/>
  <c r="P26" i="197" s="1"/>
  <c r="R26" i="197"/>
  <c r="F26" i="198" s="1"/>
  <c r="J25" i="195"/>
  <c r="P25" i="195" s="1"/>
  <c r="R25" i="195"/>
  <c r="F25" i="196" s="1"/>
  <c r="R33" i="172"/>
  <c r="O17" i="183"/>
  <c r="R19" i="172"/>
  <c r="F13" i="173"/>
  <c r="J19" i="172"/>
  <c r="P13" i="172"/>
  <c r="N18" i="183" s="1"/>
  <c r="O61" i="183"/>
  <c r="R23" i="153"/>
  <c r="R25" i="153" s="1"/>
  <c r="F20" i="154"/>
  <c r="H11" i="146"/>
  <c r="J23" i="153"/>
  <c r="J25" i="153" s="1"/>
  <c r="P20" i="153"/>
  <c r="P23" i="153" s="1"/>
  <c r="P25" i="153" s="1"/>
  <c r="H25" i="146" s="1"/>
  <c r="H29" i="146" s="1"/>
  <c r="M28" i="162"/>
  <c r="L44" i="162"/>
  <c r="M72" i="162"/>
  <c r="N72" i="162" s="1"/>
  <c r="L88" i="162"/>
  <c r="F13" i="167" l="1"/>
  <c r="F16" i="199"/>
  <c r="J26" i="198"/>
  <c r="P26" i="198" s="1"/>
  <c r="R26" i="198"/>
  <c r="F26" i="199" s="1"/>
  <c r="R25" i="196"/>
  <c r="F25" i="197" s="1"/>
  <c r="J25" i="196"/>
  <c r="P25" i="196" s="1"/>
  <c r="N62" i="183"/>
  <c r="R39" i="172"/>
  <c r="P19" i="172"/>
  <c r="F33" i="173"/>
  <c r="F39" i="173" s="1"/>
  <c r="R13" i="173"/>
  <c r="J13" i="173"/>
  <c r="F19" i="173"/>
  <c r="P17" i="183"/>
  <c r="P61" i="183"/>
  <c r="H14" i="146"/>
  <c r="H18" i="146" s="1"/>
  <c r="H22" i="146" s="1"/>
  <c r="H31" i="146" s="1"/>
  <c r="F23" i="154"/>
  <c r="F25" i="154" s="1"/>
  <c r="R20" i="154"/>
  <c r="J20" i="154"/>
  <c r="M88" i="162"/>
  <c r="N28" i="162"/>
  <c r="M44" i="162"/>
  <c r="J16" i="199" l="1"/>
  <c r="P16" i="199" s="1"/>
  <c r="R16" i="199"/>
  <c r="R26" i="199"/>
  <c r="F26" i="200" s="1"/>
  <c r="J26" i="199"/>
  <c r="P26" i="199" s="1"/>
  <c r="J25" i="197"/>
  <c r="P25" i="197" s="1"/>
  <c r="R25" i="197"/>
  <c r="F25" i="198" s="1"/>
  <c r="R33" i="173"/>
  <c r="O18" i="183"/>
  <c r="J19" i="173"/>
  <c r="P13" i="173"/>
  <c r="N19" i="183" s="1"/>
  <c r="O62" i="183"/>
  <c r="Q17" i="183"/>
  <c r="R19" i="173"/>
  <c r="F13" i="174"/>
  <c r="F20" i="155"/>
  <c r="R23" i="154"/>
  <c r="R25" i="154" s="1"/>
  <c r="I11" i="146"/>
  <c r="P20" i="154"/>
  <c r="P23" i="154" s="1"/>
  <c r="P25" i="154" s="1"/>
  <c r="I25" i="146" s="1"/>
  <c r="J23" i="154"/>
  <c r="J25" i="154" s="1"/>
  <c r="N44" i="162"/>
  <c r="O28" i="162"/>
  <c r="N88" i="162"/>
  <c r="G13" i="167" l="1"/>
  <c r="F16" i="200"/>
  <c r="J26" i="200"/>
  <c r="P26" i="200" s="1"/>
  <c r="R26" i="200"/>
  <c r="F26" i="201" s="1"/>
  <c r="J25" i="198"/>
  <c r="P25" i="198" s="1"/>
  <c r="R25" i="198"/>
  <c r="F25" i="199" s="1"/>
  <c r="N63" i="183"/>
  <c r="R39" i="173"/>
  <c r="P19" i="173"/>
  <c r="F33" i="174"/>
  <c r="F39" i="174" s="1"/>
  <c r="F19" i="174"/>
  <c r="J13" i="174"/>
  <c r="R13" i="174"/>
  <c r="P18" i="183"/>
  <c r="R17" i="183"/>
  <c r="P62" i="183"/>
  <c r="I29" i="146"/>
  <c r="I14" i="146"/>
  <c r="I18" i="146" s="1"/>
  <c r="I22" i="146" s="1"/>
  <c r="R20" i="155"/>
  <c r="J20" i="155"/>
  <c r="F23" i="155"/>
  <c r="F25" i="155" s="1"/>
  <c r="P28" i="162"/>
  <c r="P44" i="162" s="1"/>
  <c r="O44" i="162"/>
  <c r="J16" i="200" l="1"/>
  <c r="P16" i="200" s="1"/>
  <c r="R16" i="200"/>
  <c r="J26" i="201"/>
  <c r="P26" i="201" s="1"/>
  <c r="R26" i="201"/>
  <c r="F26" i="202" s="1"/>
  <c r="R25" i="199"/>
  <c r="F25" i="200" s="1"/>
  <c r="J25" i="199"/>
  <c r="P25" i="199" s="1"/>
  <c r="R33" i="174"/>
  <c r="F13" i="175"/>
  <c r="R19" i="174"/>
  <c r="O19" i="183"/>
  <c r="P13" i="174"/>
  <c r="N20" i="183" s="1"/>
  <c r="J19" i="174"/>
  <c r="Q18" i="183"/>
  <c r="O63" i="183"/>
  <c r="I31" i="146"/>
  <c r="P20" i="155"/>
  <c r="P23" i="155" s="1"/>
  <c r="P25" i="155" s="1"/>
  <c r="J25" i="146" s="1"/>
  <c r="J23" i="155"/>
  <c r="J25" i="155" s="1"/>
  <c r="F20" i="156"/>
  <c r="R23" i="155"/>
  <c r="R25" i="155" s="1"/>
  <c r="J11" i="146"/>
  <c r="R28" i="162"/>
  <c r="P16" i="146" s="1"/>
  <c r="D16" i="167" l="1"/>
  <c r="Q16" i="146"/>
  <c r="H13" i="167"/>
  <c r="F16" i="201"/>
  <c r="R26" i="202"/>
  <c r="F26" i="203" s="1"/>
  <c r="J26" i="202"/>
  <c r="P26" i="202" s="1"/>
  <c r="J25" i="200"/>
  <c r="P25" i="200" s="1"/>
  <c r="R25" i="200"/>
  <c r="F25" i="201" s="1"/>
  <c r="R39" i="174"/>
  <c r="N64" i="183"/>
  <c r="P19" i="174"/>
  <c r="S28" i="162"/>
  <c r="U28" i="162" s="1"/>
  <c r="T16" i="183"/>
  <c r="F33" i="175"/>
  <c r="F39" i="175" s="1"/>
  <c r="R18" i="183"/>
  <c r="P63" i="183"/>
  <c r="P19" i="183"/>
  <c r="J13" i="175"/>
  <c r="F19" i="175"/>
  <c r="R13" i="175"/>
  <c r="J14" i="146"/>
  <c r="J18" i="146" s="1"/>
  <c r="J22" i="146" s="1"/>
  <c r="F23" i="156"/>
  <c r="F25" i="156" s="1"/>
  <c r="J20" i="156"/>
  <c r="R20" i="156"/>
  <c r="J29" i="146"/>
  <c r="R44" i="162"/>
  <c r="J16" i="201" l="1"/>
  <c r="P16" i="201" s="1"/>
  <c r="R16" i="201"/>
  <c r="R26" i="203"/>
  <c r="F26" i="204" s="1"/>
  <c r="J26" i="203"/>
  <c r="P26" i="203" s="1"/>
  <c r="J25" i="201"/>
  <c r="P25" i="201" s="1"/>
  <c r="R25" i="201"/>
  <c r="F25" i="202" s="1"/>
  <c r="W16" i="183"/>
  <c r="T17" i="183"/>
  <c r="R33" i="175"/>
  <c r="O64" i="183"/>
  <c r="F13" i="176"/>
  <c r="R19" i="175"/>
  <c r="Q19" i="183"/>
  <c r="P13" i="175"/>
  <c r="N21" i="183" s="1"/>
  <c r="J19" i="175"/>
  <c r="O20" i="183"/>
  <c r="R23" i="156"/>
  <c r="R25" i="156" s="1"/>
  <c r="F20" i="157"/>
  <c r="K11" i="146"/>
  <c r="J23" i="156"/>
  <c r="J25" i="156" s="1"/>
  <c r="P20" i="156"/>
  <c r="P23" i="156" s="1"/>
  <c r="P25" i="156" s="1"/>
  <c r="K25" i="146" s="1"/>
  <c r="J31" i="146"/>
  <c r="I13" i="167" l="1"/>
  <c r="F16" i="202"/>
  <c r="J26" i="204"/>
  <c r="P26" i="204" s="1"/>
  <c r="R26" i="204"/>
  <c r="R25" i="202"/>
  <c r="F25" i="203" s="1"/>
  <c r="J25" i="202"/>
  <c r="P25" i="202" s="1"/>
  <c r="U17" i="183"/>
  <c r="W17" i="183" s="1"/>
  <c r="E16" i="167"/>
  <c r="N65" i="183"/>
  <c r="R39" i="175"/>
  <c r="T18" i="183"/>
  <c r="F33" i="176"/>
  <c r="F39" i="176" s="1"/>
  <c r="P20" i="183"/>
  <c r="R19" i="183"/>
  <c r="P64" i="183"/>
  <c r="P19" i="175"/>
  <c r="F19" i="176"/>
  <c r="R13" i="176"/>
  <c r="J13" i="176"/>
  <c r="K29" i="146"/>
  <c r="K14" i="146"/>
  <c r="K18" i="146" s="1"/>
  <c r="K22" i="146" s="1"/>
  <c r="J20" i="157"/>
  <c r="R20" i="157"/>
  <c r="F23" i="157"/>
  <c r="F25" i="157" s="1"/>
  <c r="R16" i="202" l="1"/>
  <c r="J16" i="202"/>
  <c r="P16" i="202" s="1"/>
  <c r="R25" i="203"/>
  <c r="F25" i="204" s="1"/>
  <c r="J25" i="203"/>
  <c r="P25" i="203" s="1"/>
  <c r="U18" i="183"/>
  <c r="W18" i="183" s="1"/>
  <c r="F16" i="167"/>
  <c r="T19" i="183"/>
  <c r="R33" i="176"/>
  <c r="Q20" i="183"/>
  <c r="P13" i="176"/>
  <c r="N22" i="183" s="1"/>
  <c r="J19" i="176"/>
  <c r="R19" i="176"/>
  <c r="F13" i="177"/>
  <c r="K31" i="146"/>
  <c r="R23" i="157"/>
  <c r="R25" i="157" s="1"/>
  <c r="F20" i="158"/>
  <c r="L11" i="146"/>
  <c r="L14" i="146" s="1"/>
  <c r="L18" i="146" s="1"/>
  <c r="L22" i="146" s="1"/>
  <c r="P20" i="157"/>
  <c r="P23" i="157" s="1"/>
  <c r="P25" i="157" s="1"/>
  <c r="L25" i="146" s="1"/>
  <c r="J23" i="157"/>
  <c r="J25" i="157" s="1"/>
  <c r="J13" i="167" l="1"/>
  <c r="F16" i="203"/>
  <c r="J25" i="204"/>
  <c r="P25" i="204" s="1"/>
  <c r="R25" i="204"/>
  <c r="U19" i="183"/>
  <c r="W19" i="183" s="1"/>
  <c r="G16" i="167"/>
  <c r="R39" i="176"/>
  <c r="N66" i="183"/>
  <c r="O66" i="183" s="1"/>
  <c r="P66" i="183" s="1"/>
  <c r="Q22" i="183" s="1"/>
  <c r="R22" i="183" s="1"/>
  <c r="P19" i="176"/>
  <c r="F33" i="177"/>
  <c r="F39" i="177" s="1"/>
  <c r="O21" i="183"/>
  <c r="F19" i="177"/>
  <c r="J13" i="177"/>
  <c r="R13" i="177"/>
  <c r="O65" i="183"/>
  <c r="R20" i="183"/>
  <c r="T20" i="183" s="1"/>
  <c r="H16" i="167" s="1"/>
  <c r="L29" i="146"/>
  <c r="L31" i="146" s="1"/>
  <c r="J20" i="158"/>
  <c r="F23" i="158"/>
  <c r="F25" i="158" s="1"/>
  <c r="R20" i="158"/>
  <c r="J16" i="203" l="1"/>
  <c r="P16" i="203" s="1"/>
  <c r="R16" i="203"/>
  <c r="O22" i="183"/>
  <c r="P22" i="183" s="1"/>
  <c r="R33" i="177"/>
  <c r="P13" i="177"/>
  <c r="N23" i="183" s="1"/>
  <c r="J19" i="177"/>
  <c r="R19" i="177"/>
  <c r="F13" i="178"/>
  <c r="U20" i="183"/>
  <c r="P65" i="183"/>
  <c r="P21" i="183"/>
  <c r="J23" i="158"/>
  <c r="J25" i="158" s="1"/>
  <c r="P20" i="158"/>
  <c r="P23" i="158" s="1"/>
  <c r="P25" i="158" s="1"/>
  <c r="M25" i="146" s="1"/>
  <c r="R23" i="158"/>
  <c r="R25" i="158" s="1"/>
  <c r="F20" i="159"/>
  <c r="M11" i="146"/>
  <c r="M14" i="146" s="1"/>
  <c r="M18" i="146" s="1"/>
  <c r="M22" i="146" s="1"/>
  <c r="K13" i="167" l="1"/>
  <c r="F16" i="204"/>
  <c r="N67" i="183"/>
  <c r="O67" i="183" s="1"/>
  <c r="P67" i="183" s="1"/>
  <c r="Q23" i="183" s="1"/>
  <c r="R23" i="183" s="1"/>
  <c r="R39" i="177"/>
  <c r="P19" i="177"/>
  <c r="F33" i="178"/>
  <c r="F39" i="178" s="1"/>
  <c r="W20" i="183"/>
  <c r="Q21" i="183"/>
  <c r="R13" i="178"/>
  <c r="F19" i="178"/>
  <c r="J13" i="178"/>
  <c r="J20" i="159"/>
  <c r="F23" i="159"/>
  <c r="F25" i="159" s="1"/>
  <c r="R20" i="159"/>
  <c r="M29" i="146"/>
  <c r="M31" i="146" s="1"/>
  <c r="R16" i="204" l="1"/>
  <c r="J16" i="204"/>
  <c r="P16" i="204" s="1"/>
  <c r="O23" i="183"/>
  <c r="P23" i="183" s="1"/>
  <c r="R33" i="178"/>
  <c r="J19" i="178"/>
  <c r="P13" i="178"/>
  <c r="F13" i="179"/>
  <c r="R19" i="178"/>
  <c r="R21" i="183"/>
  <c r="T21" i="183" s="1"/>
  <c r="I16" i="167" s="1"/>
  <c r="R23" i="159"/>
  <c r="R25" i="159" s="1"/>
  <c r="F20" i="160"/>
  <c r="N11" i="146"/>
  <c r="N14" i="146" s="1"/>
  <c r="N18" i="146" s="1"/>
  <c r="N22" i="146" s="1"/>
  <c r="J23" i="159"/>
  <c r="J25" i="159" s="1"/>
  <c r="P20" i="159"/>
  <c r="P23" i="159" s="1"/>
  <c r="P25" i="159" s="1"/>
  <c r="N25" i="146" s="1"/>
  <c r="N29" i="146" s="1"/>
  <c r="N24" i="183" l="1"/>
  <c r="N68" i="183" s="1"/>
  <c r="L13" i="167"/>
  <c r="R39" i="178"/>
  <c r="F33" i="179"/>
  <c r="F39" i="179" s="1"/>
  <c r="J13" i="179"/>
  <c r="R13" i="179"/>
  <c r="F19" i="179"/>
  <c r="U21" i="183"/>
  <c r="T22" i="183"/>
  <c r="J16" i="167" s="1"/>
  <c r="P19" i="178"/>
  <c r="N31" i="146"/>
  <c r="F23" i="160"/>
  <c r="F25" i="160" s="1"/>
  <c r="R20" i="160"/>
  <c r="J20" i="160"/>
  <c r="R33" i="179" l="1"/>
  <c r="W21" i="183"/>
  <c r="F13" i="180"/>
  <c r="R19" i="179"/>
  <c r="O24" i="183"/>
  <c r="P24" i="183" s="1"/>
  <c r="O68" i="183"/>
  <c r="P68" i="183" s="1"/>
  <c r="Q24" i="183" s="1"/>
  <c r="R24" i="183" s="1"/>
  <c r="J19" i="179"/>
  <c r="P13" i="179"/>
  <c r="N25" i="183" s="1"/>
  <c r="T23" i="183"/>
  <c r="U22" i="183"/>
  <c r="P20" i="160"/>
  <c r="P23" i="160" s="1"/>
  <c r="P25" i="160" s="1"/>
  <c r="O25" i="146" s="1"/>
  <c r="O29" i="146" s="1"/>
  <c r="J23" i="160"/>
  <c r="J25" i="160" s="1"/>
  <c r="F20" i="161"/>
  <c r="R23" i="160"/>
  <c r="R25" i="160" s="1"/>
  <c r="O11" i="146"/>
  <c r="O14" i="146" s="1"/>
  <c r="O18" i="146" s="1"/>
  <c r="O22" i="146" s="1"/>
  <c r="M13" i="167" l="1"/>
  <c r="U23" i="183"/>
  <c r="K16" i="167"/>
  <c r="N69" i="183"/>
  <c r="O69" i="183" s="1"/>
  <c r="P69" i="183" s="1"/>
  <c r="Q25" i="183" s="1"/>
  <c r="R25" i="183" s="1"/>
  <c r="R39" i="179"/>
  <c r="P19" i="179"/>
  <c r="F33" i="180"/>
  <c r="F39" i="180" s="1"/>
  <c r="W22" i="183"/>
  <c r="T24" i="183"/>
  <c r="L16" i="167" s="1"/>
  <c r="J13" i="180"/>
  <c r="F19" i="180"/>
  <c r="R13" i="180"/>
  <c r="O31" i="146"/>
  <c r="F23" i="161"/>
  <c r="F25" i="161" s="1"/>
  <c r="J20" i="161"/>
  <c r="R20" i="161"/>
  <c r="F22" i="171" s="1"/>
  <c r="W23" i="183" l="1"/>
  <c r="O25" i="183"/>
  <c r="P25" i="183" s="1"/>
  <c r="T25" i="183" s="1"/>
  <c r="M16" i="167" s="1"/>
  <c r="F28" i="171"/>
  <c r="F30" i="171" s="1"/>
  <c r="J22" i="171"/>
  <c r="R22" i="171"/>
  <c r="R33" i="180"/>
  <c r="F13" i="181"/>
  <c r="R19" i="180"/>
  <c r="U24" i="183"/>
  <c r="J19" i="180"/>
  <c r="P13" i="180"/>
  <c r="N26" i="183" s="1"/>
  <c r="R23" i="161"/>
  <c r="R25" i="161" s="1"/>
  <c r="P11" i="146"/>
  <c r="P20" i="161"/>
  <c r="P23" i="161" s="1"/>
  <c r="P25" i="161" s="1"/>
  <c r="P25" i="146" s="1"/>
  <c r="D25" i="167" s="1"/>
  <c r="D29" i="167" s="1"/>
  <c r="J23" i="161"/>
  <c r="J25" i="161" s="1"/>
  <c r="D11" i="167" l="1"/>
  <c r="E11" i="167"/>
  <c r="N13" i="167"/>
  <c r="N70" i="183"/>
  <c r="R39" i="180"/>
  <c r="R28" i="171"/>
  <c r="R30" i="171" s="1"/>
  <c r="F22" i="172"/>
  <c r="P22" i="171"/>
  <c r="J28" i="171"/>
  <c r="J30" i="171" s="1"/>
  <c r="P19" i="180"/>
  <c r="F33" i="181"/>
  <c r="F39" i="181" s="1"/>
  <c r="W24" i="183"/>
  <c r="D14" i="167"/>
  <c r="D18" i="167" s="1"/>
  <c r="D22" i="167" s="1"/>
  <c r="D31" i="167" s="1"/>
  <c r="U25" i="183"/>
  <c r="F19" i="181"/>
  <c r="R13" i="181"/>
  <c r="J13" i="181"/>
  <c r="P29" i="146"/>
  <c r="Q25" i="146"/>
  <c r="Q29" i="146" s="1"/>
  <c r="P14" i="146"/>
  <c r="P18" i="146" s="1"/>
  <c r="P22" i="146" s="1"/>
  <c r="Q11" i="146"/>
  <c r="Q14" i="146" s="1"/>
  <c r="Q18" i="146" s="1"/>
  <c r="Q22" i="146" s="1"/>
  <c r="E39" i="167" l="1"/>
  <c r="E41" i="167" s="1"/>
  <c r="F11" i="167"/>
  <c r="E25" i="167"/>
  <c r="E29" i="167" s="1"/>
  <c r="O26" i="183"/>
  <c r="P26" i="183" s="1"/>
  <c r="F28" i="172"/>
  <c r="F30" i="172" s="1"/>
  <c r="R22" i="172"/>
  <c r="J22" i="172"/>
  <c r="P28" i="171"/>
  <c r="P30" i="171" s="1"/>
  <c r="O70" i="183"/>
  <c r="P70" i="183" s="1"/>
  <c r="Q26" i="183" s="1"/>
  <c r="R26" i="183" s="1"/>
  <c r="R33" i="181"/>
  <c r="W25" i="183"/>
  <c r="P13" i="181"/>
  <c r="N27" i="183" s="1"/>
  <c r="J19" i="181"/>
  <c r="F13" i="182"/>
  <c r="R13" i="182" s="1"/>
  <c r="F13" i="193" s="1"/>
  <c r="R19" i="181"/>
  <c r="Q31" i="146"/>
  <c r="P31" i="146"/>
  <c r="G11" i="167" l="1"/>
  <c r="F39" i="167"/>
  <c r="F41" i="167" s="1"/>
  <c r="O13" i="167"/>
  <c r="F19" i="193"/>
  <c r="J13" i="193"/>
  <c r="R13" i="193"/>
  <c r="J28" i="172"/>
  <c r="J30" i="172" s="1"/>
  <c r="P22" i="172"/>
  <c r="F25" i="167" s="1"/>
  <c r="R28" i="172"/>
  <c r="R30" i="172" s="1"/>
  <c r="F22" i="173"/>
  <c r="E14" i="167"/>
  <c r="E18" i="167" s="1"/>
  <c r="E22" i="167" s="1"/>
  <c r="E31" i="167" s="1"/>
  <c r="N71" i="183"/>
  <c r="O71" i="183" s="1"/>
  <c r="P71" i="183" s="1"/>
  <c r="Q27" i="183" s="1"/>
  <c r="R27" i="183" s="1"/>
  <c r="R39" i="181"/>
  <c r="T26" i="183"/>
  <c r="P19" i="181"/>
  <c r="F33" i="182"/>
  <c r="F39" i="182" s="1"/>
  <c r="J13" i="182"/>
  <c r="F19" i="182"/>
  <c r="H11" i="167" l="1"/>
  <c r="G39" i="167"/>
  <c r="G41" i="167" s="1"/>
  <c r="U26" i="183"/>
  <c r="W26" i="183" s="1"/>
  <c r="N16" i="167"/>
  <c r="O27" i="183"/>
  <c r="P27" i="183" s="1"/>
  <c r="T27" i="183" s="1"/>
  <c r="F13" i="194"/>
  <c r="R19" i="193"/>
  <c r="J19" i="193"/>
  <c r="P13" i="193"/>
  <c r="F28" i="173"/>
  <c r="F30" i="173" s="1"/>
  <c r="R22" i="173"/>
  <c r="J22" i="173"/>
  <c r="P28" i="172"/>
  <c r="P30" i="172" s="1"/>
  <c r="F29" i="167"/>
  <c r="F14" i="167"/>
  <c r="F18" i="167" s="1"/>
  <c r="F22" i="167" s="1"/>
  <c r="R33" i="182"/>
  <c r="F33" i="193" s="1"/>
  <c r="R19" i="182"/>
  <c r="P13" i="182"/>
  <c r="J19" i="182"/>
  <c r="I11" i="167" l="1"/>
  <c r="H39" i="167"/>
  <c r="H41" i="167" s="1"/>
  <c r="N28" i="183"/>
  <c r="N72" i="183" s="1"/>
  <c r="P13" i="167"/>
  <c r="D19" i="210" s="1"/>
  <c r="O17" i="205"/>
  <c r="R33" i="193"/>
  <c r="F39" i="193"/>
  <c r="U27" i="183"/>
  <c r="W27" i="183" s="1"/>
  <c r="O16" i="167"/>
  <c r="F31" i="167"/>
  <c r="P19" i="193"/>
  <c r="R13" i="194"/>
  <c r="J13" i="194"/>
  <c r="F19" i="194"/>
  <c r="J28" i="173"/>
  <c r="J30" i="173" s="1"/>
  <c r="P22" i="173"/>
  <c r="G25" i="167" s="1"/>
  <c r="R28" i="173"/>
  <c r="R30" i="173" s="1"/>
  <c r="F22" i="174"/>
  <c r="R39" i="182"/>
  <c r="P19" i="182"/>
  <c r="V6" i="184"/>
  <c r="V7" i="184" s="1"/>
  <c r="J11" i="167" l="1"/>
  <c r="I39" i="167"/>
  <c r="I41" i="167" s="1"/>
  <c r="F33" i="194"/>
  <c r="R39" i="193"/>
  <c r="O62" i="205"/>
  <c r="P62" i="205" s="1"/>
  <c r="Q62" i="205" s="1"/>
  <c r="P17" i="205"/>
  <c r="Q12" i="167"/>
  <c r="S12" i="167" s="1"/>
  <c r="N12" i="190"/>
  <c r="P13" i="194"/>
  <c r="O18" i="205" s="1"/>
  <c r="J19" i="194"/>
  <c r="F13" i="195"/>
  <c r="R19" i="194"/>
  <c r="G14" i="167"/>
  <c r="G18" i="167" s="1"/>
  <c r="G22" i="167" s="1"/>
  <c r="P28" i="173"/>
  <c r="P30" i="173" s="1"/>
  <c r="G29" i="167"/>
  <c r="F28" i="174"/>
  <c r="F30" i="174" s="1"/>
  <c r="J22" i="174"/>
  <c r="R22" i="174"/>
  <c r="O72" i="183"/>
  <c r="N88" i="183"/>
  <c r="O28" i="183"/>
  <c r="N44" i="183"/>
  <c r="O12" i="190" l="1"/>
  <c r="P12" i="190" s="1"/>
  <c r="Q12" i="190" s="1"/>
  <c r="R12" i="190" s="1"/>
  <c r="K11" i="167"/>
  <c r="J39" i="167"/>
  <c r="J41" i="167" s="1"/>
  <c r="R33" i="194"/>
  <c r="F39" i="194"/>
  <c r="F19" i="195"/>
  <c r="J13" i="195"/>
  <c r="R13" i="195"/>
  <c r="Q17" i="205"/>
  <c r="P19" i="194"/>
  <c r="R28" i="174"/>
  <c r="R30" i="174" s="1"/>
  <c r="F22" i="175"/>
  <c r="J28" i="174"/>
  <c r="J30" i="174" s="1"/>
  <c r="P22" i="174"/>
  <c r="H25" i="167" s="1"/>
  <c r="G31" i="167"/>
  <c r="P28" i="183"/>
  <c r="O44" i="183"/>
  <c r="P72" i="183"/>
  <c r="O88" i="183"/>
  <c r="L11" i="167" l="1"/>
  <c r="K39" i="167"/>
  <c r="K41" i="167" s="1"/>
  <c r="F33" i="195"/>
  <c r="R39" i="194"/>
  <c r="O63" i="205"/>
  <c r="P18" i="205"/>
  <c r="F13" i="196"/>
  <c r="R19" i="195"/>
  <c r="J19" i="195"/>
  <c r="P13" i="195"/>
  <c r="O19" i="205" s="1"/>
  <c r="F28" i="175"/>
  <c r="F30" i="175" s="1"/>
  <c r="R22" i="175"/>
  <c r="J22" i="175"/>
  <c r="P28" i="174"/>
  <c r="P30" i="174" s="1"/>
  <c r="Q28" i="183"/>
  <c r="P88" i="183"/>
  <c r="P44" i="183"/>
  <c r="M11" i="167" l="1"/>
  <c r="L39" i="167"/>
  <c r="L41" i="167" s="1"/>
  <c r="R33" i="195"/>
  <c r="F39" i="195"/>
  <c r="Q18" i="205"/>
  <c r="P63" i="205"/>
  <c r="F19" i="196"/>
  <c r="R13" i="196"/>
  <c r="J13" i="196"/>
  <c r="P19" i="195"/>
  <c r="R17" i="205"/>
  <c r="R28" i="175"/>
  <c r="R30" i="175" s="1"/>
  <c r="F22" i="176"/>
  <c r="H29" i="167"/>
  <c r="J28" i="175"/>
  <c r="J30" i="175" s="1"/>
  <c r="P22" i="175"/>
  <c r="I25" i="167" s="1"/>
  <c r="H14" i="167"/>
  <c r="H18" i="167" s="1"/>
  <c r="H22" i="167" s="1"/>
  <c r="R28" i="183"/>
  <c r="Q44" i="183"/>
  <c r="N11" i="167" l="1"/>
  <c r="M39" i="167"/>
  <c r="M41" i="167" s="1"/>
  <c r="F33" i="196"/>
  <c r="R39" i="195"/>
  <c r="H31" i="167"/>
  <c r="S17" i="205"/>
  <c r="P13" i="196"/>
  <c r="O20" i="205" s="1"/>
  <c r="J19" i="196"/>
  <c r="Q63" i="205"/>
  <c r="O64" i="205"/>
  <c r="P19" i="205"/>
  <c r="F13" i="197"/>
  <c r="R19" i="196"/>
  <c r="P28" i="175"/>
  <c r="P30" i="175" s="1"/>
  <c r="F28" i="176"/>
  <c r="F30" i="176" s="1"/>
  <c r="J22" i="176"/>
  <c r="R22" i="176"/>
  <c r="R44" i="183"/>
  <c r="T28" i="183"/>
  <c r="O11" i="167" l="1"/>
  <c r="N39" i="167"/>
  <c r="N41" i="167" s="1"/>
  <c r="R33" i="196"/>
  <c r="F39" i="196"/>
  <c r="P16" i="167"/>
  <c r="U16" i="205"/>
  <c r="P64" i="205"/>
  <c r="P19" i="196"/>
  <c r="F19" i="197"/>
  <c r="J13" i="197"/>
  <c r="R13" i="197"/>
  <c r="Q19" i="205"/>
  <c r="R18" i="205"/>
  <c r="J28" i="176"/>
  <c r="J30" i="176" s="1"/>
  <c r="P22" i="176"/>
  <c r="J25" i="167" s="1"/>
  <c r="I14" i="167"/>
  <c r="I18" i="167" s="1"/>
  <c r="I22" i="167" s="1"/>
  <c r="I29" i="167"/>
  <c r="R28" i="176"/>
  <c r="R30" i="176" s="1"/>
  <c r="F22" i="177"/>
  <c r="U28" i="183"/>
  <c r="T44" i="183"/>
  <c r="P11" i="167" l="1"/>
  <c r="O39" i="167"/>
  <c r="O41" i="167" s="1"/>
  <c r="S16" i="167"/>
  <c r="Q16" i="167"/>
  <c r="F33" i="197"/>
  <c r="R39" i="196"/>
  <c r="I31" i="167"/>
  <c r="S18" i="205"/>
  <c r="F13" i="198"/>
  <c r="R19" i="197"/>
  <c r="Q64" i="205"/>
  <c r="O65" i="205"/>
  <c r="P20" i="205"/>
  <c r="J19" i="197"/>
  <c r="P13" i="197"/>
  <c r="O21" i="205" s="1"/>
  <c r="P28" i="176"/>
  <c r="P30" i="176" s="1"/>
  <c r="F28" i="177"/>
  <c r="F30" i="177" s="1"/>
  <c r="R22" i="177"/>
  <c r="J22" i="177"/>
  <c r="W28" i="183"/>
  <c r="L11" i="190" l="1"/>
  <c r="D17" i="210"/>
  <c r="D20" i="210" s="1"/>
  <c r="J12" i="210" s="1"/>
  <c r="P39" i="167"/>
  <c r="P41" i="167" s="1"/>
  <c r="Q11" i="167"/>
  <c r="S11" i="167" s="1"/>
  <c r="R33" i="197"/>
  <c r="F39" i="197"/>
  <c r="R13" i="198"/>
  <c r="J13" i="198"/>
  <c r="F19" i="198"/>
  <c r="R19" i="205"/>
  <c r="P19" i="197"/>
  <c r="P65" i="205"/>
  <c r="Q20" i="205"/>
  <c r="J14" i="167"/>
  <c r="J18" i="167" s="1"/>
  <c r="J22" i="167" s="1"/>
  <c r="J29" i="167"/>
  <c r="R28" i="177"/>
  <c r="R30" i="177" s="1"/>
  <c r="F22" i="178"/>
  <c r="J28" i="177"/>
  <c r="J30" i="177" s="1"/>
  <c r="P22" i="177"/>
  <c r="K25" i="167" s="1"/>
  <c r="K12" i="210" l="1"/>
  <c r="I33" i="192"/>
  <c r="F33" i="198"/>
  <c r="R39" i="197"/>
  <c r="U17" i="205"/>
  <c r="X16" i="205"/>
  <c r="O66" i="205"/>
  <c r="P21" i="205"/>
  <c r="S19" i="205"/>
  <c r="P13" i="198"/>
  <c r="O22" i="205" s="1"/>
  <c r="J19" i="198"/>
  <c r="Q65" i="205"/>
  <c r="F13" i="199"/>
  <c r="R19" i="198"/>
  <c r="F28" i="178"/>
  <c r="F30" i="178" s="1"/>
  <c r="R22" i="178"/>
  <c r="J22" i="178"/>
  <c r="J31" i="167"/>
  <c r="P28" i="177"/>
  <c r="P30" i="177" s="1"/>
  <c r="M27" i="190" l="1"/>
  <c r="L12" i="210"/>
  <c r="J33" i="192"/>
  <c r="N27" i="190" s="1"/>
  <c r="R33" i="198"/>
  <c r="F39" i="198"/>
  <c r="V17" i="205"/>
  <c r="X17" i="205" s="1"/>
  <c r="U18" i="205"/>
  <c r="V18" i="205" s="1"/>
  <c r="P19" i="198"/>
  <c r="R20" i="205"/>
  <c r="Q21" i="205"/>
  <c r="K29" i="167"/>
  <c r="F19" i="199"/>
  <c r="J13" i="199"/>
  <c r="R13" i="199"/>
  <c r="P66" i="205"/>
  <c r="R28" i="178"/>
  <c r="R30" i="178" s="1"/>
  <c r="F22" i="179"/>
  <c r="J28" i="178"/>
  <c r="J30" i="178" s="1"/>
  <c r="P22" i="178"/>
  <c r="L25" i="167" s="1"/>
  <c r="K14" i="167"/>
  <c r="K18" i="167" s="1"/>
  <c r="K22" i="167" s="1"/>
  <c r="M12" i="210" l="1"/>
  <c r="K33" i="192"/>
  <c r="O27" i="190" s="1"/>
  <c r="L14" i="167"/>
  <c r="L18" i="167" s="1"/>
  <c r="L22" i="167" s="1"/>
  <c r="F33" i="199"/>
  <c r="R39" i="198"/>
  <c r="X18" i="205"/>
  <c r="U19" i="205"/>
  <c r="V19" i="205" s="1"/>
  <c r="K31" i="167"/>
  <c r="F13" i="200"/>
  <c r="R19" i="199"/>
  <c r="P13" i="199"/>
  <c r="O23" i="205" s="1"/>
  <c r="J19" i="199"/>
  <c r="S20" i="205"/>
  <c r="Q66" i="205"/>
  <c r="O67" i="205"/>
  <c r="P22" i="205"/>
  <c r="Q22" i="205" s="1"/>
  <c r="P28" i="178"/>
  <c r="P30" i="178" s="1"/>
  <c r="F28" i="179"/>
  <c r="F30" i="179" s="1"/>
  <c r="J22" i="179"/>
  <c r="R22" i="179"/>
  <c r="N12" i="210" l="1"/>
  <c r="L33" i="192"/>
  <c r="R33" i="199"/>
  <c r="F39" i="199"/>
  <c r="U20" i="205"/>
  <c r="V20" i="205" s="1"/>
  <c r="X19" i="205"/>
  <c r="P67" i="205"/>
  <c r="Q67" i="205" s="1"/>
  <c r="R22" i="205" s="1"/>
  <c r="S22" i="205" s="1"/>
  <c r="P19" i="199"/>
  <c r="R21" i="205"/>
  <c r="F19" i="200"/>
  <c r="R13" i="200"/>
  <c r="J13" i="200"/>
  <c r="L29" i="167"/>
  <c r="L31" i="167" s="1"/>
  <c r="R28" i="179"/>
  <c r="R30" i="179" s="1"/>
  <c r="F22" i="180"/>
  <c r="J28" i="179"/>
  <c r="J30" i="179" s="1"/>
  <c r="P22" i="179"/>
  <c r="M25" i="167" s="1"/>
  <c r="P27" i="190" l="1"/>
  <c r="O12" i="210"/>
  <c r="N33" i="192" s="1"/>
  <c r="R27" i="190" s="1"/>
  <c r="M33" i="192"/>
  <c r="Q27" i="190" s="1"/>
  <c r="F33" i="200"/>
  <c r="R39" i="199"/>
  <c r="X20" i="205"/>
  <c r="O68" i="205"/>
  <c r="P68" i="205" s="1"/>
  <c r="Q68" i="205" s="1"/>
  <c r="R23" i="205" s="1"/>
  <c r="S23" i="205" s="1"/>
  <c r="P23" i="205"/>
  <c r="Q23" i="205" s="1"/>
  <c r="J19" i="200"/>
  <c r="P13" i="200"/>
  <c r="O24" i="205" s="1"/>
  <c r="S21" i="205"/>
  <c r="U21" i="205" s="1"/>
  <c r="F13" i="201"/>
  <c r="R19" i="200"/>
  <c r="F28" i="180"/>
  <c r="F30" i="180" s="1"/>
  <c r="J22" i="180"/>
  <c r="R22" i="180"/>
  <c r="P28" i="179"/>
  <c r="P30" i="179" s="1"/>
  <c r="O33" i="192" l="1"/>
  <c r="R33" i="192" s="1"/>
  <c r="R33" i="200"/>
  <c r="F39" i="200"/>
  <c r="F19" i="201"/>
  <c r="J13" i="201"/>
  <c r="R13" i="201"/>
  <c r="P19" i="200"/>
  <c r="U22" i="205"/>
  <c r="V21" i="205"/>
  <c r="X21" i="205" s="1"/>
  <c r="R28" i="180"/>
  <c r="R30" i="180" s="1"/>
  <c r="F22" i="181"/>
  <c r="J28" i="180"/>
  <c r="J30" i="180" s="1"/>
  <c r="P22" i="180"/>
  <c r="N25" i="167" s="1"/>
  <c r="M14" i="167"/>
  <c r="M18" i="167" s="1"/>
  <c r="M22" i="167" s="1"/>
  <c r="M29" i="167"/>
  <c r="F33" i="201" l="1"/>
  <c r="R39" i="200"/>
  <c r="V22" i="205"/>
  <c r="X22" i="205" s="1"/>
  <c r="U23" i="205"/>
  <c r="F13" i="202"/>
  <c r="R19" i="201"/>
  <c r="P13" i="201"/>
  <c r="O25" i="205" s="1"/>
  <c r="J19" i="201"/>
  <c r="O69" i="205"/>
  <c r="P69" i="205" s="1"/>
  <c r="Q69" i="205" s="1"/>
  <c r="R24" i="205" s="1"/>
  <c r="S24" i="205" s="1"/>
  <c r="P24" i="205"/>
  <c r="Q24" i="205" s="1"/>
  <c r="M31" i="167"/>
  <c r="F28" i="181"/>
  <c r="F30" i="181" s="1"/>
  <c r="J22" i="181"/>
  <c r="R22" i="181"/>
  <c r="P28" i="180"/>
  <c r="P30" i="180" s="1"/>
  <c r="R33" i="201" l="1"/>
  <c r="F39" i="201"/>
  <c r="F19" i="202"/>
  <c r="R13" i="202"/>
  <c r="J13" i="202"/>
  <c r="P19" i="201"/>
  <c r="U24" i="205"/>
  <c r="V23" i="205"/>
  <c r="X23" i="205" s="1"/>
  <c r="J28" i="181"/>
  <c r="J30" i="181" s="1"/>
  <c r="P22" i="181"/>
  <c r="O25" i="167" s="1"/>
  <c r="R28" i="181"/>
  <c r="R30" i="181" s="1"/>
  <c r="F22" i="182"/>
  <c r="N29" i="167"/>
  <c r="N14" i="167"/>
  <c r="N18" i="167" s="1"/>
  <c r="N22" i="167" s="1"/>
  <c r="F33" i="202" l="1"/>
  <c r="R39" i="201"/>
  <c r="V24" i="205"/>
  <c r="X24" i="205" s="1"/>
  <c r="J19" i="202"/>
  <c r="P13" i="202"/>
  <c r="O26" i="205" s="1"/>
  <c r="O70" i="205"/>
  <c r="P70" i="205" s="1"/>
  <c r="Q70" i="205" s="1"/>
  <c r="R25" i="205" s="1"/>
  <c r="S25" i="205" s="1"/>
  <c r="P25" i="205"/>
  <c r="Q25" i="205" s="1"/>
  <c r="F13" i="203"/>
  <c r="R19" i="202"/>
  <c r="N31" i="167"/>
  <c r="O14" i="167"/>
  <c r="O18" i="167" s="1"/>
  <c r="O22" i="167" s="1"/>
  <c r="P28" i="181"/>
  <c r="P30" i="181" s="1"/>
  <c r="O29" i="167"/>
  <c r="F28" i="182"/>
  <c r="F30" i="182" s="1"/>
  <c r="J22" i="182"/>
  <c r="R22" i="182"/>
  <c r="F22" i="193" s="1"/>
  <c r="R33" i="202" l="1"/>
  <c r="F39" i="202"/>
  <c r="J22" i="193"/>
  <c r="R22" i="193"/>
  <c r="F28" i="193"/>
  <c r="F30" i="193" s="1"/>
  <c r="N16" i="190"/>
  <c r="U25" i="205"/>
  <c r="V25" i="205" s="1"/>
  <c r="X25" i="205" s="1"/>
  <c r="J13" i="203"/>
  <c r="R13" i="203"/>
  <c r="F19" i="203"/>
  <c r="P19" i="202"/>
  <c r="R28" i="182"/>
  <c r="R30" i="182" s="1"/>
  <c r="N11" i="190"/>
  <c r="J28" i="182"/>
  <c r="J30" i="182" s="1"/>
  <c r="P22" i="182"/>
  <c r="P25" i="167" s="1"/>
  <c r="O31" i="167"/>
  <c r="O11" i="190" l="1"/>
  <c r="P11" i="190" s="1"/>
  <c r="Q11" i="190" s="1"/>
  <c r="R11" i="190" s="1"/>
  <c r="F33" i="203"/>
  <c r="R39" i="202"/>
  <c r="F22" i="194"/>
  <c r="R28" i="193"/>
  <c r="R30" i="193" s="1"/>
  <c r="P22" i="193"/>
  <c r="J28" i="193"/>
  <c r="J30" i="193" s="1"/>
  <c r="O16" i="190"/>
  <c r="O71" i="205"/>
  <c r="P71" i="205" s="1"/>
  <c r="Q71" i="205" s="1"/>
  <c r="R26" i="205" s="1"/>
  <c r="S26" i="205" s="1"/>
  <c r="P26" i="205"/>
  <c r="Q26" i="205" s="1"/>
  <c r="J19" i="203"/>
  <c r="P13" i="203"/>
  <c r="O27" i="205" s="1"/>
  <c r="F13" i="204"/>
  <c r="R13" i="204" s="1"/>
  <c r="R19" i="203"/>
  <c r="P28" i="182"/>
  <c r="P30" i="182" s="1"/>
  <c r="P42" i="193" l="1"/>
  <c r="R33" i="203"/>
  <c r="F39" i="203"/>
  <c r="P28" i="193"/>
  <c r="P30" i="193" s="1"/>
  <c r="R22" i="194"/>
  <c r="J22" i="194"/>
  <c r="F28" i="194"/>
  <c r="F30" i="194" s="1"/>
  <c r="U26" i="205"/>
  <c r="V26" i="205" s="1"/>
  <c r="X26" i="205" s="1"/>
  <c r="Q13" i="167"/>
  <c r="S13" i="167" s="1"/>
  <c r="P19" i="203"/>
  <c r="F19" i="204"/>
  <c r="J13" i="204"/>
  <c r="P14" i="167"/>
  <c r="P18" i="167" s="1"/>
  <c r="P22" i="167" s="1"/>
  <c r="P29" i="167"/>
  <c r="Q25" i="167"/>
  <c r="S25" i="167" s="1"/>
  <c r="F33" i="204" l="1"/>
  <c r="R39" i="203"/>
  <c r="P22" i="194"/>
  <c r="J28" i="194"/>
  <c r="J30" i="194" s="1"/>
  <c r="F22" i="195"/>
  <c r="R28" i="194"/>
  <c r="R30" i="194" s="1"/>
  <c r="Q29" i="167"/>
  <c r="S29" i="167" s="1"/>
  <c r="Q14" i="167"/>
  <c r="Q18" i="167" s="1"/>
  <c r="Q22" i="167" s="1"/>
  <c r="S22" i="167" s="1"/>
  <c r="P16" i="190"/>
  <c r="O72" i="205"/>
  <c r="P72" i="205" s="1"/>
  <c r="Q72" i="205" s="1"/>
  <c r="R27" i="205" s="1"/>
  <c r="S27" i="205" s="1"/>
  <c r="P27" i="205"/>
  <c r="Q27" i="205" s="1"/>
  <c r="J19" i="204"/>
  <c r="P13" i="204"/>
  <c r="O28" i="205" s="1"/>
  <c r="P31" i="167"/>
  <c r="R19" i="204"/>
  <c r="P42" i="194" l="1"/>
  <c r="R33" i="204"/>
  <c r="F39" i="204"/>
  <c r="P28" i="194"/>
  <c r="P30" i="194" s="1"/>
  <c r="J22" i="195"/>
  <c r="R22" i="195"/>
  <c r="F28" i="195"/>
  <c r="F30" i="195" s="1"/>
  <c r="Q31" i="167"/>
  <c r="P19" i="204"/>
  <c r="U27" i="205"/>
  <c r="R39" i="204" l="1"/>
  <c r="F22" i="196"/>
  <c r="R28" i="195"/>
  <c r="R30" i="195" s="1"/>
  <c r="P22" i="195"/>
  <c r="J28" i="195"/>
  <c r="J30" i="195" s="1"/>
  <c r="S31" i="167"/>
  <c r="V27" i="205"/>
  <c r="X27" i="205" s="1"/>
  <c r="O73" i="205"/>
  <c r="P28" i="205"/>
  <c r="O44" i="205"/>
  <c r="P42" i="195" l="1"/>
  <c r="P28" i="195"/>
  <c r="P30" i="195" s="1"/>
  <c r="R22" i="196"/>
  <c r="J22" i="196"/>
  <c r="F28" i="196"/>
  <c r="F30" i="196" s="1"/>
  <c r="Q16" i="190"/>
  <c r="Q28" i="205"/>
  <c r="P44" i="205"/>
  <c r="P73" i="205"/>
  <c r="O89" i="205"/>
  <c r="P22" i="196" l="1"/>
  <c r="J28" i="196"/>
  <c r="J30" i="196" s="1"/>
  <c r="F22" i="197"/>
  <c r="R28" i="196"/>
  <c r="R30" i="196" s="1"/>
  <c r="Q44" i="205"/>
  <c r="Q73" i="205"/>
  <c r="P89" i="205"/>
  <c r="P42" i="196" l="1"/>
  <c r="R22" i="197"/>
  <c r="J22" i="197"/>
  <c r="F28" i="197"/>
  <c r="F30" i="197" s="1"/>
  <c r="P28" i="196"/>
  <c r="P30" i="196" s="1"/>
  <c r="R28" i="205"/>
  <c r="Q89" i="205"/>
  <c r="F22" i="198" l="1"/>
  <c r="R28" i="197"/>
  <c r="R30" i="197" s="1"/>
  <c r="P22" i="197"/>
  <c r="J28" i="197"/>
  <c r="J30" i="197" s="1"/>
  <c r="S28" i="205"/>
  <c r="S44" i="205" s="1"/>
  <c r="R44" i="205"/>
  <c r="P42" i="197" l="1"/>
  <c r="P28" i="197"/>
  <c r="P30" i="197" s="1"/>
  <c r="J22" i="198"/>
  <c r="R22" i="198"/>
  <c r="F28" i="198"/>
  <c r="F30" i="198" s="1"/>
  <c r="U28" i="205"/>
  <c r="V28" i="205" s="1"/>
  <c r="X28" i="205" s="1"/>
  <c r="P22" i="198" l="1"/>
  <c r="L13" i="190" s="1"/>
  <c r="J28" i="198"/>
  <c r="J30" i="198" s="1"/>
  <c r="F22" i="199"/>
  <c r="R28" i="198"/>
  <c r="R30" i="198" s="1"/>
  <c r="R16" i="190"/>
  <c r="X44" i="205"/>
  <c r="U44" i="205"/>
  <c r="L14" i="190" l="1"/>
  <c r="L18" i="190" s="1"/>
  <c r="P42" i="198"/>
  <c r="J22" i="199"/>
  <c r="R22" i="199"/>
  <c r="F28" i="199"/>
  <c r="F30" i="199" s="1"/>
  <c r="P28" i="198"/>
  <c r="P30" i="198" s="1"/>
  <c r="F22" i="200" l="1"/>
  <c r="R28" i="199"/>
  <c r="R30" i="199" s="1"/>
  <c r="P22" i="199"/>
  <c r="J28" i="199"/>
  <c r="J30" i="199" s="1"/>
  <c r="P42" i="199" l="1"/>
  <c r="M25" i="190"/>
  <c r="R22" i="200"/>
  <c r="J22" i="200"/>
  <c r="F28" i="200"/>
  <c r="F30" i="200" s="1"/>
  <c r="P28" i="199"/>
  <c r="P30" i="199" s="1"/>
  <c r="M29" i="190" l="1"/>
  <c r="P22" i="200"/>
  <c r="J28" i="200"/>
  <c r="J30" i="200" s="1"/>
  <c r="F22" i="201"/>
  <c r="R28" i="200"/>
  <c r="R30" i="200" s="1"/>
  <c r="M14" i="190"/>
  <c r="M18" i="190" s="1"/>
  <c r="M22" i="190" s="1"/>
  <c r="P42" i="200" l="1"/>
  <c r="N25" i="190"/>
  <c r="N13" i="190"/>
  <c r="M31" i="190"/>
  <c r="R22" i="201"/>
  <c r="J22" i="201"/>
  <c r="F28" i="201"/>
  <c r="F30" i="201" s="1"/>
  <c r="P28" i="200"/>
  <c r="P30" i="200" s="1"/>
  <c r="O30" i="184"/>
  <c r="O47" i="184" s="1"/>
  <c r="P30" i="184"/>
  <c r="P47" i="184" s="1"/>
  <c r="L30" i="184"/>
  <c r="L47" i="184" s="1"/>
  <c r="G30" i="184"/>
  <c r="G47" i="184" s="1"/>
  <c r="R53" i="184"/>
  <c r="H30" i="184"/>
  <c r="H47" i="184" s="1"/>
  <c r="K30" i="184"/>
  <c r="K47" i="184" s="1"/>
  <c r="N30" i="184"/>
  <c r="N47" i="184" s="1"/>
  <c r="I30" i="184"/>
  <c r="I47" i="184" s="1"/>
  <c r="J30" i="184"/>
  <c r="J47" i="184" s="1"/>
  <c r="M30" i="184"/>
  <c r="M47" i="184" s="1"/>
  <c r="R70" i="184"/>
  <c r="F30" i="184"/>
  <c r="F47" i="184" s="1"/>
  <c r="Q30" i="184"/>
  <c r="Q47" i="184" s="1"/>
  <c r="N14" i="190" l="1"/>
  <c r="N18" i="190" s="1"/>
  <c r="N22" i="190" s="1"/>
  <c r="N29" i="190"/>
  <c r="F22" i="202"/>
  <c r="R28" i="201"/>
  <c r="R30" i="201" s="1"/>
  <c r="P22" i="201"/>
  <c r="J28" i="201"/>
  <c r="J30" i="201" s="1"/>
  <c r="N31" i="190" l="1"/>
  <c r="P42" i="201"/>
  <c r="O25" i="190"/>
  <c r="O13" i="190"/>
  <c r="P28" i="201"/>
  <c r="P30" i="201" s="1"/>
  <c r="J22" i="202"/>
  <c r="R22" i="202"/>
  <c r="F28" i="202"/>
  <c r="F30" i="202" s="1"/>
  <c r="O14" i="190" l="1"/>
  <c r="O18" i="190" s="1"/>
  <c r="O22" i="190" s="1"/>
  <c r="O29" i="190"/>
  <c r="P22" i="202"/>
  <c r="J28" i="202"/>
  <c r="J30" i="202" s="1"/>
  <c r="F22" i="203"/>
  <c r="R28" i="202"/>
  <c r="R30" i="202" s="1"/>
  <c r="O31" i="190" l="1"/>
  <c r="P42" i="202"/>
  <c r="P25" i="190"/>
  <c r="P13" i="190"/>
  <c r="R22" i="203"/>
  <c r="J22" i="203"/>
  <c r="F28" i="203"/>
  <c r="F30" i="203" s="1"/>
  <c r="P28" i="202"/>
  <c r="P30" i="202" s="1"/>
  <c r="P14" i="190" l="1"/>
  <c r="P18" i="190" s="1"/>
  <c r="P22" i="190" s="1"/>
  <c r="P29" i="190"/>
  <c r="F22" i="204"/>
  <c r="R28" i="203"/>
  <c r="R30" i="203" s="1"/>
  <c r="P22" i="203"/>
  <c r="J28" i="203"/>
  <c r="J30" i="203" s="1"/>
  <c r="P31" i="190" l="1"/>
  <c r="P42" i="203"/>
  <c r="Q25" i="190"/>
  <c r="Q29" i="190" s="1"/>
  <c r="Q13" i="190"/>
  <c r="P28" i="203"/>
  <c r="P30" i="203" s="1"/>
  <c r="J22" i="204"/>
  <c r="R22" i="204"/>
  <c r="F28" i="204"/>
  <c r="F30" i="204" s="1"/>
  <c r="R28" i="204" l="1"/>
  <c r="R30" i="204" s="1"/>
  <c r="U30" i="204" s="1"/>
  <c r="U32" i="204" s="1"/>
  <c r="P22" i="204"/>
  <c r="J28" i="204"/>
  <c r="J30" i="204" s="1"/>
  <c r="Q14" i="190"/>
  <c r="Q18" i="190" s="1"/>
  <c r="Q22" i="190" s="1"/>
  <c r="Q31" i="190" s="1"/>
  <c r="P42" i="204" l="1"/>
  <c r="R25" i="190"/>
  <c r="R13" i="190"/>
  <c r="S13" i="190" s="1"/>
  <c r="S14" i="190" s="1"/>
  <c r="S18" i="190" s="1"/>
  <c r="S22" i="190" s="1"/>
  <c r="T22" i="190" s="1"/>
  <c r="T31" i="190" s="1"/>
  <c r="P28" i="204"/>
  <c r="P30" i="204" s="1"/>
  <c r="R14" i="190" l="1"/>
  <c r="R18" i="190" s="1"/>
  <c r="R22" i="190" s="1"/>
  <c r="R29" i="190"/>
  <c r="R31" i="190" l="1"/>
  <c r="E12" i="135" l="1"/>
  <c r="E9" i="135" l="1"/>
  <c r="G9" i="135" s="1"/>
  <c r="X9" i="135" s="1"/>
  <c r="V13" i="135"/>
  <c r="W13" i="135" s="1"/>
  <c r="E11" i="135"/>
  <c r="G11" i="135" s="1"/>
  <c r="X11" i="135" s="1"/>
  <c r="O13" i="135"/>
  <c r="P13" i="135" s="1"/>
  <c r="E10" i="135"/>
  <c r="G10" i="135" s="1"/>
  <c r="I9" i="135" l="1"/>
  <c r="S9" i="135" s="1"/>
  <c r="Q9" i="135"/>
  <c r="Q11" i="135"/>
  <c r="I11" i="135"/>
  <c r="S11" i="135" s="1"/>
  <c r="Q10" i="135"/>
  <c r="X10" i="135"/>
  <c r="I10" i="135"/>
  <c r="Z9" i="135" l="1"/>
  <c r="Z11" i="135"/>
  <c r="S10" i="135"/>
  <c r="Z10" i="135"/>
</calcChain>
</file>

<file path=xl/sharedStrings.xml><?xml version="1.0" encoding="utf-8"?>
<sst xmlns="http://schemas.openxmlformats.org/spreadsheetml/2006/main" count="7993" uniqueCount="792">
  <si>
    <t>Depreciation</t>
  </si>
  <si>
    <t>Plant</t>
  </si>
  <si>
    <t>Rates</t>
  </si>
  <si>
    <t>Total</t>
  </si>
  <si>
    <t>Line</t>
  </si>
  <si>
    <t>No.</t>
  </si>
  <si>
    <t>Description</t>
  </si>
  <si>
    <t>Account</t>
  </si>
  <si>
    <t>Beginning</t>
  </si>
  <si>
    <t>Balance</t>
  </si>
  <si>
    <t>Depr</t>
  </si>
  <si>
    <t>Depr on</t>
  </si>
  <si>
    <t>Retirements</t>
  </si>
  <si>
    <t>Adds/Ret</t>
  </si>
  <si>
    <t>Ending</t>
  </si>
  <si>
    <t>(5)=(3)*(4)</t>
  </si>
  <si>
    <t>(7)=(4)*(6)*50%</t>
  </si>
  <si>
    <t>(9)=(6)+(3)</t>
  </si>
  <si>
    <t>Total Plant</t>
  </si>
  <si>
    <t>Cost of Removal</t>
  </si>
  <si>
    <t>Additions</t>
  </si>
  <si>
    <t>Total Additions</t>
  </si>
  <si>
    <t>Total Retirements</t>
  </si>
  <si>
    <t>Total Cost of Removal</t>
  </si>
  <si>
    <t>MACRS</t>
  </si>
  <si>
    <t>Tax Rate</t>
  </si>
  <si>
    <t>Life</t>
  </si>
  <si>
    <t>Year</t>
  </si>
  <si>
    <t>Year 1</t>
  </si>
  <si>
    <t>Year 2</t>
  </si>
  <si>
    <t>Year 3</t>
  </si>
  <si>
    <t>Year 4</t>
  </si>
  <si>
    <t>Year 5</t>
  </si>
  <si>
    <t>Year 6</t>
  </si>
  <si>
    <t>Tax</t>
  </si>
  <si>
    <t>Cost</t>
  </si>
  <si>
    <t>of</t>
  </si>
  <si>
    <t>Removal</t>
  </si>
  <si>
    <t>Book</t>
  </si>
  <si>
    <t>Difference</t>
  </si>
  <si>
    <t>Deferred</t>
  </si>
  <si>
    <t>Accumulated</t>
  </si>
  <si>
    <t>Taxes</t>
  </si>
  <si>
    <t>Tax Depreciation</t>
  </si>
  <si>
    <t>Capital Structure</t>
  </si>
  <si>
    <t>Ratio</t>
  </si>
  <si>
    <t>Weighted</t>
  </si>
  <si>
    <t>Tax Gross-up</t>
  </si>
  <si>
    <t>Short term debt</t>
  </si>
  <si>
    <t>Common equity</t>
  </si>
  <si>
    <t>Long term debt</t>
  </si>
  <si>
    <t>Rate Base</t>
  </si>
  <si>
    <t>Accumulated Depreciation Reserve</t>
  </si>
  <si>
    <t xml:space="preserve">  Net Gas Plant</t>
  </si>
  <si>
    <t>Accumulated Deferred Taxes</t>
  </si>
  <si>
    <t>Net Rate Base</t>
  </si>
  <si>
    <t>Rate of Return</t>
  </si>
  <si>
    <t>Return on Net Rate Base</t>
  </si>
  <si>
    <t>Operating Expenses</t>
  </si>
  <si>
    <t>Incremental Operation &amp; Maintenance</t>
  </si>
  <si>
    <t xml:space="preserve">  Total Operating Expenses</t>
  </si>
  <si>
    <t>and</t>
  </si>
  <si>
    <t>Services-Lines</t>
  </si>
  <si>
    <t>Services-Risers</t>
  </si>
  <si>
    <t>Allocation Percent</t>
  </si>
  <si>
    <t>Number of Bills</t>
  </si>
  <si>
    <t>Line No.</t>
  </si>
  <si>
    <t>LOUISVILLE GAS AND ELECTRIC COMPANY</t>
  </si>
  <si>
    <t>RATE OF RETURN</t>
  </si>
  <si>
    <t>TOTAL</t>
  </si>
  <si>
    <t>20-year</t>
  </si>
  <si>
    <t>15-year</t>
  </si>
  <si>
    <t>Service Line Retirements</t>
  </si>
  <si>
    <t>Riser Retirements</t>
  </si>
  <si>
    <t>Repairs</t>
  </si>
  <si>
    <t>CLASS ALLOCATION AND BILL IMPACT</t>
  </si>
  <si>
    <t>TAX DEPRECIATION</t>
  </si>
  <si>
    <t>Adjusted for</t>
  </si>
  <si>
    <t>Income Taxes</t>
  </si>
  <si>
    <t>REVENUE REQUIREMENT</t>
  </si>
  <si>
    <t>Service Line Capex</t>
  </si>
  <si>
    <t>Riser Capex</t>
  </si>
  <si>
    <t xml:space="preserve">     Gas Plant Investment</t>
  </si>
  <si>
    <t>Service Line Cost of Removal</t>
  </si>
  <si>
    <t>Riser Cost of Removal</t>
  </si>
  <si>
    <t xml:space="preserve">     Cost of Removal</t>
  </si>
  <si>
    <t>Jan</t>
  </si>
  <si>
    <t>Feb</t>
  </si>
  <si>
    <t>May</t>
  </si>
  <si>
    <t>Jul</t>
  </si>
  <si>
    <t>Aug</t>
  </si>
  <si>
    <t>Sep</t>
  </si>
  <si>
    <t>Oct</t>
  </si>
  <si>
    <t>Nov</t>
  </si>
  <si>
    <t>Dec</t>
  </si>
  <si>
    <t>January</t>
  </si>
  <si>
    <t>Current Month</t>
  </si>
  <si>
    <t>(8)=(5)+(7)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</si>
  <si>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</si>
  <si>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</si>
  <si>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</si>
  <si>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</si>
  <si>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</si>
  <si>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</si>
  <si>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</si>
  <si>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</si>
  <si>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</si>
  <si>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</si>
  <si>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</si>
  <si>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Project</t>
  </si>
  <si>
    <t>Project Desc</t>
  </si>
  <si>
    <t>Sept</t>
  </si>
  <si>
    <t>Investment</t>
  </si>
  <si>
    <t>107001</t>
  </si>
  <si>
    <t>CCSO419</t>
  </si>
  <si>
    <t>REPL EXIST CUST SRV W RISER</t>
  </si>
  <si>
    <t>CCSO421</t>
  </si>
  <si>
    <t>REPL EXIST CS WITH RISER-MUL</t>
  </si>
  <si>
    <t>CCSO4485</t>
  </si>
  <si>
    <t>REPL EXIST CS &amp; RISER-4485</t>
  </si>
  <si>
    <t>CNBCS419</t>
  </si>
  <si>
    <t>NB CUST SRV LINE &amp; GAS RISER</t>
  </si>
  <si>
    <t>CNBCS421</t>
  </si>
  <si>
    <t>DLSMR414</t>
  </si>
  <si>
    <t>DWNTWN LRG SCALE MAIN</t>
  </si>
  <si>
    <t>GASRSR414</t>
  </si>
  <si>
    <t>LSMR414</t>
  </si>
  <si>
    <t>Large Scale Main Replacements</t>
  </si>
  <si>
    <t>PMR414</t>
  </si>
  <si>
    <t>Priority Main Replacement</t>
  </si>
  <si>
    <t>RRCS419G</t>
  </si>
  <si>
    <t>REP CO GAS SERV 419</t>
  </si>
  <si>
    <t>RRCS421</t>
  </si>
  <si>
    <t>Serv Line Repl-Muldraugh</t>
  </si>
  <si>
    <t>Total Investment</t>
  </si>
  <si>
    <t>108799</t>
  </si>
  <si>
    <t>Total Removal</t>
  </si>
  <si>
    <t>organization</t>
  </si>
  <si>
    <t>expenditure_org</t>
  </si>
  <si>
    <t>account</t>
  </si>
  <si>
    <t>expenditure_type</t>
  </si>
  <si>
    <t>project</t>
  </si>
  <si>
    <t>task</t>
  </si>
  <si>
    <t>year</t>
  </si>
  <si>
    <t>total</t>
  </si>
  <si>
    <t>003385</t>
  </si>
  <si>
    <t>880110</t>
  </si>
  <si>
    <t>0301</t>
  </si>
  <si>
    <t>CUSTUNLO</t>
  </si>
  <si>
    <t>GAS SER UNLOC</t>
  </si>
  <si>
    <t>004190</t>
  </si>
  <si>
    <t>892110</t>
  </si>
  <si>
    <t>OCSOM419</t>
  </si>
  <si>
    <t>BUDGET</t>
  </si>
  <si>
    <t>004210</t>
  </si>
  <si>
    <t>OCSOM421</t>
  </si>
  <si>
    <t>004485</t>
  </si>
  <si>
    <t>ORCSO419</t>
  </si>
  <si>
    <t>0111</t>
  </si>
  <si>
    <t>0752</t>
  </si>
  <si>
    <t>Revenue Requirement</t>
  </si>
  <si>
    <t>CAPITAL AND OPERATING COSTS</t>
  </si>
  <si>
    <t>Customer Service Capex</t>
  </si>
  <si>
    <t>Services-Customer Lines</t>
  </si>
  <si>
    <t>Monthly</t>
  </si>
  <si>
    <t>Total Revenue Requirement</t>
  </si>
  <si>
    <t>(a)</t>
  </si>
  <si>
    <t>(b)</t>
  </si>
  <si>
    <t>(c)</t>
  </si>
  <si>
    <t>GAS SERVICE RISER REPL &amp; CSO</t>
  </si>
  <si>
    <t>887110</t>
  </si>
  <si>
    <t>139084</t>
  </si>
  <si>
    <t>887COS</t>
  </si>
  <si>
    <t>004470</t>
  </si>
  <si>
    <t>0101</t>
  </si>
  <si>
    <t>0751</t>
  </si>
  <si>
    <t>874110</t>
  </si>
  <si>
    <t>(d)</t>
  </si>
  <si>
    <t>Property Taxes</t>
  </si>
  <si>
    <t>Reserve Retirements</t>
  </si>
  <si>
    <t xml:space="preserve">     Total Retirements</t>
  </si>
  <si>
    <t>Federal Deferred</t>
  </si>
  <si>
    <t>State Deferred</t>
  </si>
  <si>
    <t>@ 35%</t>
  </si>
  <si>
    <t>@ 6%</t>
  </si>
  <si>
    <t>Bonus</t>
  </si>
  <si>
    <t>Page 2</t>
  </si>
  <si>
    <t xml:space="preserve">Federal Benefit </t>
  </si>
  <si>
    <t>of State</t>
  </si>
  <si>
    <t>Deferred Tax</t>
  </si>
  <si>
    <t>on</t>
  </si>
  <si>
    <t>MACRS   Tax Rate</t>
  </si>
  <si>
    <t>AMR414</t>
  </si>
  <si>
    <t>ALDYL-A MAIN REPLACEMENT</t>
  </si>
  <si>
    <t>Total 2017</t>
  </si>
  <si>
    <t>0304</t>
  </si>
  <si>
    <t>880COS</t>
  </si>
  <si>
    <t>892COS</t>
  </si>
  <si>
    <t>874COS</t>
  </si>
  <si>
    <t>878110</t>
  </si>
  <si>
    <t>878COS</t>
  </si>
  <si>
    <t>879110</t>
  </si>
  <si>
    <t>879COS</t>
  </si>
  <si>
    <t>004480</t>
  </si>
  <si>
    <t>(1)</t>
  </si>
  <si>
    <t>(2)</t>
  </si>
  <si>
    <t>(9)</t>
  </si>
  <si>
    <t>(10)</t>
  </si>
  <si>
    <t>(11)</t>
  </si>
  <si>
    <t>(12)</t>
  </si>
  <si>
    <t>(13)</t>
  </si>
  <si>
    <t>(14)</t>
  </si>
  <si>
    <t>(15)</t>
  </si>
  <si>
    <t>(e)</t>
  </si>
  <si>
    <t>JULY 2017 BOOK DEPRECIATION</t>
  </si>
  <si>
    <t>AUGUST 2017 BOOK DEPRECIATION</t>
  </si>
  <si>
    <t>SEPTEMBER 2017 BOOK DEPRECIATION</t>
  </si>
  <si>
    <t>OCTOBER 2017 BOOK DEPRECIATION</t>
  </si>
  <si>
    <t>DECEMBER 2017 BOOK DEPRECIATION</t>
  </si>
  <si>
    <t>NB INST CUST SERV LINE &amp; RSR</t>
  </si>
  <si>
    <t>TLR414</t>
  </si>
  <si>
    <t>TRANSMISSION LINE REPLACE</t>
  </si>
  <si>
    <t>*NEW PROGRAM</t>
  </si>
  <si>
    <t>CRSS414</t>
  </si>
  <si>
    <t>REPLACE STEEL SERVICE LINES</t>
  </si>
  <si>
    <t>Total 2018</t>
  </si>
  <si>
    <t>Total 2019</t>
  </si>
  <si>
    <t>NOVEMBER 2017 BOOK DEPRECIATION</t>
  </si>
  <si>
    <t>(f)</t>
  </si>
  <si>
    <t>2012 20-year additions at MACRS Year 6 tax rate (0.052850)</t>
  </si>
  <si>
    <t>2013 20-year additions at MACRS Year 5 tax rate (0.057130)</t>
  </si>
  <si>
    <t>2014 20-year additions at MACRS Year 4 tax rate (0.061770)</t>
  </si>
  <si>
    <t>2015 20-year additions at MACRS Year 3 tax rate (0.066770)</t>
  </si>
  <si>
    <t>2016 20-year additions at MACRS Year 2 tax rate (0.072190)</t>
  </si>
  <si>
    <t>2017 20-year additions at MACRS Year 1 tax rate (0.037500) plus repairs</t>
  </si>
  <si>
    <t>2017 20-year additions at MACRS Year 1 tax rate (0.037500) plus Repairs</t>
  </si>
  <si>
    <t>Prorated Accumulated</t>
  </si>
  <si>
    <t>Change</t>
  </si>
  <si>
    <t>ADIT</t>
  </si>
  <si>
    <t>Proration</t>
  </si>
  <si>
    <t>Rate Schedule - Transmission</t>
  </si>
  <si>
    <t>Rate Schedule - Distribution</t>
  </si>
  <si>
    <t>Jul - Dec 2017</t>
  </si>
  <si>
    <t>Jul-Dec</t>
  </si>
  <si>
    <t>1/184</t>
  </si>
  <si>
    <t>32/184</t>
  </si>
  <si>
    <t>62/184</t>
  </si>
  <si>
    <t>93/184</t>
  </si>
  <si>
    <t>123/184</t>
  </si>
  <si>
    <t>154/184</t>
  </si>
  <si>
    <t>Main-Distribution Capex</t>
  </si>
  <si>
    <t>Main-Transmission Capex</t>
  </si>
  <si>
    <t>Main-Distribution Retirements</t>
  </si>
  <si>
    <t>Main-Distribution Cost of Removal</t>
  </si>
  <si>
    <t>2017 Forecast Case No. 2016-00383</t>
  </si>
  <si>
    <t>ANNUAL ADJUSTMENT TO THE GAS LINE TRACKER</t>
  </si>
  <si>
    <t>Mcf</t>
  </si>
  <si>
    <t>Net Monthly Rate Per Bill Reflecting     True-up</t>
  </si>
  <si>
    <t>JANUARY 2018 BOOK DEPRECIATION</t>
  </si>
  <si>
    <t>Mar</t>
  </si>
  <si>
    <t>Apr</t>
  </si>
  <si>
    <t>Jun</t>
  </si>
  <si>
    <t>FEBRUARY 2018 BOOK DEPRECIATION</t>
  </si>
  <si>
    <t>MARCH 2018 BOOK DEPRECIATION</t>
  </si>
  <si>
    <t>APRIL 2018 BOOK DEPRECIATION</t>
  </si>
  <si>
    <t>MAY 2018 BOOK DEPRECIATION</t>
  </si>
  <si>
    <t>JUNE 2018 BOOK DEPRECIATION</t>
  </si>
  <si>
    <t>JULY 2018 BOOK DEPRECIATION</t>
  </si>
  <si>
    <t>AUGUST 2018 BOOK DEPRECIATION</t>
  </si>
  <si>
    <t>SEPTEMBER 2018 BOOK DEPRECIATION</t>
  </si>
  <si>
    <t>OCTOBER 2018 BOOK DEPRECIATION</t>
  </si>
  <si>
    <t>NOVEMBER 2018 BOOK DEPRECIATION</t>
  </si>
  <si>
    <t>DECEMBER 2018 BOOK DEPRECIATION</t>
  </si>
  <si>
    <t>Gas Line Tracker</t>
  </si>
  <si>
    <t>Capital by Month</t>
  </si>
  <si>
    <t>2018 from Working Forecast (0+12) with TMP IP Estimate</t>
  </si>
  <si>
    <t>compute_0002</t>
  </si>
  <si>
    <t>bud_description</t>
  </si>
  <si>
    <t>01_Jan</t>
  </si>
  <si>
    <t>02_Feb</t>
  </si>
  <si>
    <t>03_Mar</t>
  </si>
  <si>
    <t>04_Apr</t>
  </si>
  <si>
    <t>05_May</t>
  </si>
  <si>
    <t>06_Jun</t>
  </si>
  <si>
    <t>07_Jul</t>
  </si>
  <si>
    <t>08_Aug</t>
  </si>
  <si>
    <t>09_Sep</t>
  </si>
  <si>
    <t>10_Oct</t>
  </si>
  <si>
    <t>11_Nov</t>
  </si>
  <si>
    <t>12_Dec</t>
  </si>
  <si>
    <t>Sum of total</t>
  </si>
  <si>
    <t>PPLBCW: TOTAL CONSTRUCTION WORK IN PROGRESS</t>
  </si>
  <si>
    <t>BLMR414</t>
  </si>
  <si>
    <t>Beltline Main Replacement</t>
  </si>
  <si>
    <t>CNBCS4485</t>
  </si>
  <si>
    <t>INST CUST SRV - MAGNOLIA</t>
  </si>
  <si>
    <t>CRCST419</t>
  </si>
  <si>
    <t>RELOCATING CO OWNED SERV</t>
  </si>
  <si>
    <t>CRCST421</t>
  </si>
  <si>
    <t>Relo Co Owned Services-4210</t>
  </si>
  <si>
    <t>CRCST4485</t>
  </si>
  <si>
    <t>RELOC CO OWNED SRV-4485</t>
  </si>
  <si>
    <t>CTPDC419</t>
  </si>
  <si>
    <t>REPL CUST OWNED SRV LINES</t>
  </si>
  <si>
    <t>CTPDC421</t>
  </si>
  <si>
    <t>REPL CUST OWNED SRV-MULD</t>
  </si>
  <si>
    <t>CTPDC4485</t>
  </si>
  <si>
    <t>REPL CUST OWNED SRV-MAGNOL</t>
  </si>
  <si>
    <t>GASRSR419</t>
  </si>
  <si>
    <t>Gas Service Riser Repl &amp; CSO</t>
  </si>
  <si>
    <t>NBGRSR419</t>
  </si>
  <si>
    <t>NEW BUS GAS RISER 419</t>
  </si>
  <si>
    <t>RRCS4485</t>
  </si>
  <si>
    <t>Serv Line Repl-Magnolia</t>
  </si>
  <si>
    <t>RSRSR419</t>
  </si>
  <si>
    <t>REP GAS SERV RISERS 419</t>
  </si>
  <si>
    <t>TMPPENBLN</t>
  </si>
  <si>
    <t>TMP PENILE-BLANTON LN</t>
  </si>
  <si>
    <t>TMPPENPRS</t>
  </si>
  <si>
    <t>TMP PENILE-PRESTON</t>
  </si>
  <si>
    <t>TMPPRSPIC</t>
  </si>
  <si>
    <t>TMP PRESTON-PICCADILLY</t>
  </si>
  <si>
    <t>TMPPROP1</t>
  </si>
  <si>
    <t>TMP PROPERTY PENILE-BLANTON</t>
  </si>
  <si>
    <t>PPLBCW: TOTAL CONSTRUCTION WORK IN PROGRESS Total</t>
  </si>
  <si>
    <t>PPLBRS: TOTAL REMOVAL SPEND</t>
  </si>
  <si>
    <t>PPLBRS: TOTAL REMOVAL SPEND Total</t>
  </si>
  <si>
    <t>Grand Total</t>
  </si>
  <si>
    <t>Main-Transmission Cost of Removal</t>
  </si>
  <si>
    <t>Main-Transmission Retirements</t>
  </si>
  <si>
    <t>month_01_jan</t>
  </si>
  <si>
    <t>month_02_feb</t>
  </si>
  <si>
    <t>month_03_mar</t>
  </si>
  <si>
    <t>month_04_apr</t>
  </si>
  <si>
    <t>month_05_may</t>
  </si>
  <si>
    <t>month_06_jun</t>
  </si>
  <si>
    <t>month_07_jul</t>
  </si>
  <si>
    <t>month_08_aug</t>
  </si>
  <si>
    <t>month_09_sep</t>
  </si>
  <si>
    <t>month_10_oct</t>
  </si>
  <si>
    <t>month_11_nov</t>
  </si>
  <si>
    <t>month_12_dec</t>
  </si>
  <si>
    <t>0670</t>
  </si>
  <si>
    <t>MTRCLEAR</t>
  </si>
  <si>
    <t>0456</t>
  </si>
  <si>
    <t>0786</t>
  </si>
  <si>
    <t>@ 21%</t>
  </si>
  <si>
    <t>Year*</t>
  </si>
  <si>
    <t>RRCS421G</t>
  </si>
  <si>
    <t>Replacement</t>
  </si>
  <si>
    <t>NB</t>
  </si>
  <si>
    <t>UPDATED FOR 2017 ACTUALS</t>
  </si>
  <si>
    <t>2018 20-year additions at MACRS Year 1 tax rate (0.037500) plus repairs</t>
  </si>
  <si>
    <t>2017 20-year additions at MACRS Year 2 tax rate (0.072190) plus repairs</t>
  </si>
  <si>
    <t>2018 20-year additions at MACRS Year 1 tax rate (0.037500) plus Repairs</t>
  </si>
  <si>
    <t>2017 20-year additions at MACRS Year 2 tax rate (0.072190) plus Repairs</t>
  </si>
  <si>
    <t>1/365</t>
  </si>
  <si>
    <t>32/365</t>
  </si>
  <si>
    <t>154/365</t>
  </si>
  <si>
    <t>123/365</t>
  </si>
  <si>
    <t>93/365</t>
  </si>
  <si>
    <t>62/365</t>
  </si>
  <si>
    <t>185/365</t>
  </si>
  <si>
    <t>335/365</t>
  </si>
  <si>
    <t>307/365</t>
  </si>
  <si>
    <t>276/365</t>
  </si>
  <si>
    <t>246/365</t>
  </si>
  <si>
    <t>215/365</t>
  </si>
  <si>
    <t>Supporting Calculations for the</t>
  </si>
  <si>
    <t>GLT Adjustment Clause</t>
  </si>
  <si>
    <t>True-up of the Actual Costs</t>
  </si>
  <si>
    <t>GLT (Over)/Under Recovery Calculation</t>
  </si>
  <si>
    <t>Distribution</t>
  </si>
  <si>
    <t>(A)</t>
  </si>
  <si>
    <t>(B)</t>
  </si>
  <si>
    <t>(C)</t>
  </si>
  <si>
    <t>(D)</t>
  </si>
  <si>
    <t>(E)</t>
  </si>
  <si>
    <t>(F)</t>
  </si>
  <si>
    <t>Expense Month</t>
  </si>
  <si>
    <t>Collections / (Refunds) for Prior Year</t>
  </si>
  <si>
    <t>Adjusted Revenue Requirement</t>
  </si>
  <si>
    <t>Billed GLT Revenues</t>
  </si>
  <si>
    <t>Unbilled GLT Revenues</t>
  </si>
  <si>
    <t>Total (Over)/Under Collection</t>
  </si>
  <si>
    <t>A + B</t>
  </si>
  <si>
    <t>C - D - E</t>
  </si>
  <si>
    <t>Transmission</t>
  </si>
  <si>
    <t>(G)</t>
  </si>
  <si>
    <t>(H)</t>
  </si>
  <si>
    <t>(I)</t>
  </si>
  <si>
    <t>(J)</t>
  </si>
  <si>
    <t>(K)</t>
  </si>
  <si>
    <t>(L)</t>
  </si>
  <si>
    <t>G + H</t>
  </si>
  <si>
    <t>I - J - K</t>
  </si>
  <si>
    <t>GLT Calculation of Revenue Requirement</t>
  </si>
  <si>
    <t>End of Month Net Assets on which to Recover</t>
  </si>
  <si>
    <t>YTD Average Net  GLT Assets</t>
  </si>
  <si>
    <t>YTD Average Net Assets Applied to Year</t>
  </si>
  <si>
    <t>YTD Average Net Assets Applied to Year / 12</t>
  </si>
  <si>
    <t>Return on Net Assets</t>
  </si>
  <si>
    <t>Operating Expenses (OE)</t>
  </si>
  <si>
    <t>Collections / (Refunds) for Prior Years</t>
  </si>
  <si>
    <t>C / 12</t>
  </si>
  <si>
    <t>D x E</t>
  </si>
  <si>
    <t>F + G</t>
  </si>
  <si>
    <t>H + I</t>
  </si>
  <si>
    <t>N/A</t>
  </si>
  <si>
    <t>(M)</t>
  </si>
  <si>
    <t>(N)</t>
  </si>
  <si>
    <t>(O)</t>
  </si>
  <si>
    <t>(P)</t>
  </si>
  <si>
    <t>(Q)</t>
  </si>
  <si>
    <t>(R)</t>
  </si>
  <si>
    <t>(S)</t>
  </si>
  <si>
    <t>(T)</t>
  </si>
  <si>
    <t>M / 12</t>
  </si>
  <si>
    <t>N x O</t>
  </si>
  <si>
    <t>P + Q</t>
  </si>
  <si>
    <t>R + S</t>
  </si>
  <si>
    <t>GLT Calculation of Net Assets</t>
  </si>
  <si>
    <t>End of Month</t>
  </si>
  <si>
    <t>Expense</t>
  </si>
  <si>
    <t>Rate Base - Gross</t>
  </si>
  <si>
    <t>Acc. Depreciation</t>
  </si>
  <si>
    <t>Deferred Tax on</t>
  </si>
  <si>
    <t>Retirements from</t>
  </si>
  <si>
    <t>Net Assets on which</t>
  </si>
  <si>
    <t>(RB)</t>
  </si>
  <si>
    <t>(AD)</t>
  </si>
  <si>
    <t>(CoR)</t>
  </si>
  <si>
    <t>GLT RB &amp; CoR</t>
  </si>
  <si>
    <t>Base Rates</t>
  </si>
  <si>
    <t>on Retirements</t>
  </si>
  <si>
    <t>to Recover</t>
  </si>
  <si>
    <t>A + B + C + D - E - F - G</t>
  </si>
  <si>
    <t>I + J + K + L - M - N - O</t>
  </si>
  <si>
    <t>GLT Calculation of Operating Expenses</t>
  </si>
  <si>
    <t>Incremental</t>
  </si>
  <si>
    <t>Operating</t>
  </si>
  <si>
    <t>O&amp;M</t>
  </si>
  <si>
    <t>Savings from</t>
  </si>
  <si>
    <t>Property Tax</t>
  </si>
  <si>
    <t>Expenses</t>
  </si>
  <si>
    <t>(OE)</t>
  </si>
  <si>
    <t>A + B + C + D</t>
  </si>
  <si>
    <t>F + G + H + I</t>
  </si>
  <si>
    <t>Forecast Filing</t>
  </si>
  <si>
    <t>Residential Gas Service - Rates RGS, VFD</t>
  </si>
  <si>
    <t>Industrial Gas Service - Rates IGS, AAGS, DGGS</t>
  </si>
  <si>
    <t>Firm Transportation Service - Rates FT, LGDS</t>
  </si>
  <si>
    <t>Gas Plant Investment - Distribution</t>
  </si>
  <si>
    <t>Mains - Distribution</t>
  </si>
  <si>
    <t>bonus</t>
  </si>
  <si>
    <t>repairs</t>
  </si>
  <si>
    <t>transmission property tax</t>
  </si>
  <si>
    <t>Property Taxes - Distribution</t>
  </si>
  <si>
    <t>Property Taxes - Transmission</t>
  </si>
  <si>
    <t>Gas Plant Investment - Transmission CWIP</t>
  </si>
  <si>
    <t>Class Allocation and Bill Impact Summary</t>
  </si>
  <si>
    <t>Net Monthly Rate per Mcf Reflecting     True-up</t>
  </si>
  <si>
    <t>Exhibit 2</t>
  </si>
  <si>
    <t>Exhibit 1</t>
  </si>
  <si>
    <t>Tariff Sheet</t>
  </si>
  <si>
    <t>Exhibit 3</t>
  </si>
  <si>
    <t>Exhibit 4</t>
  </si>
  <si>
    <t>Note * - 2019 Year amounts based upon thirteen-month average (December 2018 - December 2019).</t>
  </si>
  <si>
    <t>JANUARY 2019 BOOK DEPRECIATION</t>
  </si>
  <si>
    <t>FEBRUARY 2019 BOOK DEPRECIATION</t>
  </si>
  <si>
    <t>MARCH 2019 BOOK DEPRECIATION</t>
  </si>
  <si>
    <t>APRIL 2019 BOOK DEPRECIATION</t>
  </si>
  <si>
    <t>MAY 2019 BOOK DEPRECIATION</t>
  </si>
  <si>
    <t>JUNE 2019 BOOK DEPRECIATION</t>
  </si>
  <si>
    <t>JULY 2019 BOOK DEPRECIATION</t>
  </si>
  <si>
    <t>AUGUST 2019 BOOK DEPRECIATION</t>
  </si>
  <si>
    <t>SEPTEMBER 2019 BOOK DEPRECIATION</t>
  </si>
  <si>
    <t>OCTOBER 2019 BOOK DEPRECIATION</t>
  </si>
  <si>
    <t>NOVEMBER 2019 BOOK DEPRECIATION</t>
  </si>
  <si>
    <t>DECEMBER 2019 BOOK DEPRECIATION</t>
  </si>
  <si>
    <t>forecast version</t>
  </si>
  <si>
    <t>414000001</t>
  </si>
  <si>
    <t>REPLACE STEEL SERVICES 2019</t>
  </si>
  <si>
    <t>TMPPROP2</t>
  </si>
  <si>
    <t>TMP PROPERTY PENILE-PRESTON</t>
  </si>
  <si>
    <t>108901</t>
  </si>
  <si>
    <t>2019 20-year additions at MACRS Year 1 tax rate (0.037500) plus repairs</t>
  </si>
  <si>
    <t>2018 20-year additions at MACRS Year 2 tax rate (0.072190) plus repairs</t>
  </si>
  <si>
    <t>2017 20-year additions at MACRS Year 3 tax rate (0.066770) plus repairs</t>
  </si>
  <si>
    <t>ORCSO421</t>
  </si>
  <si>
    <t>RML</t>
  </si>
  <si>
    <t>ORCSO4485</t>
  </si>
  <si>
    <t>UPDATED FOR ACTUALS</t>
  </si>
  <si>
    <t>Commercial Gas Service - Rates CGS, SGSS</t>
  </si>
  <si>
    <t>@ 5%</t>
  </si>
  <si>
    <t>Revenue Requirement (Over)/Under Collection</t>
  </si>
  <si>
    <t>2019 from the Approved 2019 BP</t>
  </si>
  <si>
    <t>2019 BP- NO AMS</t>
  </si>
  <si>
    <t>@ 24.95%</t>
  </si>
  <si>
    <t>Note * - 2018 Rate Base Year amounts based upon thirteen-month average (December 2017 - December 2018).</t>
  </si>
  <si>
    <t>Twelve-Month Period Beginning January 1, 2020</t>
  </si>
  <si>
    <t>and Ending December 31, 2020</t>
  </si>
  <si>
    <t>asset_id</t>
  </si>
  <si>
    <t>company</t>
  </si>
  <si>
    <t>depr_group</t>
  </si>
  <si>
    <t>utility_account</t>
  </si>
  <si>
    <t>gl_account</t>
  </si>
  <si>
    <t>month_number</t>
  </si>
  <si>
    <t>act_work_order_number</t>
  </si>
  <si>
    <t>activity_quantity</t>
  </si>
  <si>
    <t>activity_cost</t>
  </si>
  <si>
    <t>average_cost</t>
  </si>
  <si>
    <t>second_financial_cost</t>
  </si>
  <si>
    <t>2LOUISVILLE GAS &amp; ELECTRIC COMPANY</t>
  </si>
  <si>
    <t>LGE-237620-Gas Line Tracker - Mains</t>
  </si>
  <si>
    <t>G376.20-GLT Mains</t>
  </si>
  <si>
    <t>106 - CCNC - PowerPlant</t>
  </si>
  <si>
    <t>101 - Plant In Service - PowerPlant</t>
  </si>
  <si>
    <t>DLSMR414-GLT</t>
  </si>
  <si>
    <t>LSMR414-GLT</t>
  </si>
  <si>
    <t>PMR414-GLT</t>
  </si>
  <si>
    <t>LGE-238020-Gas Line Tracker Service</t>
  </si>
  <si>
    <t>G380.20-GLT Services</t>
  </si>
  <si>
    <t>CCSO419-GLT</t>
  </si>
  <si>
    <t>CCSO421-GLT</t>
  </si>
  <si>
    <t>CCSO4485-GLT</t>
  </si>
  <si>
    <t>CNBCS419-GLT</t>
  </si>
  <si>
    <t>CNBCS421-GLT</t>
  </si>
  <si>
    <t>CNBCS4485-GLT</t>
  </si>
  <si>
    <t>CONVERSION</t>
  </si>
  <si>
    <t>CRSS414-GLT</t>
  </si>
  <si>
    <t>RRCS419G-GLT</t>
  </si>
  <si>
    <t>RRCS421-GLT</t>
  </si>
  <si>
    <t>Note:  Capital structure and cost rates pursuant to Case No. 2018-00295.</t>
  </si>
  <si>
    <t>Proposed GLT Transmission Rate Effective May 1, 2020</t>
  </si>
  <si>
    <t>Note * - 2020 Year amounts based upon thirteen-month average (December 2019 - December 2020).</t>
  </si>
  <si>
    <t>Proposed GLT Distribution Rate Effective May 1, 2020</t>
  </si>
  <si>
    <t>JANUARY 2020 BOOK DEPRECIATION</t>
  </si>
  <si>
    <t>FEBRUARY 2020 BOOK DEPRECIATION</t>
  </si>
  <si>
    <t>MARCH 2020 BOOK DEPRECIATION</t>
  </si>
  <si>
    <t>APRIL 2020 BOOK DEPRECIATION</t>
  </si>
  <si>
    <t>MAY 2020 BOOK DEPRECIATION</t>
  </si>
  <si>
    <t>JUNE 2020 BOOK DEPRECIATION</t>
  </si>
  <si>
    <t>JULY 2020 BOOK DEPRECIATION</t>
  </si>
  <si>
    <t>AUGUST 2020 BOOK DEPRECIATION</t>
  </si>
  <si>
    <t>SEPTEMBER 2020 BOOK DEPRECIATION</t>
  </si>
  <si>
    <t>OCTOBER 2020 BOOK DEPRECIATION</t>
  </si>
  <si>
    <t>NOVEMBER 2020 BOOK DEPRECIATION</t>
  </si>
  <si>
    <t>DECEMBER 2020 BOOK DEPRECIATION</t>
  </si>
  <si>
    <t>2020 20-year additions at MACRS Year 1 tax rate (0.037500) plus repairs</t>
  </si>
  <si>
    <t>1/366</t>
  </si>
  <si>
    <t>307/366</t>
  </si>
  <si>
    <t>276/366</t>
  </si>
  <si>
    <t>246/366</t>
  </si>
  <si>
    <t>215/366</t>
  </si>
  <si>
    <t>185/366</t>
  </si>
  <si>
    <t>154/366</t>
  </si>
  <si>
    <t>123/366</t>
  </si>
  <si>
    <t>93/366</t>
  </si>
  <si>
    <t>62/366</t>
  </si>
  <si>
    <t>32/366</t>
  </si>
  <si>
    <t>336/366</t>
  </si>
  <si>
    <t>REPLACE STEEL SERVICES 2020</t>
  </si>
  <si>
    <t>TMPMAG-2</t>
  </si>
  <si>
    <t>TMPMCR-2</t>
  </si>
  <si>
    <t>TMP: Mill Creek Repl GLT</t>
  </si>
  <si>
    <t>TMPWKA-2</t>
  </si>
  <si>
    <t>TMPWKB-2</t>
  </si>
  <si>
    <t>0512</t>
  </si>
  <si>
    <t>2020</t>
  </si>
  <si>
    <t>004385</t>
  </si>
  <si>
    <t>863110</t>
  </si>
  <si>
    <t>GLTILI</t>
  </si>
  <si>
    <t>NEWTOOL</t>
  </si>
  <si>
    <t>End of Month Net Assets from 2019.12 OU File</t>
  </si>
  <si>
    <t>End of Month Net Assets from 2018.12 OU File</t>
  </si>
  <si>
    <t>distribution property tax</t>
  </si>
  <si>
    <t>In-service</t>
  </si>
  <si>
    <t>Mains - Transmission</t>
  </si>
  <si>
    <t>2020 In-service</t>
  </si>
  <si>
    <t>12/19 Dist In-service</t>
  </si>
  <si>
    <t>12/19 Trans CWIP</t>
  </si>
  <si>
    <t>12/20 Total In-service</t>
  </si>
  <si>
    <t>check</t>
  </si>
  <si>
    <t>202012 Bk Depr</t>
  </si>
  <si>
    <t>distribution O&amp;M</t>
  </si>
  <si>
    <t>transmission O&amp;M</t>
  </si>
  <si>
    <t>Incremental O&amp;M - Distribution</t>
  </si>
  <si>
    <t>Incremental O&amp;M - Transmission</t>
  </si>
  <si>
    <t>XM</t>
  </si>
  <si>
    <t>Gas Plant Investment - Transmission</t>
  </si>
  <si>
    <t>REVENUE REQUIREMENT - TRANSMISSION</t>
  </si>
  <si>
    <t>REVENUE REQUIREMENT - DISTRIBUTION</t>
  </si>
  <si>
    <t>TAX DEPRECIATION - TRANSMISSION</t>
  </si>
  <si>
    <t>TAX DEPRECIATION - DISTRIBUTION</t>
  </si>
  <si>
    <t>new XM (remove if CN 2019-00301 not approved prior to filing)</t>
  </si>
  <si>
    <t>Customer Service Cost of Removal</t>
  </si>
  <si>
    <t>Customer Service Retirements</t>
  </si>
  <si>
    <t>Applied to</t>
  </si>
  <si>
    <t>In Service</t>
  </si>
  <si>
    <t>Year #</t>
  </si>
  <si>
    <t>2017 20-year additions at MACRS Year 4 tax rate (0.061770)</t>
  </si>
  <si>
    <t>2018 20-year additions at MACRS Year 3 tax rate (0.066770)</t>
  </si>
  <si>
    <t>2019 20-year additions at MACRS Year 2 tax rate (0.072190)</t>
  </si>
  <si>
    <t>MACRS Tax</t>
  </si>
  <si>
    <t>Depr Rates</t>
  </si>
  <si>
    <t>GLT</t>
  </si>
  <si>
    <t>$'s</t>
  </si>
  <si>
    <t>Transmission Mains</t>
  </si>
  <si>
    <t>2020 True-up Monthly Rate Per Bill</t>
  </si>
  <si>
    <t xml:space="preserve">2021 - Forecasted </t>
  </si>
  <si>
    <t>2020 Recovery True-up Rate Per Mcf</t>
  </si>
  <si>
    <t>2020 - (Over)/Under recovery</t>
  </si>
  <si>
    <t>Proposed GLT Distribution Rate Effective May 1, 2021</t>
  </si>
  <si>
    <t>Proposed GLT Transmission Rate Effective May 1, 2021</t>
  </si>
  <si>
    <t>JANUARY 2021 BOOK DEPRECIATION</t>
  </si>
  <si>
    <t>FEBRUARY 2021 BOOK DEPRECIATION</t>
  </si>
  <si>
    <t>MARCH 2021 BOOK DEPRECIATION</t>
  </si>
  <si>
    <t>APRIL 2021 BOOK DEPRECIATION</t>
  </si>
  <si>
    <t>MAY 2021 BOOK DEPRECIATION</t>
  </si>
  <si>
    <t>JUNE 2021 BOOK DEPRECIATION</t>
  </si>
  <si>
    <t>JULY 2021 BOOK DEPRECIATION</t>
  </si>
  <si>
    <t>AUGUST 2021 BOOK DEPRECIATION</t>
  </si>
  <si>
    <t>SEPTEMBER 2021 BOOK DEPRECIATION</t>
  </si>
  <si>
    <t>OCTOBER 2021 BOOK DEPRECIATION</t>
  </si>
  <si>
    <t>NOVEMBER 2021 BOOK DEPRECIATION</t>
  </si>
  <si>
    <t>DECEMBER 2021 BOOK DEPRECIATION</t>
  </si>
  <si>
    <t>Twelve-Month Period Beginning January 1, 2021</t>
  </si>
  <si>
    <t>and Ending December 31, 2021</t>
  </si>
  <si>
    <t>As of December 2020</t>
  </si>
  <si>
    <t>Start of Period Rate Base, 12/19</t>
  </si>
  <si>
    <t xml:space="preserve">GLT </t>
  </si>
  <si>
    <t>GLT Program</t>
  </si>
  <si>
    <t>Row Labels</t>
  </si>
  <si>
    <t>Bud Description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</si>
  <si>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</si>
  <si>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</si>
  <si>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</si>
  <si>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</si>
  <si>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</si>
  <si>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</si>
  <si>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</si>
  <si>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</si>
  <si>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</si>
  <si>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</si>
  <si>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</si>
  <si>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</si>
  <si>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Customer Service Lines</t>
  </si>
  <si>
    <t>GAS CUSTOMER SERVICE UNLOC</t>
  </si>
  <si>
    <t>CSO Meter Conditions</t>
  </si>
  <si>
    <t>REPAIR LEAKS - 004190</t>
  </si>
  <si>
    <t>REPAIR LEAKS - 004210</t>
  </si>
  <si>
    <t>REPAIR LEAKS - 004485</t>
  </si>
  <si>
    <t>Distribution O&amp;M</t>
  </si>
  <si>
    <t>Transmission O&amp;M</t>
  </si>
  <si>
    <t>Steel Customer Service Lines and Targeted Removal of County Loops and Steel Curbed Services</t>
  </si>
  <si>
    <t>INVESTMENT</t>
  </si>
  <si>
    <t>Monthly as spent</t>
  </si>
  <si>
    <t>Customer Service lines</t>
  </si>
  <si>
    <t>Leak Mitigation</t>
  </si>
  <si>
    <t>Transmission Modernization</t>
  </si>
  <si>
    <t>ARO</t>
  </si>
  <si>
    <t>REMOVAL</t>
  </si>
  <si>
    <t xml:space="preserve">Investment Total </t>
  </si>
  <si>
    <t xml:space="preserve">Removal Total </t>
  </si>
  <si>
    <t xml:space="preserve">GLT Total </t>
  </si>
  <si>
    <t>2021 20-year additions at MACRS Year 1 tax rate (0.037500) plus repairs</t>
  </si>
  <si>
    <t>2021 20-year additions at MACRS Year 1 tax rate (0.037500)</t>
  </si>
  <si>
    <t>2020 20-year additions at MACRS Year 2 tax rate (0.072190)</t>
  </si>
  <si>
    <t>Prorata Accumulated</t>
  </si>
  <si>
    <t>Total Forecasted Revenue Per Final Order in Case No. 2018-00295</t>
  </si>
  <si>
    <t>2021 Forecast Monthly Rate Per Bill</t>
  </si>
  <si>
    <t>2020 Forecast Monthly Rate Per Bill</t>
  </si>
  <si>
    <t>2019 True-up Monthly Rate Per Bill</t>
  </si>
  <si>
    <t>PRIOR YEAR FILING</t>
  </si>
  <si>
    <t>Rev Req</t>
  </si>
  <si>
    <t>2021 Forecast Rate Per Mcf</t>
  </si>
  <si>
    <t>2020 True-up Rate Per Mcf</t>
  </si>
  <si>
    <t>Distribution Property Tax</t>
  </si>
  <si>
    <t>Transmission Property Tax</t>
  </si>
  <si>
    <t>Check to Tax Depr tab</t>
  </si>
  <si>
    <t>UPDATED WITH ACTUALS IN 2021 FILING</t>
  </si>
  <si>
    <t>UPDATED WITH ACTUALS FROM TRUE-UP OPEX TAB IN 2021 FILING</t>
  </si>
  <si>
    <t>2020 Total</t>
  </si>
  <si>
    <t>Steel Services/Customer Service Lines</t>
  </si>
  <si>
    <t>Check Results</t>
  </si>
  <si>
    <t>Plant Account</t>
  </si>
  <si>
    <t>376</t>
  </si>
  <si>
    <t>380</t>
  </si>
  <si>
    <t/>
  </si>
  <si>
    <t>374</t>
  </si>
  <si>
    <t>367</t>
  </si>
  <si>
    <t>414000003</t>
  </si>
  <si>
    <t>REPLACE STEEL SERVICES 2021</t>
  </si>
  <si>
    <t>% Change in Total Rate</t>
  </si>
  <si>
    <t>% Change in Forecast Rate</t>
  </si>
  <si>
    <t>% Change in True-up Rate</t>
  </si>
  <si>
    <t>2020 Forecast Monthly Rate Per McF</t>
  </si>
  <si>
    <t>2019 True-up Monthly Rate Per McF</t>
  </si>
  <si>
    <t>Net Monthly Rate Per McF Reflecting     True-up</t>
  </si>
  <si>
    <t>CY Depr on</t>
  </si>
  <si>
    <t>CY Bonus on</t>
  </si>
  <si>
    <t>CY Repairs on</t>
  </si>
  <si>
    <t xml:space="preserve">CY Total </t>
  </si>
  <si>
    <t>Tax Depr</t>
  </si>
  <si>
    <t>Check</t>
  </si>
  <si>
    <t>Base Rate Asset Retirements - 2020</t>
  </si>
  <si>
    <t>Asset Cost</t>
  </si>
  <si>
    <t>Depreciation Reserve</t>
  </si>
  <si>
    <t>Main-Distribution Retirements Depr Reserve</t>
  </si>
  <si>
    <t>Service Line Retirements Depr Reserve</t>
  </si>
  <si>
    <t>Riser Retirements Depr Reserve</t>
  </si>
  <si>
    <t>Customer Service Retirements Depr Reserve</t>
  </si>
  <si>
    <t>Distribution  Investment</t>
  </si>
  <si>
    <t>Distribution  COR</t>
  </si>
  <si>
    <t>Transmission Investment</t>
  </si>
  <si>
    <t>Transmission COR</t>
  </si>
  <si>
    <t>Plant in Service and CWIP Actuals</t>
  </si>
  <si>
    <t>2020 15-year additions at MACRS Year 1 tax rate (0.037500) plus repairs</t>
  </si>
  <si>
    <t>2017 20-year additions at MACRS Year 5 tax rate (0.057130)</t>
  </si>
  <si>
    <t>2018 20-year additions at MACRS Year 4 tax rate (0.061770)</t>
  </si>
  <si>
    <t>2019 20-year additions at MACRS Year 3 tax rate (0.066770)</t>
  </si>
  <si>
    <t>Total Capital Spend in 2021 per Cap&amp;OpEx tab</t>
  </si>
  <si>
    <t>Capital spend in CWIP in 2021 per Capital Budget tab</t>
  </si>
  <si>
    <t>Change in Total Plant for 2021 per Book Depr tabs</t>
  </si>
  <si>
    <t>Total capital spend per Capital Budget tab</t>
  </si>
  <si>
    <t>Less base rate asset retirements</t>
  </si>
  <si>
    <t>Net change in capital for 2021</t>
  </si>
  <si>
    <t>Net change in capital for 2021 per Cap&amp;OpEx tab</t>
  </si>
  <si>
    <t>Total COR per Capital Budget tab</t>
  </si>
  <si>
    <t>Total COR per Cap&amp;OpEx tab</t>
  </si>
  <si>
    <t>Change in Investment</t>
  </si>
  <si>
    <t>Per Net Assets tab</t>
  </si>
  <si>
    <t>CWIP ONLY Actuals - Used on Bk Depr and Tax Depr tabs to adjust Asset Additions</t>
  </si>
  <si>
    <t>RRCS419G - Services-Lines</t>
  </si>
  <si>
    <t>Total of Services-Customer Lines</t>
  </si>
  <si>
    <t>End of Month Plant in Service from Book Depr column (9)</t>
  </si>
  <si>
    <t>Dec 2020 Land in Service from GLT Day 4 Report</t>
  </si>
  <si>
    <t>Total from Rev Req 2021 tab</t>
  </si>
  <si>
    <t>Dec 2020 CWIP on Transmission Projects from GLT Day 4 Report</t>
  </si>
  <si>
    <t>YTD 2021 Forecasted CWIP from 2021 Capital Budget tab</t>
  </si>
  <si>
    <t>Louisville Gas and Electric Company</t>
  </si>
  <si>
    <t>Gas Line Tracker Report</t>
  </si>
  <si>
    <t>Plant, CWIP &amp; Depreciation Expense</t>
  </si>
  <si>
    <t>Eligible</t>
  </si>
  <si>
    <t>Eligible Net</t>
  </si>
  <si>
    <t>Plant In</t>
  </si>
  <si>
    <t xml:space="preserve">Accumulated </t>
  </si>
  <si>
    <t>Depr.</t>
  </si>
  <si>
    <t>PIS &amp;</t>
  </si>
  <si>
    <t>Service</t>
  </si>
  <si>
    <t>CWIP</t>
  </si>
  <si>
    <t>Rate</t>
  </si>
  <si>
    <t>TMPPENBLN-ROMANIA LAND</t>
  </si>
  <si>
    <t>Mains-Transmission Retirements</t>
  </si>
  <si>
    <t>As of December, 2020</t>
  </si>
  <si>
    <r>
      <t>Main-Transmission Retirements</t>
    </r>
    <r>
      <rPr>
        <vertAlign val="superscript"/>
        <sz val="9.6"/>
        <rFont val="Times New Roman"/>
        <family val="1"/>
      </rPr>
      <t>1</t>
    </r>
  </si>
  <si>
    <t>Notes:</t>
  </si>
  <si>
    <r>
      <t>Main-Transmission Retirements Depr Reserve</t>
    </r>
    <r>
      <rPr>
        <vertAlign val="superscript"/>
        <sz val="7.2"/>
        <rFont val="Times New Roman"/>
        <family val="1"/>
      </rPr>
      <t>1</t>
    </r>
  </si>
  <si>
    <t>(A): Reflects estimated actual retirement of base rate assets due to Transmission Modernization Program assets placed into service in October 2020 that will not be recorded on the books until 2021.</t>
  </si>
  <si>
    <t>1: Reflects estimated actual retirement of base rate assets due to Transmission Modernization Program assets placed into service in October 2020 that will not be recorded on the books until 2021.</t>
  </si>
  <si>
    <t>Note:  Capital structure and cost rates pursuant to Case No. 2020-00350.</t>
  </si>
  <si>
    <t>GLT Elimination</t>
  </si>
  <si>
    <t>July-December 2017</t>
  </si>
  <si>
    <t>Annual Property Tax</t>
  </si>
  <si>
    <t>Dec 2020</t>
  </si>
  <si>
    <t>Per month for half a year</t>
  </si>
  <si>
    <t>Note * - 2021 Year amounts based upon seven-month average (December 2020 - June 2021).</t>
  </si>
  <si>
    <t>Check to ROR tab</t>
  </si>
  <si>
    <t>2021 June</t>
  </si>
  <si>
    <t>2021 Forecast Monthly Rate Per McF</t>
  </si>
  <si>
    <t>2020 True-up Monthly Rate Per McF</t>
  </si>
  <si>
    <t>2021 ANNUAL FILING</t>
  </si>
  <si>
    <t>Status</t>
  </si>
  <si>
    <t>Moving to Base Rates</t>
  </si>
  <si>
    <t>Staying in GLT</t>
  </si>
  <si>
    <t>414000002</t>
  </si>
  <si>
    <t>Account 376 is moving to base rates and account 380 is staying in GLT</t>
  </si>
  <si>
    <t>Gas Service Riser Replacement</t>
  </si>
  <si>
    <t>Aldyl-A Mains and Services Replacement</t>
  </si>
  <si>
    <t xml:space="preserve">Dec 2020 - </t>
  </si>
  <si>
    <t>Jun 2021</t>
  </si>
  <si>
    <t>7-month avg</t>
  </si>
  <si>
    <t>Dec 2021</t>
  </si>
  <si>
    <t>Jun 2021 -</t>
  </si>
  <si>
    <t>Post</t>
  </si>
  <si>
    <t>Elimination</t>
  </si>
  <si>
    <t>Customer Service Line Ownership/Responsibility</t>
  </si>
  <si>
    <t xml:space="preserve">Jun 2021 - </t>
  </si>
  <si>
    <t>Note * - 2021 Year amounts based upon return on seven-month average rate base for December 2020 through June 2021 with all projects in GLT plus return on seven-month average rate base for June 2021 through December 2021 with only the projects remaining in GLT.  O&amp;M is the calendar year total for the applicable GLT projects (none of which were projects being eliminated).</t>
  </si>
  <si>
    <t>Note:  Capital structure and cost rates pursuant to Case No. 2018-00295 effective May 1, 2019.</t>
  </si>
  <si>
    <t>Note:  Capital structure and cost rates pursuant to Case No. 2020-00350 effective July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</si>
</sst>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_);\(0\)"/>
    <numFmt numFmtId="168" formatCode="_(* #,##0.000000_);_(* \(#,##0.000000\);_(* &quot;-&quot;??_);_(@_)"/>
    <numFmt numFmtId="169" formatCode="[$-409]mmmm\-yy;@"/>
    <numFmt numFmtId="170" formatCode="&quot;$&quot;#,##0\ ;\(&quot;$&quot;#,##0\)"/>
    <numFmt numFmtId="171" formatCode="_([$€-2]* #,##0.00_);_([$€-2]* \(#,##0.00\);_([$€-2]* &quot;-&quot;??_)"/>
    <numFmt numFmtId="172" formatCode="&quot;$&quot;#,##0.0000_);\(&quot;$&quot;#,##0.0000\)"/>
    <numFmt numFmtId="173" formatCode="_(* #,##0_);_(* \(#,##0\);_(* &quot;0&quot;_);_(@_)"/>
    <numFmt numFmtId="174" formatCode="[$-409]mmmm\ d\,\ yyyy;@"/>
    <numFmt numFmtId="175" formatCode="mmmm\ yyyy"/>
    <numFmt numFmtId="176" formatCode="mmm\-yyyy"/>
    <numFmt numFmtId="177" formatCode="_(&quot;$&quot;* #,##0_);_(&quot;$&quot;* \(#,##0\);_(&quot;$&quot;* 0_);_(@_)"/>
    <numFmt numFmtId="178" formatCode="_(&quot;$&quot;* #,##0.00_);_(&quot;$&quot;* \(#,##0.00\);_(&quot;$&quot;* 0.00_);_(@_)"/>
    <numFmt numFmtId="179" formatCode="0.000%"/>
    <numFmt numFmtId="180" formatCode="_(* &quot;$&quot;#,##0_);_(* \(&quot;$&quot;#,##0\);_(* &quot;$0&quot;_);_(@_)"/>
    <numFmt numFmtId="181" formatCode="00"/>
    <numFmt numFmtId="182" formatCode="0.0000000"/>
    <numFmt numFmtId="183" formatCode="&quot;$&quot;#,##0.00"/>
    <numFmt numFmtId="184" formatCode="&quot;$&quot;#,##0"/>
  </numFmts>
  <fonts count="1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 (W1)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u/>
      <sz val="16"/>
      <name val="Times New Roman"/>
      <family val="1"/>
    </font>
    <font>
      <b/>
      <u/>
      <sz val="16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trike/>
      <sz val="16"/>
      <name val="Cambria"/>
      <family val="1"/>
    </font>
    <font>
      <sz val="12"/>
      <color rgb="FFFF0000"/>
      <name val="Times New Roman"/>
      <family val="1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0070C0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6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9.6"/>
      <name val="Times New Roman"/>
      <family val="1"/>
    </font>
    <font>
      <vertAlign val="superscript"/>
      <sz val="7.2"/>
      <name val="Times New Roman"/>
      <family val="1"/>
    </font>
    <font>
      <sz val="11"/>
      <color theme="1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01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2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29" fillId="33" borderId="0" applyNumberFormat="0" applyBorder="0" applyAlignment="0" applyProtection="0"/>
    <xf numFmtId="169" fontId="29" fillId="33" borderId="0" applyNumberFormat="0" applyBorder="0" applyAlignment="0" applyProtection="0"/>
    <xf numFmtId="169" fontId="29" fillId="33" borderId="0" applyNumberFormat="0" applyBorder="0" applyAlignment="0" applyProtection="0"/>
    <xf numFmtId="169" fontId="29" fillId="33" borderId="0" applyNumberFormat="0" applyBorder="0" applyAlignment="0" applyProtection="0"/>
    <xf numFmtId="169" fontId="29" fillId="33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5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30" fillId="10" borderId="0" applyNumberFormat="0" applyBorder="0" applyAlignment="0" applyProtection="0"/>
    <xf numFmtId="169" fontId="29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30" fillId="10" borderId="0" applyNumberFormat="0" applyBorder="0" applyAlignment="0" applyProtection="0"/>
    <xf numFmtId="0" fontId="5" fillId="10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29" fillId="34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169" fontId="30" fillId="10" borderId="0" applyNumberFormat="0" applyBorder="0" applyAlignment="0" applyProtection="0"/>
    <xf numFmtId="0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3" borderId="0" applyNumberFormat="0" applyBorder="0" applyAlignment="0" applyProtection="0"/>
    <xf numFmtId="169" fontId="29" fillId="33" borderId="0" applyNumberFormat="0" applyBorder="0" applyAlignment="0" applyProtection="0"/>
    <xf numFmtId="169" fontId="29" fillId="33" borderId="0" applyNumberFormat="0" applyBorder="0" applyAlignment="0" applyProtection="0"/>
    <xf numFmtId="169" fontId="29" fillId="33" borderId="0" applyNumberFormat="0" applyBorder="0" applyAlignment="0" applyProtection="0"/>
    <xf numFmtId="169" fontId="29" fillId="33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5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14" borderId="0" applyNumberFormat="0" applyBorder="0" applyAlignment="0" applyProtection="0"/>
    <xf numFmtId="169" fontId="29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14" borderId="0" applyNumberFormat="0" applyBorder="0" applyAlignment="0" applyProtection="0"/>
    <xf numFmtId="0" fontId="5" fillId="14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29" fillId="36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169" fontId="30" fillId="14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5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30" fillId="18" borderId="0" applyNumberFormat="0" applyBorder="0" applyAlignment="0" applyProtection="0"/>
    <xf numFmtId="169" fontId="29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30" fillId="18" borderId="0" applyNumberFormat="0" applyBorder="0" applyAlignment="0" applyProtection="0"/>
    <xf numFmtId="0" fontId="5" fillId="1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29" fillId="3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169" fontId="30" fillId="18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29" fillId="37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5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30" fillId="22" borderId="0" applyNumberFormat="0" applyBorder="0" applyAlignment="0" applyProtection="0"/>
    <xf numFmtId="169" fontId="29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30" fillId="22" borderId="0" applyNumberFormat="0" applyBorder="0" applyAlignment="0" applyProtection="0"/>
    <xf numFmtId="0" fontId="5" fillId="22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29" fillId="40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169" fontId="30" fillId="22" borderId="0" applyNumberFormat="0" applyBorder="0" applyAlignment="0" applyProtection="0"/>
    <xf numFmtId="0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5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6" borderId="0" applyNumberFormat="0" applyBorder="0" applyAlignment="0" applyProtection="0"/>
    <xf numFmtId="169" fontId="29" fillId="4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6" borderId="0" applyNumberFormat="0" applyBorder="0" applyAlignment="0" applyProtection="0"/>
    <xf numFmtId="0" fontId="5" fillId="26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29" fillId="41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169" fontId="30" fillId="26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5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30" fillId="30" borderId="0" applyNumberFormat="0" applyBorder="0" applyAlignment="0" applyProtection="0"/>
    <xf numFmtId="169" fontId="29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30" fillId="30" borderId="0" applyNumberFormat="0" applyBorder="0" applyAlignment="0" applyProtection="0"/>
    <xf numFmtId="0" fontId="5" fillId="30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29" fillId="38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169" fontId="30" fillId="30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40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5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1" borderId="0" applyNumberFormat="0" applyBorder="0" applyAlignment="0" applyProtection="0"/>
    <xf numFmtId="169" fontId="29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1" borderId="0" applyNumberFormat="0" applyBorder="0" applyAlignment="0" applyProtection="0"/>
    <xf numFmtId="0" fontId="5" fillId="1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29" fillId="4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169" fontId="30" fillId="11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5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15" borderId="0" applyNumberFormat="0" applyBorder="0" applyAlignment="0" applyProtection="0"/>
    <xf numFmtId="169" fontId="29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15" borderId="0" applyNumberFormat="0" applyBorder="0" applyAlignment="0" applyProtection="0"/>
    <xf numFmtId="0" fontId="5" fillId="15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29" fillId="36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169" fontId="30" fillId="15" borderId="0" applyNumberFormat="0" applyBorder="0" applyAlignment="0" applyProtection="0"/>
    <xf numFmtId="0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36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5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30" fillId="19" borderId="0" applyNumberFormat="0" applyBorder="0" applyAlignment="0" applyProtection="0"/>
    <xf numFmtId="169" fontId="29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9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30" fillId="19" borderId="0" applyNumberFormat="0" applyBorder="0" applyAlignment="0" applyProtection="0"/>
    <xf numFmtId="0" fontId="5" fillId="19" borderId="0" applyNumberFormat="0" applyBorder="0" applyAlignment="0" applyProtection="0"/>
    <xf numFmtId="169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29" fillId="43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169" fontId="30" fillId="19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5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3" borderId="0" applyNumberFormat="0" applyBorder="0" applyAlignment="0" applyProtection="0"/>
    <xf numFmtId="169" fontId="29" fillId="3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3" borderId="0" applyNumberFormat="0" applyBorder="0" applyAlignment="0" applyProtection="0"/>
    <xf numFmtId="0" fontId="5" fillId="23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29" fillId="35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169" fontId="30" fillId="23" borderId="0" applyNumberFormat="0" applyBorder="0" applyAlignment="0" applyProtection="0"/>
    <xf numFmtId="0" fontId="29" fillId="35" borderId="0" applyNumberFormat="0" applyBorder="0" applyAlignment="0" applyProtection="0"/>
    <xf numFmtId="169" fontId="29" fillId="35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9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5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7" borderId="0" applyNumberFormat="0" applyBorder="0" applyAlignment="0" applyProtection="0"/>
    <xf numFmtId="169" fontId="29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7" borderId="0" applyNumberFormat="0" applyBorder="0" applyAlignment="0" applyProtection="0"/>
    <xf numFmtId="0" fontId="5" fillId="27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29" fillId="41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169" fontId="30" fillId="27" borderId="0" applyNumberFormat="0" applyBorder="0" applyAlignment="0" applyProtection="0"/>
    <xf numFmtId="0" fontId="29" fillId="41" borderId="0" applyNumberFormat="0" applyBorder="0" applyAlignment="0" applyProtection="0"/>
    <xf numFmtId="169" fontId="29" fillId="41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3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5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30" fillId="31" borderId="0" applyNumberFormat="0" applyBorder="0" applyAlignment="0" applyProtection="0"/>
    <xf numFmtId="169" fontId="29" fillId="3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30" fillId="31" borderId="0" applyNumberFormat="0" applyBorder="0" applyAlignment="0" applyProtection="0"/>
    <xf numFmtId="0" fontId="5" fillId="31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29" fillId="38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169" fontId="30" fillId="31" borderId="0" applyNumberFormat="0" applyBorder="0" applyAlignment="0" applyProtection="0"/>
    <xf numFmtId="0" fontId="29" fillId="38" borderId="0" applyNumberFormat="0" applyBorder="0" applyAlignment="0" applyProtection="0"/>
    <xf numFmtId="169" fontId="29" fillId="38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29" fillId="44" borderId="0" applyNumberFormat="0" applyBorder="0" applyAlignment="0" applyProtection="0"/>
    <xf numFmtId="169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27" fillId="12" borderId="0" applyNumberFormat="0" applyBorder="0" applyAlignment="0" applyProtection="0"/>
    <xf numFmtId="169" fontId="27" fillId="12" borderId="0" applyNumberFormat="0" applyBorder="0" applyAlignment="0" applyProtection="0"/>
    <xf numFmtId="169" fontId="27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2" fillId="12" borderId="0" applyNumberFormat="0" applyBorder="0" applyAlignment="0" applyProtection="0"/>
    <xf numFmtId="169" fontId="31" fillId="4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2" fillId="12" borderId="0" applyNumberFormat="0" applyBorder="0" applyAlignment="0" applyProtection="0"/>
    <xf numFmtId="0" fontId="27" fillId="12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169" fontId="32" fillId="12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45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27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0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2" fillId="16" borderId="0" applyNumberFormat="0" applyBorder="0" applyAlignment="0" applyProtection="0"/>
    <xf numFmtId="169" fontId="31" fillId="4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2" fillId="16" borderId="0" applyNumberFormat="0" applyBorder="0" applyAlignment="0" applyProtection="0"/>
    <xf numFmtId="0" fontId="27" fillId="1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169" fontId="32" fillId="16" borderId="0" applyNumberFormat="0" applyBorder="0" applyAlignment="0" applyProtection="0"/>
    <xf numFmtId="0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27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2" fillId="20" borderId="0" applyNumberFormat="0" applyBorder="0" applyAlignment="0" applyProtection="0"/>
    <xf numFmtId="169" fontId="31" fillId="44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2" fillId="20" borderId="0" applyNumberFormat="0" applyBorder="0" applyAlignment="0" applyProtection="0"/>
    <xf numFmtId="0" fontId="27" fillId="20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169" fontId="32" fillId="20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31" fillId="42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27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2" fillId="24" borderId="0" applyNumberFormat="0" applyBorder="0" applyAlignment="0" applyProtection="0"/>
    <xf numFmtId="169" fontId="31" fillId="3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2" fillId="24" borderId="0" applyNumberFormat="0" applyBorder="0" applyAlignment="0" applyProtection="0"/>
    <xf numFmtId="0" fontId="27" fillId="24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169" fontId="32" fillId="24" borderId="0" applyNumberFormat="0" applyBorder="0" applyAlignment="0" applyProtection="0"/>
    <xf numFmtId="0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35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27" fillId="28" borderId="0" applyNumberFormat="0" applyBorder="0" applyAlignment="0" applyProtection="0"/>
    <xf numFmtId="169" fontId="27" fillId="28" borderId="0" applyNumberFormat="0" applyBorder="0" applyAlignment="0" applyProtection="0"/>
    <xf numFmtId="169" fontId="27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2" fillId="28" borderId="0" applyNumberFormat="0" applyBorder="0" applyAlignment="0" applyProtection="0"/>
    <xf numFmtId="169" fontId="31" fillId="4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2" fillId="28" borderId="0" applyNumberFormat="0" applyBorder="0" applyAlignment="0" applyProtection="0"/>
    <xf numFmtId="0" fontId="27" fillId="28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169" fontId="32" fillId="28" borderId="0" applyNumberFormat="0" applyBorder="0" applyAlignment="0" applyProtection="0"/>
    <xf numFmtId="0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1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9" borderId="0" applyNumberFormat="0" applyBorder="0" applyAlignment="0" applyProtection="0"/>
    <xf numFmtId="169" fontId="31" fillId="49" borderId="0" applyNumberFormat="0" applyBorder="0" applyAlignment="0" applyProtection="0"/>
    <xf numFmtId="169" fontId="31" fillId="49" borderId="0" applyNumberFormat="0" applyBorder="0" applyAlignment="0" applyProtection="0"/>
    <xf numFmtId="169" fontId="31" fillId="49" borderId="0" applyNumberFormat="0" applyBorder="0" applyAlignment="0" applyProtection="0"/>
    <xf numFmtId="169" fontId="31" fillId="49" borderId="0" applyNumberFormat="0" applyBorder="0" applyAlignment="0" applyProtection="0"/>
    <xf numFmtId="169" fontId="27" fillId="32" borderId="0" applyNumberFormat="0" applyBorder="0" applyAlignment="0" applyProtection="0"/>
    <xf numFmtId="169" fontId="27" fillId="32" borderId="0" applyNumberFormat="0" applyBorder="0" applyAlignment="0" applyProtection="0"/>
    <xf numFmtId="169" fontId="27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2" fillId="32" borderId="0" applyNumberFormat="0" applyBorder="0" applyAlignment="0" applyProtection="0"/>
    <xf numFmtId="169" fontId="31" fillId="36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2" fillId="32" borderId="0" applyNumberFormat="0" applyBorder="0" applyAlignment="0" applyProtection="0"/>
    <xf numFmtId="0" fontId="27" fillId="32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169" fontId="32" fillId="32" borderId="0" applyNumberFormat="0" applyBorder="0" applyAlignment="0" applyProtection="0"/>
    <xf numFmtId="0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36" borderId="0" applyNumberFormat="0" applyBorder="0" applyAlignment="0" applyProtection="0"/>
    <xf numFmtId="169" fontId="31" fillId="49" borderId="0" applyNumberFormat="0" applyBorder="0" applyAlignment="0" applyProtection="0"/>
    <xf numFmtId="169" fontId="31" fillId="49" borderId="0" applyNumberFormat="0" applyBorder="0" applyAlignment="0" applyProtection="0"/>
    <xf numFmtId="169" fontId="31" fillId="49" borderId="0" applyNumberFormat="0" applyBorder="0" applyAlignment="0" applyProtection="0"/>
    <xf numFmtId="169" fontId="31" fillId="49" borderId="0" applyNumberFormat="0" applyBorder="0" applyAlignment="0" applyProtection="0"/>
    <xf numFmtId="169" fontId="31" fillId="49" borderId="0" applyNumberFormat="0" applyBorder="0" applyAlignment="0" applyProtection="0"/>
    <xf numFmtId="169" fontId="31" fillId="50" borderId="0" applyNumberFormat="0" applyBorder="0" applyAlignment="0" applyProtection="0"/>
    <xf numFmtId="169" fontId="31" fillId="50" borderId="0" applyNumberFormat="0" applyBorder="0" applyAlignment="0" applyProtection="0"/>
    <xf numFmtId="169" fontId="31" fillId="50" borderId="0" applyNumberFormat="0" applyBorder="0" applyAlignment="0" applyProtection="0"/>
    <xf numFmtId="169" fontId="31" fillId="50" borderId="0" applyNumberFormat="0" applyBorder="0" applyAlignment="0" applyProtection="0"/>
    <xf numFmtId="169" fontId="31" fillId="50" borderId="0" applyNumberFormat="0" applyBorder="0" applyAlignment="0" applyProtection="0"/>
    <xf numFmtId="169" fontId="27" fillId="9" borderId="0" applyNumberFormat="0" applyBorder="0" applyAlignment="0" applyProtection="0"/>
    <xf numFmtId="169" fontId="27" fillId="9" borderId="0" applyNumberFormat="0" applyBorder="0" applyAlignment="0" applyProtection="0"/>
    <xf numFmtId="169" fontId="27" fillId="9" borderId="0" applyNumberFormat="0" applyBorder="0" applyAlignment="0" applyProtection="0"/>
    <xf numFmtId="169" fontId="32" fillId="9" borderId="0" applyNumberFormat="0" applyBorder="0" applyAlignment="0" applyProtection="0"/>
    <xf numFmtId="169" fontId="32" fillId="9" borderId="0" applyNumberFormat="0" applyBorder="0" applyAlignment="0" applyProtection="0"/>
    <xf numFmtId="0" fontId="31" fillId="51" borderId="0" applyNumberFormat="0" applyBorder="0" applyAlignment="0" applyProtection="0"/>
    <xf numFmtId="169" fontId="31" fillId="51" borderId="0" applyNumberFormat="0" applyBorder="0" applyAlignment="0" applyProtection="0"/>
    <xf numFmtId="169" fontId="31" fillId="51" borderId="0" applyNumberFormat="0" applyBorder="0" applyAlignment="0" applyProtection="0"/>
    <xf numFmtId="169" fontId="32" fillId="9" borderId="0" applyNumberFormat="0" applyBorder="0" applyAlignment="0" applyProtection="0"/>
    <xf numFmtId="169" fontId="31" fillId="5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169" fontId="31" fillId="51" borderId="0" applyNumberFormat="0" applyBorder="0" applyAlignment="0" applyProtection="0"/>
    <xf numFmtId="169" fontId="31" fillId="51" borderId="0" applyNumberFormat="0" applyBorder="0" applyAlignment="0" applyProtection="0"/>
    <xf numFmtId="169" fontId="31" fillId="51" borderId="0" applyNumberFormat="0" applyBorder="0" applyAlignment="0" applyProtection="0"/>
    <xf numFmtId="169" fontId="31" fillId="51" borderId="0" applyNumberFormat="0" applyBorder="0" applyAlignment="0" applyProtection="0"/>
    <xf numFmtId="169" fontId="32" fillId="9" borderId="0" applyNumberFormat="0" applyBorder="0" applyAlignment="0" applyProtection="0"/>
    <xf numFmtId="0" fontId="27" fillId="9" borderId="0" applyNumberFormat="0" applyBorder="0" applyAlignment="0" applyProtection="0"/>
    <xf numFmtId="169" fontId="31" fillId="51" borderId="0" applyNumberFormat="0" applyBorder="0" applyAlignment="0" applyProtection="0"/>
    <xf numFmtId="169" fontId="31" fillId="51" borderId="0" applyNumberFormat="0" applyBorder="0" applyAlignment="0" applyProtection="0"/>
    <xf numFmtId="169" fontId="31" fillId="51" borderId="0" applyNumberFormat="0" applyBorder="0" applyAlignment="0" applyProtection="0"/>
    <xf numFmtId="169" fontId="32" fillId="9" borderId="0" applyNumberFormat="0" applyBorder="0" applyAlignment="0" applyProtection="0"/>
    <xf numFmtId="169" fontId="32" fillId="9" borderId="0" applyNumberFormat="0" applyBorder="0" applyAlignment="0" applyProtection="0"/>
    <xf numFmtId="169" fontId="32" fillId="9" borderId="0" applyNumberFormat="0" applyBorder="0" applyAlignment="0" applyProtection="0"/>
    <xf numFmtId="169" fontId="32" fillId="9" borderId="0" applyNumberFormat="0" applyBorder="0" applyAlignment="0" applyProtection="0"/>
    <xf numFmtId="169" fontId="32" fillId="9" borderId="0" applyNumberFormat="0" applyBorder="0" applyAlignment="0" applyProtection="0"/>
    <xf numFmtId="169" fontId="32" fillId="9" borderId="0" applyNumberFormat="0" applyBorder="0" applyAlignment="0" applyProtection="0"/>
    <xf numFmtId="0" fontId="31" fillId="51" borderId="0" applyNumberFormat="0" applyBorder="0" applyAlignment="0" applyProtection="0"/>
    <xf numFmtId="169" fontId="31" fillId="51" borderId="0" applyNumberFormat="0" applyBorder="0" applyAlignment="0" applyProtection="0"/>
    <xf numFmtId="169" fontId="31" fillId="51" borderId="0" applyNumberFormat="0" applyBorder="0" applyAlignment="0" applyProtection="0"/>
    <xf numFmtId="169" fontId="31" fillId="50" borderId="0" applyNumberFormat="0" applyBorder="0" applyAlignment="0" applyProtection="0"/>
    <xf numFmtId="169" fontId="31" fillId="50" borderId="0" applyNumberFormat="0" applyBorder="0" applyAlignment="0" applyProtection="0"/>
    <xf numFmtId="169" fontId="31" fillId="50" borderId="0" applyNumberFormat="0" applyBorder="0" applyAlignment="0" applyProtection="0"/>
    <xf numFmtId="169" fontId="31" fillId="50" borderId="0" applyNumberFormat="0" applyBorder="0" applyAlignment="0" applyProtection="0"/>
    <xf numFmtId="169" fontId="31" fillId="50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27" fillId="13" borderId="0" applyNumberFormat="0" applyBorder="0" applyAlignment="0" applyProtection="0"/>
    <xf numFmtId="169" fontId="27" fillId="13" borderId="0" applyNumberFormat="0" applyBorder="0" applyAlignment="0" applyProtection="0"/>
    <xf numFmtId="169" fontId="27" fillId="13" borderId="0" applyNumberFormat="0" applyBorder="0" applyAlignment="0" applyProtection="0"/>
    <xf numFmtId="169" fontId="32" fillId="13" borderId="0" applyNumberFormat="0" applyBorder="0" applyAlignment="0" applyProtection="0"/>
    <xf numFmtId="169" fontId="32" fillId="13" borderId="0" applyNumberFormat="0" applyBorder="0" applyAlignment="0" applyProtection="0"/>
    <xf numFmtId="0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2" fillId="13" borderId="0" applyNumberFormat="0" applyBorder="0" applyAlignment="0" applyProtection="0"/>
    <xf numFmtId="169" fontId="31" fillId="4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2" fillId="13" borderId="0" applyNumberFormat="0" applyBorder="0" applyAlignment="0" applyProtection="0"/>
    <xf numFmtId="0" fontId="27" fillId="13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2" fillId="13" borderId="0" applyNumberFormat="0" applyBorder="0" applyAlignment="0" applyProtection="0"/>
    <xf numFmtId="169" fontId="32" fillId="13" borderId="0" applyNumberFormat="0" applyBorder="0" applyAlignment="0" applyProtection="0"/>
    <xf numFmtId="169" fontId="32" fillId="13" borderId="0" applyNumberFormat="0" applyBorder="0" applyAlignment="0" applyProtection="0"/>
    <xf numFmtId="169" fontId="32" fillId="13" borderId="0" applyNumberFormat="0" applyBorder="0" applyAlignment="0" applyProtection="0"/>
    <xf numFmtId="169" fontId="32" fillId="13" borderId="0" applyNumberFormat="0" applyBorder="0" applyAlignment="0" applyProtection="0"/>
    <xf numFmtId="169" fontId="32" fillId="13" borderId="0" applyNumberFormat="0" applyBorder="0" applyAlignment="0" applyProtection="0"/>
    <xf numFmtId="0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3" borderId="0" applyNumberFormat="0" applyBorder="0" applyAlignment="0" applyProtection="0"/>
    <xf numFmtId="169" fontId="31" fillId="53" borderId="0" applyNumberFormat="0" applyBorder="0" applyAlignment="0" applyProtection="0"/>
    <xf numFmtId="169" fontId="31" fillId="53" borderId="0" applyNumberFormat="0" applyBorder="0" applyAlignment="0" applyProtection="0"/>
    <xf numFmtId="169" fontId="31" fillId="53" borderId="0" applyNumberFormat="0" applyBorder="0" applyAlignment="0" applyProtection="0"/>
    <xf numFmtId="169" fontId="31" fillId="53" borderId="0" applyNumberFormat="0" applyBorder="0" applyAlignment="0" applyProtection="0"/>
    <xf numFmtId="169" fontId="27" fillId="17" borderId="0" applyNumberFormat="0" applyBorder="0" applyAlignment="0" applyProtection="0"/>
    <xf numFmtId="169" fontId="27" fillId="17" borderId="0" applyNumberFormat="0" applyBorder="0" applyAlignment="0" applyProtection="0"/>
    <xf numFmtId="169" fontId="27" fillId="17" borderId="0" applyNumberFormat="0" applyBorder="0" applyAlignment="0" applyProtection="0"/>
    <xf numFmtId="169" fontId="32" fillId="17" borderId="0" applyNumberFormat="0" applyBorder="0" applyAlignment="0" applyProtection="0"/>
    <xf numFmtId="169" fontId="32" fillId="17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2" fillId="17" borderId="0" applyNumberFormat="0" applyBorder="0" applyAlignment="0" applyProtection="0"/>
    <xf numFmtId="169" fontId="31" fillId="4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2" fillId="17" borderId="0" applyNumberFormat="0" applyBorder="0" applyAlignment="0" applyProtection="0"/>
    <xf numFmtId="0" fontId="27" fillId="17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2" fillId="17" borderId="0" applyNumberFormat="0" applyBorder="0" applyAlignment="0" applyProtection="0"/>
    <xf numFmtId="169" fontId="32" fillId="17" borderId="0" applyNumberFormat="0" applyBorder="0" applyAlignment="0" applyProtection="0"/>
    <xf numFmtId="169" fontId="32" fillId="17" borderId="0" applyNumberFormat="0" applyBorder="0" applyAlignment="0" applyProtection="0"/>
    <xf numFmtId="169" fontId="32" fillId="17" borderId="0" applyNumberFormat="0" applyBorder="0" applyAlignment="0" applyProtection="0"/>
    <xf numFmtId="169" fontId="32" fillId="17" borderId="0" applyNumberFormat="0" applyBorder="0" applyAlignment="0" applyProtection="0"/>
    <xf numFmtId="169" fontId="32" fillId="17" borderId="0" applyNumberFormat="0" applyBorder="0" applyAlignment="0" applyProtection="0"/>
    <xf numFmtId="0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44" borderId="0" applyNumberFormat="0" applyBorder="0" applyAlignment="0" applyProtection="0"/>
    <xf numFmtId="169" fontId="31" fillId="53" borderId="0" applyNumberFormat="0" applyBorder="0" applyAlignment="0" applyProtection="0"/>
    <xf numFmtId="169" fontId="31" fillId="53" borderId="0" applyNumberFormat="0" applyBorder="0" applyAlignment="0" applyProtection="0"/>
    <xf numFmtId="169" fontId="31" fillId="53" borderId="0" applyNumberFormat="0" applyBorder="0" applyAlignment="0" applyProtection="0"/>
    <xf numFmtId="169" fontId="31" fillId="53" borderId="0" applyNumberFormat="0" applyBorder="0" applyAlignment="0" applyProtection="0"/>
    <xf numFmtId="169" fontId="31" fillId="53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27" fillId="21" borderId="0" applyNumberFormat="0" applyBorder="0" applyAlignment="0" applyProtection="0"/>
    <xf numFmtId="169" fontId="32" fillId="21" borderId="0" applyNumberFormat="0" applyBorder="0" applyAlignment="0" applyProtection="0"/>
    <xf numFmtId="169" fontId="32" fillId="21" borderId="0" applyNumberFormat="0" applyBorder="0" applyAlignment="0" applyProtection="0"/>
    <xf numFmtId="0" fontId="31" fillId="54" borderId="0" applyNumberFormat="0" applyBorder="0" applyAlignment="0" applyProtection="0"/>
    <xf numFmtId="169" fontId="31" fillId="54" borderId="0" applyNumberFormat="0" applyBorder="0" applyAlignment="0" applyProtection="0"/>
    <xf numFmtId="169" fontId="31" fillId="54" borderId="0" applyNumberFormat="0" applyBorder="0" applyAlignment="0" applyProtection="0"/>
    <xf numFmtId="169" fontId="32" fillId="21" borderId="0" applyNumberFormat="0" applyBorder="0" applyAlignment="0" applyProtection="0"/>
    <xf numFmtId="169" fontId="31" fillId="5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169" fontId="31" fillId="54" borderId="0" applyNumberFormat="0" applyBorder="0" applyAlignment="0" applyProtection="0"/>
    <xf numFmtId="169" fontId="31" fillId="54" borderId="0" applyNumberFormat="0" applyBorder="0" applyAlignment="0" applyProtection="0"/>
    <xf numFmtId="169" fontId="31" fillId="54" borderId="0" applyNumberFormat="0" applyBorder="0" applyAlignment="0" applyProtection="0"/>
    <xf numFmtId="169" fontId="31" fillId="54" borderId="0" applyNumberFormat="0" applyBorder="0" applyAlignment="0" applyProtection="0"/>
    <xf numFmtId="169" fontId="32" fillId="21" borderId="0" applyNumberFormat="0" applyBorder="0" applyAlignment="0" applyProtection="0"/>
    <xf numFmtId="0" fontId="27" fillId="21" borderId="0" applyNumberFormat="0" applyBorder="0" applyAlignment="0" applyProtection="0"/>
    <xf numFmtId="169" fontId="31" fillId="54" borderId="0" applyNumberFormat="0" applyBorder="0" applyAlignment="0" applyProtection="0"/>
    <xf numFmtId="169" fontId="31" fillId="54" borderId="0" applyNumberFormat="0" applyBorder="0" applyAlignment="0" applyProtection="0"/>
    <xf numFmtId="169" fontId="31" fillId="54" borderId="0" applyNumberFormat="0" applyBorder="0" applyAlignment="0" applyProtection="0"/>
    <xf numFmtId="169" fontId="32" fillId="21" borderId="0" applyNumberFormat="0" applyBorder="0" applyAlignment="0" applyProtection="0"/>
    <xf numFmtId="169" fontId="32" fillId="21" borderId="0" applyNumberFormat="0" applyBorder="0" applyAlignment="0" applyProtection="0"/>
    <xf numFmtId="169" fontId="32" fillId="21" borderId="0" applyNumberFormat="0" applyBorder="0" applyAlignment="0" applyProtection="0"/>
    <xf numFmtId="169" fontId="32" fillId="21" borderId="0" applyNumberFormat="0" applyBorder="0" applyAlignment="0" applyProtection="0"/>
    <xf numFmtId="169" fontId="32" fillId="21" borderId="0" applyNumberFormat="0" applyBorder="0" applyAlignment="0" applyProtection="0"/>
    <xf numFmtId="169" fontId="32" fillId="21" borderId="0" applyNumberFormat="0" applyBorder="0" applyAlignment="0" applyProtection="0"/>
    <xf numFmtId="0" fontId="31" fillId="54" borderId="0" applyNumberFormat="0" applyBorder="0" applyAlignment="0" applyProtection="0"/>
    <xf numFmtId="169" fontId="31" fillId="54" borderId="0" applyNumberFormat="0" applyBorder="0" applyAlignment="0" applyProtection="0"/>
    <xf numFmtId="169" fontId="31" fillId="54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7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27" fillId="25" borderId="0" applyNumberFormat="0" applyBorder="0" applyAlignment="0" applyProtection="0"/>
    <xf numFmtId="169" fontId="32" fillId="25" borderId="0" applyNumberFormat="0" applyBorder="0" applyAlignment="0" applyProtection="0"/>
    <xf numFmtId="169" fontId="32" fillId="25" borderId="0" applyNumberFormat="0" applyBorder="0" applyAlignment="0" applyProtection="0"/>
    <xf numFmtId="0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2" fillId="25" borderId="0" applyNumberFormat="0" applyBorder="0" applyAlignment="0" applyProtection="0"/>
    <xf numFmtId="169" fontId="31" fillId="4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2" fillId="25" borderId="0" applyNumberFormat="0" applyBorder="0" applyAlignment="0" applyProtection="0"/>
    <xf numFmtId="0" fontId="27" fillId="25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2" fillId="25" borderId="0" applyNumberFormat="0" applyBorder="0" applyAlignment="0" applyProtection="0"/>
    <xf numFmtId="169" fontId="32" fillId="25" borderId="0" applyNumberFormat="0" applyBorder="0" applyAlignment="0" applyProtection="0"/>
    <xf numFmtId="169" fontId="32" fillId="25" borderId="0" applyNumberFormat="0" applyBorder="0" applyAlignment="0" applyProtection="0"/>
    <xf numFmtId="169" fontId="32" fillId="25" borderId="0" applyNumberFormat="0" applyBorder="0" applyAlignment="0" applyProtection="0"/>
    <xf numFmtId="169" fontId="32" fillId="25" borderId="0" applyNumberFormat="0" applyBorder="0" applyAlignment="0" applyProtection="0"/>
    <xf numFmtId="169" fontId="32" fillId="25" borderId="0" applyNumberFormat="0" applyBorder="0" applyAlignment="0" applyProtection="0"/>
    <xf numFmtId="0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8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27" fillId="29" borderId="0" applyNumberFormat="0" applyBorder="0" applyAlignment="0" applyProtection="0"/>
    <xf numFmtId="169" fontId="32" fillId="29" borderId="0" applyNumberFormat="0" applyBorder="0" applyAlignment="0" applyProtection="0"/>
    <xf numFmtId="169" fontId="32" fillId="29" borderId="0" applyNumberFormat="0" applyBorder="0" applyAlignment="0" applyProtection="0"/>
    <xf numFmtId="0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2" fillId="29" borderId="0" applyNumberFormat="0" applyBorder="0" applyAlignment="0" applyProtection="0"/>
    <xf numFmtId="169" fontId="31" fillId="52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2" fillId="29" borderId="0" applyNumberFormat="0" applyBorder="0" applyAlignment="0" applyProtection="0"/>
    <xf numFmtId="0" fontId="27" fillId="29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2" fillId="29" borderId="0" applyNumberFormat="0" applyBorder="0" applyAlignment="0" applyProtection="0"/>
    <xf numFmtId="169" fontId="32" fillId="29" borderId="0" applyNumberFormat="0" applyBorder="0" applyAlignment="0" applyProtection="0"/>
    <xf numFmtId="169" fontId="32" fillId="29" borderId="0" applyNumberFormat="0" applyBorder="0" applyAlignment="0" applyProtection="0"/>
    <xf numFmtId="169" fontId="32" fillId="29" borderId="0" applyNumberFormat="0" applyBorder="0" applyAlignment="0" applyProtection="0"/>
    <xf numFmtId="169" fontId="32" fillId="29" borderId="0" applyNumberFormat="0" applyBorder="0" applyAlignment="0" applyProtection="0"/>
    <xf numFmtId="169" fontId="32" fillId="29" borderId="0" applyNumberFormat="0" applyBorder="0" applyAlignment="0" applyProtection="0"/>
    <xf numFmtId="0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52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1" fillId="46" borderId="0" applyNumberFormat="0" applyBorder="0" applyAlignment="0" applyProtection="0"/>
    <xf numFmtId="169" fontId="33" fillId="35" borderId="0" applyNumberFormat="0" applyBorder="0" applyAlignment="0" applyProtection="0"/>
    <xf numFmtId="169" fontId="33" fillId="35" borderId="0" applyNumberFormat="0" applyBorder="0" applyAlignment="0" applyProtection="0"/>
    <xf numFmtId="169" fontId="33" fillId="35" borderId="0" applyNumberFormat="0" applyBorder="0" applyAlignment="0" applyProtection="0"/>
    <xf numFmtId="169" fontId="33" fillId="35" borderId="0" applyNumberFormat="0" applyBorder="0" applyAlignment="0" applyProtection="0"/>
    <xf numFmtId="169" fontId="33" fillId="35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17" fillId="3" borderId="0" applyNumberFormat="0" applyBorder="0" applyAlignment="0" applyProtection="0"/>
    <xf numFmtId="169" fontId="34" fillId="3" borderId="0" applyNumberFormat="0" applyBorder="0" applyAlignment="0" applyProtection="0"/>
    <xf numFmtId="169" fontId="34" fillId="3" borderId="0" applyNumberFormat="0" applyBorder="0" applyAlignment="0" applyProtection="0"/>
    <xf numFmtId="0" fontId="33" fillId="39" borderId="0" applyNumberFormat="0" applyBorder="0" applyAlignment="0" applyProtection="0"/>
    <xf numFmtId="169" fontId="33" fillId="39" borderId="0" applyNumberFormat="0" applyBorder="0" applyAlignment="0" applyProtection="0"/>
    <xf numFmtId="169" fontId="33" fillId="39" borderId="0" applyNumberFormat="0" applyBorder="0" applyAlignment="0" applyProtection="0"/>
    <xf numFmtId="169" fontId="34" fillId="3" borderId="0" applyNumberFormat="0" applyBorder="0" applyAlignment="0" applyProtection="0"/>
    <xf numFmtId="169" fontId="33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9" fontId="33" fillId="39" borderId="0" applyNumberFormat="0" applyBorder="0" applyAlignment="0" applyProtection="0"/>
    <xf numFmtId="169" fontId="33" fillId="39" borderId="0" applyNumberFormat="0" applyBorder="0" applyAlignment="0" applyProtection="0"/>
    <xf numFmtId="169" fontId="33" fillId="39" borderId="0" applyNumberFormat="0" applyBorder="0" applyAlignment="0" applyProtection="0"/>
    <xf numFmtId="169" fontId="33" fillId="39" borderId="0" applyNumberFormat="0" applyBorder="0" applyAlignment="0" applyProtection="0"/>
    <xf numFmtId="169" fontId="34" fillId="3" borderId="0" applyNumberFormat="0" applyBorder="0" applyAlignment="0" applyProtection="0"/>
    <xf numFmtId="0" fontId="17" fillId="3" borderId="0" applyNumberFormat="0" applyBorder="0" applyAlignment="0" applyProtection="0"/>
    <xf numFmtId="169" fontId="33" fillId="39" borderId="0" applyNumberFormat="0" applyBorder="0" applyAlignment="0" applyProtection="0"/>
    <xf numFmtId="169" fontId="33" fillId="39" borderId="0" applyNumberFormat="0" applyBorder="0" applyAlignment="0" applyProtection="0"/>
    <xf numFmtId="169" fontId="33" fillId="39" borderId="0" applyNumberFormat="0" applyBorder="0" applyAlignment="0" applyProtection="0"/>
    <xf numFmtId="169" fontId="34" fillId="3" borderId="0" applyNumberFormat="0" applyBorder="0" applyAlignment="0" applyProtection="0"/>
    <xf numFmtId="169" fontId="34" fillId="3" borderId="0" applyNumberFormat="0" applyBorder="0" applyAlignment="0" applyProtection="0"/>
    <xf numFmtId="169" fontId="34" fillId="3" borderId="0" applyNumberFormat="0" applyBorder="0" applyAlignment="0" applyProtection="0"/>
    <xf numFmtId="169" fontId="34" fillId="3" borderId="0" applyNumberFormat="0" applyBorder="0" applyAlignment="0" applyProtection="0"/>
    <xf numFmtId="169" fontId="34" fillId="3" borderId="0" applyNumberFormat="0" applyBorder="0" applyAlignment="0" applyProtection="0"/>
    <xf numFmtId="169" fontId="34" fillId="3" borderId="0" applyNumberFormat="0" applyBorder="0" applyAlignment="0" applyProtection="0"/>
    <xf numFmtId="0" fontId="33" fillId="39" borderId="0" applyNumberFormat="0" applyBorder="0" applyAlignment="0" applyProtection="0"/>
    <xf numFmtId="169" fontId="33" fillId="39" borderId="0" applyNumberFormat="0" applyBorder="0" applyAlignment="0" applyProtection="0"/>
    <xf numFmtId="169" fontId="33" fillId="39" borderId="0" applyNumberFormat="0" applyBorder="0" applyAlignment="0" applyProtection="0"/>
    <xf numFmtId="169" fontId="33" fillId="35" borderId="0" applyNumberFormat="0" applyBorder="0" applyAlignment="0" applyProtection="0"/>
    <xf numFmtId="169" fontId="33" fillId="35" borderId="0" applyNumberFormat="0" applyBorder="0" applyAlignment="0" applyProtection="0"/>
    <xf numFmtId="169" fontId="33" fillId="35" borderId="0" applyNumberFormat="0" applyBorder="0" applyAlignment="0" applyProtection="0"/>
    <xf numFmtId="169" fontId="33" fillId="35" borderId="0" applyNumberFormat="0" applyBorder="0" applyAlignment="0" applyProtection="0"/>
    <xf numFmtId="169" fontId="33" fillId="35" borderId="0" applyNumberFormat="0" applyBorder="0" applyAlignment="0" applyProtection="0"/>
    <xf numFmtId="169" fontId="35" fillId="55" borderId="18" applyNumberFormat="0" applyAlignment="0" applyProtection="0"/>
    <xf numFmtId="169" fontId="35" fillId="55" borderId="18" applyNumberFormat="0" applyAlignment="0" applyProtection="0"/>
    <xf numFmtId="169" fontId="35" fillId="55" borderId="18" applyNumberFormat="0" applyAlignment="0" applyProtection="0"/>
    <xf numFmtId="169" fontId="35" fillId="55" borderId="18" applyNumberFormat="0" applyAlignment="0" applyProtection="0"/>
    <xf numFmtId="169" fontId="35" fillId="55" borderId="18" applyNumberFormat="0" applyAlignment="0" applyProtection="0"/>
    <xf numFmtId="169" fontId="21" fillId="6" borderId="10" applyNumberFormat="0" applyAlignment="0" applyProtection="0"/>
    <xf numFmtId="169" fontId="21" fillId="6" borderId="10" applyNumberFormat="0" applyAlignment="0" applyProtection="0"/>
    <xf numFmtId="169" fontId="21" fillId="6" borderId="10" applyNumberFormat="0" applyAlignment="0" applyProtection="0"/>
    <xf numFmtId="169" fontId="36" fillId="6" borderId="10" applyNumberFormat="0" applyAlignment="0" applyProtection="0"/>
    <xf numFmtId="169" fontId="36" fillId="6" borderId="10" applyNumberFormat="0" applyAlignment="0" applyProtection="0"/>
    <xf numFmtId="0" fontId="37" fillId="56" borderId="18" applyNumberFormat="0" applyAlignment="0" applyProtection="0"/>
    <xf numFmtId="169" fontId="37" fillId="56" borderId="18" applyNumberFormat="0" applyAlignment="0" applyProtection="0"/>
    <xf numFmtId="169" fontId="37" fillId="56" borderId="18" applyNumberFormat="0" applyAlignment="0" applyProtection="0"/>
    <xf numFmtId="169" fontId="36" fillId="6" borderId="10" applyNumberFormat="0" applyAlignment="0" applyProtection="0"/>
    <xf numFmtId="169" fontId="37" fillId="56" borderId="18" applyNumberFormat="0" applyAlignment="0" applyProtection="0"/>
    <xf numFmtId="0" fontId="21" fillId="6" borderId="10" applyNumberFormat="0" applyAlignment="0" applyProtection="0"/>
    <xf numFmtId="0" fontId="21" fillId="6" borderId="10" applyNumberFormat="0" applyAlignment="0" applyProtection="0"/>
    <xf numFmtId="0" fontId="21" fillId="6" borderId="10" applyNumberFormat="0" applyAlignment="0" applyProtection="0"/>
    <xf numFmtId="0" fontId="21" fillId="6" borderId="10" applyNumberFormat="0" applyAlignment="0" applyProtection="0"/>
    <xf numFmtId="0" fontId="21" fillId="6" borderId="10" applyNumberFormat="0" applyAlignment="0" applyProtection="0"/>
    <xf numFmtId="169" fontId="37" fillId="56" borderId="18" applyNumberFormat="0" applyAlignment="0" applyProtection="0"/>
    <xf numFmtId="169" fontId="37" fillId="56" borderId="18" applyNumberFormat="0" applyAlignment="0" applyProtection="0"/>
    <xf numFmtId="169" fontId="37" fillId="56" borderId="18" applyNumberFormat="0" applyAlignment="0" applyProtection="0"/>
    <xf numFmtId="169" fontId="37" fillId="56" borderId="18" applyNumberFormat="0" applyAlignment="0" applyProtection="0"/>
    <xf numFmtId="169" fontId="36" fillId="6" borderId="10" applyNumberFormat="0" applyAlignment="0" applyProtection="0"/>
    <xf numFmtId="0" fontId="21" fillId="6" borderId="10" applyNumberFormat="0" applyAlignment="0" applyProtection="0"/>
    <xf numFmtId="169" fontId="37" fillId="56" borderId="18" applyNumberFormat="0" applyAlignment="0" applyProtection="0"/>
    <xf numFmtId="169" fontId="37" fillId="56" borderId="18" applyNumberFormat="0" applyAlignment="0" applyProtection="0"/>
    <xf numFmtId="169" fontId="37" fillId="56" borderId="18" applyNumberFormat="0" applyAlignment="0" applyProtection="0"/>
    <xf numFmtId="169" fontId="36" fillId="6" borderId="10" applyNumberFormat="0" applyAlignment="0" applyProtection="0"/>
    <xf numFmtId="169" fontId="36" fillId="6" borderId="10" applyNumberFormat="0" applyAlignment="0" applyProtection="0"/>
    <xf numFmtId="169" fontId="36" fillId="6" borderId="10" applyNumberFormat="0" applyAlignment="0" applyProtection="0"/>
    <xf numFmtId="169" fontId="36" fillId="6" borderId="10" applyNumberFormat="0" applyAlignment="0" applyProtection="0"/>
    <xf numFmtId="169" fontId="36" fillId="6" borderId="10" applyNumberFormat="0" applyAlignment="0" applyProtection="0"/>
    <xf numFmtId="169" fontId="36" fillId="6" borderId="10" applyNumberFormat="0" applyAlignment="0" applyProtection="0"/>
    <xf numFmtId="0" fontId="37" fillId="56" borderId="18" applyNumberFormat="0" applyAlignment="0" applyProtection="0"/>
    <xf numFmtId="169" fontId="37" fillId="56" borderId="18" applyNumberFormat="0" applyAlignment="0" applyProtection="0"/>
    <xf numFmtId="169" fontId="37" fillId="56" borderId="18" applyNumberFormat="0" applyAlignment="0" applyProtection="0"/>
    <xf numFmtId="169" fontId="35" fillId="55" borderId="18" applyNumberFormat="0" applyAlignment="0" applyProtection="0"/>
    <xf numFmtId="169" fontId="35" fillId="55" borderId="18" applyNumberFormat="0" applyAlignment="0" applyProtection="0"/>
    <xf numFmtId="169" fontId="35" fillId="55" borderId="18" applyNumberFormat="0" applyAlignment="0" applyProtection="0"/>
    <xf numFmtId="169" fontId="35" fillId="55" borderId="18" applyNumberFormat="0" applyAlignment="0" applyProtection="0"/>
    <xf numFmtId="169" fontId="35" fillId="55" borderId="18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23" fillId="7" borderId="13" applyNumberFormat="0" applyAlignment="0" applyProtection="0"/>
    <xf numFmtId="169" fontId="23" fillId="7" borderId="13" applyNumberFormat="0" applyAlignment="0" applyProtection="0"/>
    <xf numFmtId="169" fontId="23" fillId="7" borderId="13" applyNumberFormat="0" applyAlignment="0" applyProtection="0"/>
    <xf numFmtId="169" fontId="39" fillId="7" borderId="13" applyNumberFormat="0" applyAlignment="0" applyProtection="0"/>
    <xf numFmtId="169" fontId="39" fillId="7" borderId="13" applyNumberFormat="0" applyAlignment="0" applyProtection="0"/>
    <xf numFmtId="0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9" fillId="7" borderId="13" applyNumberFormat="0" applyAlignment="0" applyProtection="0"/>
    <xf numFmtId="169" fontId="38" fillId="57" borderId="19" applyNumberFormat="0" applyAlignment="0" applyProtection="0"/>
    <xf numFmtId="0" fontId="23" fillId="7" borderId="13" applyNumberFormat="0" applyAlignment="0" applyProtection="0"/>
    <xf numFmtId="0" fontId="23" fillId="7" borderId="13" applyNumberFormat="0" applyAlignment="0" applyProtection="0"/>
    <xf numFmtId="0" fontId="23" fillId="7" borderId="13" applyNumberFormat="0" applyAlignment="0" applyProtection="0"/>
    <xf numFmtId="0" fontId="23" fillId="7" borderId="13" applyNumberFormat="0" applyAlignment="0" applyProtection="0"/>
    <xf numFmtId="0" fontId="23" fillId="7" borderId="13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9" fillId="7" borderId="13" applyNumberFormat="0" applyAlignment="0" applyProtection="0"/>
    <xf numFmtId="0" fontId="23" fillId="7" borderId="13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9" fillId="7" borderId="13" applyNumberFormat="0" applyAlignment="0" applyProtection="0"/>
    <xf numFmtId="169" fontId="39" fillId="7" borderId="13" applyNumberFormat="0" applyAlignment="0" applyProtection="0"/>
    <xf numFmtId="169" fontId="39" fillId="7" borderId="13" applyNumberFormat="0" applyAlignment="0" applyProtection="0"/>
    <xf numFmtId="169" fontId="39" fillId="7" borderId="13" applyNumberFormat="0" applyAlignment="0" applyProtection="0"/>
    <xf numFmtId="169" fontId="39" fillId="7" borderId="13" applyNumberFormat="0" applyAlignment="0" applyProtection="0"/>
    <xf numFmtId="169" fontId="39" fillId="7" borderId="13" applyNumberFormat="0" applyAlignment="0" applyProtection="0"/>
    <xf numFmtId="0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169" fontId="38" fillId="57" borderId="19" applyNumberFormat="0" applyAlignment="0" applyProtection="0"/>
    <xf numFmtId="0" fontId="40" fillId="58" borderId="0">
      <alignment horizontal="left"/>
    </xf>
    <xf numFmtId="0" fontId="41" fillId="58" borderId="0">
      <alignment horizontal="right"/>
    </xf>
    <xf numFmtId="0" fontId="42" fillId="56" borderId="0">
      <alignment horizontal="center"/>
    </xf>
    <xf numFmtId="0" fontId="41" fillId="58" borderId="0">
      <alignment horizontal="right"/>
    </xf>
    <xf numFmtId="0" fontId="43" fillId="56" borderId="0">
      <alignment horizontal="lef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25" fillId="0" borderId="0" applyNumberFormat="0" applyFill="0" applyBorder="0" applyAlignment="0" applyProtection="0"/>
    <xf numFmtId="169" fontId="25" fillId="0" borderId="0" applyNumberFormat="0" applyFill="0" applyBorder="0" applyAlignment="0" applyProtection="0"/>
    <xf numFmtId="169" fontId="25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169" fontId="45" fillId="0" borderId="0" applyNumberFormat="0" applyFill="0" applyBorder="0" applyAlignment="0" applyProtection="0"/>
    <xf numFmtId="0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0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169" fontId="47" fillId="0" borderId="0" applyProtection="0"/>
    <xf numFmtId="0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169" fontId="48" fillId="0" borderId="0" applyProtection="0"/>
    <xf numFmtId="0" fontId="49" fillId="0" borderId="0" applyProtection="0"/>
    <xf numFmtId="169" fontId="49" fillId="0" borderId="0" applyProtection="0"/>
    <xf numFmtId="169" fontId="49" fillId="0" borderId="0" applyProtection="0"/>
    <xf numFmtId="169" fontId="49" fillId="0" borderId="0" applyProtection="0"/>
    <xf numFmtId="169" fontId="49" fillId="0" borderId="0" applyProtection="0"/>
    <xf numFmtId="169" fontId="49" fillId="0" borderId="0" applyProtection="0"/>
    <xf numFmtId="169" fontId="49" fillId="0" borderId="0" applyProtection="0"/>
    <xf numFmtId="0" fontId="9" fillId="0" borderId="0" applyProtection="0"/>
    <xf numFmtId="169" fontId="9" fillId="0" borderId="0" applyProtection="0"/>
    <xf numFmtId="169" fontId="9" fillId="0" borderId="0" applyProtection="0"/>
    <xf numFmtId="169" fontId="9" fillId="0" borderId="0" applyProtection="0"/>
    <xf numFmtId="169" fontId="9" fillId="0" borderId="0" applyProtection="0"/>
    <xf numFmtId="169" fontId="9" fillId="0" borderId="0" applyProtection="0"/>
    <xf numFmtId="169" fontId="9" fillId="0" borderId="0" applyProtection="0"/>
    <xf numFmtId="0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169" fontId="10" fillId="0" borderId="0" applyProtection="0"/>
    <xf numFmtId="0" fontId="50" fillId="0" borderId="0" applyProtection="0"/>
    <xf numFmtId="169" fontId="50" fillId="0" borderId="0" applyProtection="0"/>
    <xf numFmtId="169" fontId="50" fillId="0" borderId="0" applyProtection="0"/>
    <xf numFmtId="169" fontId="50" fillId="0" borderId="0" applyProtection="0"/>
    <xf numFmtId="169" fontId="50" fillId="0" borderId="0" applyProtection="0"/>
    <xf numFmtId="169" fontId="50" fillId="0" borderId="0" applyProtection="0"/>
    <xf numFmtId="169" fontId="50" fillId="0" borderId="0" applyProtection="0"/>
    <xf numFmtId="2" fontId="9" fillId="0" borderId="0" applyFont="0" applyFill="0" applyBorder="0" applyAlignment="0" applyProtection="0"/>
    <xf numFmtId="169" fontId="51" fillId="37" borderId="0" applyNumberFormat="0" applyBorder="0" applyAlignment="0" applyProtection="0"/>
    <xf numFmtId="169" fontId="51" fillId="37" borderId="0" applyNumberFormat="0" applyBorder="0" applyAlignment="0" applyProtection="0"/>
    <xf numFmtId="169" fontId="51" fillId="37" borderId="0" applyNumberFormat="0" applyBorder="0" applyAlignment="0" applyProtection="0"/>
    <xf numFmtId="169" fontId="51" fillId="37" borderId="0" applyNumberFormat="0" applyBorder="0" applyAlignment="0" applyProtection="0"/>
    <xf numFmtId="169" fontId="51" fillId="37" borderId="0" applyNumberFormat="0" applyBorder="0" applyAlignment="0" applyProtection="0"/>
    <xf numFmtId="169" fontId="16" fillId="2" borderId="0" applyNumberFormat="0" applyBorder="0" applyAlignment="0" applyProtection="0"/>
    <xf numFmtId="169" fontId="16" fillId="2" borderId="0" applyNumberFormat="0" applyBorder="0" applyAlignment="0" applyProtection="0"/>
    <xf numFmtId="169" fontId="16" fillId="2" borderId="0" applyNumberFormat="0" applyBorder="0" applyAlignment="0" applyProtection="0"/>
    <xf numFmtId="169" fontId="52" fillId="2" borderId="0" applyNumberFormat="0" applyBorder="0" applyAlignment="0" applyProtection="0"/>
    <xf numFmtId="169" fontId="52" fillId="2" borderId="0" applyNumberFormat="0" applyBorder="0" applyAlignment="0" applyProtection="0"/>
    <xf numFmtId="0" fontId="51" fillId="41" borderId="0" applyNumberFormat="0" applyBorder="0" applyAlignment="0" applyProtection="0"/>
    <xf numFmtId="169" fontId="51" fillId="41" borderId="0" applyNumberFormat="0" applyBorder="0" applyAlignment="0" applyProtection="0"/>
    <xf numFmtId="169" fontId="51" fillId="41" borderId="0" applyNumberFormat="0" applyBorder="0" applyAlignment="0" applyProtection="0"/>
    <xf numFmtId="169" fontId="52" fillId="2" borderId="0" applyNumberFormat="0" applyBorder="0" applyAlignment="0" applyProtection="0"/>
    <xf numFmtId="169" fontId="51" fillId="4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169" fontId="51" fillId="41" borderId="0" applyNumberFormat="0" applyBorder="0" applyAlignment="0" applyProtection="0"/>
    <xf numFmtId="169" fontId="51" fillId="41" borderId="0" applyNumberFormat="0" applyBorder="0" applyAlignment="0" applyProtection="0"/>
    <xf numFmtId="169" fontId="51" fillId="41" borderId="0" applyNumberFormat="0" applyBorder="0" applyAlignment="0" applyProtection="0"/>
    <xf numFmtId="169" fontId="51" fillId="41" borderId="0" applyNumberFormat="0" applyBorder="0" applyAlignment="0" applyProtection="0"/>
    <xf numFmtId="169" fontId="52" fillId="2" borderId="0" applyNumberFormat="0" applyBorder="0" applyAlignment="0" applyProtection="0"/>
    <xf numFmtId="0" fontId="16" fillId="2" borderId="0" applyNumberFormat="0" applyBorder="0" applyAlignment="0" applyProtection="0"/>
    <xf numFmtId="169" fontId="51" fillId="41" borderId="0" applyNumberFormat="0" applyBorder="0" applyAlignment="0" applyProtection="0"/>
    <xf numFmtId="169" fontId="51" fillId="41" borderId="0" applyNumberFormat="0" applyBorder="0" applyAlignment="0" applyProtection="0"/>
    <xf numFmtId="169" fontId="51" fillId="41" borderId="0" applyNumberFormat="0" applyBorder="0" applyAlignment="0" applyProtection="0"/>
    <xf numFmtId="169" fontId="52" fillId="2" borderId="0" applyNumberFormat="0" applyBorder="0" applyAlignment="0" applyProtection="0"/>
    <xf numFmtId="169" fontId="52" fillId="2" borderId="0" applyNumberFormat="0" applyBorder="0" applyAlignment="0" applyProtection="0"/>
    <xf numFmtId="169" fontId="52" fillId="2" borderId="0" applyNumberFormat="0" applyBorder="0" applyAlignment="0" applyProtection="0"/>
    <xf numFmtId="169" fontId="52" fillId="2" borderId="0" applyNumberFormat="0" applyBorder="0" applyAlignment="0" applyProtection="0"/>
    <xf numFmtId="169" fontId="52" fillId="2" borderId="0" applyNumberFormat="0" applyBorder="0" applyAlignment="0" applyProtection="0"/>
    <xf numFmtId="169" fontId="52" fillId="2" borderId="0" applyNumberFormat="0" applyBorder="0" applyAlignment="0" applyProtection="0"/>
    <xf numFmtId="0" fontId="51" fillId="41" borderId="0" applyNumberFormat="0" applyBorder="0" applyAlignment="0" applyProtection="0"/>
    <xf numFmtId="169" fontId="51" fillId="41" borderId="0" applyNumberFormat="0" applyBorder="0" applyAlignment="0" applyProtection="0"/>
    <xf numFmtId="169" fontId="51" fillId="41" borderId="0" applyNumberFormat="0" applyBorder="0" applyAlignment="0" applyProtection="0"/>
    <xf numFmtId="169" fontId="51" fillId="37" borderId="0" applyNumberFormat="0" applyBorder="0" applyAlignment="0" applyProtection="0"/>
    <xf numFmtId="169" fontId="51" fillId="37" borderId="0" applyNumberFormat="0" applyBorder="0" applyAlignment="0" applyProtection="0"/>
    <xf numFmtId="169" fontId="51" fillId="37" borderId="0" applyNumberFormat="0" applyBorder="0" applyAlignment="0" applyProtection="0"/>
    <xf numFmtId="169" fontId="51" fillId="37" borderId="0" applyNumberFormat="0" applyBorder="0" applyAlignment="0" applyProtection="0"/>
    <xf numFmtId="169" fontId="51" fillId="37" borderId="0" applyNumberFormat="0" applyBorder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13" fillId="0" borderId="7" applyNumberFormat="0" applyFill="0" applyAlignment="0" applyProtection="0"/>
    <xf numFmtId="169" fontId="13" fillId="0" borderId="7" applyNumberFormat="0" applyFill="0" applyAlignment="0" applyProtection="0"/>
    <xf numFmtId="169" fontId="13" fillId="0" borderId="7" applyNumberFormat="0" applyFill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4" fillId="0" borderId="7" applyNumberFormat="0" applyFill="0" applyAlignment="0" applyProtection="0"/>
    <xf numFmtId="169" fontId="56" fillId="0" borderId="21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4" fillId="0" borderId="7" applyNumberFormat="0" applyFill="0" applyAlignment="0" applyProtection="0"/>
    <xf numFmtId="0" fontId="13" fillId="0" borderId="7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169" fontId="55" fillId="0" borderId="0" applyNumberFormat="0" applyFill="0" applyBorder="0" applyAlignment="0" applyProtection="0"/>
    <xf numFmtId="169" fontId="55" fillId="0" borderId="0" applyNumberFormat="0" applyFill="0" applyBorder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169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169" fontId="56" fillId="0" borderId="21" applyNumberFormat="0" applyFill="0" applyAlignment="0" applyProtection="0"/>
    <xf numFmtId="169" fontId="56" fillId="0" borderId="21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3" fillId="0" borderId="20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14" fillId="0" borderId="8" applyNumberFormat="0" applyFill="0" applyAlignment="0" applyProtection="0"/>
    <xf numFmtId="169" fontId="14" fillId="0" borderId="8" applyNumberFormat="0" applyFill="0" applyAlignment="0" applyProtection="0"/>
    <xf numFmtId="169" fontId="14" fillId="0" borderId="8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169" fontId="60" fillId="0" borderId="23" applyNumberFormat="0" applyFill="0" applyAlignment="0" applyProtection="0"/>
    <xf numFmtId="169" fontId="60" fillId="0" borderId="23" applyNumberFormat="0" applyFill="0" applyAlignment="0" applyProtection="0"/>
    <xf numFmtId="169" fontId="58" fillId="0" borderId="8" applyNumberFormat="0" applyFill="0" applyAlignment="0" applyProtection="0"/>
    <xf numFmtId="169" fontId="60" fillId="0" borderId="23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69" fontId="60" fillId="0" borderId="23" applyNumberFormat="0" applyFill="0" applyAlignment="0" applyProtection="0"/>
    <xf numFmtId="169" fontId="60" fillId="0" borderId="23" applyNumberFormat="0" applyFill="0" applyAlignment="0" applyProtection="0"/>
    <xf numFmtId="169" fontId="60" fillId="0" borderId="23" applyNumberFormat="0" applyFill="0" applyAlignment="0" applyProtection="0"/>
    <xf numFmtId="169" fontId="60" fillId="0" borderId="23" applyNumberFormat="0" applyFill="0" applyAlignment="0" applyProtection="0"/>
    <xf numFmtId="169" fontId="58" fillId="0" borderId="8" applyNumberFormat="0" applyFill="0" applyAlignment="0" applyProtection="0"/>
    <xf numFmtId="0" fontId="14" fillId="0" borderId="8" applyNumberFormat="0" applyFill="0" applyAlignment="0" applyProtection="0"/>
    <xf numFmtId="169" fontId="60" fillId="0" borderId="23" applyNumberFormat="0" applyFill="0" applyAlignment="0" applyProtection="0"/>
    <xf numFmtId="169" fontId="60" fillId="0" borderId="23" applyNumberFormat="0" applyFill="0" applyAlignment="0" applyProtection="0"/>
    <xf numFmtId="169" fontId="60" fillId="0" borderId="23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169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169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169" fontId="60" fillId="0" borderId="23" applyNumberFormat="0" applyFill="0" applyAlignment="0" applyProtection="0"/>
    <xf numFmtId="169" fontId="60" fillId="0" borderId="23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57" fillId="0" borderId="22" applyNumberFormat="0" applyFill="0" applyAlignment="0" applyProtection="0"/>
    <xf numFmtId="169" fontId="61" fillId="0" borderId="24" applyNumberFormat="0" applyFill="0" applyAlignment="0" applyProtection="0"/>
    <xf numFmtId="169" fontId="61" fillId="0" borderId="24" applyNumberFormat="0" applyFill="0" applyAlignment="0" applyProtection="0"/>
    <xf numFmtId="169" fontId="61" fillId="0" borderId="24" applyNumberFormat="0" applyFill="0" applyAlignment="0" applyProtection="0"/>
    <xf numFmtId="169" fontId="61" fillId="0" borderId="24" applyNumberFormat="0" applyFill="0" applyAlignment="0" applyProtection="0"/>
    <xf numFmtId="169" fontId="61" fillId="0" borderId="24" applyNumberFormat="0" applyFill="0" applyAlignment="0" applyProtection="0"/>
    <xf numFmtId="169" fontId="15" fillId="0" borderId="9" applyNumberFormat="0" applyFill="0" applyAlignment="0" applyProtection="0"/>
    <xf numFmtId="169" fontId="15" fillId="0" borderId="9" applyNumberFormat="0" applyFill="0" applyAlignment="0" applyProtection="0"/>
    <xf numFmtId="169" fontId="15" fillId="0" borderId="9" applyNumberFormat="0" applyFill="0" applyAlignment="0" applyProtection="0"/>
    <xf numFmtId="169" fontId="62" fillId="0" borderId="9" applyNumberFormat="0" applyFill="0" applyAlignment="0" applyProtection="0"/>
    <xf numFmtId="169" fontId="62" fillId="0" borderId="9" applyNumberFormat="0" applyFill="0" applyAlignment="0" applyProtection="0"/>
    <xf numFmtId="0" fontId="63" fillId="0" borderId="25" applyNumberFormat="0" applyFill="0" applyAlignment="0" applyProtection="0"/>
    <xf numFmtId="169" fontId="63" fillId="0" borderId="25" applyNumberFormat="0" applyFill="0" applyAlignment="0" applyProtection="0"/>
    <xf numFmtId="169" fontId="63" fillId="0" borderId="25" applyNumberFormat="0" applyFill="0" applyAlignment="0" applyProtection="0"/>
    <xf numFmtId="169" fontId="62" fillId="0" borderId="9" applyNumberFormat="0" applyFill="0" applyAlignment="0" applyProtection="0"/>
    <xf numFmtId="169" fontId="63" fillId="0" borderId="25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69" fontId="63" fillId="0" borderId="25" applyNumberFormat="0" applyFill="0" applyAlignment="0" applyProtection="0"/>
    <xf numFmtId="169" fontId="63" fillId="0" borderId="25" applyNumberFormat="0" applyFill="0" applyAlignment="0" applyProtection="0"/>
    <xf numFmtId="169" fontId="63" fillId="0" borderId="25" applyNumberFormat="0" applyFill="0" applyAlignment="0" applyProtection="0"/>
    <xf numFmtId="169" fontId="63" fillId="0" borderId="25" applyNumberFormat="0" applyFill="0" applyAlignment="0" applyProtection="0"/>
    <xf numFmtId="169" fontId="62" fillId="0" borderId="9" applyNumberFormat="0" applyFill="0" applyAlignment="0" applyProtection="0"/>
    <xf numFmtId="0" fontId="15" fillId="0" borderId="9" applyNumberFormat="0" applyFill="0" applyAlignment="0" applyProtection="0"/>
    <xf numFmtId="169" fontId="63" fillId="0" borderId="25" applyNumberFormat="0" applyFill="0" applyAlignment="0" applyProtection="0"/>
    <xf numFmtId="169" fontId="63" fillId="0" borderId="25" applyNumberFormat="0" applyFill="0" applyAlignment="0" applyProtection="0"/>
    <xf numFmtId="169" fontId="63" fillId="0" borderId="25" applyNumberFormat="0" applyFill="0" applyAlignment="0" applyProtection="0"/>
    <xf numFmtId="169" fontId="62" fillId="0" borderId="9" applyNumberFormat="0" applyFill="0" applyAlignment="0" applyProtection="0"/>
    <xf numFmtId="169" fontId="62" fillId="0" borderId="9" applyNumberFormat="0" applyFill="0" applyAlignment="0" applyProtection="0"/>
    <xf numFmtId="169" fontId="62" fillId="0" borderId="9" applyNumberFormat="0" applyFill="0" applyAlignment="0" applyProtection="0"/>
    <xf numFmtId="169" fontId="62" fillId="0" borderId="9" applyNumberFormat="0" applyFill="0" applyAlignment="0" applyProtection="0"/>
    <xf numFmtId="169" fontId="62" fillId="0" borderId="9" applyNumberFormat="0" applyFill="0" applyAlignment="0" applyProtection="0"/>
    <xf numFmtId="169" fontId="62" fillId="0" borderId="9" applyNumberFormat="0" applyFill="0" applyAlignment="0" applyProtection="0"/>
    <xf numFmtId="0" fontId="63" fillId="0" borderId="25" applyNumberFormat="0" applyFill="0" applyAlignment="0" applyProtection="0"/>
    <xf numFmtId="169" fontId="63" fillId="0" borderId="25" applyNumberFormat="0" applyFill="0" applyAlignment="0" applyProtection="0"/>
    <xf numFmtId="169" fontId="63" fillId="0" borderId="25" applyNumberFormat="0" applyFill="0" applyAlignment="0" applyProtection="0"/>
    <xf numFmtId="169" fontId="61" fillId="0" borderId="24" applyNumberFormat="0" applyFill="0" applyAlignment="0" applyProtection="0"/>
    <xf numFmtId="169" fontId="61" fillId="0" borderId="24" applyNumberFormat="0" applyFill="0" applyAlignment="0" applyProtection="0"/>
    <xf numFmtId="169" fontId="61" fillId="0" borderId="24" applyNumberFormat="0" applyFill="0" applyAlignment="0" applyProtection="0"/>
    <xf numFmtId="169" fontId="61" fillId="0" borderId="24" applyNumberFormat="0" applyFill="0" applyAlignment="0" applyProtection="0"/>
    <xf numFmtId="169" fontId="61" fillId="0" borderId="24" applyNumberFormat="0" applyFill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4" fillId="40" borderId="18" applyNumberFormat="0" applyAlignment="0" applyProtection="0"/>
    <xf numFmtId="169" fontId="64" fillId="40" borderId="18" applyNumberFormat="0" applyAlignment="0" applyProtection="0"/>
    <xf numFmtId="169" fontId="64" fillId="40" borderId="18" applyNumberFormat="0" applyAlignment="0" applyProtection="0"/>
    <xf numFmtId="169" fontId="64" fillId="40" borderId="18" applyNumberFormat="0" applyAlignment="0" applyProtection="0"/>
    <xf numFmtId="169" fontId="64" fillId="40" borderId="18" applyNumberFormat="0" applyAlignment="0" applyProtection="0"/>
    <xf numFmtId="169" fontId="19" fillId="5" borderId="10" applyNumberFormat="0" applyAlignment="0" applyProtection="0"/>
    <xf numFmtId="169" fontId="19" fillId="5" borderId="10" applyNumberFormat="0" applyAlignment="0" applyProtection="0"/>
    <xf numFmtId="169" fontId="19" fillId="5" borderId="10" applyNumberFormat="0" applyAlignment="0" applyProtection="0"/>
    <xf numFmtId="169" fontId="65" fillId="5" borderId="10" applyNumberFormat="0" applyAlignment="0" applyProtection="0"/>
    <xf numFmtId="169" fontId="65" fillId="5" borderId="10" applyNumberFormat="0" applyAlignment="0" applyProtection="0"/>
    <xf numFmtId="0" fontId="64" fillId="43" borderId="18" applyNumberFormat="0" applyAlignment="0" applyProtection="0"/>
    <xf numFmtId="169" fontId="64" fillId="43" borderId="18" applyNumberFormat="0" applyAlignment="0" applyProtection="0"/>
    <xf numFmtId="169" fontId="64" fillId="43" borderId="18" applyNumberFormat="0" applyAlignment="0" applyProtection="0"/>
    <xf numFmtId="169" fontId="65" fillId="5" borderId="10" applyNumberFormat="0" applyAlignment="0" applyProtection="0"/>
    <xf numFmtId="169" fontId="64" fillId="43" borderId="18" applyNumberFormat="0" applyAlignment="0" applyProtection="0"/>
    <xf numFmtId="0" fontId="19" fillId="5" borderId="10" applyNumberFormat="0" applyAlignment="0" applyProtection="0"/>
    <xf numFmtId="0" fontId="19" fillId="5" borderId="10" applyNumberFormat="0" applyAlignment="0" applyProtection="0"/>
    <xf numFmtId="0" fontId="19" fillId="5" borderId="10" applyNumberFormat="0" applyAlignment="0" applyProtection="0"/>
    <xf numFmtId="0" fontId="19" fillId="5" borderId="10" applyNumberFormat="0" applyAlignment="0" applyProtection="0"/>
    <xf numFmtId="0" fontId="19" fillId="5" borderId="10" applyNumberFormat="0" applyAlignment="0" applyProtection="0"/>
    <xf numFmtId="169" fontId="64" fillId="43" borderId="18" applyNumberFormat="0" applyAlignment="0" applyProtection="0"/>
    <xf numFmtId="169" fontId="64" fillId="43" borderId="18" applyNumberFormat="0" applyAlignment="0" applyProtection="0"/>
    <xf numFmtId="169" fontId="64" fillId="43" borderId="18" applyNumberFormat="0" applyAlignment="0" applyProtection="0"/>
    <xf numFmtId="169" fontId="64" fillId="43" borderId="18" applyNumberFormat="0" applyAlignment="0" applyProtection="0"/>
    <xf numFmtId="169" fontId="65" fillId="5" borderId="10" applyNumberFormat="0" applyAlignment="0" applyProtection="0"/>
    <xf numFmtId="0" fontId="19" fillId="5" borderId="10" applyNumberFormat="0" applyAlignment="0" applyProtection="0"/>
    <xf numFmtId="169" fontId="64" fillId="43" borderId="18" applyNumberFormat="0" applyAlignment="0" applyProtection="0"/>
    <xf numFmtId="169" fontId="64" fillId="43" borderId="18" applyNumberFormat="0" applyAlignment="0" applyProtection="0"/>
    <xf numFmtId="169" fontId="64" fillId="43" borderId="18" applyNumberFormat="0" applyAlignment="0" applyProtection="0"/>
    <xf numFmtId="169" fontId="65" fillId="5" borderId="10" applyNumberFormat="0" applyAlignment="0" applyProtection="0"/>
    <xf numFmtId="169" fontId="65" fillId="5" borderId="10" applyNumberFormat="0" applyAlignment="0" applyProtection="0"/>
    <xf numFmtId="169" fontId="65" fillId="5" borderId="10" applyNumberFormat="0" applyAlignment="0" applyProtection="0"/>
    <xf numFmtId="169" fontId="65" fillId="5" borderId="10" applyNumberFormat="0" applyAlignment="0" applyProtection="0"/>
    <xf numFmtId="169" fontId="65" fillId="5" borderId="10" applyNumberFormat="0" applyAlignment="0" applyProtection="0"/>
    <xf numFmtId="169" fontId="65" fillId="5" borderId="10" applyNumberFormat="0" applyAlignment="0" applyProtection="0"/>
    <xf numFmtId="0" fontId="64" fillId="43" borderId="18" applyNumberFormat="0" applyAlignment="0" applyProtection="0"/>
    <xf numFmtId="169" fontId="64" fillId="43" borderId="18" applyNumberFormat="0" applyAlignment="0" applyProtection="0"/>
    <xf numFmtId="169" fontId="64" fillId="43" borderId="18" applyNumberFormat="0" applyAlignment="0" applyProtection="0"/>
    <xf numFmtId="169" fontId="64" fillId="40" borderId="18" applyNumberFormat="0" applyAlignment="0" applyProtection="0"/>
    <xf numFmtId="169" fontId="64" fillId="40" borderId="18" applyNumberFormat="0" applyAlignment="0" applyProtection="0"/>
    <xf numFmtId="169" fontId="64" fillId="40" borderId="18" applyNumberFormat="0" applyAlignment="0" applyProtection="0"/>
    <xf numFmtId="169" fontId="64" fillId="40" borderId="18" applyNumberFormat="0" applyAlignment="0" applyProtection="0"/>
    <xf numFmtId="169" fontId="64" fillId="40" borderId="18" applyNumberFormat="0" applyAlignment="0" applyProtection="0"/>
    <xf numFmtId="0" fontId="40" fillId="58" borderId="0">
      <alignment horizontal="left"/>
    </xf>
    <xf numFmtId="0" fontId="66" fillId="56" borderId="0">
      <alignment horizontal="left"/>
    </xf>
    <xf numFmtId="169" fontId="67" fillId="0" borderId="26" applyNumberFormat="0" applyFill="0" applyAlignment="0" applyProtection="0"/>
    <xf numFmtId="169" fontId="67" fillId="0" borderId="26" applyNumberFormat="0" applyFill="0" applyAlignment="0" applyProtection="0"/>
    <xf numFmtId="169" fontId="67" fillId="0" borderId="26" applyNumberFormat="0" applyFill="0" applyAlignment="0" applyProtection="0"/>
    <xf numFmtId="169" fontId="67" fillId="0" borderId="26" applyNumberFormat="0" applyFill="0" applyAlignment="0" applyProtection="0"/>
    <xf numFmtId="169" fontId="67" fillId="0" borderId="26" applyNumberFormat="0" applyFill="0" applyAlignment="0" applyProtection="0"/>
    <xf numFmtId="169" fontId="22" fillId="0" borderId="12" applyNumberFormat="0" applyFill="0" applyAlignment="0" applyProtection="0"/>
    <xf numFmtId="169" fontId="22" fillId="0" borderId="12" applyNumberFormat="0" applyFill="0" applyAlignment="0" applyProtection="0"/>
    <xf numFmtId="169" fontId="22" fillId="0" borderId="12" applyNumberFormat="0" applyFill="0" applyAlignment="0" applyProtection="0"/>
    <xf numFmtId="169" fontId="68" fillId="0" borderId="12" applyNumberFormat="0" applyFill="0" applyAlignment="0" applyProtection="0"/>
    <xf numFmtId="169" fontId="68" fillId="0" borderId="12" applyNumberFormat="0" applyFill="0" applyAlignment="0" applyProtection="0"/>
    <xf numFmtId="0" fontId="69" fillId="0" borderId="27" applyNumberFormat="0" applyFill="0" applyAlignment="0" applyProtection="0"/>
    <xf numFmtId="169" fontId="69" fillId="0" borderId="27" applyNumberFormat="0" applyFill="0" applyAlignment="0" applyProtection="0"/>
    <xf numFmtId="169" fontId="69" fillId="0" borderId="27" applyNumberFormat="0" applyFill="0" applyAlignment="0" applyProtection="0"/>
    <xf numFmtId="169" fontId="68" fillId="0" borderId="12" applyNumberFormat="0" applyFill="0" applyAlignment="0" applyProtection="0"/>
    <xf numFmtId="169" fontId="69" fillId="0" borderId="2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69" fontId="69" fillId="0" borderId="27" applyNumberFormat="0" applyFill="0" applyAlignment="0" applyProtection="0"/>
    <xf numFmtId="169" fontId="69" fillId="0" borderId="27" applyNumberFormat="0" applyFill="0" applyAlignment="0" applyProtection="0"/>
    <xf numFmtId="169" fontId="69" fillId="0" borderId="27" applyNumberFormat="0" applyFill="0" applyAlignment="0" applyProtection="0"/>
    <xf numFmtId="169" fontId="69" fillId="0" borderId="27" applyNumberFormat="0" applyFill="0" applyAlignment="0" applyProtection="0"/>
    <xf numFmtId="169" fontId="68" fillId="0" borderId="12" applyNumberFormat="0" applyFill="0" applyAlignment="0" applyProtection="0"/>
    <xf numFmtId="0" fontId="22" fillId="0" borderId="12" applyNumberFormat="0" applyFill="0" applyAlignment="0" applyProtection="0"/>
    <xf numFmtId="169" fontId="69" fillId="0" borderId="27" applyNumberFormat="0" applyFill="0" applyAlignment="0" applyProtection="0"/>
    <xf numFmtId="169" fontId="69" fillId="0" borderId="27" applyNumberFormat="0" applyFill="0" applyAlignment="0" applyProtection="0"/>
    <xf numFmtId="169" fontId="69" fillId="0" borderId="27" applyNumberFormat="0" applyFill="0" applyAlignment="0" applyProtection="0"/>
    <xf numFmtId="169" fontId="68" fillId="0" borderId="12" applyNumberFormat="0" applyFill="0" applyAlignment="0" applyProtection="0"/>
    <xf numFmtId="169" fontId="68" fillId="0" borderId="12" applyNumberFormat="0" applyFill="0" applyAlignment="0" applyProtection="0"/>
    <xf numFmtId="169" fontId="68" fillId="0" borderId="12" applyNumberFormat="0" applyFill="0" applyAlignment="0" applyProtection="0"/>
    <xf numFmtId="169" fontId="68" fillId="0" borderId="12" applyNumberFormat="0" applyFill="0" applyAlignment="0" applyProtection="0"/>
    <xf numFmtId="169" fontId="68" fillId="0" borderId="12" applyNumberFormat="0" applyFill="0" applyAlignment="0" applyProtection="0"/>
    <xf numFmtId="169" fontId="68" fillId="0" borderId="12" applyNumberFormat="0" applyFill="0" applyAlignment="0" applyProtection="0"/>
    <xf numFmtId="0" fontId="69" fillId="0" borderId="27" applyNumberFormat="0" applyFill="0" applyAlignment="0" applyProtection="0"/>
    <xf numFmtId="169" fontId="69" fillId="0" borderId="27" applyNumberFormat="0" applyFill="0" applyAlignment="0" applyProtection="0"/>
    <xf numFmtId="169" fontId="69" fillId="0" borderId="27" applyNumberFormat="0" applyFill="0" applyAlignment="0" applyProtection="0"/>
    <xf numFmtId="169" fontId="67" fillId="0" borderId="26" applyNumberFormat="0" applyFill="0" applyAlignment="0" applyProtection="0"/>
    <xf numFmtId="169" fontId="67" fillId="0" borderId="26" applyNumberFormat="0" applyFill="0" applyAlignment="0" applyProtection="0"/>
    <xf numFmtId="169" fontId="67" fillId="0" borderId="26" applyNumberFormat="0" applyFill="0" applyAlignment="0" applyProtection="0"/>
    <xf numFmtId="169" fontId="67" fillId="0" borderId="26" applyNumberFormat="0" applyFill="0" applyAlignment="0" applyProtection="0"/>
    <xf numFmtId="169" fontId="67" fillId="0" borderId="26" applyNumberFormat="0" applyFill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18" fillId="4" borderId="0" applyNumberFormat="0" applyBorder="0" applyAlignment="0" applyProtection="0"/>
    <xf numFmtId="169" fontId="71" fillId="4" borderId="0" applyNumberFormat="0" applyBorder="0" applyAlignment="0" applyProtection="0"/>
    <xf numFmtId="169" fontId="71" fillId="4" borderId="0" applyNumberFormat="0" applyBorder="0" applyAlignment="0" applyProtection="0"/>
    <xf numFmtId="0" fontId="72" fillId="43" borderId="0" applyNumberFormat="0" applyBorder="0" applyAlignment="0" applyProtection="0"/>
    <xf numFmtId="169" fontId="72" fillId="43" borderId="0" applyNumberFormat="0" applyBorder="0" applyAlignment="0" applyProtection="0"/>
    <xf numFmtId="169" fontId="72" fillId="43" borderId="0" applyNumberFormat="0" applyBorder="0" applyAlignment="0" applyProtection="0"/>
    <xf numFmtId="169" fontId="71" fillId="4" borderId="0" applyNumberFormat="0" applyBorder="0" applyAlignment="0" applyProtection="0"/>
    <xf numFmtId="169" fontId="72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69" fontId="72" fillId="43" borderId="0" applyNumberFormat="0" applyBorder="0" applyAlignment="0" applyProtection="0"/>
    <xf numFmtId="169" fontId="72" fillId="43" borderId="0" applyNumberFormat="0" applyBorder="0" applyAlignment="0" applyProtection="0"/>
    <xf numFmtId="169" fontId="72" fillId="43" borderId="0" applyNumberFormat="0" applyBorder="0" applyAlignment="0" applyProtection="0"/>
    <xf numFmtId="169" fontId="72" fillId="43" borderId="0" applyNumberFormat="0" applyBorder="0" applyAlignment="0" applyProtection="0"/>
    <xf numFmtId="169" fontId="71" fillId="4" borderId="0" applyNumberFormat="0" applyBorder="0" applyAlignment="0" applyProtection="0"/>
    <xf numFmtId="0" fontId="18" fillId="4" borderId="0" applyNumberFormat="0" applyBorder="0" applyAlignment="0" applyProtection="0"/>
    <xf numFmtId="169" fontId="72" fillId="43" borderId="0" applyNumberFormat="0" applyBorder="0" applyAlignment="0" applyProtection="0"/>
    <xf numFmtId="169" fontId="72" fillId="43" borderId="0" applyNumberFormat="0" applyBorder="0" applyAlignment="0" applyProtection="0"/>
    <xf numFmtId="169" fontId="72" fillId="43" borderId="0" applyNumberFormat="0" applyBorder="0" applyAlignment="0" applyProtection="0"/>
    <xf numFmtId="169" fontId="71" fillId="4" borderId="0" applyNumberFormat="0" applyBorder="0" applyAlignment="0" applyProtection="0"/>
    <xf numFmtId="169" fontId="71" fillId="4" borderId="0" applyNumberFormat="0" applyBorder="0" applyAlignment="0" applyProtection="0"/>
    <xf numFmtId="169" fontId="71" fillId="4" borderId="0" applyNumberFormat="0" applyBorder="0" applyAlignment="0" applyProtection="0"/>
    <xf numFmtId="169" fontId="71" fillId="4" borderId="0" applyNumberFormat="0" applyBorder="0" applyAlignment="0" applyProtection="0"/>
    <xf numFmtId="169" fontId="71" fillId="4" borderId="0" applyNumberFormat="0" applyBorder="0" applyAlignment="0" applyProtection="0"/>
    <xf numFmtId="169" fontId="71" fillId="4" borderId="0" applyNumberFormat="0" applyBorder="0" applyAlignment="0" applyProtection="0"/>
    <xf numFmtId="0" fontId="72" fillId="43" borderId="0" applyNumberFormat="0" applyBorder="0" applyAlignment="0" applyProtection="0"/>
    <xf numFmtId="169" fontId="72" fillId="43" borderId="0" applyNumberFormat="0" applyBorder="0" applyAlignment="0" applyProtection="0"/>
    <xf numFmtId="169" fontId="72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70" fillId="43" borderId="0" applyNumberFormat="0" applyBorder="0" applyAlignment="0" applyProtection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41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9" fillId="0" borderId="0"/>
    <xf numFmtId="0" fontId="5" fillId="0" borderId="0"/>
    <xf numFmtId="0" fontId="5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41" fontId="8" fillId="0" borderId="0"/>
    <xf numFmtId="41" fontId="8" fillId="0" borderId="0"/>
    <xf numFmtId="41" fontId="8" fillId="0" borderId="0"/>
    <xf numFmtId="41" fontId="8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30" fillId="0" borderId="0"/>
    <xf numFmtId="169" fontId="9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73" fillId="0" borderId="0"/>
    <xf numFmtId="169" fontId="30" fillId="0" borderId="0"/>
    <xf numFmtId="41" fontId="8" fillId="0" borderId="0"/>
    <xf numFmtId="41" fontId="8" fillId="0" borderId="0"/>
    <xf numFmtId="41" fontId="8" fillId="0" borderId="0"/>
    <xf numFmtId="41" fontId="8" fillId="0" borderId="0"/>
    <xf numFmtId="41" fontId="8" fillId="0" borderId="0"/>
    <xf numFmtId="169" fontId="30" fillId="0" borderId="0"/>
    <xf numFmtId="169" fontId="30" fillId="0" borderId="0"/>
    <xf numFmtId="169" fontId="9" fillId="0" borderId="0"/>
    <xf numFmtId="0" fontId="44" fillId="0" borderId="0"/>
    <xf numFmtId="41" fontId="8" fillId="0" borderId="0"/>
    <xf numFmtId="41" fontId="8" fillId="0" borderId="0"/>
    <xf numFmtId="41" fontId="8" fillId="0" borderId="0"/>
    <xf numFmtId="41" fontId="8" fillId="0" borderId="0"/>
    <xf numFmtId="41" fontId="8" fillId="0" borderId="0"/>
    <xf numFmtId="41" fontId="8" fillId="0" borderId="0"/>
    <xf numFmtId="169" fontId="30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30" fillId="0" borderId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74" fillId="38" borderId="28" applyNumberFormat="0" applyFont="0" applyAlignment="0" applyProtection="0"/>
    <xf numFmtId="169" fontId="74" fillId="38" borderId="28" applyNumberFormat="0" applyFont="0" applyAlignment="0" applyProtection="0"/>
    <xf numFmtId="169" fontId="74" fillId="38" borderId="28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74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29" fillId="8" borderId="14" applyNumberFormat="0" applyFont="0" applyAlignment="0" applyProtection="0"/>
    <xf numFmtId="169" fontId="74" fillId="8" borderId="14" applyNumberFormat="0" applyFont="0" applyAlignment="0" applyProtection="0"/>
    <xf numFmtId="0" fontId="8" fillId="38" borderId="28" applyNumberFormat="0" applyFont="0" applyAlignment="0" applyProtection="0"/>
    <xf numFmtId="169" fontId="74" fillId="8" borderId="14" applyNumberFormat="0" applyFont="0" applyAlignment="0" applyProtection="0"/>
    <xf numFmtId="0" fontId="29" fillId="8" borderId="14" applyNumberFormat="0" applyFont="0" applyAlignment="0" applyProtection="0"/>
    <xf numFmtId="0" fontId="29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0" fontId="8" fillId="38" borderId="28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74" fillId="8" borderId="14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47" fillId="38" borderId="28" applyNumberFormat="0" applyFont="0" applyAlignment="0" applyProtection="0"/>
    <xf numFmtId="169" fontId="75" fillId="55" borderId="29" applyNumberFormat="0" applyAlignment="0" applyProtection="0"/>
    <xf numFmtId="169" fontId="75" fillId="55" borderId="29" applyNumberFormat="0" applyAlignment="0" applyProtection="0"/>
    <xf numFmtId="169" fontId="75" fillId="55" borderId="29" applyNumberFormat="0" applyAlignment="0" applyProtection="0"/>
    <xf numFmtId="169" fontId="75" fillId="55" borderId="29" applyNumberFormat="0" applyAlignment="0" applyProtection="0"/>
    <xf numFmtId="169" fontId="75" fillId="55" borderId="29" applyNumberFormat="0" applyAlignment="0" applyProtection="0"/>
    <xf numFmtId="169" fontId="20" fillId="6" borderId="11" applyNumberFormat="0" applyAlignment="0" applyProtection="0"/>
    <xf numFmtId="169" fontId="20" fillId="6" borderId="11" applyNumberFormat="0" applyAlignment="0" applyProtection="0"/>
    <xf numFmtId="169" fontId="20" fillId="6" borderId="11" applyNumberFormat="0" applyAlignment="0" applyProtection="0"/>
    <xf numFmtId="169" fontId="76" fillId="6" borderId="11" applyNumberFormat="0" applyAlignment="0" applyProtection="0"/>
    <xf numFmtId="169" fontId="76" fillId="6" borderId="11" applyNumberFormat="0" applyAlignment="0" applyProtection="0"/>
    <xf numFmtId="0" fontId="75" fillId="56" borderId="29" applyNumberFormat="0" applyAlignment="0" applyProtection="0"/>
    <xf numFmtId="169" fontId="75" fillId="56" borderId="29" applyNumberFormat="0" applyAlignment="0" applyProtection="0"/>
    <xf numFmtId="169" fontId="75" fillId="56" borderId="29" applyNumberFormat="0" applyAlignment="0" applyProtection="0"/>
    <xf numFmtId="169" fontId="76" fillId="6" borderId="11" applyNumberFormat="0" applyAlignment="0" applyProtection="0"/>
    <xf numFmtId="169" fontId="75" fillId="56" borderId="29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169" fontId="75" fillId="56" borderId="29" applyNumberFormat="0" applyAlignment="0" applyProtection="0"/>
    <xf numFmtId="169" fontId="75" fillId="56" borderId="29" applyNumberFormat="0" applyAlignment="0" applyProtection="0"/>
    <xf numFmtId="169" fontId="75" fillId="56" borderId="29" applyNumberFormat="0" applyAlignment="0" applyProtection="0"/>
    <xf numFmtId="169" fontId="75" fillId="56" borderId="29" applyNumberFormat="0" applyAlignment="0" applyProtection="0"/>
    <xf numFmtId="169" fontId="76" fillId="6" borderId="11" applyNumberFormat="0" applyAlignment="0" applyProtection="0"/>
    <xf numFmtId="0" fontId="20" fillId="6" borderId="11" applyNumberFormat="0" applyAlignment="0" applyProtection="0"/>
    <xf numFmtId="169" fontId="75" fillId="56" borderId="29" applyNumberFormat="0" applyAlignment="0" applyProtection="0"/>
    <xf numFmtId="169" fontId="75" fillId="56" borderId="29" applyNumberFormat="0" applyAlignment="0" applyProtection="0"/>
    <xf numFmtId="169" fontId="75" fillId="56" borderId="29" applyNumberFormat="0" applyAlignment="0" applyProtection="0"/>
    <xf numFmtId="169" fontId="76" fillId="6" borderId="11" applyNumberFormat="0" applyAlignment="0" applyProtection="0"/>
    <xf numFmtId="169" fontId="76" fillId="6" borderId="11" applyNumberFormat="0" applyAlignment="0" applyProtection="0"/>
    <xf numFmtId="169" fontId="76" fillId="6" borderId="11" applyNumberFormat="0" applyAlignment="0" applyProtection="0"/>
    <xf numFmtId="169" fontId="76" fillId="6" borderId="11" applyNumberFormat="0" applyAlignment="0" applyProtection="0"/>
    <xf numFmtId="169" fontId="76" fillId="6" borderId="11" applyNumberFormat="0" applyAlignment="0" applyProtection="0"/>
    <xf numFmtId="169" fontId="76" fillId="6" borderId="11" applyNumberFormat="0" applyAlignment="0" applyProtection="0"/>
    <xf numFmtId="0" fontId="75" fillId="56" borderId="29" applyNumberFormat="0" applyAlignment="0" applyProtection="0"/>
    <xf numFmtId="169" fontId="75" fillId="56" borderId="29" applyNumberFormat="0" applyAlignment="0" applyProtection="0"/>
    <xf numFmtId="169" fontId="75" fillId="56" borderId="29" applyNumberFormat="0" applyAlignment="0" applyProtection="0"/>
    <xf numFmtId="169" fontId="75" fillId="55" borderId="29" applyNumberFormat="0" applyAlignment="0" applyProtection="0"/>
    <xf numFmtId="169" fontId="75" fillId="55" borderId="29" applyNumberFormat="0" applyAlignment="0" applyProtection="0"/>
    <xf numFmtId="169" fontId="75" fillId="55" borderId="29" applyNumberFormat="0" applyAlignment="0" applyProtection="0"/>
    <xf numFmtId="169" fontId="75" fillId="55" borderId="29" applyNumberFormat="0" applyAlignment="0" applyProtection="0"/>
    <xf numFmtId="169" fontId="75" fillId="55" borderId="29" applyNumberFormat="0" applyAlignment="0" applyProtection="0"/>
    <xf numFmtId="4" fontId="77" fillId="59" borderId="0">
      <alignment horizontal="right"/>
    </xf>
    <xf numFmtId="0" fontId="78" fillId="59" borderId="0">
      <alignment horizontal="center" vertical="center"/>
    </xf>
    <xf numFmtId="169" fontId="78" fillId="59" borderId="0">
      <alignment horizontal="center" vertical="center"/>
    </xf>
    <xf numFmtId="169" fontId="78" fillId="59" borderId="0">
      <alignment horizontal="center" vertical="center"/>
    </xf>
    <xf numFmtId="169" fontId="78" fillId="59" borderId="0">
      <alignment horizontal="center" vertical="center"/>
    </xf>
    <xf numFmtId="169" fontId="78" fillId="59" borderId="0">
      <alignment horizontal="center" vertical="center"/>
    </xf>
    <xf numFmtId="169" fontId="78" fillId="59" borderId="0">
      <alignment horizontal="center" vertical="center"/>
    </xf>
    <xf numFmtId="169" fontId="78" fillId="59" borderId="0">
      <alignment horizontal="center" vertical="center"/>
    </xf>
    <xf numFmtId="0" fontId="66" fillId="59" borderId="30"/>
    <xf numFmtId="169" fontId="66" fillId="59" borderId="30"/>
    <xf numFmtId="169" fontId="66" fillId="59" borderId="30"/>
    <xf numFmtId="169" fontId="66" fillId="59" borderId="30"/>
    <xf numFmtId="169" fontId="66" fillId="59" borderId="30"/>
    <xf numFmtId="169" fontId="66" fillId="59" borderId="30"/>
    <xf numFmtId="169" fontId="66" fillId="59" borderId="30"/>
    <xf numFmtId="0" fontId="78" fillId="59" borderId="0" applyBorder="0">
      <alignment horizontal="centerContinuous"/>
    </xf>
    <xf numFmtId="169" fontId="78" fillId="59" borderId="0" applyBorder="0">
      <alignment horizontal="centerContinuous"/>
    </xf>
    <xf numFmtId="169" fontId="78" fillId="59" borderId="0" applyBorder="0">
      <alignment horizontal="centerContinuous"/>
    </xf>
    <xf numFmtId="169" fontId="78" fillId="59" borderId="0" applyBorder="0">
      <alignment horizontal="centerContinuous"/>
    </xf>
    <xf numFmtId="169" fontId="78" fillId="59" borderId="0" applyBorder="0">
      <alignment horizontal="centerContinuous"/>
    </xf>
    <xf numFmtId="169" fontId="78" fillId="59" borderId="0" applyBorder="0">
      <alignment horizontal="centerContinuous"/>
    </xf>
    <xf numFmtId="169" fontId="78" fillId="59" borderId="0" applyBorder="0">
      <alignment horizontal="centerContinuous"/>
    </xf>
    <xf numFmtId="0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169" fontId="79" fillId="59" borderId="0" applyBorder="0">
      <alignment horizontal="centerContinuous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6" fillId="43" borderId="0">
      <alignment horizontal="center"/>
    </xf>
    <xf numFmtId="49" fontId="80" fillId="56" borderId="0">
      <alignment horizontal="center"/>
    </xf>
    <xf numFmtId="0" fontId="41" fillId="58" borderId="0">
      <alignment horizontal="center"/>
    </xf>
    <xf numFmtId="0" fontId="41" fillId="58" borderId="0">
      <alignment horizontal="centerContinuous"/>
    </xf>
    <xf numFmtId="0" fontId="81" fillId="56" borderId="0">
      <alignment horizontal="left"/>
    </xf>
    <xf numFmtId="49" fontId="81" fillId="56" borderId="0">
      <alignment horizontal="center"/>
    </xf>
    <xf numFmtId="0" fontId="40" fillId="58" borderId="0">
      <alignment horizontal="left"/>
    </xf>
    <xf numFmtId="49" fontId="81" fillId="56" borderId="0">
      <alignment horizontal="left"/>
    </xf>
    <xf numFmtId="0" fontId="40" fillId="58" borderId="0">
      <alignment horizontal="centerContinuous"/>
    </xf>
    <xf numFmtId="0" fontId="40" fillId="58" borderId="0">
      <alignment horizontal="right"/>
    </xf>
    <xf numFmtId="49" fontId="66" fillId="56" borderId="0">
      <alignment horizontal="left"/>
    </xf>
    <xf numFmtId="0" fontId="41" fillId="58" borderId="0">
      <alignment horizontal="right"/>
    </xf>
    <xf numFmtId="0" fontId="81" fillId="40" borderId="0">
      <alignment horizontal="center"/>
    </xf>
    <xf numFmtId="0" fontId="82" fillId="4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12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4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5" fillId="0" borderId="31" applyNumberFormat="0" applyFill="0" applyAlignment="0" applyProtection="0"/>
    <xf numFmtId="169" fontId="85" fillId="0" borderId="31" applyNumberFormat="0" applyFill="0" applyAlignment="0" applyProtection="0"/>
    <xf numFmtId="169" fontId="85" fillId="0" borderId="31" applyNumberFormat="0" applyFill="0" applyAlignment="0" applyProtection="0"/>
    <xf numFmtId="169" fontId="85" fillId="0" borderId="31" applyNumberFormat="0" applyFill="0" applyAlignment="0" applyProtection="0"/>
    <xf numFmtId="169" fontId="85" fillId="0" borderId="31" applyNumberFormat="0" applyFill="0" applyAlignment="0" applyProtection="0"/>
    <xf numFmtId="169" fontId="26" fillId="0" borderId="15" applyNumberFormat="0" applyFill="0" applyAlignment="0" applyProtection="0"/>
    <xf numFmtId="169" fontId="26" fillId="0" borderId="15" applyNumberFormat="0" applyFill="0" applyAlignment="0" applyProtection="0"/>
    <xf numFmtId="169" fontId="26" fillId="0" borderId="15" applyNumberFormat="0" applyFill="0" applyAlignment="0" applyProtection="0"/>
    <xf numFmtId="169" fontId="86" fillId="0" borderId="15" applyNumberFormat="0" applyFill="0" applyAlignment="0" applyProtection="0"/>
    <xf numFmtId="169" fontId="86" fillId="0" borderId="15" applyNumberFormat="0" applyFill="0" applyAlignment="0" applyProtection="0"/>
    <xf numFmtId="0" fontId="9" fillId="0" borderId="32" applyNumberFormat="0" applyFont="0" applyFill="0" applyAlignment="0" applyProtection="0"/>
    <xf numFmtId="169" fontId="85" fillId="0" borderId="33" applyNumberFormat="0" applyFill="0" applyAlignment="0" applyProtection="0"/>
    <xf numFmtId="169" fontId="85" fillId="0" borderId="33" applyNumberFormat="0" applyFill="0" applyAlignment="0" applyProtection="0"/>
    <xf numFmtId="169" fontId="86" fillId="0" borderId="15" applyNumberFormat="0" applyFill="0" applyAlignment="0" applyProtection="0"/>
    <xf numFmtId="169" fontId="85" fillId="0" borderId="33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69" fontId="85" fillId="0" borderId="33" applyNumberFormat="0" applyFill="0" applyAlignment="0" applyProtection="0"/>
    <xf numFmtId="169" fontId="85" fillId="0" borderId="33" applyNumberFormat="0" applyFill="0" applyAlignment="0" applyProtection="0"/>
    <xf numFmtId="169" fontId="85" fillId="0" borderId="33" applyNumberFormat="0" applyFill="0" applyAlignment="0" applyProtection="0"/>
    <xf numFmtId="169" fontId="85" fillId="0" borderId="33" applyNumberFormat="0" applyFill="0" applyAlignment="0" applyProtection="0"/>
    <xf numFmtId="169" fontId="86" fillId="0" borderId="15" applyNumberFormat="0" applyFill="0" applyAlignment="0" applyProtection="0"/>
    <xf numFmtId="0" fontId="26" fillId="0" borderId="15" applyNumberFormat="0" applyFill="0" applyAlignment="0" applyProtection="0"/>
    <xf numFmtId="169" fontId="85" fillId="0" borderId="33" applyNumberFormat="0" applyFill="0" applyAlignment="0" applyProtection="0"/>
    <xf numFmtId="169" fontId="85" fillId="0" borderId="33" applyNumberFormat="0" applyFill="0" applyAlignment="0" applyProtection="0"/>
    <xf numFmtId="169" fontId="85" fillId="0" borderId="33" applyNumberFormat="0" applyFill="0" applyAlignment="0" applyProtection="0"/>
    <xf numFmtId="169" fontId="86" fillId="0" borderId="15" applyNumberFormat="0" applyFill="0" applyAlignment="0" applyProtection="0"/>
    <xf numFmtId="169" fontId="86" fillId="0" borderId="15" applyNumberFormat="0" applyFill="0" applyAlignment="0" applyProtection="0"/>
    <xf numFmtId="169" fontId="86" fillId="0" borderId="15" applyNumberFormat="0" applyFill="0" applyAlignment="0" applyProtection="0"/>
    <xf numFmtId="169" fontId="9" fillId="0" borderId="32" applyNumberFormat="0" applyFont="0" applyFill="0" applyAlignment="0" applyProtection="0"/>
    <xf numFmtId="169" fontId="9" fillId="0" borderId="32" applyNumberFormat="0" applyFont="0" applyFill="0" applyAlignment="0" applyProtection="0"/>
    <xf numFmtId="169" fontId="86" fillId="0" borderId="15" applyNumberFormat="0" applyFill="0" applyAlignment="0" applyProtection="0"/>
    <xf numFmtId="169" fontId="86" fillId="0" borderId="15" applyNumberFormat="0" applyFill="0" applyAlignment="0" applyProtection="0"/>
    <xf numFmtId="169" fontId="86" fillId="0" borderId="15" applyNumberFormat="0" applyFill="0" applyAlignment="0" applyProtection="0"/>
    <xf numFmtId="0" fontId="9" fillId="0" borderId="32" applyNumberFormat="0" applyFont="0" applyFill="0" applyAlignment="0" applyProtection="0"/>
    <xf numFmtId="169" fontId="85" fillId="0" borderId="33" applyNumberFormat="0" applyFill="0" applyAlignment="0" applyProtection="0"/>
    <xf numFmtId="169" fontId="85" fillId="0" borderId="33" applyNumberFormat="0" applyFill="0" applyAlignment="0" applyProtection="0"/>
    <xf numFmtId="169" fontId="85" fillId="0" borderId="31" applyNumberFormat="0" applyFill="0" applyAlignment="0" applyProtection="0"/>
    <xf numFmtId="169" fontId="85" fillId="0" borderId="31" applyNumberFormat="0" applyFill="0" applyAlignment="0" applyProtection="0"/>
    <xf numFmtId="169" fontId="85" fillId="0" borderId="31" applyNumberFormat="0" applyFill="0" applyAlignment="0" applyProtection="0"/>
    <xf numFmtId="169" fontId="85" fillId="0" borderId="31" applyNumberFormat="0" applyFill="0" applyAlignment="0" applyProtection="0"/>
    <xf numFmtId="169" fontId="85" fillId="0" borderId="31" applyNumberFormat="0" applyFill="0" applyAlignment="0" applyProtection="0"/>
    <xf numFmtId="0" fontId="87" fillId="56" borderId="0">
      <alignment horizontal="center"/>
    </xf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169" fontId="8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89" fillId="0" borderId="0"/>
    <xf numFmtId="44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4" fillId="0" borderId="0"/>
    <xf numFmtId="174" fontId="109" fillId="0" borderId="0"/>
    <xf numFmtId="0" fontId="6" fillId="0" borderId="0"/>
    <xf numFmtId="0" fontId="6" fillId="0" borderId="0"/>
    <xf numFmtId="0" fontId="3" fillId="0" borderId="0"/>
    <xf numFmtId="43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6" fillId="0" borderId="0"/>
    <xf numFmtId="174" fontId="6" fillId="0" borderId="0"/>
    <xf numFmtId="0" fontId="2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94">
    <xf numFmtId="0" fontId="0" fillId="0" borderId="0" xfId="0"/>
    <xf numFmtId="10" fontId="8" fillId="0" borderId="0" xfId="3" applyNumberFormat="1" applyFont="1" applyFill="1" applyAlignment="1">
      <alignment horizontal="center"/>
    </xf>
    <xf numFmtId="0" fontId="10" fillId="0" borderId="0" xfId="0" applyFont="1"/>
    <xf numFmtId="37" fontId="0" fillId="0" borderId="0" xfId="0" applyNumberFormat="1" applyFill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left"/>
    </xf>
    <xf numFmtId="0" fontId="92" fillId="0" borderId="0" xfId="0" quotePrefix="1" applyFont="1" applyAlignment="1">
      <alignment horizontal="left"/>
    </xf>
    <xf numFmtId="0" fontId="92" fillId="0" borderId="0" xfId="0" applyFont="1"/>
    <xf numFmtId="0" fontId="7" fillId="0" borderId="0" xfId="0" applyFont="1" applyAlignment="1">
      <alignment horizontal="center"/>
    </xf>
    <xf numFmtId="0" fontId="96" fillId="0" borderId="0" xfId="0" applyFont="1" applyFill="1" applyBorder="1"/>
    <xf numFmtId="0" fontId="93" fillId="0" borderId="0" xfId="0" applyFont="1" applyFill="1" applyBorder="1"/>
    <xf numFmtId="6" fontId="93" fillId="0" borderId="0" xfId="0" applyNumberFormat="1" applyFont="1" applyFill="1" applyBorder="1" applyAlignment="1">
      <alignment horizontal="center"/>
    </xf>
    <xf numFmtId="0" fontId="93" fillId="0" borderId="0" xfId="0" quotePrefix="1" applyFont="1" applyFill="1" applyBorder="1" applyAlignment="1">
      <alignment horizontal="center"/>
    </xf>
    <xf numFmtId="165" fontId="96" fillId="0" borderId="0" xfId="2" applyNumberFormat="1" applyFont="1" applyFill="1" applyBorder="1"/>
    <xf numFmtId="165" fontId="96" fillId="0" borderId="0" xfId="2" applyNumberFormat="1" applyFont="1" applyFill="1" applyBorder="1" applyProtection="1"/>
    <xf numFmtId="6" fontId="94" fillId="0" borderId="0" xfId="0" applyNumberFormat="1" applyFont="1" applyFill="1" applyBorder="1" applyAlignment="1">
      <alignment horizontal="center"/>
    </xf>
    <xf numFmtId="0" fontId="94" fillId="0" borderId="0" xfId="0" applyFont="1" applyFill="1" applyBorder="1"/>
    <xf numFmtId="0" fontId="94" fillId="0" borderId="0" xfId="0" applyFont="1" applyFill="1" applyBorder="1" applyAlignment="1">
      <alignment horizontal="center"/>
    </xf>
    <xf numFmtId="0" fontId="94" fillId="0" borderId="0" xfId="0" quotePrefix="1" applyFont="1" applyFill="1" applyBorder="1" applyAlignment="1">
      <alignment horizontal="center"/>
    </xf>
    <xf numFmtId="0" fontId="95" fillId="0" borderId="0" xfId="0" applyFont="1" applyFill="1" applyBorder="1"/>
    <xf numFmtId="165" fontId="95" fillId="0" borderId="0" xfId="2" applyNumberFormat="1" applyFont="1" applyFill="1" applyBorder="1"/>
    <xf numFmtId="165" fontId="95" fillId="0" borderId="0" xfId="2" applyNumberFormat="1" applyFont="1" applyFill="1" applyBorder="1" applyProtection="1"/>
    <xf numFmtId="0" fontId="8" fillId="0" borderId="0" xfId="0" applyFont="1" applyFill="1"/>
    <xf numFmtId="164" fontId="47" fillId="0" borderId="0" xfId="0" applyNumberFormat="1" applyFont="1" applyFill="1"/>
    <xf numFmtId="0" fontId="0" fillId="0" borderId="0" xfId="0" applyFill="1"/>
    <xf numFmtId="0" fontId="10" fillId="0" borderId="0" xfId="0" applyFont="1" applyFill="1"/>
    <xf numFmtId="0" fontId="96" fillId="0" borderId="0" xfId="0" applyFont="1" applyFill="1" applyAlignment="1">
      <alignment horizontal="left"/>
    </xf>
    <xf numFmtId="0" fontId="96" fillId="0" borderId="0" xfId="0" applyFont="1" applyFill="1"/>
    <xf numFmtId="0" fontId="96" fillId="0" borderId="0" xfId="0" applyFont="1" applyFill="1" applyAlignment="1">
      <alignment horizontal="center"/>
    </xf>
    <xf numFmtId="5" fontId="90" fillId="0" borderId="0" xfId="0" applyNumberFormat="1" applyFont="1" applyFill="1"/>
    <xf numFmtId="5" fontId="90" fillId="0" borderId="1" xfId="0" applyNumberFormat="1" applyFont="1" applyFill="1" applyBorder="1"/>
    <xf numFmtId="5" fontId="90" fillId="0" borderId="0" xfId="0" applyNumberFormat="1" applyFont="1" applyFill="1" applyBorder="1"/>
    <xf numFmtId="164" fontId="96" fillId="0" borderId="0" xfId="1" applyNumberFormat="1" applyFont="1" applyFill="1"/>
    <xf numFmtId="10" fontId="96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91" fillId="0" borderId="0" xfId="0" applyFont="1" applyFill="1" applyAlignment="1"/>
    <xf numFmtId="165" fontId="0" fillId="0" borderId="0" xfId="2" applyNumberFormat="1" applyFont="1" applyFill="1" applyBorder="1"/>
    <xf numFmtId="0" fontId="10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5" fontId="0" fillId="0" borderId="0" xfId="0" applyNumberFormat="1" applyFill="1"/>
    <xf numFmtId="164" fontId="96" fillId="0" borderId="0" xfId="1" applyNumberFormat="1" applyFont="1" applyFill="1" applyBorder="1"/>
    <xf numFmtId="0" fontId="99" fillId="0" borderId="0" xfId="0" applyFont="1" applyFill="1" applyBorder="1" applyAlignment="1">
      <alignment horizontal="center" wrapText="1"/>
    </xf>
    <xf numFmtId="0" fontId="99" fillId="0" borderId="0" xfId="0" applyFont="1" applyFill="1" applyBorder="1" applyAlignment="1">
      <alignment horizontal="center"/>
    </xf>
    <xf numFmtId="0" fontId="47" fillId="0" borderId="0" xfId="0" applyFont="1" applyFill="1" applyBorder="1"/>
    <xf numFmtId="164" fontId="47" fillId="0" borderId="0" xfId="0" applyNumberFormat="1" applyFont="1" applyFill="1" applyBorder="1"/>
    <xf numFmtId="0" fontId="47" fillId="0" borderId="0" xfId="0" applyFont="1" applyFill="1"/>
    <xf numFmtId="0" fontId="99" fillId="0" borderId="0" xfId="0" applyFont="1" applyFill="1"/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wrapText="1"/>
    </xf>
    <xf numFmtId="0" fontId="99" fillId="0" borderId="1" xfId="0" quotePrefix="1" applyFont="1" applyFill="1" applyBorder="1" applyAlignment="1">
      <alignment horizontal="center"/>
    </xf>
    <xf numFmtId="167" fontId="47" fillId="0" borderId="0" xfId="0" applyNumberFormat="1" applyFont="1" applyFill="1" applyAlignment="1">
      <alignment horizontal="center"/>
    </xf>
    <xf numFmtId="167" fontId="47" fillId="0" borderId="0" xfId="0" applyNumberFormat="1" applyFont="1" applyFill="1"/>
    <xf numFmtId="0" fontId="47" fillId="0" borderId="0" xfId="0" applyFont="1" applyFill="1" applyAlignment="1">
      <alignment horizontal="center"/>
    </xf>
    <xf numFmtId="0" fontId="47" fillId="0" borderId="0" xfId="0" quotePrefix="1" applyFont="1" applyFill="1"/>
    <xf numFmtId="168" fontId="47" fillId="0" borderId="0" xfId="0" applyNumberFormat="1" applyFont="1" applyFill="1"/>
    <xf numFmtId="43" fontId="47" fillId="0" borderId="0" xfId="0" applyNumberFormat="1" applyFont="1" applyFill="1"/>
    <xf numFmtId="0" fontId="8" fillId="0" borderId="0" xfId="0" applyFont="1" applyFill="1" applyAlignment="1">
      <alignment horizontal="right"/>
    </xf>
    <xf numFmtId="3" fontId="0" fillId="0" borderId="0" xfId="0" applyNumberFormat="1" applyFill="1" applyBorder="1"/>
    <xf numFmtId="0" fontId="7" fillId="0" borderId="0" xfId="0" quotePrefix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10" fontId="8" fillId="0" borderId="0" xfId="0" applyNumberFormat="1" applyFont="1" applyFill="1"/>
    <xf numFmtId="10" fontId="8" fillId="0" borderId="0" xfId="3" applyNumberFormat="1" applyFont="1" applyFill="1"/>
    <xf numFmtId="0" fontId="8" fillId="0" borderId="0" xfId="0" quotePrefix="1" applyFont="1" applyFill="1" applyAlignment="1">
      <alignment horizontal="left"/>
    </xf>
    <xf numFmtId="0" fontId="95" fillId="0" borderId="0" xfId="0" applyFont="1" applyFill="1"/>
    <xf numFmtId="37" fontId="93" fillId="0" borderId="0" xfId="0" applyNumberFormat="1" applyFont="1" applyFill="1"/>
    <xf numFmtId="0" fontId="97" fillId="0" borderId="0" xfId="0" applyFont="1" applyFill="1" applyAlignment="1">
      <alignment horizontal="center"/>
    </xf>
    <xf numFmtId="0" fontId="97" fillId="0" borderId="0" xfId="0" quotePrefix="1" applyFont="1" applyFill="1" applyBorder="1" applyAlignment="1">
      <alignment horizontal="center"/>
    </xf>
    <xf numFmtId="167" fontId="93" fillId="0" borderId="0" xfId="0" applyNumberFormat="1" applyFont="1" applyFill="1" applyAlignment="1">
      <alignment horizontal="center"/>
    </xf>
    <xf numFmtId="0" fontId="97" fillId="0" borderId="0" xfId="0" applyFont="1" applyFill="1" applyAlignment="1">
      <alignment horizontal="left"/>
    </xf>
    <xf numFmtId="0" fontId="96" fillId="0" borderId="0" xfId="0" quotePrefix="1" applyFont="1" applyFill="1" applyAlignment="1">
      <alignment horizontal="left"/>
    </xf>
    <xf numFmtId="0" fontId="96" fillId="0" borderId="0" xfId="0" quotePrefix="1" applyFont="1" applyFill="1" applyAlignment="1">
      <alignment horizontal="center"/>
    </xf>
    <xf numFmtId="164" fontId="96" fillId="0" borderId="0" xfId="0" applyNumberFormat="1" applyFont="1" applyFill="1"/>
    <xf numFmtId="166" fontId="96" fillId="0" borderId="0" xfId="3" applyNumberFormat="1" applyFont="1" applyFill="1"/>
    <xf numFmtId="164" fontId="95" fillId="0" borderId="0" xfId="0" applyNumberFormat="1" applyFont="1" applyFill="1"/>
    <xf numFmtId="0" fontId="98" fillId="0" borderId="0" xfId="0" quotePrefix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5" fontId="0" fillId="0" borderId="0" xfId="0" applyNumberFormat="1" applyFill="1" applyBorder="1"/>
    <xf numFmtId="0" fontId="7" fillId="0" borderId="0" xfId="0" quotePrefix="1" applyFont="1" applyAlignment="1">
      <alignment horizontal="center"/>
    </xf>
    <xf numFmtId="0" fontId="93" fillId="0" borderId="0" xfId="0" applyFont="1" applyFill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164" fontId="47" fillId="0" borderId="0" xfId="0" quotePrefix="1" applyNumberFormat="1" applyFont="1" applyFill="1" applyAlignment="1">
      <alignment horizontal="center"/>
    </xf>
    <xf numFmtId="0" fontId="93" fillId="0" borderId="0" xfId="0" applyFont="1" applyFill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4" fillId="0" borderId="0" xfId="0" quotePrefix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/>
    </xf>
    <xf numFmtId="0" fontId="93" fillId="60" borderId="0" xfId="0" applyFont="1" applyFill="1" applyBorder="1" applyAlignment="1">
      <alignment horizontal="center"/>
    </xf>
    <xf numFmtId="0" fontId="97" fillId="60" borderId="0" xfId="0" quotePrefix="1" applyFont="1" applyFill="1" applyBorder="1" applyAlignment="1">
      <alignment horizontal="center"/>
    </xf>
    <xf numFmtId="164" fontId="96" fillId="60" borderId="0" xfId="1" applyNumberFormat="1" applyFont="1" applyFill="1" applyBorder="1"/>
    <xf numFmtId="10" fontId="96" fillId="60" borderId="1" xfId="0" applyNumberFormat="1" applyFont="1" applyFill="1" applyBorder="1"/>
    <xf numFmtId="0" fontId="93" fillId="60" borderId="36" xfId="0" applyFont="1" applyFill="1" applyBorder="1" applyAlignment="1">
      <alignment horizontal="center"/>
    </xf>
    <xf numFmtId="0" fontId="93" fillId="60" borderId="30" xfId="0" applyFont="1" applyFill="1" applyBorder="1" applyAlignment="1">
      <alignment horizontal="center"/>
    </xf>
    <xf numFmtId="0" fontId="97" fillId="60" borderId="36" xfId="0" quotePrefix="1" applyFont="1" applyFill="1" applyBorder="1" applyAlignment="1">
      <alignment horizontal="center"/>
    </xf>
    <xf numFmtId="0" fontId="97" fillId="60" borderId="30" xfId="0" quotePrefix="1" applyFont="1" applyFill="1" applyBorder="1" applyAlignment="1">
      <alignment horizontal="center"/>
    </xf>
    <xf numFmtId="167" fontId="93" fillId="60" borderId="36" xfId="0" applyNumberFormat="1" applyFont="1" applyFill="1" applyBorder="1" applyAlignment="1">
      <alignment horizontal="center"/>
    </xf>
    <xf numFmtId="167" fontId="93" fillId="60" borderId="0" xfId="0" applyNumberFormat="1" applyFont="1" applyFill="1" applyBorder="1" applyAlignment="1">
      <alignment horizontal="center"/>
    </xf>
    <xf numFmtId="167" fontId="93" fillId="60" borderId="30" xfId="0" applyNumberFormat="1" applyFont="1" applyFill="1" applyBorder="1" applyAlignment="1">
      <alignment horizontal="center"/>
    </xf>
    <xf numFmtId="0" fontId="96" fillId="60" borderId="36" xfId="0" applyFont="1" applyFill="1" applyBorder="1"/>
    <xf numFmtId="0" fontId="96" fillId="60" borderId="0" xfId="0" applyFont="1" applyFill="1" applyBorder="1"/>
    <xf numFmtId="0" fontId="96" fillId="60" borderId="30" xfId="0" applyFont="1" applyFill="1" applyBorder="1"/>
    <xf numFmtId="164" fontId="96" fillId="60" borderId="36" xfId="1" applyNumberFormat="1" applyFont="1" applyFill="1" applyBorder="1"/>
    <xf numFmtId="164" fontId="96" fillId="60" borderId="30" xfId="1" applyNumberFormat="1" applyFont="1" applyFill="1" applyBorder="1"/>
    <xf numFmtId="10" fontId="96" fillId="60" borderId="37" xfId="0" applyNumberFormat="1" applyFont="1" applyFill="1" applyBorder="1"/>
    <xf numFmtId="10" fontId="96" fillId="60" borderId="38" xfId="0" applyNumberFormat="1" applyFont="1" applyFill="1" applyBorder="1"/>
    <xf numFmtId="43" fontId="96" fillId="60" borderId="36" xfId="0" applyNumberFormat="1" applyFont="1" applyFill="1" applyBorder="1"/>
    <xf numFmtId="0" fontId="93" fillId="0" borderId="36" xfId="0" applyFont="1" applyFill="1" applyBorder="1" applyAlignment="1">
      <alignment horizontal="center"/>
    </xf>
    <xf numFmtId="0" fontId="93" fillId="0" borderId="30" xfId="0" applyFont="1" applyFill="1" applyBorder="1" applyAlignment="1">
      <alignment horizontal="center"/>
    </xf>
    <xf numFmtId="0" fontId="97" fillId="0" borderId="36" xfId="0" quotePrefix="1" applyFont="1" applyFill="1" applyBorder="1" applyAlignment="1">
      <alignment horizontal="center"/>
    </xf>
    <xf numFmtId="0" fontId="97" fillId="0" borderId="30" xfId="0" quotePrefix="1" applyFont="1" applyFill="1" applyBorder="1" applyAlignment="1">
      <alignment horizontal="center"/>
    </xf>
    <xf numFmtId="167" fontId="93" fillId="0" borderId="36" xfId="0" applyNumberFormat="1" applyFont="1" applyFill="1" applyBorder="1" applyAlignment="1">
      <alignment horizontal="center"/>
    </xf>
    <xf numFmtId="167" fontId="93" fillId="0" borderId="0" xfId="0" applyNumberFormat="1" applyFont="1" applyFill="1" applyBorder="1" applyAlignment="1">
      <alignment horizontal="center"/>
    </xf>
    <xf numFmtId="167" fontId="93" fillId="0" borderId="30" xfId="0" applyNumberFormat="1" applyFont="1" applyFill="1" applyBorder="1" applyAlignment="1">
      <alignment horizontal="center"/>
    </xf>
    <xf numFmtId="0" fontId="96" fillId="0" borderId="36" xfId="0" applyFont="1" applyFill="1" applyBorder="1"/>
    <xf numFmtId="0" fontId="96" fillId="0" borderId="30" xfId="0" applyFont="1" applyFill="1" applyBorder="1"/>
    <xf numFmtId="164" fontId="96" fillId="0" borderId="36" xfId="1" applyNumberFormat="1" applyFont="1" applyFill="1" applyBorder="1"/>
    <xf numFmtId="164" fontId="96" fillId="0" borderId="30" xfId="1" applyNumberFormat="1" applyFont="1" applyFill="1" applyBorder="1"/>
    <xf numFmtId="10" fontId="96" fillId="0" borderId="37" xfId="0" applyNumberFormat="1" applyFont="1" applyFill="1" applyBorder="1"/>
    <xf numFmtId="10" fontId="96" fillId="0" borderId="38" xfId="0" applyNumberFormat="1" applyFont="1" applyFill="1" applyBorder="1"/>
    <xf numFmtId="0" fontId="104" fillId="0" borderId="0" xfId="0" applyFont="1" applyFill="1" applyAlignment="1">
      <alignment horizontal="left"/>
    </xf>
    <xf numFmtId="0" fontId="104" fillId="0" borderId="0" xfId="0" applyFont="1" applyFill="1"/>
    <xf numFmtId="164" fontId="104" fillId="0" borderId="0" xfId="0" applyNumberFormat="1" applyFont="1" applyFill="1"/>
    <xf numFmtId="0" fontId="93" fillId="0" borderId="34" xfId="0" applyFont="1" applyFill="1" applyBorder="1" applyAlignment="1">
      <alignment horizontal="center"/>
    </xf>
    <xf numFmtId="0" fontId="93" fillId="0" borderId="6" xfId="0" applyFont="1" applyFill="1" applyBorder="1" applyAlignment="1">
      <alignment horizontal="center"/>
    </xf>
    <xf numFmtId="0" fontId="93" fillId="0" borderId="35" xfId="0" applyFont="1" applyFill="1" applyBorder="1" applyAlignment="1">
      <alignment horizontal="center"/>
    </xf>
    <xf numFmtId="0" fontId="93" fillId="61" borderId="34" xfId="0" applyFont="1" applyFill="1" applyBorder="1" applyAlignment="1">
      <alignment horizontal="center"/>
    </xf>
    <xf numFmtId="0" fontId="93" fillId="61" borderId="6" xfId="0" applyFont="1" applyFill="1" applyBorder="1" applyAlignment="1">
      <alignment horizontal="center"/>
    </xf>
    <xf numFmtId="0" fontId="93" fillId="61" borderId="35" xfId="0" applyFont="1" applyFill="1" applyBorder="1" applyAlignment="1">
      <alignment horizontal="center"/>
    </xf>
    <xf numFmtId="0" fontId="97" fillId="61" borderId="36" xfId="0" quotePrefix="1" applyFont="1" applyFill="1" applyBorder="1" applyAlignment="1">
      <alignment horizontal="center"/>
    </xf>
    <xf numFmtId="0" fontId="97" fillId="61" borderId="0" xfId="0" quotePrefix="1" applyFont="1" applyFill="1" applyBorder="1" applyAlignment="1">
      <alignment horizontal="center"/>
    </xf>
    <xf numFmtId="0" fontId="97" fillId="61" borderId="30" xfId="0" quotePrefix="1" applyFont="1" applyFill="1" applyBorder="1" applyAlignment="1">
      <alignment horizontal="center"/>
    </xf>
    <xf numFmtId="167" fontId="93" fillId="61" borderId="36" xfId="0" applyNumberFormat="1" applyFont="1" applyFill="1" applyBorder="1" applyAlignment="1">
      <alignment horizontal="center"/>
    </xf>
    <xf numFmtId="167" fontId="93" fillId="61" borderId="0" xfId="0" applyNumberFormat="1" applyFont="1" applyFill="1" applyBorder="1" applyAlignment="1">
      <alignment horizontal="center"/>
    </xf>
    <xf numFmtId="167" fontId="93" fillId="61" borderId="30" xfId="0" applyNumberFormat="1" applyFont="1" applyFill="1" applyBorder="1" applyAlignment="1">
      <alignment horizontal="center"/>
    </xf>
    <xf numFmtId="0" fontId="96" fillId="61" borderId="36" xfId="0" applyFont="1" applyFill="1" applyBorder="1"/>
    <xf numFmtId="0" fontId="96" fillId="61" borderId="0" xfId="0" applyFont="1" applyFill="1" applyBorder="1"/>
    <xf numFmtId="0" fontId="96" fillId="61" borderId="30" xfId="0" applyFont="1" applyFill="1" applyBorder="1"/>
    <xf numFmtId="164" fontId="96" fillId="61" borderId="36" xfId="1" applyNumberFormat="1" applyFont="1" applyFill="1" applyBorder="1"/>
    <xf numFmtId="164" fontId="96" fillId="61" borderId="0" xfId="1" applyNumberFormat="1" applyFont="1" applyFill="1" applyBorder="1"/>
    <xf numFmtId="164" fontId="96" fillId="61" borderId="30" xfId="1" applyNumberFormat="1" applyFont="1" applyFill="1" applyBorder="1"/>
    <xf numFmtId="10" fontId="96" fillId="61" borderId="37" xfId="0" applyNumberFormat="1" applyFont="1" applyFill="1" applyBorder="1"/>
    <xf numFmtId="10" fontId="96" fillId="61" borderId="1" xfId="0" applyNumberFormat="1" applyFont="1" applyFill="1" applyBorder="1"/>
    <xf numFmtId="10" fontId="96" fillId="61" borderId="38" xfId="0" applyNumberFormat="1" applyFont="1" applyFill="1" applyBorder="1"/>
    <xf numFmtId="43" fontId="96" fillId="61" borderId="36" xfId="0" applyNumberFormat="1" applyFont="1" applyFill="1" applyBorder="1"/>
    <xf numFmtId="0" fontId="47" fillId="0" borderId="0" xfId="0" applyFont="1" applyFill="1" applyBorder="1" applyAlignment="1">
      <alignment horizontal="right"/>
    </xf>
    <xf numFmtId="0" fontId="103" fillId="0" borderId="0" xfId="0" applyFont="1" applyFill="1" applyBorder="1"/>
    <xf numFmtId="43" fontId="99" fillId="0" borderId="0" xfId="0" applyNumberFormat="1" applyFont="1" applyFill="1" applyAlignment="1">
      <alignment horizontal="center"/>
    </xf>
    <xf numFmtId="164" fontId="47" fillId="0" borderId="0" xfId="1" applyNumberFormat="1" applyFont="1" applyFill="1"/>
    <xf numFmtId="0" fontId="96" fillId="0" borderId="0" xfId="0" quotePrefix="1" applyFont="1" applyFill="1" applyBorder="1" applyAlignment="1">
      <alignment horizontal="center"/>
    </xf>
    <xf numFmtId="0" fontId="96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center"/>
    </xf>
    <xf numFmtId="0" fontId="98" fillId="0" borderId="0" xfId="0" quotePrefix="1" applyFont="1" applyFill="1" applyBorder="1" applyAlignment="1">
      <alignment horizontal="left"/>
    </xf>
    <xf numFmtId="0" fontId="95" fillId="0" borderId="0" xfId="0" quotePrefix="1" applyFont="1" applyFill="1" applyBorder="1" applyAlignment="1">
      <alignment horizontal="left"/>
    </xf>
    <xf numFmtId="44" fontId="95" fillId="0" borderId="0" xfId="2" applyFont="1" applyFill="1" applyBorder="1"/>
    <xf numFmtId="164" fontId="95" fillId="0" borderId="0" xfId="0" applyNumberFormat="1" applyFont="1" applyFill="1" applyBorder="1"/>
    <xf numFmtId="0" fontId="95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left"/>
    </xf>
    <xf numFmtId="5" fontId="95" fillId="0" borderId="0" xfId="0" applyNumberFormat="1" applyFont="1" applyFill="1" applyBorder="1"/>
    <xf numFmtId="0" fontId="94" fillId="0" borderId="0" xfId="0" quotePrefix="1" applyFont="1" applyFill="1" applyBorder="1" applyAlignment="1">
      <alignment horizontal="left"/>
    </xf>
    <xf numFmtId="167" fontId="94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left"/>
    </xf>
    <xf numFmtId="164" fontId="95" fillId="0" borderId="0" xfId="1" applyNumberFormat="1" applyFont="1" applyFill="1" applyBorder="1"/>
    <xf numFmtId="10" fontId="95" fillId="0" borderId="0" xfId="0" applyNumberFormat="1" applyFont="1" applyFill="1" applyBorder="1"/>
    <xf numFmtId="166" fontId="95" fillId="0" borderId="0" xfId="3" applyNumberFormat="1" applyFont="1" applyFill="1" applyBorder="1"/>
    <xf numFmtId="164" fontId="95" fillId="0" borderId="0" xfId="5" applyNumberFormat="1" applyFont="1" applyFill="1" applyBorder="1" applyAlignment="1">
      <alignment horizontal="left"/>
    </xf>
    <xf numFmtId="0" fontId="93" fillId="0" borderId="0" xfId="0" quotePrefix="1" applyFont="1" applyFill="1" applyAlignment="1"/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0" xfId="0" applyFont="1" applyFill="1"/>
    <xf numFmtId="3" fontId="0" fillId="0" borderId="0" xfId="0" applyNumberFormat="1" applyFill="1"/>
    <xf numFmtId="3" fontId="0" fillId="0" borderId="1" xfId="0" applyNumberFormat="1" applyFill="1" applyBorder="1"/>
    <xf numFmtId="3" fontId="10" fillId="0" borderId="0" xfId="0" applyNumberFormat="1" applyFont="1" applyFill="1"/>
    <xf numFmtId="0" fontId="0" fillId="0" borderId="0" xfId="0" applyFill="1" applyBorder="1"/>
    <xf numFmtId="0" fontId="7" fillId="0" borderId="0" xfId="0" quotePrefix="1" applyFont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8" fillId="0" borderId="1" xfId="0" applyFont="1" applyFill="1" applyBorder="1"/>
    <xf numFmtId="10" fontId="8" fillId="0" borderId="1" xfId="3" applyNumberFormat="1" applyFont="1" applyFill="1" applyBorder="1"/>
    <xf numFmtId="10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/>
    <xf numFmtId="0" fontId="91" fillId="0" borderId="0" xfId="0" applyFont="1" applyFill="1" applyAlignment="1">
      <alignment horizontal="centerContinuous"/>
    </xf>
    <xf numFmtId="0" fontId="93" fillId="0" borderId="0" xfId="0" quotePrefix="1" applyFont="1" applyFill="1" applyAlignment="1">
      <alignment horizontal="centerContinuous"/>
    </xf>
    <xf numFmtId="0" fontId="93" fillId="0" borderId="0" xfId="0" applyFont="1" applyFill="1" applyAlignment="1">
      <alignment horizontal="centerContinuous"/>
    </xf>
    <xf numFmtId="0" fontId="91" fillId="0" borderId="0" xfId="0" quotePrefix="1" applyFont="1" applyAlignment="1">
      <alignment horizontal="centerContinuous"/>
    </xf>
    <xf numFmtId="0" fontId="99" fillId="0" borderId="1" xfId="0" applyFont="1" applyFill="1" applyBorder="1" applyAlignment="1">
      <alignment horizontal="centerContinuous"/>
    </xf>
    <xf numFmtId="0" fontId="91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0" fillId="0" borderId="0" xfId="4" applyFont="1"/>
    <xf numFmtId="0" fontId="6" fillId="0" borderId="0" xfId="4"/>
    <xf numFmtId="0" fontId="106" fillId="63" borderId="39" xfId="4" applyFont="1" applyFill="1" applyBorder="1"/>
    <xf numFmtId="0" fontId="106" fillId="0" borderId="39" xfId="4" applyFont="1" applyBorder="1"/>
    <xf numFmtId="37" fontId="106" fillId="0" borderId="39" xfId="4" applyNumberFormat="1" applyFont="1" applyBorder="1"/>
    <xf numFmtId="0" fontId="106" fillId="0" borderId="0" xfId="4" applyFont="1"/>
    <xf numFmtId="37" fontId="6" fillId="0" borderId="0" xfId="4" applyNumberFormat="1"/>
    <xf numFmtId="37" fontId="6" fillId="0" borderId="0" xfId="4" applyNumberFormat="1" applyFill="1"/>
    <xf numFmtId="0" fontId="106" fillId="0" borderId="40" xfId="4" applyFont="1" applyBorder="1"/>
    <xf numFmtId="37" fontId="106" fillId="0" borderId="40" xfId="4" applyNumberFormat="1" applyFont="1" applyBorder="1"/>
    <xf numFmtId="0" fontId="106" fillId="63" borderId="41" xfId="4" applyFont="1" applyFill="1" applyBorder="1"/>
    <xf numFmtId="37" fontId="106" fillId="63" borderId="41" xfId="4" applyNumberFormat="1" applyFont="1" applyFill="1" applyBorder="1"/>
    <xf numFmtId="0" fontId="6" fillId="0" borderId="0" xfId="4" applyAlignment="1">
      <alignment horizontal="right"/>
    </xf>
    <xf numFmtId="37" fontId="6" fillId="0" borderId="0" xfId="4" applyNumberFormat="1" applyFill="1" applyBorder="1"/>
    <xf numFmtId="0" fontId="6" fillId="64" borderId="0" xfId="4" applyFill="1"/>
    <xf numFmtId="0" fontId="106" fillId="64" borderId="0" xfId="4" applyFont="1" applyFill="1"/>
    <xf numFmtId="0" fontId="6" fillId="65" borderId="0" xfId="4" applyFill="1"/>
    <xf numFmtId="0" fontId="106" fillId="65" borderId="0" xfId="4" applyFont="1" applyFill="1"/>
    <xf numFmtId="0" fontId="6" fillId="66" borderId="0" xfId="4" applyFill="1"/>
    <xf numFmtId="0" fontId="106" fillId="66" borderId="0" xfId="4" applyFont="1" applyFill="1"/>
    <xf numFmtId="0" fontId="6" fillId="62" borderId="0" xfId="4" applyFill="1"/>
    <xf numFmtId="0" fontId="106" fillId="62" borderId="0" xfId="4" applyFont="1" applyFill="1"/>
    <xf numFmtId="37" fontId="6" fillId="62" borderId="0" xfId="4" applyNumberFormat="1" applyFill="1"/>
    <xf numFmtId="0" fontId="6" fillId="60" borderId="0" xfId="4" applyFill="1"/>
    <xf numFmtId="0" fontId="106" fillId="60" borderId="0" xfId="4" applyFont="1" applyFill="1"/>
    <xf numFmtId="0" fontId="6" fillId="0" borderId="1" xfId="4" applyBorder="1"/>
    <xf numFmtId="0" fontId="93" fillId="0" borderId="0" xfId="0" applyFont="1" applyFill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3" fillId="0" borderId="16" xfId="0" applyFont="1" applyFill="1" applyBorder="1" applyAlignment="1">
      <alignment horizontal="centerContinuous"/>
    </xf>
    <xf numFmtId="0" fontId="96" fillId="0" borderId="2" xfId="0" applyFont="1" applyFill="1" applyBorder="1" applyAlignment="1">
      <alignment horizontal="centerContinuous"/>
    </xf>
    <xf numFmtId="0" fontId="93" fillId="0" borderId="2" xfId="0" applyFont="1" applyFill="1" applyBorder="1" applyAlignment="1">
      <alignment horizontal="centerContinuous"/>
    </xf>
    <xf numFmtId="0" fontId="93" fillId="0" borderId="17" xfId="0" applyFont="1" applyFill="1" applyBorder="1" applyAlignment="1">
      <alignment horizontal="centerContinuous"/>
    </xf>
    <xf numFmtId="43" fontId="96" fillId="0" borderId="36" xfId="0" applyNumberFormat="1" applyFont="1" applyFill="1" applyBorder="1"/>
    <xf numFmtId="173" fontId="47" fillId="0" borderId="0" xfId="0" applyNumberFormat="1" applyFont="1" applyFill="1"/>
    <xf numFmtId="0" fontId="99" fillId="0" borderId="1" xfId="0" applyFont="1" applyFill="1" applyBorder="1" applyAlignment="1">
      <alignment horizontal="center"/>
    </xf>
    <xf numFmtId="0" fontId="0" fillId="69" borderId="0" xfId="0" applyFill="1"/>
    <xf numFmtId="0" fontId="0" fillId="66" borderId="0" xfId="0" applyFill="1"/>
    <xf numFmtId="0" fontId="6" fillId="66" borderId="0" xfId="0" applyFont="1" applyFill="1"/>
    <xf numFmtId="0" fontId="107" fillId="66" borderId="0" xfId="0" applyFont="1" applyFill="1"/>
    <xf numFmtId="0" fontId="0" fillId="70" borderId="0" xfId="0" applyFill="1"/>
    <xf numFmtId="0" fontId="107" fillId="70" borderId="0" xfId="0" applyFont="1" applyFill="1"/>
    <xf numFmtId="0" fontId="0" fillId="71" borderId="0" xfId="0" applyFill="1"/>
    <xf numFmtId="0" fontId="0" fillId="68" borderId="0" xfId="0" applyFill="1"/>
    <xf numFmtId="3" fontId="6" fillId="0" borderId="1" xfId="0" applyNumberFormat="1" applyFont="1" applyFill="1" applyBorder="1"/>
    <xf numFmtId="0" fontId="0" fillId="67" borderId="0" xfId="0" applyFill="1"/>
    <xf numFmtId="0" fontId="108" fillId="0" borderId="0" xfId="0" applyFont="1" applyFill="1"/>
    <xf numFmtId="0" fontId="47" fillId="0" borderId="1" xfId="0" applyFont="1" applyFill="1" applyBorder="1"/>
    <xf numFmtId="0" fontId="47" fillId="72" borderId="0" xfId="0" applyFont="1" applyFill="1"/>
    <xf numFmtId="37" fontId="6" fillId="68" borderId="0" xfId="4" applyNumberFormat="1" applyFill="1"/>
    <xf numFmtId="173" fontId="47" fillId="0" borderId="0" xfId="0" quotePrefix="1" applyNumberFormat="1" applyFont="1" applyFill="1" applyAlignment="1">
      <alignment horizontal="center"/>
    </xf>
    <xf numFmtId="37" fontId="6" fillId="67" borderId="0" xfId="4" applyNumberFormat="1" applyFill="1"/>
    <xf numFmtId="3" fontId="0" fillId="72" borderId="0" xfId="0" applyNumberFormat="1" applyFill="1"/>
    <xf numFmtId="3" fontId="0" fillId="73" borderId="0" xfId="0" applyNumberFormat="1" applyFill="1"/>
    <xf numFmtId="3" fontId="0" fillId="73" borderId="1" xfId="0" applyNumberFormat="1" applyFill="1" applyBorder="1"/>
    <xf numFmtId="0" fontId="7" fillId="0" borderId="0" xfId="0" quotePrefix="1" applyFont="1" applyAlignment="1"/>
    <xf numFmtId="174" fontId="109" fillId="0" borderId="0" xfId="2387"/>
    <xf numFmtId="0" fontId="47" fillId="59" borderId="0" xfId="2388" applyFont="1" applyFill="1"/>
    <xf numFmtId="0" fontId="8" fillId="59" borderId="0" xfId="2388" applyFont="1" applyFill="1"/>
    <xf numFmtId="0" fontId="91" fillId="0" borderId="0" xfId="2389" applyFont="1" applyAlignment="1">
      <alignment horizontal="centerContinuous"/>
    </xf>
    <xf numFmtId="0" fontId="91" fillId="0" borderId="0" xfId="2389" quotePrefix="1" applyFont="1" applyAlignment="1">
      <alignment horizontal="centerContinuous"/>
    </xf>
    <xf numFmtId="0" fontId="93" fillId="0" borderId="0" xfId="2389" quotePrefix="1" applyFont="1" applyAlignment="1">
      <alignment horizontal="center"/>
    </xf>
    <xf numFmtId="0" fontId="93" fillId="0" borderId="0" xfId="2389" applyFont="1" applyAlignment="1">
      <alignment horizontal="center"/>
    </xf>
    <xf numFmtId="0" fontId="93" fillId="0" borderId="0" xfId="2389" applyFont="1" applyAlignment="1">
      <alignment horizontal="left"/>
    </xf>
    <xf numFmtId="0" fontId="96" fillId="0" borderId="0" xfId="2389" applyFont="1" applyAlignment="1">
      <alignment horizontal="center"/>
    </xf>
    <xf numFmtId="164" fontId="7" fillId="0" borderId="1" xfId="2391" applyNumberFormat="1" applyFont="1" applyBorder="1" applyAlignment="1">
      <alignment horizontal="center" vertical="center" wrapText="1"/>
    </xf>
    <xf numFmtId="164" fontId="7" fillId="0" borderId="1" xfId="2391" applyNumberFormat="1" applyFont="1" applyFill="1" applyBorder="1" applyAlignment="1">
      <alignment horizontal="center" vertical="center" wrapText="1"/>
    </xf>
    <xf numFmtId="164" fontId="7" fillId="0" borderId="1" xfId="2391" quotePrefix="1" applyNumberFormat="1" applyFont="1" applyBorder="1" applyAlignment="1">
      <alignment horizontal="center" vertical="center" wrapText="1"/>
    </xf>
    <xf numFmtId="164" fontId="7" fillId="0" borderId="1" xfId="2391" quotePrefix="1" applyNumberFormat="1" applyFont="1" applyFill="1" applyBorder="1" applyAlignment="1">
      <alignment horizontal="center" vertical="center" wrapText="1"/>
    </xf>
    <xf numFmtId="0" fontId="7" fillId="0" borderId="0" xfId="2389" applyFont="1" applyAlignment="1">
      <alignment horizontal="center"/>
    </xf>
    <xf numFmtId="164" fontId="8" fillId="0" borderId="0" xfId="2391" applyNumberFormat="1" applyFont="1" applyAlignment="1">
      <alignment horizontal="center"/>
    </xf>
    <xf numFmtId="164" fontId="7" fillId="0" borderId="0" xfId="2391" quotePrefix="1" applyNumberFormat="1" applyFont="1" applyAlignment="1">
      <alignment horizontal="center" wrapText="1"/>
    </xf>
    <xf numFmtId="164" fontId="7" fillId="0" borderId="0" xfId="2391" applyNumberFormat="1" applyFont="1" applyAlignment="1">
      <alignment horizontal="center" wrapText="1"/>
    </xf>
    <xf numFmtId="164" fontId="8" fillId="0" borderId="0" xfId="2391" applyNumberFormat="1" applyFont="1" applyAlignment="1">
      <alignment horizontal="center" wrapText="1"/>
    </xf>
    <xf numFmtId="164" fontId="8" fillId="0" borderId="0" xfId="2391" applyNumberFormat="1" applyFont="1" applyFill="1" applyAlignment="1">
      <alignment horizontal="center" wrapText="1"/>
    </xf>
    <xf numFmtId="174" fontId="47" fillId="0" borderId="0" xfId="2387" applyFont="1"/>
    <xf numFmtId="0" fontId="7" fillId="0" borderId="0" xfId="2389" applyFont="1" applyAlignment="1">
      <alignment horizontal="left"/>
    </xf>
    <xf numFmtId="0" fontId="8" fillId="0" borderId="0" xfId="2389" applyFont="1" applyAlignment="1">
      <alignment horizontal="center"/>
    </xf>
    <xf numFmtId="164" fontId="8" fillId="0" borderId="0" xfId="2391" applyNumberFormat="1" applyFont="1" applyAlignment="1">
      <alignment horizontal="left"/>
    </xf>
    <xf numFmtId="10" fontId="8" fillId="0" borderId="0" xfId="2392" applyNumberFormat="1" applyFont="1" applyBorder="1"/>
    <xf numFmtId="5" fontId="8" fillId="0" borderId="0" xfId="2391" applyNumberFormat="1" applyFont="1"/>
    <xf numFmtId="7" fontId="8" fillId="0" borderId="0" xfId="2391" applyNumberFormat="1" applyFont="1"/>
    <xf numFmtId="7" fontId="8" fillId="0" borderId="0" xfId="2391" applyNumberFormat="1" applyFont="1" applyFill="1"/>
    <xf numFmtId="10" fontId="8" fillId="0" borderId="1" xfId="2392" applyNumberFormat="1" applyFont="1" applyBorder="1"/>
    <xf numFmtId="5" fontId="8" fillId="0" borderId="1" xfId="2391" applyNumberFormat="1" applyFont="1" applyFill="1" applyBorder="1"/>
    <xf numFmtId="0" fontId="8" fillId="0" borderId="4" xfId="2389" applyFont="1" applyBorder="1" applyAlignment="1">
      <alignment horizontal="center"/>
    </xf>
    <xf numFmtId="164" fontId="7" fillId="0" borderId="4" xfId="2391" applyNumberFormat="1" applyFont="1" applyBorder="1" applyAlignment="1">
      <alignment horizontal="left"/>
    </xf>
    <xf numFmtId="5" fontId="8" fillId="0" borderId="3" xfId="2391" applyNumberFormat="1" applyFont="1" applyBorder="1"/>
    <xf numFmtId="10" fontId="8" fillId="0" borderId="3" xfId="2392" applyNumberFormat="1" applyFont="1" applyBorder="1"/>
    <xf numFmtId="164" fontId="8" fillId="0" borderId="3" xfId="2391" applyNumberFormat="1" applyFont="1" applyBorder="1"/>
    <xf numFmtId="164" fontId="8" fillId="0" borderId="0" xfId="2391" applyNumberFormat="1" applyFont="1" applyBorder="1"/>
    <xf numFmtId="7" fontId="8" fillId="0" borderId="0" xfId="2391" applyNumberFormat="1" applyFont="1" applyBorder="1"/>
    <xf numFmtId="164" fontId="7" fillId="0" borderId="0" xfId="2391" quotePrefix="1" applyNumberFormat="1" applyFont="1" applyBorder="1" applyAlignment="1">
      <alignment horizontal="center" vertical="center" wrapText="1"/>
    </xf>
    <xf numFmtId="164" fontId="7" fillId="0" borderId="0" xfId="2391" applyNumberFormat="1" applyFont="1" applyBorder="1" applyAlignment="1">
      <alignment horizontal="center" vertical="center" wrapText="1"/>
    </xf>
    <xf numFmtId="164" fontId="7" fillId="0" borderId="0" xfId="2391" applyNumberFormat="1" applyFont="1" applyFill="1" applyBorder="1" applyAlignment="1">
      <alignment horizontal="center" vertical="center" wrapText="1"/>
    </xf>
    <xf numFmtId="5" fontId="8" fillId="0" borderId="0" xfId="2390" applyNumberFormat="1" applyFont="1" applyFill="1"/>
    <xf numFmtId="172" fontId="8" fillId="0" borderId="0" xfId="2391" applyNumberFormat="1" applyFont="1"/>
    <xf numFmtId="164" fontId="7" fillId="0" borderId="0" xfId="2391" applyNumberFormat="1" applyFont="1" applyFill="1" applyAlignment="1">
      <alignment horizontal="center" wrapText="1"/>
    </xf>
    <xf numFmtId="7" fontId="8" fillId="0" borderId="0" xfId="2391" applyNumberFormat="1" applyFont="1" applyAlignment="1">
      <alignment horizontal="center" wrapText="1"/>
    </xf>
    <xf numFmtId="5" fontId="8" fillId="0" borderId="0" xfId="2391" applyNumberFormat="1" applyFont="1" applyFill="1"/>
    <xf numFmtId="39" fontId="47" fillId="0" borderId="0" xfId="2387" applyNumberFormat="1" applyFont="1"/>
    <xf numFmtId="5" fontId="8" fillId="0" borderId="0" xfId="2391" applyNumberFormat="1" applyFont="1" applyBorder="1"/>
    <xf numFmtId="173" fontId="8" fillId="0" borderId="0" xfId="2391" applyNumberFormat="1" applyFont="1" applyFill="1" applyBorder="1"/>
    <xf numFmtId="5" fontId="8" fillId="0" borderId="1" xfId="2390" applyNumberFormat="1" applyFont="1" applyFill="1" applyBorder="1"/>
    <xf numFmtId="5" fontId="8" fillId="0" borderId="1" xfId="2391" applyNumberFormat="1" applyFont="1" applyBorder="1"/>
    <xf numFmtId="173" fontId="8" fillId="0" borderId="1" xfId="2391" applyNumberFormat="1" applyFont="1" applyFill="1" applyBorder="1"/>
    <xf numFmtId="174" fontId="7" fillId="0" borderId="0" xfId="2387" applyFont="1" applyFill="1" applyAlignment="1">
      <alignment horizontal="centerContinuous"/>
    </xf>
    <xf numFmtId="174" fontId="47" fillId="0" borderId="0" xfId="2387" applyFont="1" applyFill="1" applyAlignment="1">
      <alignment horizontal="centerContinuous"/>
    </xf>
    <xf numFmtId="174" fontId="47" fillId="0" borderId="0" xfId="2387" applyFont="1" applyAlignment="1">
      <alignment horizontal="centerContinuous"/>
    </xf>
    <xf numFmtId="175" fontId="7" fillId="0" borderId="0" xfId="2387" quotePrefix="1" applyNumberFormat="1" applyFont="1" applyAlignment="1">
      <alignment horizontal="centerContinuous"/>
    </xf>
    <xf numFmtId="174" fontId="47" fillId="0" borderId="0" xfId="2387" applyFont="1" applyFill="1"/>
    <xf numFmtId="174" fontId="7" fillId="0" borderId="1" xfId="2387" applyFont="1" applyFill="1" applyBorder="1" applyAlignment="1">
      <alignment horizontal="center"/>
    </xf>
    <xf numFmtId="174" fontId="47" fillId="0" borderId="1" xfId="2387" quotePrefix="1" applyFont="1" applyFill="1" applyBorder="1" applyAlignment="1">
      <alignment horizontal="center"/>
    </xf>
    <xf numFmtId="174" fontId="8" fillId="0" borderId="2" xfId="2387" applyFont="1" applyFill="1" applyBorder="1" applyAlignment="1">
      <alignment horizontal="center"/>
    </xf>
    <xf numFmtId="174" fontId="8" fillId="0" borderId="2" xfId="2387" quotePrefix="1" applyFont="1" applyFill="1" applyBorder="1" applyAlignment="1">
      <alignment horizontal="center"/>
    </xf>
    <xf numFmtId="174" fontId="8" fillId="0" borderId="0" xfId="2387" applyFont="1" applyFill="1"/>
    <xf numFmtId="177" fontId="8" fillId="0" borderId="0" xfId="2387" quotePrefix="1" applyNumberFormat="1" applyFont="1" applyFill="1"/>
    <xf numFmtId="177" fontId="8" fillId="0" borderId="6" xfId="2387" quotePrefix="1" applyNumberFormat="1" applyFont="1" applyFill="1" applyBorder="1"/>
    <xf numFmtId="176" fontId="8" fillId="0" borderId="0" xfId="2387" applyNumberFormat="1" applyFont="1" applyFill="1" applyBorder="1" applyAlignment="1">
      <alignment horizontal="center"/>
    </xf>
    <xf numFmtId="177" fontId="8" fillId="0" borderId="0" xfId="2387" quotePrefix="1" applyNumberFormat="1" applyFont="1" applyFill="1" applyBorder="1"/>
    <xf numFmtId="176" fontId="8" fillId="0" borderId="1" xfId="2387" applyNumberFormat="1" applyFont="1" applyFill="1" applyBorder="1" applyAlignment="1">
      <alignment horizontal="center"/>
    </xf>
    <xf numFmtId="177" fontId="8" fillId="0" borderId="1" xfId="2387" quotePrefix="1" applyNumberFormat="1" applyFont="1" applyFill="1" applyBorder="1"/>
    <xf numFmtId="177" fontId="8" fillId="0" borderId="0" xfId="2387" applyNumberFormat="1" applyFont="1" applyFill="1"/>
    <xf numFmtId="177" fontId="8" fillId="0" borderId="0" xfId="2387" applyNumberFormat="1" applyFont="1" applyFill="1" applyAlignment="1">
      <alignment horizontal="right"/>
    </xf>
    <xf numFmtId="177" fontId="7" fillId="0" borderId="4" xfId="2387" quotePrefix="1" applyNumberFormat="1" applyFont="1" applyFill="1" applyBorder="1"/>
    <xf numFmtId="174" fontId="28" fillId="0" borderId="0" xfId="2387" applyFont="1" applyFill="1" applyAlignment="1">
      <alignment horizontal="left"/>
    </xf>
    <xf numFmtId="174" fontId="101" fillId="0" borderId="0" xfId="2387" applyFont="1" applyFill="1"/>
    <xf numFmtId="176" fontId="8" fillId="0" borderId="6" xfId="2387" applyNumberFormat="1" applyFont="1" applyFill="1" applyBorder="1" applyAlignment="1">
      <alignment horizontal="center"/>
    </xf>
    <xf numFmtId="174" fontId="47" fillId="0" borderId="0" xfId="2387" applyFont="1" applyAlignment="1">
      <alignment horizontal="center"/>
    </xf>
    <xf numFmtId="174" fontId="47" fillId="0" borderId="0" xfId="2387" applyFont="1" applyFill="1" applyAlignment="1">
      <alignment horizontal="center"/>
    </xf>
    <xf numFmtId="174" fontId="47" fillId="0" borderId="0" xfId="2387" quotePrefix="1" applyFont="1" applyFill="1" applyBorder="1" applyAlignment="1">
      <alignment horizontal="center"/>
    </xf>
    <xf numFmtId="174" fontId="7" fillId="0" borderId="0" xfId="2387" applyFont="1" applyFill="1" applyAlignment="1">
      <alignment horizontal="center"/>
    </xf>
    <xf numFmtId="174" fontId="8" fillId="0" borderId="1" xfId="2387" quotePrefix="1" applyFont="1" applyFill="1" applyBorder="1" applyAlignment="1">
      <alignment horizontal="center"/>
    </xf>
    <xf numFmtId="174" fontId="8" fillId="0" borderId="0" xfId="2387" applyFont="1"/>
    <xf numFmtId="174" fontId="8" fillId="0" borderId="2" xfId="2394" quotePrefix="1" applyFont="1" applyFill="1" applyBorder="1" applyAlignment="1">
      <alignment horizontal="center"/>
    </xf>
    <xf numFmtId="174" fontId="8" fillId="0" borderId="2" xfId="2394" applyFont="1" applyFill="1" applyBorder="1" applyAlignment="1">
      <alignment horizontal="center"/>
    </xf>
    <xf numFmtId="176" fontId="8" fillId="0" borderId="0" xfId="2387" applyNumberFormat="1" applyFont="1" applyFill="1" applyAlignment="1"/>
    <xf numFmtId="177" fontId="8" fillId="0" borderId="0" xfId="2387" quotePrefix="1" applyNumberFormat="1" applyFont="1" applyFill="1" applyAlignment="1">
      <alignment horizontal="center"/>
    </xf>
    <xf numFmtId="176" fontId="8" fillId="0" borderId="0" xfId="2387" applyNumberFormat="1" applyFont="1" applyFill="1" applyAlignment="1">
      <alignment horizontal="center"/>
    </xf>
    <xf numFmtId="10" fontId="8" fillId="0" borderId="0" xfId="3" quotePrefix="1" applyNumberFormat="1" applyFont="1" applyFill="1"/>
    <xf numFmtId="177" fontId="7" fillId="0" borderId="4" xfId="2387" applyNumberFormat="1" applyFont="1" applyFill="1" applyBorder="1"/>
    <xf numFmtId="176" fontId="47" fillId="0" borderId="0" xfId="2387" applyNumberFormat="1" applyFont="1" applyFill="1" applyAlignment="1">
      <alignment horizontal="center"/>
    </xf>
    <xf numFmtId="178" fontId="47" fillId="0" borderId="0" xfId="2387" quotePrefix="1" applyNumberFormat="1" applyFont="1" applyFill="1"/>
    <xf numFmtId="179" fontId="47" fillId="0" borderId="0" xfId="3" quotePrefix="1" applyNumberFormat="1" applyFont="1" applyFill="1"/>
    <xf numFmtId="44" fontId="47" fillId="0" borderId="0" xfId="2387" quotePrefix="1" applyNumberFormat="1" applyFont="1" applyFill="1"/>
    <xf numFmtId="174" fontId="28" fillId="0" borderId="0" xfId="2387" applyFont="1" applyFill="1" applyAlignment="1">
      <alignment horizontal="centerContinuous"/>
    </xf>
    <xf numFmtId="174" fontId="28" fillId="0" borderId="0" xfId="2387" applyFont="1"/>
    <xf numFmtId="174" fontId="28" fillId="0" borderId="0" xfId="2387" applyFont="1" applyFill="1"/>
    <xf numFmtId="174" fontId="28" fillId="0" borderId="0" xfId="2387" applyFont="1" applyAlignment="1">
      <alignment horizontal="center"/>
    </xf>
    <xf numFmtId="174" fontId="28" fillId="0" borderId="0" xfId="2387" applyFont="1" applyFill="1" applyAlignment="1">
      <alignment horizontal="center"/>
    </xf>
    <xf numFmtId="174" fontId="7" fillId="0" borderId="0" xfId="2387" applyFont="1"/>
    <xf numFmtId="174" fontId="7" fillId="0" borderId="0" xfId="2387" applyFont="1" applyAlignment="1">
      <alignment horizontal="center"/>
    </xf>
    <xf numFmtId="174" fontId="7" fillId="0" borderId="1" xfId="2387" applyFont="1" applyBorder="1" applyAlignment="1">
      <alignment horizontal="center"/>
    </xf>
    <xf numFmtId="174" fontId="8" fillId="0" borderId="1" xfId="2387" applyFont="1" applyBorder="1" applyAlignment="1">
      <alignment horizontal="center"/>
    </xf>
    <xf numFmtId="174" fontId="8" fillId="0" borderId="1" xfId="2394" quotePrefix="1" applyFont="1" applyFill="1" applyBorder="1" applyAlignment="1">
      <alignment horizontal="center"/>
    </xf>
    <xf numFmtId="174" fontId="7" fillId="0" borderId="0" xfId="2387" applyFont="1" applyAlignment="1">
      <alignment horizontal="centerContinuous"/>
    </xf>
    <xf numFmtId="174" fontId="8" fillId="0" borderId="2" xfId="2387" applyFont="1" applyBorder="1" applyAlignment="1">
      <alignment horizontal="center"/>
    </xf>
    <xf numFmtId="176" fontId="8" fillId="0" borderId="4" xfId="2387" applyNumberFormat="1" applyFont="1" applyFill="1" applyBorder="1" applyAlignment="1"/>
    <xf numFmtId="6" fontId="8" fillId="0" borderId="3" xfId="2391" applyNumberFormat="1" applyFont="1" applyFill="1" applyBorder="1"/>
    <xf numFmtId="5" fontId="8" fillId="0" borderId="3" xfId="2391" applyNumberFormat="1" applyFont="1" applyFill="1" applyBorder="1"/>
    <xf numFmtId="173" fontId="8" fillId="0" borderId="0" xfId="2391" applyNumberFormat="1" applyFont="1" applyBorder="1"/>
    <xf numFmtId="173" fontId="8" fillId="0" borderId="1" xfId="2391" applyNumberFormat="1" applyFont="1" applyBorder="1"/>
    <xf numFmtId="5" fontId="105" fillId="0" borderId="1" xfId="0" applyNumberFormat="1" applyFont="1" applyFill="1" applyBorder="1"/>
    <xf numFmtId="173" fontId="8" fillId="0" borderId="0" xfId="1" applyNumberFormat="1" applyFont="1" applyBorder="1"/>
    <xf numFmtId="173" fontId="8" fillId="0" borderId="1" xfId="1" applyNumberFormat="1" applyFont="1" applyBorder="1"/>
    <xf numFmtId="173" fontId="8" fillId="0" borderId="6" xfId="1" applyNumberFormat="1" applyFont="1" applyBorder="1"/>
    <xf numFmtId="173" fontId="8" fillId="0" borderId="3" xfId="1" applyNumberFormat="1" applyFont="1" applyBorder="1"/>
    <xf numFmtId="173" fontId="8" fillId="0" borderId="0" xfId="1" applyNumberFormat="1" applyFont="1"/>
    <xf numFmtId="173" fontId="8" fillId="0" borderId="0" xfId="1" applyNumberFormat="1" applyFont="1" applyFill="1" applyBorder="1"/>
    <xf numFmtId="173" fontId="8" fillId="0" borderId="1" xfId="1" applyNumberFormat="1" applyFont="1" applyFill="1" applyBorder="1"/>
    <xf numFmtId="173" fontId="96" fillId="0" borderId="0" xfId="0" applyNumberFormat="1" applyFont="1" applyFill="1" applyBorder="1"/>
    <xf numFmtId="5" fontId="105" fillId="0" borderId="0" xfId="0" applyNumberFormat="1" applyFont="1" applyFill="1" applyBorder="1"/>
    <xf numFmtId="5" fontId="105" fillId="0" borderId="0" xfId="0" applyNumberFormat="1" applyFont="1" applyFill="1"/>
    <xf numFmtId="180" fontId="96" fillId="0" borderId="36" xfId="1" applyNumberFormat="1" applyFont="1" applyFill="1" applyBorder="1"/>
    <xf numFmtId="180" fontId="96" fillId="0" borderId="0" xfId="1" applyNumberFormat="1" applyFont="1" applyFill="1" applyBorder="1"/>
    <xf numFmtId="180" fontId="96" fillId="0" borderId="30" xfId="1" applyNumberFormat="1" applyFont="1" applyFill="1" applyBorder="1"/>
    <xf numFmtId="180" fontId="110" fillId="0" borderId="36" xfId="1" applyNumberFormat="1" applyFont="1" applyFill="1" applyBorder="1"/>
    <xf numFmtId="180" fontId="110" fillId="0" borderId="0" xfId="1" applyNumberFormat="1" applyFont="1" applyFill="1" applyBorder="1"/>
    <xf numFmtId="180" fontId="110" fillId="0" borderId="37" xfId="1" applyNumberFormat="1" applyFont="1" applyFill="1" applyBorder="1"/>
    <xf numFmtId="180" fontId="110" fillId="0" borderId="1" xfId="1" applyNumberFormat="1" applyFont="1" applyFill="1" applyBorder="1"/>
    <xf numFmtId="180" fontId="96" fillId="0" borderId="38" xfId="1" applyNumberFormat="1" applyFont="1" applyFill="1" applyBorder="1"/>
    <xf numFmtId="180" fontId="96" fillId="0" borderId="37" xfId="1" applyNumberFormat="1" applyFont="1" applyFill="1" applyBorder="1"/>
    <xf numFmtId="180" fontId="96" fillId="0" borderId="1" xfId="1" applyNumberFormat="1" applyFont="1" applyFill="1" applyBorder="1"/>
    <xf numFmtId="180" fontId="96" fillId="0" borderId="16" xfId="1" applyNumberFormat="1" applyFont="1" applyFill="1" applyBorder="1"/>
    <xf numFmtId="180" fontId="96" fillId="0" borderId="2" xfId="1" applyNumberFormat="1" applyFont="1" applyFill="1" applyBorder="1"/>
    <xf numFmtId="180" fontId="96" fillId="0" borderId="17" xfId="1" applyNumberFormat="1" applyFont="1" applyFill="1" applyBorder="1"/>
    <xf numFmtId="180" fontId="96" fillId="61" borderId="16" xfId="1" applyNumberFormat="1" applyFont="1" applyFill="1" applyBorder="1"/>
    <xf numFmtId="180" fontId="96" fillId="61" borderId="2" xfId="1" applyNumberFormat="1" applyFont="1" applyFill="1" applyBorder="1"/>
    <xf numFmtId="180" fontId="96" fillId="61" borderId="17" xfId="1" applyNumberFormat="1" applyFont="1" applyFill="1" applyBorder="1"/>
    <xf numFmtId="180" fontId="96" fillId="61" borderId="36" xfId="1" applyNumberFormat="1" applyFont="1" applyFill="1" applyBorder="1"/>
    <xf numFmtId="180" fontId="96" fillId="61" borderId="0" xfId="1" applyNumberFormat="1" applyFont="1" applyFill="1" applyBorder="1"/>
    <xf numFmtId="180" fontId="96" fillId="61" borderId="30" xfId="1" applyNumberFormat="1" applyFont="1" applyFill="1" applyBorder="1"/>
    <xf numFmtId="180" fontId="96" fillId="61" borderId="37" xfId="1" applyNumberFormat="1" applyFont="1" applyFill="1" applyBorder="1"/>
    <xf numFmtId="180" fontId="96" fillId="61" borderId="1" xfId="1" applyNumberFormat="1" applyFont="1" applyFill="1" applyBorder="1"/>
    <xf numFmtId="180" fontId="96" fillId="61" borderId="38" xfId="1" applyNumberFormat="1" applyFont="1" applyFill="1" applyBorder="1"/>
    <xf numFmtId="180" fontId="96" fillId="60" borderId="36" xfId="1" applyNumberFormat="1" applyFont="1" applyFill="1" applyBorder="1"/>
    <xf numFmtId="180" fontId="96" fillId="60" borderId="0" xfId="1" applyNumberFormat="1" applyFont="1" applyFill="1" applyBorder="1"/>
    <xf numFmtId="180" fontId="96" fillId="60" borderId="30" xfId="1" applyNumberFormat="1" applyFont="1" applyFill="1" applyBorder="1"/>
    <xf numFmtId="180" fontId="96" fillId="60" borderId="37" xfId="1" applyNumberFormat="1" applyFont="1" applyFill="1" applyBorder="1"/>
    <xf numFmtId="180" fontId="96" fillId="60" borderId="1" xfId="1" applyNumberFormat="1" applyFont="1" applyFill="1" applyBorder="1"/>
    <xf numFmtId="180" fontId="96" fillId="60" borderId="38" xfId="1" applyNumberFormat="1" applyFont="1" applyFill="1" applyBorder="1"/>
    <xf numFmtId="180" fontId="96" fillId="60" borderId="37" xfId="0" applyNumberFormat="1" applyFont="1" applyFill="1" applyBorder="1"/>
    <xf numFmtId="180" fontId="96" fillId="60" borderId="1" xfId="0" applyNumberFormat="1" applyFont="1" applyFill="1" applyBorder="1"/>
    <xf numFmtId="180" fontId="96" fillId="60" borderId="38" xfId="0" applyNumberFormat="1" applyFont="1" applyFill="1" applyBorder="1"/>
    <xf numFmtId="180" fontId="96" fillId="0" borderId="37" xfId="0" applyNumberFormat="1" applyFont="1" applyFill="1" applyBorder="1"/>
    <xf numFmtId="180" fontId="96" fillId="0" borderId="1" xfId="0" applyNumberFormat="1" applyFont="1" applyFill="1" applyBorder="1"/>
    <xf numFmtId="180" fontId="96" fillId="0" borderId="38" xfId="0" applyNumberFormat="1" applyFont="1" applyFill="1" applyBorder="1"/>
    <xf numFmtId="180" fontId="96" fillId="60" borderId="16" xfId="0" applyNumberFormat="1" applyFont="1" applyFill="1" applyBorder="1"/>
    <xf numFmtId="180" fontId="96" fillId="60" borderId="2" xfId="0" applyNumberFormat="1" applyFont="1" applyFill="1" applyBorder="1"/>
    <xf numFmtId="180" fontId="96" fillId="60" borderId="17" xfId="0" applyNumberFormat="1" applyFont="1" applyFill="1" applyBorder="1"/>
    <xf numFmtId="180" fontId="96" fillId="0" borderId="16" xfId="0" applyNumberFormat="1" applyFont="1" applyFill="1" applyBorder="1"/>
    <xf numFmtId="180" fontId="96" fillId="0" borderId="2" xfId="0" applyNumberFormat="1" applyFont="1" applyFill="1" applyBorder="1"/>
    <xf numFmtId="180" fontId="96" fillId="0" borderId="17" xfId="0" applyNumberFormat="1" applyFont="1" applyFill="1" applyBorder="1"/>
    <xf numFmtId="180" fontId="96" fillId="0" borderId="34" xfId="1" applyNumberFormat="1" applyFont="1" applyFill="1" applyBorder="1"/>
    <xf numFmtId="0" fontId="0" fillId="74" borderId="0" xfId="0" applyFill="1"/>
    <xf numFmtId="173" fontId="105" fillId="0" borderId="0" xfId="1" applyNumberFormat="1" applyFont="1"/>
    <xf numFmtId="0" fontId="7" fillId="0" borderId="0" xfId="0" applyFont="1" applyFill="1" applyAlignment="1">
      <alignment horizontal="centerContinuous"/>
    </xf>
    <xf numFmtId="174" fontId="8" fillId="0" borderId="0" xfId="2387" applyFont="1" applyFill="1" applyAlignment="1">
      <alignment horizontal="centerContinuous"/>
    </xf>
    <xf numFmtId="0" fontId="7" fillId="59" borderId="0" xfId="2388" applyFont="1" applyFill="1" applyAlignment="1">
      <alignment horizontal="center"/>
    </xf>
    <xf numFmtId="0" fontId="7" fillId="59" borderId="0" xfId="2388" applyFont="1" applyFill="1" applyAlignment="1"/>
    <xf numFmtId="0" fontId="7" fillId="59" borderId="0" xfId="2388" applyFont="1" applyFill="1" applyAlignment="1">
      <alignment horizontal="centerContinuous"/>
    </xf>
    <xf numFmtId="0" fontId="47" fillId="59" borderId="0" xfId="2388" applyFont="1" applyFill="1" applyAlignment="1">
      <alignment horizontal="centerContinuous"/>
    </xf>
    <xf numFmtId="0" fontId="99" fillId="0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37" fontId="0" fillId="0" borderId="0" xfId="0" applyNumberFormat="1"/>
    <xf numFmtId="0" fontId="0" fillId="62" borderId="0" xfId="0" applyFill="1"/>
    <xf numFmtId="0" fontId="0" fillId="65" borderId="0" xfId="0" applyFill="1"/>
    <xf numFmtId="0" fontId="0" fillId="64" borderId="0" xfId="0" applyFill="1"/>
    <xf numFmtId="0" fontId="0" fillId="60" borderId="0" xfId="0" applyFill="1"/>
    <xf numFmtId="37" fontId="0" fillId="68" borderId="0" xfId="0" applyNumberFormat="1" applyFill="1"/>
    <xf numFmtId="37" fontId="0" fillId="67" borderId="0" xfId="0" applyNumberFormat="1" applyFill="1"/>
    <xf numFmtId="0" fontId="0" fillId="75" borderId="0" xfId="0" applyFill="1"/>
    <xf numFmtId="5" fontId="8" fillId="0" borderId="1" xfId="0" applyNumberFormat="1" applyFont="1" applyFill="1" applyBorder="1"/>
    <xf numFmtId="0" fontId="6" fillId="72" borderId="0" xfId="4" applyFill="1"/>
    <xf numFmtId="0" fontId="10" fillId="72" borderId="0" xfId="4" applyFont="1" applyFill="1"/>
    <xf numFmtId="0" fontId="7" fillId="0" borderId="1" xfId="0" quotePrefix="1" applyFont="1" applyFill="1" applyBorder="1" applyAlignment="1">
      <alignment horizontal="center"/>
    </xf>
    <xf numFmtId="164" fontId="6" fillId="0" borderId="0" xfId="1" applyNumberFormat="1" applyFill="1"/>
    <xf numFmtId="164" fontId="7" fillId="0" borderId="0" xfId="2391" quotePrefix="1" applyNumberFormat="1" applyFont="1" applyFill="1" applyAlignment="1">
      <alignment horizontal="center" wrapText="1"/>
    </xf>
    <xf numFmtId="37" fontId="0" fillId="0" borderId="16" xfId="0" applyNumberFormat="1" applyBorder="1"/>
    <xf numFmtId="37" fontId="0" fillId="0" borderId="2" xfId="0" applyNumberFormat="1" applyBorder="1"/>
    <xf numFmtId="37" fontId="0" fillId="0" borderId="17" xfId="0" applyNumberFormat="1" applyBorder="1"/>
    <xf numFmtId="0" fontId="0" fillId="0" borderId="43" xfId="0" applyBorder="1"/>
    <xf numFmtId="37" fontId="0" fillId="0" borderId="44" xfId="0" applyNumberFormat="1" applyBorder="1"/>
    <xf numFmtId="37" fontId="0" fillId="0" borderId="42" xfId="0" applyNumberFormat="1" applyBorder="1"/>
    <xf numFmtId="37" fontId="0" fillId="0" borderId="43" xfId="0" applyNumberFormat="1" applyBorder="1"/>
    <xf numFmtId="0" fontId="99" fillId="0" borderId="1" xfId="0" applyFont="1" applyFill="1" applyBorder="1" applyAlignment="1">
      <alignment horizontal="center"/>
    </xf>
    <xf numFmtId="181" fontId="0" fillId="0" borderId="0" xfId="0" applyNumberFormat="1"/>
    <xf numFmtId="37" fontId="0" fillId="0" borderId="45" xfId="0" applyNumberFormat="1" applyBorder="1"/>
    <xf numFmtId="37" fontId="0" fillId="0" borderId="0" xfId="0" applyNumberFormat="1" applyFill="1" applyBorder="1"/>
    <xf numFmtId="49" fontId="0" fillId="62" borderId="0" xfId="0" applyNumberFormat="1" applyFill="1"/>
    <xf numFmtId="0" fontId="6" fillId="62" borderId="0" xfId="0" applyFont="1" applyFill="1"/>
    <xf numFmtId="0" fontId="6" fillId="60" borderId="0" xfId="0" applyFont="1" applyFill="1"/>
    <xf numFmtId="164" fontId="6" fillId="0" borderId="0" xfId="4" applyNumberFormat="1"/>
    <xf numFmtId="164" fontId="6" fillId="0" borderId="1" xfId="1" applyNumberFormat="1" applyFill="1" applyBorder="1"/>
    <xf numFmtId="0" fontId="6" fillId="0" borderId="0" xfId="0" applyFont="1"/>
    <xf numFmtId="5" fontId="8" fillId="0" borderId="0" xfId="0" applyNumberFormat="1" applyFont="1" applyFill="1"/>
    <xf numFmtId="17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5" fontId="8" fillId="0" borderId="0" xfId="0" applyNumberFormat="1" applyFont="1" applyFill="1" applyBorder="1"/>
    <xf numFmtId="0" fontId="0" fillId="76" borderId="0" xfId="0" applyFill="1"/>
    <xf numFmtId="0" fontId="99" fillId="0" borderId="1" xfId="0" applyFont="1" applyFill="1" applyBorder="1" applyAlignment="1">
      <alignment horizontal="center"/>
    </xf>
    <xf numFmtId="173" fontId="8" fillId="0" borderId="0" xfId="0" applyNumberFormat="1" applyFont="1"/>
    <xf numFmtId="0" fontId="96" fillId="0" borderId="0" xfId="2390" applyFont="1"/>
    <xf numFmtId="0" fontId="8" fillId="0" borderId="0" xfId="2390" applyFont="1"/>
    <xf numFmtId="5" fontId="8" fillId="0" borderId="0" xfId="5" applyNumberFormat="1" applyFont="1" applyFill="1"/>
    <xf numFmtId="173" fontId="8" fillId="0" borderId="0" xfId="2391" applyNumberFormat="1" applyFont="1" applyFill="1"/>
    <xf numFmtId="5" fontId="8" fillId="0" borderId="1" xfId="5" applyNumberFormat="1" applyFont="1" applyFill="1" applyBorder="1"/>
    <xf numFmtId="0" fontId="8" fillId="0" borderId="0" xfId="2390" applyFont="1" applyFill="1"/>
    <xf numFmtId="7" fontId="8" fillId="0" borderId="0" xfId="2390" applyNumberFormat="1" applyFont="1"/>
    <xf numFmtId="172" fontId="8" fillId="0" borderId="0" xfId="2390" applyNumberFormat="1" applyFont="1"/>
    <xf numFmtId="174" fontId="47" fillId="0" borderId="0" xfId="2387" applyFont="1" applyFill="1" applyAlignment="1">
      <alignment horizontal="left"/>
    </xf>
    <xf numFmtId="10" fontId="8" fillId="0" borderId="1" xfId="3" quotePrefix="1" applyNumberFormat="1" applyFont="1" applyFill="1" applyBorder="1"/>
    <xf numFmtId="174" fontId="6" fillId="0" borderId="0" xfId="2387" applyFont="1" applyFill="1"/>
    <xf numFmtId="174" fontId="6" fillId="0" borderId="0" xfId="2387" applyFont="1"/>
    <xf numFmtId="1" fontId="6" fillId="0" borderId="0" xfId="2387" applyNumberFormat="1" applyFont="1"/>
    <xf numFmtId="0" fontId="6" fillId="0" borderId="0" xfId="0" applyFont="1" applyFill="1"/>
    <xf numFmtId="37" fontId="49" fillId="0" borderId="0" xfId="0" applyNumberFormat="1" applyFont="1" applyFill="1"/>
    <xf numFmtId="10" fontId="6" fillId="0" borderId="0" xfId="0" applyNumberFormat="1" applyFont="1" applyFill="1"/>
    <xf numFmtId="10" fontId="49" fillId="0" borderId="0" xfId="0" applyNumberFormat="1" applyFont="1" applyFill="1"/>
    <xf numFmtId="179" fontId="8" fillId="0" borderId="1" xfId="3" applyNumberFormat="1" applyFont="1" applyFill="1" applyBorder="1"/>
    <xf numFmtId="37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5" fontId="6" fillId="0" borderId="0" xfId="2" applyNumberFormat="1" applyFont="1" applyFill="1" applyBorder="1"/>
    <xf numFmtId="5" fontId="6" fillId="0" borderId="0" xfId="0" applyNumberFormat="1" applyFont="1" applyFill="1"/>
    <xf numFmtId="5" fontId="6" fillId="0" borderId="0" xfId="0" applyNumberFormat="1" applyFont="1" applyFill="1" applyBorder="1"/>
    <xf numFmtId="0" fontId="102" fillId="0" borderId="0" xfId="0" applyFont="1" applyFill="1" applyAlignment="1">
      <alignment horizontal="center"/>
    </xf>
    <xf numFmtId="0" fontId="105" fillId="0" borderId="0" xfId="0" applyFont="1" applyFill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6" fillId="0" borderId="0" xfId="0" applyFont="1" applyFill="1" applyBorder="1"/>
    <xf numFmtId="5" fontId="102" fillId="0" borderId="0" xfId="0" applyNumberFormat="1" applyFont="1" applyFill="1" applyBorder="1"/>
    <xf numFmtId="5" fontId="102" fillId="0" borderId="0" xfId="0" applyNumberFormat="1" applyFont="1" applyFill="1"/>
    <xf numFmtId="0" fontId="105" fillId="0" borderId="0" xfId="0" applyFont="1" applyAlignment="1">
      <alignment horizontal="center"/>
    </xf>
    <xf numFmtId="0" fontId="105" fillId="0" borderId="0" xfId="0" applyFont="1"/>
    <xf numFmtId="173" fontId="105" fillId="0" borderId="0" xfId="1" applyNumberFormat="1" applyFont="1" applyBorder="1"/>
    <xf numFmtId="10" fontId="105" fillId="0" borderId="0" xfId="3" applyNumberFormat="1" applyFont="1" applyFill="1" applyAlignment="1">
      <alignment horizontal="center"/>
    </xf>
    <xf numFmtId="173" fontId="105" fillId="0" borderId="0" xfId="1" applyNumberFormat="1" applyFont="1" applyFill="1" applyBorder="1"/>
    <xf numFmtId="0" fontId="105" fillId="0" borderId="0" xfId="0" quotePrefix="1" applyFont="1" applyAlignment="1">
      <alignment horizontal="left"/>
    </xf>
    <xf numFmtId="173" fontId="105" fillId="0" borderId="1" xfId="1" applyNumberFormat="1" applyFont="1" applyBorder="1"/>
    <xf numFmtId="173" fontId="105" fillId="0" borderId="1" xfId="1" applyNumberFormat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quotePrefix="1" applyFont="1" applyBorder="1" applyAlignment="1">
      <alignment horizontal="left"/>
    </xf>
    <xf numFmtId="10" fontId="8" fillId="0" borderId="0" xfId="3" applyNumberFormat="1" applyFont="1" applyFill="1" applyBorder="1" applyAlignment="1">
      <alignment horizontal="center"/>
    </xf>
    <xf numFmtId="173" fontId="105" fillId="0" borderId="6" xfId="1" applyNumberFormat="1" applyFont="1" applyBorder="1"/>
    <xf numFmtId="0" fontId="111" fillId="0" borderId="0" xfId="0" applyFont="1" applyFill="1" applyAlignment="1">
      <alignment horizontal="center"/>
    </xf>
    <xf numFmtId="0" fontId="103" fillId="0" borderId="0" xfId="0" applyFont="1" applyFill="1"/>
    <xf numFmtId="0" fontId="6" fillId="0" borderId="0" xfId="2389"/>
    <xf numFmtId="17" fontId="6" fillId="0" borderId="0" xfId="2389" applyNumberFormat="1"/>
    <xf numFmtId="17" fontId="6" fillId="0" borderId="0" xfId="2389" applyNumberFormat="1" applyAlignment="1">
      <alignment horizontal="right"/>
    </xf>
    <xf numFmtId="180" fontId="6" fillId="0" borderId="0" xfId="0" applyNumberFormat="1" applyFont="1"/>
    <xf numFmtId="5" fontId="112" fillId="0" borderId="0" xfId="0" applyNumberFormat="1" applyFont="1" applyFill="1"/>
    <xf numFmtId="5" fontId="112" fillId="0" borderId="0" xfId="0" applyNumberFormat="1" applyFont="1" applyFill="1" applyBorder="1"/>
    <xf numFmtId="5" fontId="112" fillId="0" borderId="1" xfId="0" applyNumberFormat="1" applyFont="1" applyFill="1" applyBorder="1"/>
    <xf numFmtId="0" fontId="90" fillId="0" borderId="0" xfId="0" applyFont="1" applyAlignment="1">
      <alignment horizontal="center"/>
    </xf>
    <xf numFmtId="0" fontId="113" fillId="0" borderId="0" xfId="0" applyFont="1"/>
    <xf numFmtId="173" fontId="90" fillId="0" borderId="3" xfId="1" applyNumberFormat="1" applyFont="1" applyBorder="1"/>
    <xf numFmtId="0" fontId="90" fillId="0" borderId="0" xfId="0" applyFont="1"/>
    <xf numFmtId="173" fontId="112" fillId="0" borderId="0" xfId="1" applyNumberFormat="1" applyFont="1" applyFill="1" applyBorder="1"/>
    <xf numFmtId="173" fontId="112" fillId="0" borderId="1" xfId="1" applyNumberFormat="1" applyFont="1" applyFill="1" applyBorder="1"/>
    <xf numFmtId="173" fontId="112" fillId="0" borderId="0" xfId="1" applyNumberFormat="1" applyFont="1"/>
    <xf numFmtId="173" fontId="90" fillId="0" borderId="0" xfId="1" applyNumberFormat="1" applyFont="1" applyFill="1" applyBorder="1"/>
    <xf numFmtId="173" fontId="112" fillId="0" borderId="0" xfId="1" applyNumberFormat="1" applyFont="1" applyBorder="1"/>
    <xf numFmtId="173" fontId="112" fillId="0" borderId="1" xfId="1" applyNumberFormat="1" applyFont="1" applyBorder="1"/>
    <xf numFmtId="0" fontId="114" fillId="0" borderId="0" xfId="0" applyFont="1" applyFill="1" applyAlignment="1">
      <alignment horizontal="center" wrapText="1"/>
    </xf>
    <xf numFmtId="0" fontId="114" fillId="0" borderId="0" xfId="0" applyFont="1" applyFill="1" applyAlignment="1">
      <alignment horizontal="center"/>
    </xf>
    <xf numFmtId="0" fontId="114" fillId="0" borderId="1" xfId="0" applyFont="1" applyFill="1" applyBorder="1" applyAlignment="1">
      <alignment horizontal="center"/>
    </xf>
    <xf numFmtId="167" fontId="115" fillId="0" borderId="0" xfId="0" applyNumberFormat="1" applyFont="1" applyFill="1" applyAlignment="1">
      <alignment horizontal="center"/>
    </xf>
    <xf numFmtId="0" fontId="115" fillId="0" borderId="0" xfId="0" applyFont="1" applyFill="1" applyAlignment="1">
      <alignment horizontal="center"/>
    </xf>
    <xf numFmtId="0" fontId="115" fillId="0" borderId="0" xfId="0" applyFont="1" applyFill="1"/>
    <xf numFmtId="164" fontId="115" fillId="0" borderId="0" xfId="1" applyNumberFormat="1" applyFont="1" applyFill="1"/>
    <xf numFmtId="0" fontId="0" fillId="0" borderId="42" xfId="0" applyBorder="1"/>
    <xf numFmtId="169" fontId="0" fillId="0" borderId="42" xfId="0" applyNumberFormat="1" applyBorder="1"/>
    <xf numFmtId="0" fontId="6" fillId="0" borderId="42" xfId="0" applyFont="1" applyBorder="1"/>
    <xf numFmtId="165" fontId="0" fillId="0" borderId="42" xfId="0" applyNumberFormat="1" applyBorder="1"/>
    <xf numFmtId="0" fontId="0" fillId="0" borderId="46" xfId="0" applyBorder="1"/>
    <xf numFmtId="165" fontId="0" fillId="0" borderId="46" xfId="0" applyNumberFormat="1" applyBorder="1"/>
    <xf numFmtId="0" fontId="6" fillId="0" borderId="45" xfId="0" applyFont="1" applyBorder="1"/>
    <xf numFmtId="0" fontId="0" fillId="0" borderId="45" xfId="0" applyBorder="1"/>
    <xf numFmtId="165" fontId="0" fillId="0" borderId="45" xfId="2" applyNumberFormat="1" applyFont="1" applyBorder="1"/>
    <xf numFmtId="165" fontId="0" fillId="0" borderId="45" xfId="0" applyNumberFormat="1" applyBorder="1"/>
    <xf numFmtId="44" fontId="0" fillId="0" borderId="0" xfId="2" applyFont="1"/>
    <xf numFmtId="0" fontId="2" fillId="0" borderId="0" xfId="2395"/>
    <xf numFmtId="0" fontId="2" fillId="0" borderId="0" xfId="2395" applyAlignment="1">
      <alignment horizontal="left"/>
    </xf>
    <xf numFmtId="41" fontId="0" fillId="0" borderId="0" xfId="1" applyNumberFormat="1" applyFont="1"/>
    <xf numFmtId="41" fontId="2" fillId="0" borderId="0" xfId="2395" applyNumberFormat="1"/>
    <xf numFmtId="41" fontId="8" fillId="0" borderId="0" xfId="0" applyNumberFormat="1" applyFont="1" applyFill="1"/>
    <xf numFmtId="0" fontId="1" fillId="0" borderId="0" xfId="2396"/>
    <xf numFmtId="0" fontId="116" fillId="0" borderId="0" xfId="2396" applyFont="1"/>
    <xf numFmtId="0" fontId="1" fillId="0" borderId="0" xfId="2396" applyAlignment="1">
      <alignment vertical="top" wrapText="1"/>
    </xf>
    <xf numFmtId="164" fontId="1" fillId="0" borderId="0" xfId="2396" applyNumberFormat="1"/>
    <xf numFmtId="14" fontId="1" fillId="0" borderId="0" xfId="2396" applyNumberFormat="1"/>
    <xf numFmtId="14" fontId="1" fillId="0" borderId="0" xfId="2396" applyNumberFormat="1" applyAlignment="1">
      <alignment vertical="top"/>
    </xf>
    <xf numFmtId="0" fontId="1" fillId="0" borderId="0" xfId="2396" applyAlignment="1">
      <alignment vertical="top"/>
    </xf>
    <xf numFmtId="0" fontId="26" fillId="63" borderId="41" xfId="2396" applyFont="1" applyFill="1" applyBorder="1" applyAlignment="1">
      <alignment vertical="top"/>
    </xf>
    <xf numFmtId="164" fontId="26" fillId="63" borderId="41" xfId="2396" applyNumberFormat="1" applyFont="1" applyFill="1" applyBorder="1" applyAlignment="1">
      <alignment vertical="top"/>
    </xf>
    <xf numFmtId="0" fontId="26" fillId="63" borderId="4" xfId="2396" applyFont="1" applyFill="1" applyBorder="1" applyAlignment="1">
      <alignment vertical="top"/>
    </xf>
    <xf numFmtId="164" fontId="26" fillId="63" borderId="4" xfId="2396" applyNumberFormat="1" applyFont="1" applyFill="1" applyBorder="1" applyAlignment="1">
      <alignment vertical="top"/>
    </xf>
    <xf numFmtId="0" fontId="1" fillId="64" borderId="0" xfId="2396" applyFill="1"/>
    <xf numFmtId="0" fontId="1" fillId="77" borderId="0" xfId="2396" applyFill="1"/>
    <xf numFmtId="0" fontId="1" fillId="62" borderId="0" xfId="2396" applyFill="1"/>
    <xf numFmtId="0" fontId="99" fillId="0" borderId="1" xfId="0" applyFont="1" applyFill="1" applyBorder="1" applyAlignment="1">
      <alignment horizontal="center"/>
    </xf>
    <xf numFmtId="0" fontId="110" fillId="0" borderId="0" xfId="2390" applyFont="1"/>
    <xf numFmtId="0" fontId="105" fillId="0" borderId="0" xfId="2390" applyFont="1" applyAlignment="1">
      <alignment horizontal="center" vertical="center" wrapText="1"/>
    </xf>
    <xf numFmtId="0" fontId="105" fillId="0" borderId="0" xfId="2390" applyFont="1"/>
    <xf numFmtId="7" fontId="105" fillId="0" borderId="0" xfId="2391" applyNumberFormat="1" applyFont="1" applyFill="1"/>
    <xf numFmtId="5" fontId="105" fillId="0" borderId="0" xfId="2390" applyNumberFormat="1" applyFont="1" applyFill="1"/>
    <xf numFmtId="9" fontId="105" fillId="0" borderId="0" xfId="3" applyFont="1"/>
    <xf numFmtId="172" fontId="105" fillId="0" borderId="0" xfId="2390" applyNumberFormat="1" applyFont="1"/>
    <xf numFmtId="0" fontId="110" fillId="0" borderId="0" xfId="0" applyFont="1" applyFill="1"/>
    <xf numFmtId="165" fontId="110" fillId="0" borderId="0" xfId="2" applyNumberFormat="1" applyFont="1" applyFill="1"/>
    <xf numFmtId="164" fontId="47" fillId="0" borderId="0" xfId="0" applyNumberFormat="1" applyFont="1" applyFill="1" applyAlignment="1">
      <alignment horizontal="right"/>
    </xf>
    <xf numFmtId="43" fontId="6" fillId="0" borderId="0" xfId="4" applyNumberFormat="1"/>
    <xf numFmtId="43" fontId="6" fillId="0" borderId="0" xfId="1" applyNumberFormat="1" applyFill="1"/>
    <xf numFmtId="0" fontId="0" fillId="0" borderId="0" xfId="0" applyAlignment="1"/>
    <xf numFmtId="164" fontId="110" fillId="0" borderId="0" xfId="0" applyNumberFormat="1" applyFont="1" applyFill="1"/>
    <xf numFmtId="180" fontId="110" fillId="0" borderId="0" xfId="0" applyNumberFormat="1" applyFont="1" applyFill="1"/>
    <xf numFmtId="0" fontId="0" fillId="0" borderId="0" xfId="0" applyAlignment="1">
      <alignment horizontal="left"/>
    </xf>
    <xf numFmtId="9" fontId="105" fillId="0" borderId="0" xfId="3" applyFont="1" applyAlignment="1">
      <alignment horizontal="center"/>
    </xf>
    <xf numFmtId="0" fontId="105" fillId="0" borderId="0" xfId="2390" applyFont="1" applyAlignment="1">
      <alignment horizontal="center" wrapText="1"/>
    </xf>
    <xf numFmtId="43" fontId="96" fillId="0" borderId="0" xfId="1" applyFont="1" applyFill="1"/>
    <xf numFmtId="164" fontId="103" fillId="0" borderId="0" xfId="0" applyNumberFormat="1" applyFont="1" applyFill="1"/>
    <xf numFmtId="164" fontId="47" fillId="0" borderId="0" xfId="1" applyNumberFormat="1" applyFont="1" applyFill="1" applyBorder="1"/>
    <xf numFmtId="165" fontId="6" fillId="0" borderId="0" xfId="2" applyNumberFormat="1"/>
    <xf numFmtId="165" fontId="6" fillId="0" borderId="6" xfId="2" applyNumberFormat="1" applyBorder="1"/>
    <xf numFmtId="0" fontId="11" fillId="0" borderId="0" xfId="2389" applyFont="1"/>
    <xf numFmtId="5" fontId="8" fillId="0" borderId="6" xfId="0" applyNumberFormat="1" applyFont="1" applyFill="1" applyBorder="1"/>
    <xf numFmtId="166" fontId="110" fillId="0" borderId="0" xfId="3" applyNumberFormat="1" applyFont="1" applyFill="1" applyAlignment="1">
      <alignment horizontal="right"/>
    </xf>
    <xf numFmtId="44" fontId="110" fillId="0" borderId="0" xfId="2" applyFont="1" applyFill="1" applyAlignment="1">
      <alignment horizontal="right"/>
    </xf>
    <xf numFmtId="180" fontId="95" fillId="0" borderId="0" xfId="0" applyNumberFormat="1" applyFont="1" applyFill="1"/>
    <xf numFmtId="44" fontId="95" fillId="0" borderId="0" xfId="0" applyNumberFormat="1" applyFont="1" applyFill="1"/>
    <xf numFmtId="168" fontId="47" fillId="0" borderId="0" xfId="0" applyNumberFormat="1" applyFont="1"/>
    <xf numFmtId="173" fontId="90" fillId="0" borderId="0" xfId="0" applyNumberFormat="1" applyFont="1"/>
    <xf numFmtId="164" fontId="8" fillId="0" borderId="0" xfId="1" applyNumberFormat="1" applyFont="1"/>
    <xf numFmtId="5" fontId="8" fillId="0" borderId="0" xfId="0" applyNumberFormat="1" applyFont="1"/>
    <xf numFmtId="164" fontId="8" fillId="0" borderId="0" xfId="1" applyNumberFormat="1" applyFont="1" applyBorder="1"/>
    <xf numFmtId="165" fontId="118" fillId="0" borderId="0" xfId="2" applyNumberFormat="1" applyFont="1" applyFill="1" applyBorder="1"/>
    <xf numFmtId="44" fontId="118" fillId="0" borderId="0" xfId="2" applyFont="1" applyFill="1" applyBorder="1" applyAlignment="1">
      <alignment horizontal="right"/>
    </xf>
    <xf numFmtId="164" fontId="118" fillId="0" borderId="0" xfId="1" applyNumberFormat="1" applyFont="1" applyFill="1" applyBorder="1"/>
    <xf numFmtId="180" fontId="96" fillId="0" borderId="0" xfId="0" applyNumberFormat="1" applyFont="1" applyFill="1" applyBorder="1"/>
    <xf numFmtId="43" fontId="8" fillId="0" borderId="0" xfId="1" quotePrefix="1" applyFont="1" applyFill="1"/>
    <xf numFmtId="180" fontId="96" fillId="0" borderId="36" xfId="0" applyNumberFormat="1" applyFont="1" applyFill="1" applyBorder="1"/>
    <xf numFmtId="164" fontId="8" fillId="0" borderId="0" xfId="1" applyNumberFormat="1" applyFont="1" applyFill="1"/>
    <xf numFmtId="173" fontId="8" fillId="0" borderId="0" xfId="1" applyNumberFormat="1" applyFont="1" applyFill="1"/>
    <xf numFmtId="173" fontId="105" fillId="0" borderId="0" xfId="1" applyNumberFormat="1" applyFont="1" applyFill="1"/>
    <xf numFmtId="164" fontId="105" fillId="0" borderId="0" xfId="1" applyNumberFormat="1" applyFont="1"/>
    <xf numFmtId="164" fontId="105" fillId="0" borderId="0" xfId="0" applyNumberFormat="1" applyFont="1"/>
    <xf numFmtId="0" fontId="119" fillId="0" borderId="0" xfId="0" applyFont="1" applyAlignment="1">
      <alignment horizontal="center"/>
    </xf>
    <xf numFmtId="43" fontId="119" fillId="0" borderId="0" xfId="1" applyFont="1" applyFill="1" applyAlignment="1">
      <alignment horizontal="center"/>
    </xf>
    <xf numFmtId="0" fontId="119" fillId="0" borderId="1" xfId="0" applyFont="1" applyBorder="1" applyAlignment="1">
      <alignment horizontal="center"/>
    </xf>
    <xf numFmtId="43" fontId="119" fillId="0" borderId="1" xfId="1" applyFont="1" applyFill="1" applyBorder="1" applyAlignment="1">
      <alignment horizontal="center"/>
    </xf>
    <xf numFmtId="43" fontId="119" fillId="0" borderId="0" xfId="1" applyFont="1" applyFill="1" applyBorder="1" applyAlignment="1">
      <alignment horizontal="center"/>
    </xf>
    <xf numFmtId="43" fontId="8" fillId="0" borderId="0" xfId="0" applyNumberFormat="1" applyFont="1"/>
    <xf numFmtId="0" fontId="8" fillId="0" borderId="0" xfId="0" applyFont="1" applyAlignment="1">
      <alignment horizontal="left"/>
    </xf>
    <xf numFmtId="43" fontId="8" fillId="0" borderId="0" xfId="1" applyFont="1" applyFill="1"/>
    <xf numFmtId="10" fontId="8" fillId="0" borderId="0" xfId="0" applyNumberFormat="1" applyFont="1"/>
    <xf numFmtId="43" fontId="8" fillId="0" borderId="1" xfId="1" applyFont="1" applyFill="1" applyBorder="1"/>
    <xf numFmtId="43" fontId="8" fillId="0" borderId="1" xfId="0" applyNumberFormat="1" applyFont="1" applyBorder="1"/>
    <xf numFmtId="44" fontId="8" fillId="0" borderId="0" xfId="2" applyFont="1" applyFill="1"/>
    <xf numFmtId="44" fontId="8" fillId="0" borderId="4" xfId="2" applyFont="1" applyFill="1" applyBorder="1"/>
    <xf numFmtId="0" fontId="8" fillId="0" borderId="0" xfId="2397" applyFont="1"/>
    <xf numFmtId="44" fontId="8" fillId="0" borderId="0" xfId="2" applyFont="1" applyFill="1" applyBorder="1"/>
    <xf numFmtId="43" fontId="8" fillId="0" borderId="0" xfId="1" applyFont="1" applyFill="1" applyBorder="1"/>
    <xf numFmtId="177" fontId="90" fillId="0" borderId="0" xfId="2387" quotePrefix="1" applyNumberFormat="1" applyFont="1" applyFill="1"/>
    <xf numFmtId="177" fontId="119" fillId="0" borderId="4" xfId="2387" quotePrefix="1" applyNumberFormat="1" applyFont="1" applyFill="1" applyBorder="1"/>
    <xf numFmtId="164" fontId="121" fillId="0" borderId="0" xfId="1" applyNumberFormat="1" applyFont="1" applyFill="1"/>
    <xf numFmtId="174" fontId="120" fillId="0" borderId="0" xfId="2387" applyFont="1" applyFill="1"/>
    <xf numFmtId="174" fontId="120" fillId="0" borderId="0" xfId="2387" applyFont="1"/>
    <xf numFmtId="174" fontId="90" fillId="0" borderId="1" xfId="2387" quotePrefix="1" applyFont="1" applyFill="1" applyBorder="1" applyAlignment="1">
      <alignment horizontal="center"/>
    </xf>
    <xf numFmtId="174" fontId="119" fillId="0" borderId="0" xfId="2387" applyFont="1" applyFill="1" applyAlignment="1">
      <alignment horizontal="center"/>
    </xf>
    <xf numFmtId="174" fontId="119" fillId="0" borderId="1" xfId="2387" applyFont="1" applyFill="1" applyBorder="1" applyAlignment="1">
      <alignment horizontal="center"/>
    </xf>
    <xf numFmtId="174" fontId="90" fillId="0" borderId="2" xfId="2387" quotePrefix="1" applyFont="1" applyFill="1" applyBorder="1" applyAlignment="1">
      <alignment horizontal="center"/>
    </xf>
    <xf numFmtId="174" fontId="121" fillId="0" borderId="0" xfId="2387" applyFont="1" applyFill="1"/>
    <xf numFmtId="20" fontId="8" fillId="0" borderId="0" xfId="0" applyNumberFormat="1" applyFont="1" applyFill="1"/>
    <xf numFmtId="164" fontId="105" fillId="0" borderId="0" xfId="1" applyNumberFormat="1" applyFont="1" applyFill="1"/>
    <xf numFmtId="164" fontId="90" fillId="0" borderId="0" xfId="1" applyNumberFormat="1" applyFont="1" applyFill="1"/>
    <xf numFmtId="174" fontId="90" fillId="0" borderId="0" xfId="2387" applyFont="1" applyFill="1"/>
    <xf numFmtId="174" fontId="124" fillId="0" borderId="0" xfId="2387" applyFont="1" applyFill="1"/>
    <xf numFmtId="0" fontId="1" fillId="61" borderId="0" xfId="2396" applyFill="1"/>
    <xf numFmtId="37" fontId="0" fillId="61" borderId="0" xfId="0" applyNumberFormat="1" applyFill="1"/>
    <xf numFmtId="37" fontId="6" fillId="61" borderId="0" xfId="4" applyNumberFormat="1" applyFill="1"/>
    <xf numFmtId="3" fontId="0" fillId="61" borderId="0" xfId="0" applyNumberFormat="1" applyFill="1"/>
    <xf numFmtId="3" fontId="0" fillId="61" borderId="0" xfId="0" applyNumberFormat="1" applyFill="1" applyBorder="1"/>
    <xf numFmtId="3" fontId="0" fillId="61" borderId="1" xfId="0" applyNumberFormat="1" applyFill="1" applyBorder="1"/>
    <xf numFmtId="0" fontId="0" fillId="61" borderId="0" xfId="0" applyFill="1"/>
    <xf numFmtId="0" fontId="6" fillId="61" borderId="0" xfId="4" applyFill="1"/>
    <xf numFmtId="41" fontId="2" fillId="61" borderId="0" xfId="2395" applyNumberFormat="1" applyFill="1"/>
    <xf numFmtId="164" fontId="96" fillId="0" borderId="34" xfId="1" applyNumberFormat="1" applyFont="1" applyFill="1" applyBorder="1"/>
    <xf numFmtId="182" fontId="2" fillId="0" borderId="0" xfId="2395" applyNumberFormat="1"/>
    <xf numFmtId="0" fontId="6" fillId="0" borderId="0" xfId="4" quotePrefix="1"/>
    <xf numFmtId="183" fontId="6" fillId="0" borderId="0" xfId="4" applyNumberFormat="1"/>
    <xf numFmtId="183" fontId="6" fillId="0" borderId="1" xfId="4" applyNumberFormat="1" applyBorder="1"/>
    <xf numFmtId="183" fontId="2" fillId="0" borderId="0" xfId="2395" applyNumberFormat="1"/>
    <xf numFmtId="184" fontId="2" fillId="61" borderId="0" xfId="2395" applyNumberFormat="1" applyFill="1"/>
    <xf numFmtId="0" fontId="96" fillId="0" borderId="0" xfId="0" applyFont="1" applyFill="1" applyAlignment="1">
      <alignment wrapText="1"/>
    </xf>
    <xf numFmtId="180" fontId="96" fillId="0" borderId="0" xfId="0" applyNumberFormat="1" applyFont="1" applyFill="1"/>
    <xf numFmtId="10" fontId="110" fillId="0" borderId="0" xfId="0" applyNumberFormat="1" applyFont="1" applyFill="1"/>
    <xf numFmtId="5" fontId="96" fillId="0" borderId="0" xfId="0" applyNumberFormat="1" applyFont="1" applyFill="1" applyBorder="1"/>
    <xf numFmtId="165" fontId="0" fillId="61" borderId="0" xfId="2" applyNumberFormat="1" applyFont="1" applyFill="1"/>
    <xf numFmtId="165" fontId="0" fillId="61" borderId="42" xfId="2" applyNumberFormat="1" applyFont="1" applyFill="1" applyBorder="1"/>
    <xf numFmtId="165" fontId="6" fillId="61" borderId="0" xfId="2" applyNumberFormat="1" applyFill="1"/>
    <xf numFmtId="165" fontId="0" fillId="61" borderId="46" xfId="2" applyNumberFormat="1" applyFont="1" applyFill="1" applyBorder="1"/>
    <xf numFmtId="0" fontId="10" fillId="0" borderId="1" xfId="0" applyFont="1" applyBorder="1"/>
    <xf numFmtId="0" fontId="96" fillId="0" borderId="35" xfId="0" applyFont="1" applyFill="1" applyBorder="1"/>
    <xf numFmtId="180" fontId="96" fillId="0" borderId="45" xfId="1" applyNumberFormat="1" applyFont="1" applyFill="1" applyBorder="1"/>
    <xf numFmtId="10" fontId="90" fillId="0" borderId="0" xfId="3" applyNumberFormat="1" applyFont="1" applyFill="1" applyAlignment="1">
      <alignment horizontal="center"/>
    </xf>
    <xf numFmtId="10" fontId="90" fillId="0" borderId="0" xfId="3" applyNumberFormat="1" applyFont="1" applyFill="1" applyBorder="1" applyAlignment="1">
      <alignment horizontal="center"/>
    </xf>
    <xf numFmtId="167" fontId="97" fillId="0" borderId="0" xfId="0" applyNumberFormat="1" applyFont="1" applyFill="1" applyBorder="1" applyAlignment="1">
      <alignment horizontal="center"/>
    </xf>
    <xf numFmtId="0" fontId="0" fillId="0" borderId="0" xfId="0" quotePrefix="1" applyFill="1"/>
    <xf numFmtId="17" fontId="93" fillId="0" borderId="0" xfId="0" quotePrefix="1" applyNumberFormat="1" applyFont="1" applyFill="1" applyBorder="1" applyAlignment="1">
      <alignment horizontal="center"/>
    </xf>
    <xf numFmtId="0" fontId="7" fillId="59" borderId="0" xfId="2388" applyFont="1" applyFill="1" applyAlignment="1">
      <alignment horizontal="center"/>
    </xf>
    <xf numFmtId="0" fontId="110" fillId="0" borderId="1" xfId="2390" applyFont="1" applyBorder="1" applyAlignment="1">
      <alignment horizontal="center"/>
    </xf>
    <xf numFmtId="174" fontId="7" fillId="0" borderId="6" xfId="2387" applyFont="1" applyFill="1" applyBorder="1" applyAlignment="1">
      <alignment horizontal="center" vertical="center" wrapText="1"/>
    </xf>
    <xf numFmtId="174" fontId="7" fillId="0" borderId="0" xfId="2387" applyFont="1" applyFill="1" applyAlignment="1">
      <alignment horizontal="center" vertical="center" wrapText="1"/>
    </xf>
    <xf numFmtId="174" fontId="7" fillId="0" borderId="1" xfId="2387" applyFont="1" applyFill="1" applyBorder="1" applyAlignment="1">
      <alignment horizontal="center" vertical="center" wrapText="1"/>
    </xf>
    <xf numFmtId="174" fontId="7" fillId="0" borderId="0" xfId="2387" applyFont="1" applyFill="1" applyBorder="1" applyAlignment="1">
      <alignment horizontal="center" vertical="center" wrapText="1"/>
    </xf>
    <xf numFmtId="174" fontId="7" fillId="0" borderId="6" xfId="2387" applyFont="1" applyBorder="1" applyAlignment="1">
      <alignment horizontal="center" vertical="center" wrapText="1"/>
    </xf>
    <xf numFmtId="174" fontId="7" fillId="0" borderId="0" xfId="2387" applyFont="1" applyBorder="1" applyAlignment="1">
      <alignment horizontal="center" vertical="center" wrapText="1"/>
    </xf>
    <xf numFmtId="174" fontId="7" fillId="0" borderId="1" xfId="2387" applyFont="1" applyBorder="1" applyAlignment="1">
      <alignment horizontal="center" vertical="center" wrapText="1"/>
    </xf>
    <xf numFmtId="0" fontId="93" fillId="0" borderId="0" xfId="0" quotePrefix="1" applyFont="1" applyFill="1" applyBorder="1" applyAlignment="1">
      <alignment horizontal="center" vertical="center"/>
    </xf>
    <xf numFmtId="0" fontId="96" fillId="0" borderId="0" xfId="0" applyFont="1" applyFill="1" applyAlignment="1">
      <alignment horizontal="left" wrapText="1"/>
    </xf>
    <xf numFmtId="0" fontId="119" fillId="0" borderId="0" xfId="0" applyFont="1" applyAlignment="1">
      <alignment horizontal="center"/>
    </xf>
    <xf numFmtId="0" fontId="119" fillId="0" borderId="0" xfId="0" quotePrefix="1" applyFont="1" applyAlignment="1">
      <alignment horizontal="center"/>
    </xf>
    <xf numFmtId="0" fontId="117" fillId="60" borderId="0" xfId="0" applyFont="1" applyFill="1" applyAlignment="1">
      <alignment horizontal="center"/>
    </xf>
    <xf numFmtId="0" fontId="117" fillId="60" borderId="0" xfId="0" applyFont="1" applyFill="1" applyAlignment="1">
      <alignment horizontal="center" vertical="center" wrapText="1"/>
    </xf>
    <xf numFmtId="0" fontId="93" fillId="60" borderId="16" xfId="0" applyFont="1" applyFill="1" applyBorder="1" applyAlignment="1">
      <alignment horizontal="center"/>
    </xf>
    <xf numFmtId="0" fontId="93" fillId="60" borderId="2" xfId="0" applyFont="1" applyFill="1" applyBorder="1" applyAlignment="1">
      <alignment horizontal="center"/>
    </xf>
    <xf numFmtId="0" fontId="93" fillId="60" borderId="17" xfId="0" applyFont="1" applyFill="1" applyBorder="1" applyAlignment="1">
      <alignment horizontal="center"/>
    </xf>
    <xf numFmtId="0" fontId="93" fillId="0" borderId="16" xfId="0" applyFont="1" applyFill="1" applyBorder="1" applyAlignment="1">
      <alignment horizontal="center"/>
    </xf>
    <xf numFmtId="0" fontId="93" fillId="0" borderId="2" xfId="0" applyFont="1" applyFill="1" applyBorder="1" applyAlignment="1">
      <alignment horizontal="center"/>
    </xf>
    <xf numFmtId="0" fontId="93" fillId="0" borderId="17" xfId="0" applyFont="1" applyFill="1" applyBorder="1" applyAlignment="1">
      <alignment horizontal="center"/>
    </xf>
    <xf numFmtId="0" fontId="96" fillId="61" borderId="16" xfId="0" applyFont="1" applyFill="1" applyBorder="1" applyAlignment="1">
      <alignment horizontal="center"/>
    </xf>
    <xf numFmtId="0" fontId="96" fillId="61" borderId="2" xfId="0" applyFont="1" applyFill="1" applyBorder="1" applyAlignment="1">
      <alignment horizontal="center"/>
    </xf>
    <xf numFmtId="0" fontId="96" fillId="61" borderId="17" xfId="0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0" fontId="99" fillId="0" borderId="1" xfId="0" applyFont="1" applyFill="1" applyBorder="1" applyAlignment="1">
      <alignment horizontal="center"/>
    </xf>
  </cellXfs>
  <cellStyles count="2401">
    <cellStyle name="20% - Accent1 10" xfId="12" xr:uid="{00000000-0005-0000-0000-000000000000}"/>
    <cellStyle name="20% - Accent1 11" xfId="13" xr:uid="{00000000-0005-0000-0000-000001000000}"/>
    <cellStyle name="20% - Accent1 12" xfId="14" xr:uid="{00000000-0005-0000-0000-000002000000}"/>
    <cellStyle name="20% - Accent1 13" xfId="15" xr:uid="{00000000-0005-0000-0000-000003000000}"/>
    <cellStyle name="20% - Accent1 14" xfId="16" xr:uid="{00000000-0005-0000-0000-000004000000}"/>
    <cellStyle name="20% - Accent1 15" xfId="17" xr:uid="{00000000-0005-0000-0000-000005000000}"/>
    <cellStyle name="20% - Accent1 15 2" xfId="18" xr:uid="{00000000-0005-0000-0000-000006000000}"/>
    <cellStyle name="20% - Accent1 15 3" xfId="19" xr:uid="{00000000-0005-0000-0000-000007000000}"/>
    <cellStyle name="20% - Accent1 15 4" xfId="20" xr:uid="{00000000-0005-0000-0000-000008000000}"/>
    <cellStyle name="20% - Accent1 15 5" xfId="21" xr:uid="{00000000-0005-0000-0000-000009000000}"/>
    <cellStyle name="20% - Accent1 16" xfId="22" xr:uid="{00000000-0005-0000-0000-00000A000000}"/>
    <cellStyle name="20% - Accent1 16 2" xfId="23" xr:uid="{00000000-0005-0000-0000-00000B000000}"/>
    <cellStyle name="20% - Accent1 16 3" xfId="24" xr:uid="{00000000-0005-0000-0000-00000C000000}"/>
    <cellStyle name="20% - Accent1 16 4" xfId="25" xr:uid="{00000000-0005-0000-0000-00000D000000}"/>
    <cellStyle name="20% - Accent1 16 5" xfId="26" xr:uid="{00000000-0005-0000-0000-00000E000000}"/>
    <cellStyle name="20% - Accent1 17" xfId="27" xr:uid="{00000000-0005-0000-0000-00000F000000}"/>
    <cellStyle name="20% - Accent1 17 2" xfId="28" xr:uid="{00000000-0005-0000-0000-000010000000}"/>
    <cellStyle name="20% - Accent1 17 3" xfId="29" xr:uid="{00000000-0005-0000-0000-000011000000}"/>
    <cellStyle name="20% - Accent1 17 4" xfId="30" xr:uid="{00000000-0005-0000-0000-000012000000}"/>
    <cellStyle name="20% - Accent1 17 5" xfId="31" xr:uid="{00000000-0005-0000-0000-000013000000}"/>
    <cellStyle name="20% - Accent1 18" xfId="32" xr:uid="{00000000-0005-0000-0000-000014000000}"/>
    <cellStyle name="20% - Accent1 19" xfId="33" xr:uid="{00000000-0005-0000-0000-000015000000}"/>
    <cellStyle name="20% - Accent1 2" xfId="34" xr:uid="{00000000-0005-0000-0000-000016000000}"/>
    <cellStyle name="20% - Accent1 2 10" xfId="35" xr:uid="{00000000-0005-0000-0000-000017000000}"/>
    <cellStyle name="20% - Accent1 2 2" xfId="36" xr:uid="{00000000-0005-0000-0000-000018000000}"/>
    <cellStyle name="20% - Accent1 2 2 2" xfId="37" xr:uid="{00000000-0005-0000-0000-000019000000}"/>
    <cellStyle name="20% - Accent1 2 2 2 2" xfId="38" xr:uid="{00000000-0005-0000-0000-00001A000000}"/>
    <cellStyle name="20% - Accent1 2 2 2 2 2" xfId="39" xr:uid="{00000000-0005-0000-0000-00001B000000}"/>
    <cellStyle name="20% - Accent1 2 2 2 2 3" xfId="40" xr:uid="{00000000-0005-0000-0000-00001C000000}"/>
    <cellStyle name="20% - Accent1 2 2 2 3" xfId="41" xr:uid="{00000000-0005-0000-0000-00001D000000}"/>
    <cellStyle name="20% - Accent1 2 2 2 4" xfId="42" xr:uid="{00000000-0005-0000-0000-00001E000000}"/>
    <cellStyle name="20% - Accent1 2 2 2 5" xfId="43" xr:uid="{00000000-0005-0000-0000-00001F000000}"/>
    <cellStyle name="20% - Accent1 2 2 2 6" xfId="44" xr:uid="{00000000-0005-0000-0000-000020000000}"/>
    <cellStyle name="20% - Accent1 2 2 3" xfId="45" xr:uid="{00000000-0005-0000-0000-000021000000}"/>
    <cellStyle name="20% - Accent1 2 2 4" xfId="46" xr:uid="{00000000-0005-0000-0000-000022000000}"/>
    <cellStyle name="20% - Accent1 2 2 5" xfId="47" xr:uid="{00000000-0005-0000-0000-000023000000}"/>
    <cellStyle name="20% - Accent1 2 2 6" xfId="48" xr:uid="{00000000-0005-0000-0000-000024000000}"/>
    <cellStyle name="20% - Accent1 2 3" xfId="49" xr:uid="{00000000-0005-0000-0000-000025000000}"/>
    <cellStyle name="20% - Accent1 2 4" xfId="50" xr:uid="{00000000-0005-0000-0000-000026000000}"/>
    <cellStyle name="20% - Accent1 2 5" xfId="51" xr:uid="{00000000-0005-0000-0000-000027000000}"/>
    <cellStyle name="20% - Accent1 2 6" xfId="52" xr:uid="{00000000-0005-0000-0000-000028000000}"/>
    <cellStyle name="20% - Accent1 2 7" xfId="53" xr:uid="{00000000-0005-0000-0000-000029000000}"/>
    <cellStyle name="20% - Accent1 2 8" xfId="54" xr:uid="{00000000-0005-0000-0000-00002A000000}"/>
    <cellStyle name="20% - Accent1 2 9" xfId="55" xr:uid="{00000000-0005-0000-0000-00002B000000}"/>
    <cellStyle name="20% - Accent1 20" xfId="56" xr:uid="{00000000-0005-0000-0000-00002C000000}"/>
    <cellStyle name="20% - Accent1 21" xfId="57" xr:uid="{00000000-0005-0000-0000-00002D000000}"/>
    <cellStyle name="20% - Accent1 22" xfId="58" xr:uid="{00000000-0005-0000-0000-00002E000000}"/>
    <cellStyle name="20% - Accent1 23" xfId="59" xr:uid="{00000000-0005-0000-0000-00002F000000}"/>
    <cellStyle name="20% - Accent1 24" xfId="60" xr:uid="{00000000-0005-0000-0000-000030000000}"/>
    <cellStyle name="20% - Accent1 25" xfId="61" xr:uid="{00000000-0005-0000-0000-000031000000}"/>
    <cellStyle name="20% - Accent1 26" xfId="62" xr:uid="{00000000-0005-0000-0000-000032000000}"/>
    <cellStyle name="20% - Accent1 27" xfId="63" xr:uid="{00000000-0005-0000-0000-000033000000}"/>
    <cellStyle name="20% - Accent1 28" xfId="64" xr:uid="{00000000-0005-0000-0000-000034000000}"/>
    <cellStyle name="20% - Accent1 29" xfId="65" xr:uid="{00000000-0005-0000-0000-000035000000}"/>
    <cellStyle name="20% - Accent1 3" xfId="66" xr:uid="{00000000-0005-0000-0000-000036000000}"/>
    <cellStyle name="20% - Accent1 30" xfId="67" xr:uid="{00000000-0005-0000-0000-000037000000}"/>
    <cellStyle name="20% - Accent1 31" xfId="68" xr:uid="{00000000-0005-0000-0000-000038000000}"/>
    <cellStyle name="20% - Accent1 32" xfId="69" xr:uid="{00000000-0005-0000-0000-000039000000}"/>
    <cellStyle name="20% - Accent1 33" xfId="70" xr:uid="{00000000-0005-0000-0000-00003A000000}"/>
    <cellStyle name="20% - Accent1 34" xfId="71" xr:uid="{00000000-0005-0000-0000-00003B000000}"/>
    <cellStyle name="20% - Accent1 35" xfId="72" xr:uid="{00000000-0005-0000-0000-00003C000000}"/>
    <cellStyle name="20% - Accent1 36" xfId="73" xr:uid="{00000000-0005-0000-0000-00003D000000}"/>
    <cellStyle name="20% - Accent1 4" xfId="74" xr:uid="{00000000-0005-0000-0000-00003E000000}"/>
    <cellStyle name="20% - Accent1 5" xfId="75" xr:uid="{00000000-0005-0000-0000-00003F000000}"/>
    <cellStyle name="20% - Accent1 6" xfId="76" xr:uid="{00000000-0005-0000-0000-000040000000}"/>
    <cellStyle name="20% - Accent1 7" xfId="77" xr:uid="{00000000-0005-0000-0000-000041000000}"/>
    <cellStyle name="20% - Accent1 8" xfId="78" xr:uid="{00000000-0005-0000-0000-000042000000}"/>
    <cellStyle name="20% - Accent1 9" xfId="79" xr:uid="{00000000-0005-0000-0000-000043000000}"/>
    <cellStyle name="20% - Accent2 10" xfId="80" xr:uid="{00000000-0005-0000-0000-000044000000}"/>
    <cellStyle name="20% - Accent2 11" xfId="81" xr:uid="{00000000-0005-0000-0000-000045000000}"/>
    <cellStyle name="20% - Accent2 12" xfId="82" xr:uid="{00000000-0005-0000-0000-000046000000}"/>
    <cellStyle name="20% - Accent2 13" xfId="83" xr:uid="{00000000-0005-0000-0000-000047000000}"/>
    <cellStyle name="20% - Accent2 14" xfId="84" xr:uid="{00000000-0005-0000-0000-000048000000}"/>
    <cellStyle name="20% - Accent2 15" xfId="85" xr:uid="{00000000-0005-0000-0000-000049000000}"/>
    <cellStyle name="20% - Accent2 15 2" xfId="86" xr:uid="{00000000-0005-0000-0000-00004A000000}"/>
    <cellStyle name="20% - Accent2 15 3" xfId="87" xr:uid="{00000000-0005-0000-0000-00004B000000}"/>
    <cellStyle name="20% - Accent2 15 4" xfId="88" xr:uid="{00000000-0005-0000-0000-00004C000000}"/>
    <cellStyle name="20% - Accent2 15 5" xfId="89" xr:uid="{00000000-0005-0000-0000-00004D000000}"/>
    <cellStyle name="20% - Accent2 16" xfId="90" xr:uid="{00000000-0005-0000-0000-00004E000000}"/>
    <cellStyle name="20% - Accent2 16 2" xfId="91" xr:uid="{00000000-0005-0000-0000-00004F000000}"/>
    <cellStyle name="20% - Accent2 16 3" xfId="92" xr:uid="{00000000-0005-0000-0000-000050000000}"/>
    <cellStyle name="20% - Accent2 16 4" xfId="93" xr:uid="{00000000-0005-0000-0000-000051000000}"/>
    <cellStyle name="20% - Accent2 16 5" xfId="94" xr:uid="{00000000-0005-0000-0000-000052000000}"/>
    <cellStyle name="20% - Accent2 17" xfId="95" xr:uid="{00000000-0005-0000-0000-000053000000}"/>
    <cellStyle name="20% - Accent2 17 2" xfId="96" xr:uid="{00000000-0005-0000-0000-000054000000}"/>
    <cellStyle name="20% - Accent2 17 3" xfId="97" xr:uid="{00000000-0005-0000-0000-000055000000}"/>
    <cellStyle name="20% - Accent2 17 4" xfId="98" xr:uid="{00000000-0005-0000-0000-000056000000}"/>
    <cellStyle name="20% - Accent2 17 5" xfId="99" xr:uid="{00000000-0005-0000-0000-000057000000}"/>
    <cellStyle name="20% - Accent2 18" xfId="100" xr:uid="{00000000-0005-0000-0000-000058000000}"/>
    <cellStyle name="20% - Accent2 19" xfId="101" xr:uid="{00000000-0005-0000-0000-000059000000}"/>
    <cellStyle name="20% - Accent2 2" xfId="102" xr:uid="{00000000-0005-0000-0000-00005A000000}"/>
    <cellStyle name="20% - Accent2 2 10" xfId="103" xr:uid="{00000000-0005-0000-0000-00005B000000}"/>
    <cellStyle name="20% - Accent2 2 2" xfId="104" xr:uid="{00000000-0005-0000-0000-00005C000000}"/>
    <cellStyle name="20% - Accent2 2 2 2" xfId="105" xr:uid="{00000000-0005-0000-0000-00005D000000}"/>
    <cellStyle name="20% - Accent2 2 2 2 2" xfId="106" xr:uid="{00000000-0005-0000-0000-00005E000000}"/>
    <cellStyle name="20% - Accent2 2 2 2 2 2" xfId="107" xr:uid="{00000000-0005-0000-0000-00005F000000}"/>
    <cellStyle name="20% - Accent2 2 2 2 2 3" xfId="108" xr:uid="{00000000-0005-0000-0000-000060000000}"/>
    <cellStyle name="20% - Accent2 2 2 2 3" xfId="109" xr:uid="{00000000-0005-0000-0000-000061000000}"/>
    <cellStyle name="20% - Accent2 2 2 2 4" xfId="110" xr:uid="{00000000-0005-0000-0000-000062000000}"/>
    <cellStyle name="20% - Accent2 2 2 2 5" xfId="111" xr:uid="{00000000-0005-0000-0000-000063000000}"/>
    <cellStyle name="20% - Accent2 2 2 2 6" xfId="112" xr:uid="{00000000-0005-0000-0000-000064000000}"/>
    <cellStyle name="20% - Accent2 2 2 3" xfId="113" xr:uid="{00000000-0005-0000-0000-000065000000}"/>
    <cellStyle name="20% - Accent2 2 2 4" xfId="114" xr:uid="{00000000-0005-0000-0000-000066000000}"/>
    <cellStyle name="20% - Accent2 2 2 5" xfId="115" xr:uid="{00000000-0005-0000-0000-000067000000}"/>
    <cellStyle name="20% - Accent2 2 2 6" xfId="116" xr:uid="{00000000-0005-0000-0000-000068000000}"/>
    <cellStyle name="20% - Accent2 2 3" xfId="117" xr:uid="{00000000-0005-0000-0000-000069000000}"/>
    <cellStyle name="20% - Accent2 2 4" xfId="118" xr:uid="{00000000-0005-0000-0000-00006A000000}"/>
    <cellStyle name="20% - Accent2 2 5" xfId="119" xr:uid="{00000000-0005-0000-0000-00006B000000}"/>
    <cellStyle name="20% - Accent2 2 6" xfId="120" xr:uid="{00000000-0005-0000-0000-00006C000000}"/>
    <cellStyle name="20% - Accent2 2 7" xfId="121" xr:uid="{00000000-0005-0000-0000-00006D000000}"/>
    <cellStyle name="20% - Accent2 2 8" xfId="122" xr:uid="{00000000-0005-0000-0000-00006E000000}"/>
    <cellStyle name="20% - Accent2 2 9" xfId="123" xr:uid="{00000000-0005-0000-0000-00006F000000}"/>
    <cellStyle name="20% - Accent2 20" xfId="124" xr:uid="{00000000-0005-0000-0000-000070000000}"/>
    <cellStyle name="20% - Accent2 21" xfId="125" xr:uid="{00000000-0005-0000-0000-000071000000}"/>
    <cellStyle name="20% - Accent2 22" xfId="126" xr:uid="{00000000-0005-0000-0000-000072000000}"/>
    <cellStyle name="20% - Accent2 23" xfId="127" xr:uid="{00000000-0005-0000-0000-000073000000}"/>
    <cellStyle name="20% - Accent2 24" xfId="128" xr:uid="{00000000-0005-0000-0000-000074000000}"/>
    <cellStyle name="20% - Accent2 25" xfId="129" xr:uid="{00000000-0005-0000-0000-000075000000}"/>
    <cellStyle name="20% - Accent2 26" xfId="130" xr:uid="{00000000-0005-0000-0000-000076000000}"/>
    <cellStyle name="20% - Accent2 27" xfId="131" xr:uid="{00000000-0005-0000-0000-000077000000}"/>
    <cellStyle name="20% - Accent2 28" xfId="132" xr:uid="{00000000-0005-0000-0000-000078000000}"/>
    <cellStyle name="20% - Accent2 29" xfId="133" xr:uid="{00000000-0005-0000-0000-000079000000}"/>
    <cellStyle name="20% - Accent2 3" xfId="134" xr:uid="{00000000-0005-0000-0000-00007A000000}"/>
    <cellStyle name="20% - Accent2 30" xfId="135" xr:uid="{00000000-0005-0000-0000-00007B000000}"/>
    <cellStyle name="20% - Accent2 31" xfId="136" xr:uid="{00000000-0005-0000-0000-00007C000000}"/>
    <cellStyle name="20% - Accent2 32" xfId="137" xr:uid="{00000000-0005-0000-0000-00007D000000}"/>
    <cellStyle name="20% - Accent2 33" xfId="138" xr:uid="{00000000-0005-0000-0000-00007E000000}"/>
    <cellStyle name="20% - Accent2 34" xfId="139" xr:uid="{00000000-0005-0000-0000-00007F000000}"/>
    <cellStyle name="20% - Accent2 35" xfId="140" xr:uid="{00000000-0005-0000-0000-000080000000}"/>
    <cellStyle name="20% - Accent2 36" xfId="141" xr:uid="{00000000-0005-0000-0000-000081000000}"/>
    <cellStyle name="20% - Accent2 4" xfId="142" xr:uid="{00000000-0005-0000-0000-000082000000}"/>
    <cellStyle name="20% - Accent2 5" xfId="143" xr:uid="{00000000-0005-0000-0000-000083000000}"/>
    <cellStyle name="20% - Accent2 6" xfId="144" xr:uid="{00000000-0005-0000-0000-000084000000}"/>
    <cellStyle name="20% - Accent2 7" xfId="145" xr:uid="{00000000-0005-0000-0000-000085000000}"/>
    <cellStyle name="20% - Accent2 8" xfId="146" xr:uid="{00000000-0005-0000-0000-000086000000}"/>
    <cellStyle name="20% - Accent2 9" xfId="147" xr:uid="{00000000-0005-0000-0000-000087000000}"/>
    <cellStyle name="20% - Accent3 10" xfId="148" xr:uid="{00000000-0005-0000-0000-000088000000}"/>
    <cellStyle name="20% - Accent3 11" xfId="149" xr:uid="{00000000-0005-0000-0000-000089000000}"/>
    <cellStyle name="20% - Accent3 12" xfId="150" xr:uid="{00000000-0005-0000-0000-00008A000000}"/>
    <cellStyle name="20% - Accent3 13" xfId="151" xr:uid="{00000000-0005-0000-0000-00008B000000}"/>
    <cellStyle name="20% - Accent3 14" xfId="152" xr:uid="{00000000-0005-0000-0000-00008C000000}"/>
    <cellStyle name="20% - Accent3 15" xfId="153" xr:uid="{00000000-0005-0000-0000-00008D000000}"/>
    <cellStyle name="20% - Accent3 15 2" xfId="154" xr:uid="{00000000-0005-0000-0000-00008E000000}"/>
    <cellStyle name="20% - Accent3 15 3" xfId="155" xr:uid="{00000000-0005-0000-0000-00008F000000}"/>
    <cellStyle name="20% - Accent3 15 4" xfId="156" xr:uid="{00000000-0005-0000-0000-000090000000}"/>
    <cellStyle name="20% - Accent3 15 5" xfId="157" xr:uid="{00000000-0005-0000-0000-000091000000}"/>
    <cellStyle name="20% - Accent3 16" xfId="158" xr:uid="{00000000-0005-0000-0000-000092000000}"/>
    <cellStyle name="20% - Accent3 16 2" xfId="159" xr:uid="{00000000-0005-0000-0000-000093000000}"/>
    <cellStyle name="20% - Accent3 16 3" xfId="160" xr:uid="{00000000-0005-0000-0000-000094000000}"/>
    <cellStyle name="20% - Accent3 16 4" xfId="161" xr:uid="{00000000-0005-0000-0000-000095000000}"/>
    <cellStyle name="20% - Accent3 16 5" xfId="162" xr:uid="{00000000-0005-0000-0000-000096000000}"/>
    <cellStyle name="20% - Accent3 17" xfId="163" xr:uid="{00000000-0005-0000-0000-000097000000}"/>
    <cellStyle name="20% - Accent3 17 2" xfId="164" xr:uid="{00000000-0005-0000-0000-000098000000}"/>
    <cellStyle name="20% - Accent3 17 3" xfId="165" xr:uid="{00000000-0005-0000-0000-000099000000}"/>
    <cellStyle name="20% - Accent3 17 4" xfId="166" xr:uid="{00000000-0005-0000-0000-00009A000000}"/>
    <cellStyle name="20% - Accent3 17 5" xfId="167" xr:uid="{00000000-0005-0000-0000-00009B000000}"/>
    <cellStyle name="20% - Accent3 18" xfId="168" xr:uid="{00000000-0005-0000-0000-00009C000000}"/>
    <cellStyle name="20% - Accent3 19" xfId="169" xr:uid="{00000000-0005-0000-0000-00009D000000}"/>
    <cellStyle name="20% - Accent3 2" xfId="170" xr:uid="{00000000-0005-0000-0000-00009E000000}"/>
    <cellStyle name="20% - Accent3 2 10" xfId="171" xr:uid="{00000000-0005-0000-0000-00009F000000}"/>
    <cellStyle name="20% - Accent3 2 2" xfId="172" xr:uid="{00000000-0005-0000-0000-0000A0000000}"/>
    <cellStyle name="20% - Accent3 2 2 2" xfId="173" xr:uid="{00000000-0005-0000-0000-0000A1000000}"/>
    <cellStyle name="20% - Accent3 2 2 2 2" xfId="174" xr:uid="{00000000-0005-0000-0000-0000A2000000}"/>
    <cellStyle name="20% - Accent3 2 2 2 2 2" xfId="175" xr:uid="{00000000-0005-0000-0000-0000A3000000}"/>
    <cellStyle name="20% - Accent3 2 2 2 2 3" xfId="176" xr:uid="{00000000-0005-0000-0000-0000A4000000}"/>
    <cellStyle name="20% - Accent3 2 2 2 3" xfId="177" xr:uid="{00000000-0005-0000-0000-0000A5000000}"/>
    <cellStyle name="20% - Accent3 2 2 2 4" xfId="178" xr:uid="{00000000-0005-0000-0000-0000A6000000}"/>
    <cellStyle name="20% - Accent3 2 2 2 5" xfId="179" xr:uid="{00000000-0005-0000-0000-0000A7000000}"/>
    <cellStyle name="20% - Accent3 2 2 2 6" xfId="180" xr:uid="{00000000-0005-0000-0000-0000A8000000}"/>
    <cellStyle name="20% - Accent3 2 2 3" xfId="181" xr:uid="{00000000-0005-0000-0000-0000A9000000}"/>
    <cellStyle name="20% - Accent3 2 2 4" xfId="182" xr:uid="{00000000-0005-0000-0000-0000AA000000}"/>
    <cellStyle name="20% - Accent3 2 2 5" xfId="183" xr:uid="{00000000-0005-0000-0000-0000AB000000}"/>
    <cellStyle name="20% - Accent3 2 2 6" xfId="184" xr:uid="{00000000-0005-0000-0000-0000AC000000}"/>
    <cellStyle name="20% - Accent3 2 3" xfId="185" xr:uid="{00000000-0005-0000-0000-0000AD000000}"/>
    <cellStyle name="20% - Accent3 2 4" xfId="186" xr:uid="{00000000-0005-0000-0000-0000AE000000}"/>
    <cellStyle name="20% - Accent3 2 5" xfId="187" xr:uid="{00000000-0005-0000-0000-0000AF000000}"/>
    <cellStyle name="20% - Accent3 2 6" xfId="188" xr:uid="{00000000-0005-0000-0000-0000B0000000}"/>
    <cellStyle name="20% - Accent3 2 7" xfId="189" xr:uid="{00000000-0005-0000-0000-0000B1000000}"/>
    <cellStyle name="20% - Accent3 2 8" xfId="190" xr:uid="{00000000-0005-0000-0000-0000B2000000}"/>
    <cellStyle name="20% - Accent3 2 9" xfId="191" xr:uid="{00000000-0005-0000-0000-0000B3000000}"/>
    <cellStyle name="20% - Accent3 20" xfId="192" xr:uid="{00000000-0005-0000-0000-0000B4000000}"/>
    <cellStyle name="20% - Accent3 21" xfId="193" xr:uid="{00000000-0005-0000-0000-0000B5000000}"/>
    <cellStyle name="20% - Accent3 22" xfId="194" xr:uid="{00000000-0005-0000-0000-0000B6000000}"/>
    <cellStyle name="20% - Accent3 23" xfId="195" xr:uid="{00000000-0005-0000-0000-0000B7000000}"/>
    <cellStyle name="20% - Accent3 24" xfId="196" xr:uid="{00000000-0005-0000-0000-0000B8000000}"/>
    <cellStyle name="20% - Accent3 25" xfId="197" xr:uid="{00000000-0005-0000-0000-0000B9000000}"/>
    <cellStyle name="20% - Accent3 26" xfId="198" xr:uid="{00000000-0005-0000-0000-0000BA000000}"/>
    <cellStyle name="20% - Accent3 27" xfId="199" xr:uid="{00000000-0005-0000-0000-0000BB000000}"/>
    <cellStyle name="20% - Accent3 28" xfId="200" xr:uid="{00000000-0005-0000-0000-0000BC000000}"/>
    <cellStyle name="20% - Accent3 29" xfId="201" xr:uid="{00000000-0005-0000-0000-0000BD000000}"/>
    <cellStyle name="20% - Accent3 3" xfId="202" xr:uid="{00000000-0005-0000-0000-0000BE000000}"/>
    <cellStyle name="20% - Accent3 30" xfId="203" xr:uid="{00000000-0005-0000-0000-0000BF000000}"/>
    <cellStyle name="20% - Accent3 31" xfId="204" xr:uid="{00000000-0005-0000-0000-0000C0000000}"/>
    <cellStyle name="20% - Accent3 32" xfId="205" xr:uid="{00000000-0005-0000-0000-0000C1000000}"/>
    <cellStyle name="20% - Accent3 33" xfId="206" xr:uid="{00000000-0005-0000-0000-0000C2000000}"/>
    <cellStyle name="20% - Accent3 34" xfId="207" xr:uid="{00000000-0005-0000-0000-0000C3000000}"/>
    <cellStyle name="20% - Accent3 35" xfId="208" xr:uid="{00000000-0005-0000-0000-0000C4000000}"/>
    <cellStyle name="20% - Accent3 36" xfId="209" xr:uid="{00000000-0005-0000-0000-0000C5000000}"/>
    <cellStyle name="20% - Accent3 4" xfId="210" xr:uid="{00000000-0005-0000-0000-0000C6000000}"/>
    <cellStyle name="20% - Accent3 5" xfId="211" xr:uid="{00000000-0005-0000-0000-0000C7000000}"/>
    <cellStyle name="20% - Accent3 6" xfId="212" xr:uid="{00000000-0005-0000-0000-0000C8000000}"/>
    <cellStyle name="20% - Accent3 7" xfId="213" xr:uid="{00000000-0005-0000-0000-0000C9000000}"/>
    <cellStyle name="20% - Accent3 8" xfId="214" xr:uid="{00000000-0005-0000-0000-0000CA000000}"/>
    <cellStyle name="20% - Accent3 9" xfId="215" xr:uid="{00000000-0005-0000-0000-0000CB000000}"/>
    <cellStyle name="20% - Accent4 10" xfId="216" xr:uid="{00000000-0005-0000-0000-0000CC000000}"/>
    <cellStyle name="20% - Accent4 11" xfId="217" xr:uid="{00000000-0005-0000-0000-0000CD000000}"/>
    <cellStyle name="20% - Accent4 12" xfId="218" xr:uid="{00000000-0005-0000-0000-0000CE000000}"/>
    <cellStyle name="20% - Accent4 13" xfId="219" xr:uid="{00000000-0005-0000-0000-0000CF000000}"/>
    <cellStyle name="20% - Accent4 14" xfId="220" xr:uid="{00000000-0005-0000-0000-0000D0000000}"/>
    <cellStyle name="20% - Accent4 15" xfId="221" xr:uid="{00000000-0005-0000-0000-0000D1000000}"/>
    <cellStyle name="20% - Accent4 15 2" xfId="222" xr:uid="{00000000-0005-0000-0000-0000D2000000}"/>
    <cellStyle name="20% - Accent4 15 3" xfId="223" xr:uid="{00000000-0005-0000-0000-0000D3000000}"/>
    <cellStyle name="20% - Accent4 15 4" xfId="224" xr:uid="{00000000-0005-0000-0000-0000D4000000}"/>
    <cellStyle name="20% - Accent4 15 5" xfId="225" xr:uid="{00000000-0005-0000-0000-0000D5000000}"/>
    <cellStyle name="20% - Accent4 16" xfId="226" xr:uid="{00000000-0005-0000-0000-0000D6000000}"/>
    <cellStyle name="20% - Accent4 16 2" xfId="227" xr:uid="{00000000-0005-0000-0000-0000D7000000}"/>
    <cellStyle name="20% - Accent4 16 3" xfId="228" xr:uid="{00000000-0005-0000-0000-0000D8000000}"/>
    <cellStyle name="20% - Accent4 16 4" xfId="229" xr:uid="{00000000-0005-0000-0000-0000D9000000}"/>
    <cellStyle name="20% - Accent4 16 5" xfId="230" xr:uid="{00000000-0005-0000-0000-0000DA000000}"/>
    <cellStyle name="20% - Accent4 17" xfId="231" xr:uid="{00000000-0005-0000-0000-0000DB000000}"/>
    <cellStyle name="20% - Accent4 17 2" xfId="232" xr:uid="{00000000-0005-0000-0000-0000DC000000}"/>
    <cellStyle name="20% - Accent4 17 3" xfId="233" xr:uid="{00000000-0005-0000-0000-0000DD000000}"/>
    <cellStyle name="20% - Accent4 17 4" xfId="234" xr:uid="{00000000-0005-0000-0000-0000DE000000}"/>
    <cellStyle name="20% - Accent4 17 5" xfId="235" xr:uid="{00000000-0005-0000-0000-0000DF000000}"/>
    <cellStyle name="20% - Accent4 18" xfId="236" xr:uid="{00000000-0005-0000-0000-0000E0000000}"/>
    <cellStyle name="20% - Accent4 19" xfId="237" xr:uid="{00000000-0005-0000-0000-0000E1000000}"/>
    <cellStyle name="20% - Accent4 2" xfId="238" xr:uid="{00000000-0005-0000-0000-0000E2000000}"/>
    <cellStyle name="20% - Accent4 2 10" xfId="239" xr:uid="{00000000-0005-0000-0000-0000E3000000}"/>
    <cellStyle name="20% - Accent4 2 2" xfId="240" xr:uid="{00000000-0005-0000-0000-0000E4000000}"/>
    <cellStyle name="20% - Accent4 2 2 2" xfId="241" xr:uid="{00000000-0005-0000-0000-0000E5000000}"/>
    <cellStyle name="20% - Accent4 2 2 2 2" xfId="242" xr:uid="{00000000-0005-0000-0000-0000E6000000}"/>
    <cellStyle name="20% - Accent4 2 2 2 2 2" xfId="243" xr:uid="{00000000-0005-0000-0000-0000E7000000}"/>
    <cellStyle name="20% - Accent4 2 2 2 2 3" xfId="244" xr:uid="{00000000-0005-0000-0000-0000E8000000}"/>
    <cellStyle name="20% - Accent4 2 2 2 3" xfId="245" xr:uid="{00000000-0005-0000-0000-0000E9000000}"/>
    <cellStyle name="20% - Accent4 2 2 2 4" xfId="246" xr:uid="{00000000-0005-0000-0000-0000EA000000}"/>
    <cellStyle name="20% - Accent4 2 2 2 5" xfId="247" xr:uid="{00000000-0005-0000-0000-0000EB000000}"/>
    <cellStyle name="20% - Accent4 2 2 2 6" xfId="248" xr:uid="{00000000-0005-0000-0000-0000EC000000}"/>
    <cellStyle name="20% - Accent4 2 2 3" xfId="249" xr:uid="{00000000-0005-0000-0000-0000ED000000}"/>
    <cellStyle name="20% - Accent4 2 2 4" xfId="250" xr:uid="{00000000-0005-0000-0000-0000EE000000}"/>
    <cellStyle name="20% - Accent4 2 2 5" xfId="251" xr:uid="{00000000-0005-0000-0000-0000EF000000}"/>
    <cellStyle name="20% - Accent4 2 2 6" xfId="252" xr:uid="{00000000-0005-0000-0000-0000F0000000}"/>
    <cellStyle name="20% - Accent4 2 3" xfId="253" xr:uid="{00000000-0005-0000-0000-0000F1000000}"/>
    <cellStyle name="20% - Accent4 2 4" xfId="254" xr:uid="{00000000-0005-0000-0000-0000F2000000}"/>
    <cellStyle name="20% - Accent4 2 5" xfId="255" xr:uid="{00000000-0005-0000-0000-0000F3000000}"/>
    <cellStyle name="20% - Accent4 2 6" xfId="256" xr:uid="{00000000-0005-0000-0000-0000F4000000}"/>
    <cellStyle name="20% - Accent4 2 7" xfId="257" xr:uid="{00000000-0005-0000-0000-0000F5000000}"/>
    <cellStyle name="20% - Accent4 2 8" xfId="258" xr:uid="{00000000-0005-0000-0000-0000F6000000}"/>
    <cellStyle name="20% - Accent4 2 9" xfId="259" xr:uid="{00000000-0005-0000-0000-0000F7000000}"/>
    <cellStyle name="20% - Accent4 20" xfId="260" xr:uid="{00000000-0005-0000-0000-0000F8000000}"/>
    <cellStyle name="20% - Accent4 21" xfId="261" xr:uid="{00000000-0005-0000-0000-0000F9000000}"/>
    <cellStyle name="20% - Accent4 22" xfId="262" xr:uid="{00000000-0005-0000-0000-0000FA000000}"/>
    <cellStyle name="20% - Accent4 23" xfId="263" xr:uid="{00000000-0005-0000-0000-0000FB000000}"/>
    <cellStyle name="20% - Accent4 24" xfId="264" xr:uid="{00000000-0005-0000-0000-0000FC000000}"/>
    <cellStyle name="20% - Accent4 25" xfId="265" xr:uid="{00000000-0005-0000-0000-0000FD000000}"/>
    <cellStyle name="20% - Accent4 26" xfId="266" xr:uid="{00000000-0005-0000-0000-0000FE000000}"/>
    <cellStyle name="20% - Accent4 27" xfId="267" xr:uid="{00000000-0005-0000-0000-0000FF000000}"/>
    <cellStyle name="20% - Accent4 28" xfId="268" xr:uid="{00000000-0005-0000-0000-000000010000}"/>
    <cellStyle name="20% - Accent4 29" xfId="269" xr:uid="{00000000-0005-0000-0000-000001010000}"/>
    <cellStyle name="20% - Accent4 3" xfId="270" xr:uid="{00000000-0005-0000-0000-000002010000}"/>
    <cellStyle name="20% - Accent4 30" xfId="271" xr:uid="{00000000-0005-0000-0000-000003010000}"/>
    <cellStyle name="20% - Accent4 31" xfId="272" xr:uid="{00000000-0005-0000-0000-000004010000}"/>
    <cellStyle name="20% - Accent4 32" xfId="273" xr:uid="{00000000-0005-0000-0000-000005010000}"/>
    <cellStyle name="20% - Accent4 33" xfId="274" xr:uid="{00000000-0005-0000-0000-000006010000}"/>
    <cellStyle name="20% - Accent4 34" xfId="275" xr:uid="{00000000-0005-0000-0000-000007010000}"/>
    <cellStyle name="20% - Accent4 35" xfId="276" xr:uid="{00000000-0005-0000-0000-000008010000}"/>
    <cellStyle name="20% - Accent4 36" xfId="277" xr:uid="{00000000-0005-0000-0000-000009010000}"/>
    <cellStyle name="20% - Accent4 4" xfId="278" xr:uid="{00000000-0005-0000-0000-00000A010000}"/>
    <cellStyle name="20% - Accent4 5" xfId="279" xr:uid="{00000000-0005-0000-0000-00000B010000}"/>
    <cellStyle name="20% - Accent4 6" xfId="280" xr:uid="{00000000-0005-0000-0000-00000C010000}"/>
    <cellStyle name="20% - Accent4 7" xfId="281" xr:uid="{00000000-0005-0000-0000-00000D010000}"/>
    <cellStyle name="20% - Accent4 8" xfId="282" xr:uid="{00000000-0005-0000-0000-00000E010000}"/>
    <cellStyle name="20% - Accent4 9" xfId="283" xr:uid="{00000000-0005-0000-0000-00000F010000}"/>
    <cellStyle name="20% - Accent5 10" xfId="284" xr:uid="{00000000-0005-0000-0000-000010010000}"/>
    <cellStyle name="20% - Accent5 11" xfId="285" xr:uid="{00000000-0005-0000-0000-000011010000}"/>
    <cellStyle name="20% - Accent5 12" xfId="286" xr:uid="{00000000-0005-0000-0000-000012010000}"/>
    <cellStyle name="20% - Accent5 13" xfId="287" xr:uid="{00000000-0005-0000-0000-000013010000}"/>
    <cellStyle name="20% - Accent5 14" xfId="288" xr:uid="{00000000-0005-0000-0000-000014010000}"/>
    <cellStyle name="20% - Accent5 15" xfId="289" xr:uid="{00000000-0005-0000-0000-000015010000}"/>
    <cellStyle name="20% - Accent5 15 2" xfId="290" xr:uid="{00000000-0005-0000-0000-000016010000}"/>
    <cellStyle name="20% - Accent5 15 3" xfId="291" xr:uid="{00000000-0005-0000-0000-000017010000}"/>
    <cellStyle name="20% - Accent5 15 4" xfId="292" xr:uid="{00000000-0005-0000-0000-000018010000}"/>
    <cellStyle name="20% - Accent5 15 5" xfId="293" xr:uid="{00000000-0005-0000-0000-000019010000}"/>
    <cellStyle name="20% - Accent5 16" xfId="294" xr:uid="{00000000-0005-0000-0000-00001A010000}"/>
    <cellStyle name="20% - Accent5 16 2" xfId="295" xr:uid="{00000000-0005-0000-0000-00001B010000}"/>
    <cellStyle name="20% - Accent5 16 3" xfId="296" xr:uid="{00000000-0005-0000-0000-00001C010000}"/>
    <cellStyle name="20% - Accent5 16 4" xfId="297" xr:uid="{00000000-0005-0000-0000-00001D010000}"/>
    <cellStyle name="20% - Accent5 16 5" xfId="298" xr:uid="{00000000-0005-0000-0000-00001E010000}"/>
    <cellStyle name="20% - Accent5 17" xfId="299" xr:uid="{00000000-0005-0000-0000-00001F010000}"/>
    <cellStyle name="20% - Accent5 17 2" xfId="300" xr:uid="{00000000-0005-0000-0000-000020010000}"/>
    <cellStyle name="20% - Accent5 17 3" xfId="301" xr:uid="{00000000-0005-0000-0000-000021010000}"/>
    <cellStyle name="20% - Accent5 17 4" xfId="302" xr:uid="{00000000-0005-0000-0000-000022010000}"/>
    <cellStyle name="20% - Accent5 17 5" xfId="303" xr:uid="{00000000-0005-0000-0000-000023010000}"/>
    <cellStyle name="20% - Accent5 18" xfId="304" xr:uid="{00000000-0005-0000-0000-000024010000}"/>
    <cellStyle name="20% - Accent5 19" xfId="305" xr:uid="{00000000-0005-0000-0000-000025010000}"/>
    <cellStyle name="20% - Accent5 2" xfId="306" xr:uid="{00000000-0005-0000-0000-000026010000}"/>
    <cellStyle name="20% - Accent5 2 10" xfId="307" xr:uid="{00000000-0005-0000-0000-000027010000}"/>
    <cellStyle name="20% - Accent5 2 2" xfId="308" xr:uid="{00000000-0005-0000-0000-000028010000}"/>
    <cellStyle name="20% - Accent5 2 2 2" xfId="309" xr:uid="{00000000-0005-0000-0000-000029010000}"/>
    <cellStyle name="20% - Accent5 2 2 2 2" xfId="310" xr:uid="{00000000-0005-0000-0000-00002A010000}"/>
    <cellStyle name="20% - Accent5 2 2 2 2 2" xfId="311" xr:uid="{00000000-0005-0000-0000-00002B010000}"/>
    <cellStyle name="20% - Accent5 2 2 2 2 3" xfId="312" xr:uid="{00000000-0005-0000-0000-00002C010000}"/>
    <cellStyle name="20% - Accent5 2 2 2 3" xfId="313" xr:uid="{00000000-0005-0000-0000-00002D010000}"/>
    <cellStyle name="20% - Accent5 2 2 2 4" xfId="314" xr:uid="{00000000-0005-0000-0000-00002E010000}"/>
    <cellStyle name="20% - Accent5 2 2 2 5" xfId="315" xr:uid="{00000000-0005-0000-0000-00002F010000}"/>
    <cellStyle name="20% - Accent5 2 2 2 6" xfId="316" xr:uid="{00000000-0005-0000-0000-000030010000}"/>
    <cellStyle name="20% - Accent5 2 2 3" xfId="317" xr:uid="{00000000-0005-0000-0000-000031010000}"/>
    <cellStyle name="20% - Accent5 2 2 4" xfId="318" xr:uid="{00000000-0005-0000-0000-000032010000}"/>
    <cellStyle name="20% - Accent5 2 2 5" xfId="319" xr:uid="{00000000-0005-0000-0000-000033010000}"/>
    <cellStyle name="20% - Accent5 2 2 6" xfId="320" xr:uid="{00000000-0005-0000-0000-000034010000}"/>
    <cellStyle name="20% - Accent5 2 3" xfId="321" xr:uid="{00000000-0005-0000-0000-000035010000}"/>
    <cellStyle name="20% - Accent5 2 4" xfId="322" xr:uid="{00000000-0005-0000-0000-000036010000}"/>
    <cellStyle name="20% - Accent5 2 5" xfId="323" xr:uid="{00000000-0005-0000-0000-000037010000}"/>
    <cellStyle name="20% - Accent5 2 6" xfId="324" xr:uid="{00000000-0005-0000-0000-000038010000}"/>
    <cellStyle name="20% - Accent5 2 7" xfId="325" xr:uid="{00000000-0005-0000-0000-000039010000}"/>
    <cellStyle name="20% - Accent5 2 8" xfId="326" xr:uid="{00000000-0005-0000-0000-00003A010000}"/>
    <cellStyle name="20% - Accent5 2 9" xfId="327" xr:uid="{00000000-0005-0000-0000-00003B010000}"/>
    <cellStyle name="20% - Accent5 20" xfId="328" xr:uid="{00000000-0005-0000-0000-00003C010000}"/>
    <cellStyle name="20% - Accent5 21" xfId="329" xr:uid="{00000000-0005-0000-0000-00003D010000}"/>
    <cellStyle name="20% - Accent5 22" xfId="330" xr:uid="{00000000-0005-0000-0000-00003E010000}"/>
    <cellStyle name="20% - Accent5 23" xfId="331" xr:uid="{00000000-0005-0000-0000-00003F010000}"/>
    <cellStyle name="20% - Accent5 24" xfId="332" xr:uid="{00000000-0005-0000-0000-000040010000}"/>
    <cellStyle name="20% - Accent5 25" xfId="333" xr:uid="{00000000-0005-0000-0000-000041010000}"/>
    <cellStyle name="20% - Accent5 26" xfId="334" xr:uid="{00000000-0005-0000-0000-000042010000}"/>
    <cellStyle name="20% - Accent5 27" xfId="335" xr:uid="{00000000-0005-0000-0000-000043010000}"/>
    <cellStyle name="20% - Accent5 28" xfId="336" xr:uid="{00000000-0005-0000-0000-000044010000}"/>
    <cellStyle name="20% - Accent5 29" xfId="337" xr:uid="{00000000-0005-0000-0000-000045010000}"/>
    <cellStyle name="20% - Accent5 3" xfId="338" xr:uid="{00000000-0005-0000-0000-000046010000}"/>
    <cellStyle name="20% - Accent5 30" xfId="339" xr:uid="{00000000-0005-0000-0000-000047010000}"/>
    <cellStyle name="20% - Accent5 31" xfId="340" xr:uid="{00000000-0005-0000-0000-000048010000}"/>
    <cellStyle name="20% - Accent5 32" xfId="341" xr:uid="{00000000-0005-0000-0000-000049010000}"/>
    <cellStyle name="20% - Accent5 33" xfId="342" xr:uid="{00000000-0005-0000-0000-00004A010000}"/>
    <cellStyle name="20% - Accent5 34" xfId="343" xr:uid="{00000000-0005-0000-0000-00004B010000}"/>
    <cellStyle name="20% - Accent5 35" xfId="344" xr:uid="{00000000-0005-0000-0000-00004C010000}"/>
    <cellStyle name="20% - Accent5 36" xfId="345" xr:uid="{00000000-0005-0000-0000-00004D010000}"/>
    <cellStyle name="20% - Accent5 4" xfId="346" xr:uid="{00000000-0005-0000-0000-00004E010000}"/>
    <cellStyle name="20% - Accent5 5" xfId="347" xr:uid="{00000000-0005-0000-0000-00004F010000}"/>
    <cellStyle name="20% - Accent5 6" xfId="348" xr:uid="{00000000-0005-0000-0000-000050010000}"/>
    <cellStyle name="20% - Accent5 7" xfId="349" xr:uid="{00000000-0005-0000-0000-000051010000}"/>
    <cellStyle name="20% - Accent5 8" xfId="350" xr:uid="{00000000-0005-0000-0000-000052010000}"/>
    <cellStyle name="20% - Accent5 9" xfId="351" xr:uid="{00000000-0005-0000-0000-000053010000}"/>
    <cellStyle name="20% - Accent6 10" xfId="352" xr:uid="{00000000-0005-0000-0000-000054010000}"/>
    <cellStyle name="20% - Accent6 11" xfId="353" xr:uid="{00000000-0005-0000-0000-000055010000}"/>
    <cellStyle name="20% - Accent6 12" xfId="354" xr:uid="{00000000-0005-0000-0000-000056010000}"/>
    <cellStyle name="20% - Accent6 13" xfId="355" xr:uid="{00000000-0005-0000-0000-000057010000}"/>
    <cellStyle name="20% - Accent6 14" xfId="356" xr:uid="{00000000-0005-0000-0000-000058010000}"/>
    <cellStyle name="20% - Accent6 15" xfId="357" xr:uid="{00000000-0005-0000-0000-000059010000}"/>
    <cellStyle name="20% - Accent6 15 2" xfId="358" xr:uid="{00000000-0005-0000-0000-00005A010000}"/>
    <cellStyle name="20% - Accent6 15 3" xfId="359" xr:uid="{00000000-0005-0000-0000-00005B010000}"/>
    <cellStyle name="20% - Accent6 15 4" xfId="360" xr:uid="{00000000-0005-0000-0000-00005C010000}"/>
    <cellStyle name="20% - Accent6 15 5" xfId="361" xr:uid="{00000000-0005-0000-0000-00005D010000}"/>
    <cellStyle name="20% - Accent6 16" xfId="362" xr:uid="{00000000-0005-0000-0000-00005E010000}"/>
    <cellStyle name="20% - Accent6 16 2" xfId="363" xr:uid="{00000000-0005-0000-0000-00005F010000}"/>
    <cellStyle name="20% - Accent6 16 3" xfId="364" xr:uid="{00000000-0005-0000-0000-000060010000}"/>
    <cellStyle name="20% - Accent6 16 4" xfId="365" xr:uid="{00000000-0005-0000-0000-000061010000}"/>
    <cellStyle name="20% - Accent6 16 5" xfId="366" xr:uid="{00000000-0005-0000-0000-000062010000}"/>
    <cellStyle name="20% - Accent6 17" xfId="367" xr:uid="{00000000-0005-0000-0000-000063010000}"/>
    <cellStyle name="20% - Accent6 17 2" xfId="368" xr:uid="{00000000-0005-0000-0000-000064010000}"/>
    <cellStyle name="20% - Accent6 17 3" xfId="369" xr:uid="{00000000-0005-0000-0000-000065010000}"/>
    <cellStyle name="20% - Accent6 17 4" xfId="370" xr:uid="{00000000-0005-0000-0000-000066010000}"/>
    <cellStyle name="20% - Accent6 17 5" xfId="371" xr:uid="{00000000-0005-0000-0000-000067010000}"/>
    <cellStyle name="20% - Accent6 18" xfId="372" xr:uid="{00000000-0005-0000-0000-000068010000}"/>
    <cellStyle name="20% - Accent6 19" xfId="373" xr:uid="{00000000-0005-0000-0000-000069010000}"/>
    <cellStyle name="20% - Accent6 2" xfId="374" xr:uid="{00000000-0005-0000-0000-00006A010000}"/>
    <cellStyle name="20% - Accent6 2 10" xfId="375" xr:uid="{00000000-0005-0000-0000-00006B010000}"/>
    <cellStyle name="20% - Accent6 2 2" xfId="376" xr:uid="{00000000-0005-0000-0000-00006C010000}"/>
    <cellStyle name="20% - Accent6 2 2 2" xfId="377" xr:uid="{00000000-0005-0000-0000-00006D010000}"/>
    <cellStyle name="20% - Accent6 2 2 2 2" xfId="378" xr:uid="{00000000-0005-0000-0000-00006E010000}"/>
    <cellStyle name="20% - Accent6 2 2 2 2 2" xfId="379" xr:uid="{00000000-0005-0000-0000-00006F010000}"/>
    <cellStyle name="20% - Accent6 2 2 2 2 3" xfId="380" xr:uid="{00000000-0005-0000-0000-000070010000}"/>
    <cellStyle name="20% - Accent6 2 2 2 3" xfId="381" xr:uid="{00000000-0005-0000-0000-000071010000}"/>
    <cellStyle name="20% - Accent6 2 2 2 4" xfId="382" xr:uid="{00000000-0005-0000-0000-000072010000}"/>
    <cellStyle name="20% - Accent6 2 2 2 5" xfId="383" xr:uid="{00000000-0005-0000-0000-000073010000}"/>
    <cellStyle name="20% - Accent6 2 2 2 6" xfId="384" xr:uid="{00000000-0005-0000-0000-000074010000}"/>
    <cellStyle name="20% - Accent6 2 2 3" xfId="385" xr:uid="{00000000-0005-0000-0000-000075010000}"/>
    <cellStyle name="20% - Accent6 2 2 4" xfId="386" xr:uid="{00000000-0005-0000-0000-000076010000}"/>
    <cellStyle name="20% - Accent6 2 2 5" xfId="387" xr:uid="{00000000-0005-0000-0000-000077010000}"/>
    <cellStyle name="20% - Accent6 2 2 6" xfId="388" xr:uid="{00000000-0005-0000-0000-000078010000}"/>
    <cellStyle name="20% - Accent6 2 3" xfId="389" xr:uid="{00000000-0005-0000-0000-000079010000}"/>
    <cellStyle name="20% - Accent6 2 4" xfId="390" xr:uid="{00000000-0005-0000-0000-00007A010000}"/>
    <cellStyle name="20% - Accent6 2 5" xfId="391" xr:uid="{00000000-0005-0000-0000-00007B010000}"/>
    <cellStyle name="20% - Accent6 2 6" xfId="392" xr:uid="{00000000-0005-0000-0000-00007C010000}"/>
    <cellStyle name="20% - Accent6 2 7" xfId="393" xr:uid="{00000000-0005-0000-0000-00007D010000}"/>
    <cellStyle name="20% - Accent6 2 8" xfId="394" xr:uid="{00000000-0005-0000-0000-00007E010000}"/>
    <cellStyle name="20% - Accent6 2 9" xfId="395" xr:uid="{00000000-0005-0000-0000-00007F010000}"/>
    <cellStyle name="20% - Accent6 20" xfId="396" xr:uid="{00000000-0005-0000-0000-000080010000}"/>
    <cellStyle name="20% - Accent6 21" xfId="397" xr:uid="{00000000-0005-0000-0000-000081010000}"/>
    <cellStyle name="20% - Accent6 22" xfId="398" xr:uid="{00000000-0005-0000-0000-000082010000}"/>
    <cellStyle name="20% - Accent6 23" xfId="399" xr:uid="{00000000-0005-0000-0000-000083010000}"/>
    <cellStyle name="20% - Accent6 24" xfId="400" xr:uid="{00000000-0005-0000-0000-000084010000}"/>
    <cellStyle name="20% - Accent6 25" xfId="401" xr:uid="{00000000-0005-0000-0000-000085010000}"/>
    <cellStyle name="20% - Accent6 26" xfId="402" xr:uid="{00000000-0005-0000-0000-000086010000}"/>
    <cellStyle name="20% - Accent6 27" xfId="403" xr:uid="{00000000-0005-0000-0000-000087010000}"/>
    <cellStyle name="20% - Accent6 28" xfId="404" xr:uid="{00000000-0005-0000-0000-000088010000}"/>
    <cellStyle name="20% - Accent6 29" xfId="405" xr:uid="{00000000-0005-0000-0000-000089010000}"/>
    <cellStyle name="20% - Accent6 3" xfId="406" xr:uid="{00000000-0005-0000-0000-00008A010000}"/>
    <cellStyle name="20% - Accent6 30" xfId="407" xr:uid="{00000000-0005-0000-0000-00008B010000}"/>
    <cellStyle name="20% - Accent6 31" xfId="408" xr:uid="{00000000-0005-0000-0000-00008C010000}"/>
    <cellStyle name="20% - Accent6 32" xfId="409" xr:uid="{00000000-0005-0000-0000-00008D010000}"/>
    <cellStyle name="20% - Accent6 33" xfId="410" xr:uid="{00000000-0005-0000-0000-00008E010000}"/>
    <cellStyle name="20% - Accent6 34" xfId="411" xr:uid="{00000000-0005-0000-0000-00008F010000}"/>
    <cellStyle name="20% - Accent6 35" xfId="412" xr:uid="{00000000-0005-0000-0000-000090010000}"/>
    <cellStyle name="20% - Accent6 36" xfId="413" xr:uid="{00000000-0005-0000-0000-000091010000}"/>
    <cellStyle name="20% - Accent6 4" xfId="414" xr:uid="{00000000-0005-0000-0000-000092010000}"/>
    <cellStyle name="20% - Accent6 5" xfId="415" xr:uid="{00000000-0005-0000-0000-000093010000}"/>
    <cellStyle name="20% - Accent6 6" xfId="416" xr:uid="{00000000-0005-0000-0000-000094010000}"/>
    <cellStyle name="20% - Accent6 7" xfId="417" xr:uid="{00000000-0005-0000-0000-000095010000}"/>
    <cellStyle name="20% - Accent6 8" xfId="418" xr:uid="{00000000-0005-0000-0000-000096010000}"/>
    <cellStyle name="20% - Accent6 9" xfId="419" xr:uid="{00000000-0005-0000-0000-000097010000}"/>
    <cellStyle name="40% - Accent1 10" xfId="420" xr:uid="{00000000-0005-0000-0000-000098010000}"/>
    <cellStyle name="40% - Accent1 11" xfId="421" xr:uid="{00000000-0005-0000-0000-000099010000}"/>
    <cellStyle name="40% - Accent1 12" xfId="422" xr:uid="{00000000-0005-0000-0000-00009A010000}"/>
    <cellStyle name="40% - Accent1 13" xfId="423" xr:uid="{00000000-0005-0000-0000-00009B010000}"/>
    <cellStyle name="40% - Accent1 14" xfId="424" xr:uid="{00000000-0005-0000-0000-00009C010000}"/>
    <cellStyle name="40% - Accent1 15" xfId="425" xr:uid="{00000000-0005-0000-0000-00009D010000}"/>
    <cellStyle name="40% - Accent1 15 2" xfId="426" xr:uid="{00000000-0005-0000-0000-00009E010000}"/>
    <cellStyle name="40% - Accent1 15 3" xfId="427" xr:uid="{00000000-0005-0000-0000-00009F010000}"/>
    <cellStyle name="40% - Accent1 15 4" xfId="428" xr:uid="{00000000-0005-0000-0000-0000A0010000}"/>
    <cellStyle name="40% - Accent1 15 5" xfId="429" xr:uid="{00000000-0005-0000-0000-0000A1010000}"/>
    <cellStyle name="40% - Accent1 16" xfId="430" xr:uid="{00000000-0005-0000-0000-0000A2010000}"/>
    <cellStyle name="40% - Accent1 16 2" xfId="431" xr:uid="{00000000-0005-0000-0000-0000A3010000}"/>
    <cellStyle name="40% - Accent1 16 3" xfId="432" xr:uid="{00000000-0005-0000-0000-0000A4010000}"/>
    <cellStyle name="40% - Accent1 16 4" xfId="433" xr:uid="{00000000-0005-0000-0000-0000A5010000}"/>
    <cellStyle name="40% - Accent1 16 5" xfId="434" xr:uid="{00000000-0005-0000-0000-0000A6010000}"/>
    <cellStyle name="40% - Accent1 17" xfId="435" xr:uid="{00000000-0005-0000-0000-0000A7010000}"/>
    <cellStyle name="40% - Accent1 17 2" xfId="436" xr:uid="{00000000-0005-0000-0000-0000A8010000}"/>
    <cellStyle name="40% - Accent1 17 3" xfId="437" xr:uid="{00000000-0005-0000-0000-0000A9010000}"/>
    <cellStyle name="40% - Accent1 17 4" xfId="438" xr:uid="{00000000-0005-0000-0000-0000AA010000}"/>
    <cellStyle name="40% - Accent1 17 5" xfId="439" xr:uid="{00000000-0005-0000-0000-0000AB010000}"/>
    <cellStyle name="40% - Accent1 18" xfId="440" xr:uid="{00000000-0005-0000-0000-0000AC010000}"/>
    <cellStyle name="40% - Accent1 19" xfId="441" xr:uid="{00000000-0005-0000-0000-0000AD010000}"/>
    <cellStyle name="40% - Accent1 2" xfId="442" xr:uid="{00000000-0005-0000-0000-0000AE010000}"/>
    <cellStyle name="40% - Accent1 2 10" xfId="443" xr:uid="{00000000-0005-0000-0000-0000AF010000}"/>
    <cellStyle name="40% - Accent1 2 2" xfId="444" xr:uid="{00000000-0005-0000-0000-0000B0010000}"/>
    <cellStyle name="40% - Accent1 2 2 2" xfId="445" xr:uid="{00000000-0005-0000-0000-0000B1010000}"/>
    <cellStyle name="40% - Accent1 2 2 2 2" xfId="446" xr:uid="{00000000-0005-0000-0000-0000B2010000}"/>
    <cellStyle name="40% - Accent1 2 2 2 2 2" xfId="447" xr:uid="{00000000-0005-0000-0000-0000B3010000}"/>
    <cellStyle name="40% - Accent1 2 2 2 2 3" xfId="448" xr:uid="{00000000-0005-0000-0000-0000B4010000}"/>
    <cellStyle name="40% - Accent1 2 2 2 3" xfId="449" xr:uid="{00000000-0005-0000-0000-0000B5010000}"/>
    <cellStyle name="40% - Accent1 2 2 2 4" xfId="450" xr:uid="{00000000-0005-0000-0000-0000B6010000}"/>
    <cellStyle name="40% - Accent1 2 2 2 5" xfId="451" xr:uid="{00000000-0005-0000-0000-0000B7010000}"/>
    <cellStyle name="40% - Accent1 2 2 2 6" xfId="452" xr:uid="{00000000-0005-0000-0000-0000B8010000}"/>
    <cellStyle name="40% - Accent1 2 2 3" xfId="453" xr:uid="{00000000-0005-0000-0000-0000B9010000}"/>
    <cellStyle name="40% - Accent1 2 2 4" xfId="454" xr:uid="{00000000-0005-0000-0000-0000BA010000}"/>
    <cellStyle name="40% - Accent1 2 2 5" xfId="455" xr:uid="{00000000-0005-0000-0000-0000BB010000}"/>
    <cellStyle name="40% - Accent1 2 2 6" xfId="456" xr:uid="{00000000-0005-0000-0000-0000BC010000}"/>
    <cellStyle name="40% - Accent1 2 3" xfId="457" xr:uid="{00000000-0005-0000-0000-0000BD010000}"/>
    <cellStyle name="40% - Accent1 2 4" xfId="458" xr:uid="{00000000-0005-0000-0000-0000BE010000}"/>
    <cellStyle name="40% - Accent1 2 5" xfId="459" xr:uid="{00000000-0005-0000-0000-0000BF010000}"/>
    <cellStyle name="40% - Accent1 2 6" xfId="460" xr:uid="{00000000-0005-0000-0000-0000C0010000}"/>
    <cellStyle name="40% - Accent1 2 7" xfId="461" xr:uid="{00000000-0005-0000-0000-0000C1010000}"/>
    <cellStyle name="40% - Accent1 2 8" xfId="462" xr:uid="{00000000-0005-0000-0000-0000C2010000}"/>
    <cellStyle name="40% - Accent1 2 9" xfId="463" xr:uid="{00000000-0005-0000-0000-0000C3010000}"/>
    <cellStyle name="40% - Accent1 20" xfId="464" xr:uid="{00000000-0005-0000-0000-0000C4010000}"/>
    <cellStyle name="40% - Accent1 21" xfId="465" xr:uid="{00000000-0005-0000-0000-0000C5010000}"/>
    <cellStyle name="40% - Accent1 22" xfId="466" xr:uid="{00000000-0005-0000-0000-0000C6010000}"/>
    <cellStyle name="40% - Accent1 23" xfId="467" xr:uid="{00000000-0005-0000-0000-0000C7010000}"/>
    <cellStyle name="40% - Accent1 24" xfId="468" xr:uid="{00000000-0005-0000-0000-0000C8010000}"/>
    <cellStyle name="40% - Accent1 25" xfId="469" xr:uid="{00000000-0005-0000-0000-0000C9010000}"/>
    <cellStyle name="40% - Accent1 26" xfId="470" xr:uid="{00000000-0005-0000-0000-0000CA010000}"/>
    <cellStyle name="40% - Accent1 27" xfId="471" xr:uid="{00000000-0005-0000-0000-0000CB010000}"/>
    <cellStyle name="40% - Accent1 28" xfId="472" xr:uid="{00000000-0005-0000-0000-0000CC010000}"/>
    <cellStyle name="40% - Accent1 29" xfId="473" xr:uid="{00000000-0005-0000-0000-0000CD010000}"/>
    <cellStyle name="40% - Accent1 3" xfId="474" xr:uid="{00000000-0005-0000-0000-0000CE010000}"/>
    <cellStyle name="40% - Accent1 30" xfId="475" xr:uid="{00000000-0005-0000-0000-0000CF010000}"/>
    <cellStyle name="40% - Accent1 31" xfId="476" xr:uid="{00000000-0005-0000-0000-0000D0010000}"/>
    <cellStyle name="40% - Accent1 32" xfId="477" xr:uid="{00000000-0005-0000-0000-0000D1010000}"/>
    <cellStyle name="40% - Accent1 33" xfId="478" xr:uid="{00000000-0005-0000-0000-0000D2010000}"/>
    <cellStyle name="40% - Accent1 34" xfId="479" xr:uid="{00000000-0005-0000-0000-0000D3010000}"/>
    <cellStyle name="40% - Accent1 35" xfId="480" xr:uid="{00000000-0005-0000-0000-0000D4010000}"/>
    <cellStyle name="40% - Accent1 36" xfId="481" xr:uid="{00000000-0005-0000-0000-0000D5010000}"/>
    <cellStyle name="40% - Accent1 4" xfId="482" xr:uid="{00000000-0005-0000-0000-0000D6010000}"/>
    <cellStyle name="40% - Accent1 5" xfId="483" xr:uid="{00000000-0005-0000-0000-0000D7010000}"/>
    <cellStyle name="40% - Accent1 6" xfId="484" xr:uid="{00000000-0005-0000-0000-0000D8010000}"/>
    <cellStyle name="40% - Accent1 7" xfId="485" xr:uid="{00000000-0005-0000-0000-0000D9010000}"/>
    <cellStyle name="40% - Accent1 8" xfId="486" xr:uid="{00000000-0005-0000-0000-0000DA010000}"/>
    <cellStyle name="40% - Accent1 9" xfId="487" xr:uid="{00000000-0005-0000-0000-0000DB010000}"/>
    <cellStyle name="40% - Accent2 10" xfId="488" xr:uid="{00000000-0005-0000-0000-0000DC010000}"/>
    <cellStyle name="40% - Accent2 11" xfId="489" xr:uid="{00000000-0005-0000-0000-0000DD010000}"/>
    <cellStyle name="40% - Accent2 12" xfId="490" xr:uid="{00000000-0005-0000-0000-0000DE010000}"/>
    <cellStyle name="40% - Accent2 13" xfId="491" xr:uid="{00000000-0005-0000-0000-0000DF010000}"/>
    <cellStyle name="40% - Accent2 14" xfId="492" xr:uid="{00000000-0005-0000-0000-0000E0010000}"/>
    <cellStyle name="40% - Accent2 15" xfId="493" xr:uid="{00000000-0005-0000-0000-0000E1010000}"/>
    <cellStyle name="40% - Accent2 15 2" xfId="494" xr:uid="{00000000-0005-0000-0000-0000E2010000}"/>
    <cellStyle name="40% - Accent2 15 3" xfId="495" xr:uid="{00000000-0005-0000-0000-0000E3010000}"/>
    <cellStyle name="40% - Accent2 15 4" xfId="496" xr:uid="{00000000-0005-0000-0000-0000E4010000}"/>
    <cellStyle name="40% - Accent2 15 5" xfId="497" xr:uid="{00000000-0005-0000-0000-0000E5010000}"/>
    <cellStyle name="40% - Accent2 16" xfId="498" xr:uid="{00000000-0005-0000-0000-0000E6010000}"/>
    <cellStyle name="40% - Accent2 16 2" xfId="499" xr:uid="{00000000-0005-0000-0000-0000E7010000}"/>
    <cellStyle name="40% - Accent2 16 3" xfId="500" xr:uid="{00000000-0005-0000-0000-0000E8010000}"/>
    <cellStyle name="40% - Accent2 16 4" xfId="501" xr:uid="{00000000-0005-0000-0000-0000E9010000}"/>
    <cellStyle name="40% - Accent2 16 5" xfId="502" xr:uid="{00000000-0005-0000-0000-0000EA010000}"/>
    <cellStyle name="40% - Accent2 17" xfId="503" xr:uid="{00000000-0005-0000-0000-0000EB010000}"/>
    <cellStyle name="40% - Accent2 17 2" xfId="504" xr:uid="{00000000-0005-0000-0000-0000EC010000}"/>
    <cellStyle name="40% - Accent2 17 3" xfId="505" xr:uid="{00000000-0005-0000-0000-0000ED010000}"/>
    <cellStyle name="40% - Accent2 17 4" xfId="506" xr:uid="{00000000-0005-0000-0000-0000EE010000}"/>
    <cellStyle name="40% - Accent2 17 5" xfId="507" xr:uid="{00000000-0005-0000-0000-0000EF010000}"/>
    <cellStyle name="40% - Accent2 18" xfId="508" xr:uid="{00000000-0005-0000-0000-0000F0010000}"/>
    <cellStyle name="40% - Accent2 19" xfId="509" xr:uid="{00000000-0005-0000-0000-0000F1010000}"/>
    <cellStyle name="40% - Accent2 2" xfId="510" xr:uid="{00000000-0005-0000-0000-0000F2010000}"/>
    <cellStyle name="40% - Accent2 2 10" xfId="511" xr:uid="{00000000-0005-0000-0000-0000F3010000}"/>
    <cellStyle name="40% - Accent2 2 2" xfId="512" xr:uid="{00000000-0005-0000-0000-0000F4010000}"/>
    <cellStyle name="40% - Accent2 2 2 2" xfId="513" xr:uid="{00000000-0005-0000-0000-0000F5010000}"/>
    <cellStyle name="40% - Accent2 2 2 2 2" xfId="514" xr:uid="{00000000-0005-0000-0000-0000F6010000}"/>
    <cellStyle name="40% - Accent2 2 2 2 2 2" xfId="515" xr:uid="{00000000-0005-0000-0000-0000F7010000}"/>
    <cellStyle name="40% - Accent2 2 2 2 2 3" xfId="516" xr:uid="{00000000-0005-0000-0000-0000F8010000}"/>
    <cellStyle name="40% - Accent2 2 2 2 3" xfId="517" xr:uid="{00000000-0005-0000-0000-0000F9010000}"/>
    <cellStyle name="40% - Accent2 2 2 2 4" xfId="518" xr:uid="{00000000-0005-0000-0000-0000FA010000}"/>
    <cellStyle name="40% - Accent2 2 2 2 5" xfId="519" xr:uid="{00000000-0005-0000-0000-0000FB010000}"/>
    <cellStyle name="40% - Accent2 2 2 2 6" xfId="520" xr:uid="{00000000-0005-0000-0000-0000FC010000}"/>
    <cellStyle name="40% - Accent2 2 2 3" xfId="521" xr:uid="{00000000-0005-0000-0000-0000FD010000}"/>
    <cellStyle name="40% - Accent2 2 2 4" xfId="522" xr:uid="{00000000-0005-0000-0000-0000FE010000}"/>
    <cellStyle name="40% - Accent2 2 2 5" xfId="523" xr:uid="{00000000-0005-0000-0000-0000FF010000}"/>
    <cellStyle name="40% - Accent2 2 2 6" xfId="524" xr:uid="{00000000-0005-0000-0000-000000020000}"/>
    <cellStyle name="40% - Accent2 2 3" xfId="525" xr:uid="{00000000-0005-0000-0000-000001020000}"/>
    <cellStyle name="40% - Accent2 2 4" xfId="526" xr:uid="{00000000-0005-0000-0000-000002020000}"/>
    <cellStyle name="40% - Accent2 2 5" xfId="527" xr:uid="{00000000-0005-0000-0000-000003020000}"/>
    <cellStyle name="40% - Accent2 2 6" xfId="528" xr:uid="{00000000-0005-0000-0000-000004020000}"/>
    <cellStyle name="40% - Accent2 2 7" xfId="529" xr:uid="{00000000-0005-0000-0000-000005020000}"/>
    <cellStyle name="40% - Accent2 2 8" xfId="530" xr:uid="{00000000-0005-0000-0000-000006020000}"/>
    <cellStyle name="40% - Accent2 2 9" xfId="531" xr:uid="{00000000-0005-0000-0000-000007020000}"/>
    <cellStyle name="40% - Accent2 20" xfId="532" xr:uid="{00000000-0005-0000-0000-000008020000}"/>
    <cellStyle name="40% - Accent2 21" xfId="533" xr:uid="{00000000-0005-0000-0000-000009020000}"/>
    <cellStyle name="40% - Accent2 22" xfId="534" xr:uid="{00000000-0005-0000-0000-00000A020000}"/>
    <cellStyle name="40% - Accent2 23" xfId="535" xr:uid="{00000000-0005-0000-0000-00000B020000}"/>
    <cellStyle name="40% - Accent2 24" xfId="536" xr:uid="{00000000-0005-0000-0000-00000C020000}"/>
    <cellStyle name="40% - Accent2 25" xfId="537" xr:uid="{00000000-0005-0000-0000-00000D020000}"/>
    <cellStyle name="40% - Accent2 26" xfId="538" xr:uid="{00000000-0005-0000-0000-00000E020000}"/>
    <cellStyle name="40% - Accent2 27" xfId="539" xr:uid="{00000000-0005-0000-0000-00000F020000}"/>
    <cellStyle name="40% - Accent2 28" xfId="540" xr:uid="{00000000-0005-0000-0000-000010020000}"/>
    <cellStyle name="40% - Accent2 29" xfId="541" xr:uid="{00000000-0005-0000-0000-000011020000}"/>
    <cellStyle name="40% - Accent2 3" xfId="542" xr:uid="{00000000-0005-0000-0000-000012020000}"/>
    <cellStyle name="40% - Accent2 30" xfId="543" xr:uid="{00000000-0005-0000-0000-000013020000}"/>
    <cellStyle name="40% - Accent2 31" xfId="544" xr:uid="{00000000-0005-0000-0000-000014020000}"/>
    <cellStyle name="40% - Accent2 32" xfId="545" xr:uid="{00000000-0005-0000-0000-000015020000}"/>
    <cellStyle name="40% - Accent2 33" xfId="546" xr:uid="{00000000-0005-0000-0000-000016020000}"/>
    <cellStyle name="40% - Accent2 34" xfId="547" xr:uid="{00000000-0005-0000-0000-000017020000}"/>
    <cellStyle name="40% - Accent2 35" xfId="548" xr:uid="{00000000-0005-0000-0000-000018020000}"/>
    <cellStyle name="40% - Accent2 36" xfId="549" xr:uid="{00000000-0005-0000-0000-000019020000}"/>
    <cellStyle name="40% - Accent2 4" xfId="550" xr:uid="{00000000-0005-0000-0000-00001A020000}"/>
    <cellStyle name="40% - Accent2 5" xfId="551" xr:uid="{00000000-0005-0000-0000-00001B020000}"/>
    <cellStyle name="40% - Accent2 6" xfId="552" xr:uid="{00000000-0005-0000-0000-00001C020000}"/>
    <cellStyle name="40% - Accent2 7" xfId="553" xr:uid="{00000000-0005-0000-0000-00001D020000}"/>
    <cellStyle name="40% - Accent2 8" xfId="554" xr:uid="{00000000-0005-0000-0000-00001E020000}"/>
    <cellStyle name="40% - Accent2 9" xfId="555" xr:uid="{00000000-0005-0000-0000-00001F020000}"/>
    <cellStyle name="40% - Accent3 10" xfId="556" xr:uid="{00000000-0005-0000-0000-000020020000}"/>
    <cellStyle name="40% - Accent3 11" xfId="557" xr:uid="{00000000-0005-0000-0000-000021020000}"/>
    <cellStyle name="40% - Accent3 12" xfId="558" xr:uid="{00000000-0005-0000-0000-000022020000}"/>
    <cellStyle name="40% - Accent3 13" xfId="559" xr:uid="{00000000-0005-0000-0000-000023020000}"/>
    <cellStyle name="40% - Accent3 14" xfId="560" xr:uid="{00000000-0005-0000-0000-000024020000}"/>
    <cellStyle name="40% - Accent3 15" xfId="561" xr:uid="{00000000-0005-0000-0000-000025020000}"/>
    <cellStyle name="40% - Accent3 15 2" xfId="562" xr:uid="{00000000-0005-0000-0000-000026020000}"/>
    <cellStyle name="40% - Accent3 15 3" xfId="563" xr:uid="{00000000-0005-0000-0000-000027020000}"/>
    <cellStyle name="40% - Accent3 15 4" xfId="564" xr:uid="{00000000-0005-0000-0000-000028020000}"/>
    <cellStyle name="40% - Accent3 15 5" xfId="565" xr:uid="{00000000-0005-0000-0000-000029020000}"/>
    <cellStyle name="40% - Accent3 16" xfId="566" xr:uid="{00000000-0005-0000-0000-00002A020000}"/>
    <cellStyle name="40% - Accent3 16 2" xfId="567" xr:uid="{00000000-0005-0000-0000-00002B020000}"/>
    <cellStyle name="40% - Accent3 16 3" xfId="568" xr:uid="{00000000-0005-0000-0000-00002C020000}"/>
    <cellStyle name="40% - Accent3 16 4" xfId="569" xr:uid="{00000000-0005-0000-0000-00002D020000}"/>
    <cellStyle name="40% - Accent3 16 5" xfId="570" xr:uid="{00000000-0005-0000-0000-00002E020000}"/>
    <cellStyle name="40% - Accent3 17" xfId="571" xr:uid="{00000000-0005-0000-0000-00002F020000}"/>
    <cellStyle name="40% - Accent3 17 2" xfId="572" xr:uid="{00000000-0005-0000-0000-000030020000}"/>
    <cellStyle name="40% - Accent3 17 3" xfId="573" xr:uid="{00000000-0005-0000-0000-000031020000}"/>
    <cellStyle name="40% - Accent3 17 4" xfId="574" xr:uid="{00000000-0005-0000-0000-000032020000}"/>
    <cellStyle name="40% - Accent3 17 5" xfId="575" xr:uid="{00000000-0005-0000-0000-000033020000}"/>
    <cellStyle name="40% - Accent3 18" xfId="576" xr:uid="{00000000-0005-0000-0000-000034020000}"/>
    <cellStyle name="40% - Accent3 19" xfId="577" xr:uid="{00000000-0005-0000-0000-000035020000}"/>
    <cellStyle name="40% - Accent3 2" xfId="578" xr:uid="{00000000-0005-0000-0000-000036020000}"/>
    <cellStyle name="40% - Accent3 2 10" xfId="579" xr:uid="{00000000-0005-0000-0000-000037020000}"/>
    <cellStyle name="40% - Accent3 2 2" xfId="580" xr:uid="{00000000-0005-0000-0000-000038020000}"/>
    <cellStyle name="40% - Accent3 2 2 2" xfId="581" xr:uid="{00000000-0005-0000-0000-000039020000}"/>
    <cellStyle name="40% - Accent3 2 2 2 2" xfId="582" xr:uid="{00000000-0005-0000-0000-00003A020000}"/>
    <cellStyle name="40% - Accent3 2 2 2 2 2" xfId="583" xr:uid="{00000000-0005-0000-0000-00003B020000}"/>
    <cellStyle name="40% - Accent3 2 2 2 2 3" xfId="584" xr:uid="{00000000-0005-0000-0000-00003C020000}"/>
    <cellStyle name="40% - Accent3 2 2 2 3" xfId="585" xr:uid="{00000000-0005-0000-0000-00003D020000}"/>
    <cellStyle name="40% - Accent3 2 2 2 4" xfId="586" xr:uid="{00000000-0005-0000-0000-00003E020000}"/>
    <cellStyle name="40% - Accent3 2 2 2 5" xfId="587" xr:uid="{00000000-0005-0000-0000-00003F020000}"/>
    <cellStyle name="40% - Accent3 2 2 2 6" xfId="588" xr:uid="{00000000-0005-0000-0000-000040020000}"/>
    <cellStyle name="40% - Accent3 2 2 3" xfId="589" xr:uid="{00000000-0005-0000-0000-000041020000}"/>
    <cellStyle name="40% - Accent3 2 2 4" xfId="590" xr:uid="{00000000-0005-0000-0000-000042020000}"/>
    <cellStyle name="40% - Accent3 2 2 5" xfId="591" xr:uid="{00000000-0005-0000-0000-000043020000}"/>
    <cellStyle name="40% - Accent3 2 2 6" xfId="592" xr:uid="{00000000-0005-0000-0000-000044020000}"/>
    <cellStyle name="40% - Accent3 2 3" xfId="593" xr:uid="{00000000-0005-0000-0000-000045020000}"/>
    <cellStyle name="40% - Accent3 2 4" xfId="594" xr:uid="{00000000-0005-0000-0000-000046020000}"/>
    <cellStyle name="40% - Accent3 2 5" xfId="595" xr:uid="{00000000-0005-0000-0000-000047020000}"/>
    <cellStyle name="40% - Accent3 2 6" xfId="596" xr:uid="{00000000-0005-0000-0000-000048020000}"/>
    <cellStyle name="40% - Accent3 2 7" xfId="597" xr:uid="{00000000-0005-0000-0000-000049020000}"/>
    <cellStyle name="40% - Accent3 2 8" xfId="598" xr:uid="{00000000-0005-0000-0000-00004A020000}"/>
    <cellStyle name="40% - Accent3 2 9" xfId="599" xr:uid="{00000000-0005-0000-0000-00004B020000}"/>
    <cellStyle name="40% - Accent3 20" xfId="600" xr:uid="{00000000-0005-0000-0000-00004C020000}"/>
    <cellStyle name="40% - Accent3 21" xfId="601" xr:uid="{00000000-0005-0000-0000-00004D020000}"/>
    <cellStyle name="40% - Accent3 22" xfId="602" xr:uid="{00000000-0005-0000-0000-00004E020000}"/>
    <cellStyle name="40% - Accent3 23" xfId="603" xr:uid="{00000000-0005-0000-0000-00004F020000}"/>
    <cellStyle name="40% - Accent3 24" xfId="604" xr:uid="{00000000-0005-0000-0000-000050020000}"/>
    <cellStyle name="40% - Accent3 25" xfId="605" xr:uid="{00000000-0005-0000-0000-000051020000}"/>
    <cellStyle name="40% - Accent3 26" xfId="606" xr:uid="{00000000-0005-0000-0000-000052020000}"/>
    <cellStyle name="40% - Accent3 27" xfId="607" xr:uid="{00000000-0005-0000-0000-000053020000}"/>
    <cellStyle name="40% - Accent3 28" xfId="608" xr:uid="{00000000-0005-0000-0000-000054020000}"/>
    <cellStyle name="40% - Accent3 29" xfId="609" xr:uid="{00000000-0005-0000-0000-000055020000}"/>
    <cellStyle name="40% - Accent3 3" xfId="610" xr:uid="{00000000-0005-0000-0000-000056020000}"/>
    <cellStyle name="40% - Accent3 30" xfId="611" xr:uid="{00000000-0005-0000-0000-000057020000}"/>
    <cellStyle name="40% - Accent3 31" xfId="612" xr:uid="{00000000-0005-0000-0000-000058020000}"/>
    <cellStyle name="40% - Accent3 32" xfId="613" xr:uid="{00000000-0005-0000-0000-000059020000}"/>
    <cellStyle name="40% - Accent3 33" xfId="614" xr:uid="{00000000-0005-0000-0000-00005A020000}"/>
    <cellStyle name="40% - Accent3 34" xfId="615" xr:uid="{00000000-0005-0000-0000-00005B020000}"/>
    <cellStyle name="40% - Accent3 35" xfId="616" xr:uid="{00000000-0005-0000-0000-00005C020000}"/>
    <cellStyle name="40% - Accent3 36" xfId="617" xr:uid="{00000000-0005-0000-0000-00005D020000}"/>
    <cellStyle name="40% - Accent3 4" xfId="618" xr:uid="{00000000-0005-0000-0000-00005E020000}"/>
    <cellStyle name="40% - Accent3 5" xfId="619" xr:uid="{00000000-0005-0000-0000-00005F020000}"/>
    <cellStyle name="40% - Accent3 6" xfId="620" xr:uid="{00000000-0005-0000-0000-000060020000}"/>
    <cellStyle name="40% - Accent3 7" xfId="621" xr:uid="{00000000-0005-0000-0000-000061020000}"/>
    <cellStyle name="40% - Accent3 8" xfId="622" xr:uid="{00000000-0005-0000-0000-000062020000}"/>
    <cellStyle name="40% - Accent3 9" xfId="623" xr:uid="{00000000-0005-0000-0000-000063020000}"/>
    <cellStyle name="40% - Accent4 10" xfId="624" xr:uid="{00000000-0005-0000-0000-000064020000}"/>
    <cellStyle name="40% - Accent4 11" xfId="625" xr:uid="{00000000-0005-0000-0000-000065020000}"/>
    <cellStyle name="40% - Accent4 12" xfId="626" xr:uid="{00000000-0005-0000-0000-000066020000}"/>
    <cellStyle name="40% - Accent4 13" xfId="627" xr:uid="{00000000-0005-0000-0000-000067020000}"/>
    <cellStyle name="40% - Accent4 14" xfId="628" xr:uid="{00000000-0005-0000-0000-000068020000}"/>
    <cellStyle name="40% - Accent4 15" xfId="629" xr:uid="{00000000-0005-0000-0000-000069020000}"/>
    <cellStyle name="40% - Accent4 15 2" xfId="630" xr:uid="{00000000-0005-0000-0000-00006A020000}"/>
    <cellStyle name="40% - Accent4 15 3" xfId="631" xr:uid="{00000000-0005-0000-0000-00006B020000}"/>
    <cellStyle name="40% - Accent4 15 4" xfId="632" xr:uid="{00000000-0005-0000-0000-00006C020000}"/>
    <cellStyle name="40% - Accent4 15 5" xfId="633" xr:uid="{00000000-0005-0000-0000-00006D020000}"/>
    <cellStyle name="40% - Accent4 16" xfId="634" xr:uid="{00000000-0005-0000-0000-00006E020000}"/>
    <cellStyle name="40% - Accent4 16 2" xfId="635" xr:uid="{00000000-0005-0000-0000-00006F020000}"/>
    <cellStyle name="40% - Accent4 16 3" xfId="636" xr:uid="{00000000-0005-0000-0000-000070020000}"/>
    <cellStyle name="40% - Accent4 16 4" xfId="637" xr:uid="{00000000-0005-0000-0000-000071020000}"/>
    <cellStyle name="40% - Accent4 16 5" xfId="638" xr:uid="{00000000-0005-0000-0000-000072020000}"/>
    <cellStyle name="40% - Accent4 17" xfId="639" xr:uid="{00000000-0005-0000-0000-000073020000}"/>
    <cellStyle name="40% - Accent4 17 2" xfId="640" xr:uid="{00000000-0005-0000-0000-000074020000}"/>
    <cellStyle name="40% - Accent4 17 3" xfId="641" xr:uid="{00000000-0005-0000-0000-000075020000}"/>
    <cellStyle name="40% - Accent4 17 4" xfId="642" xr:uid="{00000000-0005-0000-0000-000076020000}"/>
    <cellStyle name="40% - Accent4 17 5" xfId="643" xr:uid="{00000000-0005-0000-0000-000077020000}"/>
    <cellStyle name="40% - Accent4 18" xfId="644" xr:uid="{00000000-0005-0000-0000-000078020000}"/>
    <cellStyle name="40% - Accent4 19" xfId="645" xr:uid="{00000000-0005-0000-0000-000079020000}"/>
    <cellStyle name="40% - Accent4 2" xfId="646" xr:uid="{00000000-0005-0000-0000-00007A020000}"/>
    <cellStyle name="40% - Accent4 2 10" xfId="647" xr:uid="{00000000-0005-0000-0000-00007B020000}"/>
    <cellStyle name="40% - Accent4 2 2" xfId="648" xr:uid="{00000000-0005-0000-0000-00007C020000}"/>
    <cellStyle name="40% - Accent4 2 2 2" xfId="649" xr:uid="{00000000-0005-0000-0000-00007D020000}"/>
    <cellStyle name="40% - Accent4 2 2 2 2" xfId="650" xr:uid="{00000000-0005-0000-0000-00007E020000}"/>
    <cellStyle name="40% - Accent4 2 2 2 2 2" xfId="651" xr:uid="{00000000-0005-0000-0000-00007F020000}"/>
    <cellStyle name="40% - Accent4 2 2 2 2 3" xfId="652" xr:uid="{00000000-0005-0000-0000-000080020000}"/>
    <cellStyle name="40% - Accent4 2 2 2 3" xfId="653" xr:uid="{00000000-0005-0000-0000-000081020000}"/>
    <cellStyle name="40% - Accent4 2 2 2 4" xfId="654" xr:uid="{00000000-0005-0000-0000-000082020000}"/>
    <cellStyle name="40% - Accent4 2 2 2 5" xfId="655" xr:uid="{00000000-0005-0000-0000-000083020000}"/>
    <cellStyle name="40% - Accent4 2 2 2 6" xfId="656" xr:uid="{00000000-0005-0000-0000-000084020000}"/>
    <cellStyle name="40% - Accent4 2 2 3" xfId="657" xr:uid="{00000000-0005-0000-0000-000085020000}"/>
    <cellStyle name="40% - Accent4 2 2 4" xfId="658" xr:uid="{00000000-0005-0000-0000-000086020000}"/>
    <cellStyle name="40% - Accent4 2 2 5" xfId="659" xr:uid="{00000000-0005-0000-0000-000087020000}"/>
    <cellStyle name="40% - Accent4 2 2 6" xfId="660" xr:uid="{00000000-0005-0000-0000-000088020000}"/>
    <cellStyle name="40% - Accent4 2 3" xfId="661" xr:uid="{00000000-0005-0000-0000-000089020000}"/>
    <cellStyle name="40% - Accent4 2 4" xfId="662" xr:uid="{00000000-0005-0000-0000-00008A020000}"/>
    <cellStyle name="40% - Accent4 2 5" xfId="663" xr:uid="{00000000-0005-0000-0000-00008B020000}"/>
    <cellStyle name="40% - Accent4 2 6" xfId="664" xr:uid="{00000000-0005-0000-0000-00008C020000}"/>
    <cellStyle name="40% - Accent4 2 7" xfId="665" xr:uid="{00000000-0005-0000-0000-00008D020000}"/>
    <cellStyle name="40% - Accent4 2 8" xfId="666" xr:uid="{00000000-0005-0000-0000-00008E020000}"/>
    <cellStyle name="40% - Accent4 2 9" xfId="667" xr:uid="{00000000-0005-0000-0000-00008F020000}"/>
    <cellStyle name="40% - Accent4 20" xfId="668" xr:uid="{00000000-0005-0000-0000-000090020000}"/>
    <cellStyle name="40% - Accent4 21" xfId="669" xr:uid="{00000000-0005-0000-0000-000091020000}"/>
    <cellStyle name="40% - Accent4 22" xfId="670" xr:uid="{00000000-0005-0000-0000-000092020000}"/>
    <cellStyle name="40% - Accent4 23" xfId="671" xr:uid="{00000000-0005-0000-0000-000093020000}"/>
    <cellStyle name="40% - Accent4 24" xfId="672" xr:uid="{00000000-0005-0000-0000-000094020000}"/>
    <cellStyle name="40% - Accent4 25" xfId="673" xr:uid="{00000000-0005-0000-0000-000095020000}"/>
    <cellStyle name="40% - Accent4 26" xfId="674" xr:uid="{00000000-0005-0000-0000-000096020000}"/>
    <cellStyle name="40% - Accent4 27" xfId="675" xr:uid="{00000000-0005-0000-0000-000097020000}"/>
    <cellStyle name="40% - Accent4 28" xfId="676" xr:uid="{00000000-0005-0000-0000-000098020000}"/>
    <cellStyle name="40% - Accent4 29" xfId="677" xr:uid="{00000000-0005-0000-0000-000099020000}"/>
    <cellStyle name="40% - Accent4 3" xfId="678" xr:uid="{00000000-0005-0000-0000-00009A020000}"/>
    <cellStyle name="40% - Accent4 30" xfId="679" xr:uid="{00000000-0005-0000-0000-00009B020000}"/>
    <cellStyle name="40% - Accent4 31" xfId="680" xr:uid="{00000000-0005-0000-0000-00009C020000}"/>
    <cellStyle name="40% - Accent4 32" xfId="681" xr:uid="{00000000-0005-0000-0000-00009D020000}"/>
    <cellStyle name="40% - Accent4 33" xfId="682" xr:uid="{00000000-0005-0000-0000-00009E020000}"/>
    <cellStyle name="40% - Accent4 34" xfId="683" xr:uid="{00000000-0005-0000-0000-00009F020000}"/>
    <cellStyle name="40% - Accent4 35" xfId="684" xr:uid="{00000000-0005-0000-0000-0000A0020000}"/>
    <cellStyle name="40% - Accent4 36" xfId="685" xr:uid="{00000000-0005-0000-0000-0000A1020000}"/>
    <cellStyle name="40% - Accent4 4" xfId="686" xr:uid="{00000000-0005-0000-0000-0000A2020000}"/>
    <cellStyle name="40% - Accent4 5" xfId="687" xr:uid="{00000000-0005-0000-0000-0000A3020000}"/>
    <cellStyle name="40% - Accent4 6" xfId="688" xr:uid="{00000000-0005-0000-0000-0000A4020000}"/>
    <cellStyle name="40% - Accent4 7" xfId="689" xr:uid="{00000000-0005-0000-0000-0000A5020000}"/>
    <cellStyle name="40% - Accent4 8" xfId="690" xr:uid="{00000000-0005-0000-0000-0000A6020000}"/>
    <cellStyle name="40% - Accent4 9" xfId="691" xr:uid="{00000000-0005-0000-0000-0000A7020000}"/>
    <cellStyle name="40% - Accent5 10" xfId="692" xr:uid="{00000000-0005-0000-0000-0000A8020000}"/>
    <cellStyle name="40% - Accent5 11" xfId="693" xr:uid="{00000000-0005-0000-0000-0000A9020000}"/>
    <cellStyle name="40% - Accent5 12" xfId="694" xr:uid="{00000000-0005-0000-0000-0000AA020000}"/>
    <cellStyle name="40% - Accent5 13" xfId="695" xr:uid="{00000000-0005-0000-0000-0000AB020000}"/>
    <cellStyle name="40% - Accent5 14" xfId="696" xr:uid="{00000000-0005-0000-0000-0000AC020000}"/>
    <cellStyle name="40% - Accent5 15" xfId="697" xr:uid="{00000000-0005-0000-0000-0000AD020000}"/>
    <cellStyle name="40% - Accent5 15 2" xfId="698" xr:uid="{00000000-0005-0000-0000-0000AE020000}"/>
    <cellStyle name="40% - Accent5 15 3" xfId="699" xr:uid="{00000000-0005-0000-0000-0000AF020000}"/>
    <cellStyle name="40% - Accent5 15 4" xfId="700" xr:uid="{00000000-0005-0000-0000-0000B0020000}"/>
    <cellStyle name="40% - Accent5 15 5" xfId="701" xr:uid="{00000000-0005-0000-0000-0000B1020000}"/>
    <cellStyle name="40% - Accent5 16" xfId="702" xr:uid="{00000000-0005-0000-0000-0000B2020000}"/>
    <cellStyle name="40% - Accent5 16 2" xfId="703" xr:uid="{00000000-0005-0000-0000-0000B3020000}"/>
    <cellStyle name="40% - Accent5 16 3" xfId="704" xr:uid="{00000000-0005-0000-0000-0000B4020000}"/>
    <cellStyle name="40% - Accent5 16 4" xfId="705" xr:uid="{00000000-0005-0000-0000-0000B5020000}"/>
    <cellStyle name="40% - Accent5 16 5" xfId="706" xr:uid="{00000000-0005-0000-0000-0000B6020000}"/>
    <cellStyle name="40% - Accent5 17" xfId="707" xr:uid="{00000000-0005-0000-0000-0000B7020000}"/>
    <cellStyle name="40% - Accent5 17 2" xfId="708" xr:uid="{00000000-0005-0000-0000-0000B8020000}"/>
    <cellStyle name="40% - Accent5 17 3" xfId="709" xr:uid="{00000000-0005-0000-0000-0000B9020000}"/>
    <cellStyle name="40% - Accent5 17 4" xfId="710" xr:uid="{00000000-0005-0000-0000-0000BA020000}"/>
    <cellStyle name="40% - Accent5 17 5" xfId="711" xr:uid="{00000000-0005-0000-0000-0000BB020000}"/>
    <cellStyle name="40% - Accent5 18" xfId="712" xr:uid="{00000000-0005-0000-0000-0000BC020000}"/>
    <cellStyle name="40% - Accent5 19" xfId="713" xr:uid="{00000000-0005-0000-0000-0000BD020000}"/>
    <cellStyle name="40% - Accent5 2" xfId="714" xr:uid="{00000000-0005-0000-0000-0000BE020000}"/>
    <cellStyle name="40% - Accent5 2 10" xfId="715" xr:uid="{00000000-0005-0000-0000-0000BF020000}"/>
    <cellStyle name="40% - Accent5 2 2" xfId="716" xr:uid="{00000000-0005-0000-0000-0000C0020000}"/>
    <cellStyle name="40% - Accent5 2 2 2" xfId="717" xr:uid="{00000000-0005-0000-0000-0000C1020000}"/>
    <cellStyle name="40% - Accent5 2 2 2 2" xfId="718" xr:uid="{00000000-0005-0000-0000-0000C2020000}"/>
    <cellStyle name="40% - Accent5 2 2 2 2 2" xfId="719" xr:uid="{00000000-0005-0000-0000-0000C3020000}"/>
    <cellStyle name="40% - Accent5 2 2 2 2 3" xfId="720" xr:uid="{00000000-0005-0000-0000-0000C4020000}"/>
    <cellStyle name="40% - Accent5 2 2 2 3" xfId="721" xr:uid="{00000000-0005-0000-0000-0000C5020000}"/>
    <cellStyle name="40% - Accent5 2 2 2 4" xfId="722" xr:uid="{00000000-0005-0000-0000-0000C6020000}"/>
    <cellStyle name="40% - Accent5 2 2 2 5" xfId="723" xr:uid="{00000000-0005-0000-0000-0000C7020000}"/>
    <cellStyle name="40% - Accent5 2 2 2 6" xfId="724" xr:uid="{00000000-0005-0000-0000-0000C8020000}"/>
    <cellStyle name="40% - Accent5 2 2 3" xfId="725" xr:uid="{00000000-0005-0000-0000-0000C9020000}"/>
    <cellStyle name="40% - Accent5 2 2 4" xfId="726" xr:uid="{00000000-0005-0000-0000-0000CA020000}"/>
    <cellStyle name="40% - Accent5 2 2 5" xfId="727" xr:uid="{00000000-0005-0000-0000-0000CB020000}"/>
    <cellStyle name="40% - Accent5 2 2 6" xfId="728" xr:uid="{00000000-0005-0000-0000-0000CC020000}"/>
    <cellStyle name="40% - Accent5 2 3" xfId="729" xr:uid="{00000000-0005-0000-0000-0000CD020000}"/>
    <cellStyle name="40% - Accent5 2 4" xfId="730" xr:uid="{00000000-0005-0000-0000-0000CE020000}"/>
    <cellStyle name="40% - Accent5 2 5" xfId="731" xr:uid="{00000000-0005-0000-0000-0000CF020000}"/>
    <cellStyle name="40% - Accent5 2 6" xfId="732" xr:uid="{00000000-0005-0000-0000-0000D0020000}"/>
    <cellStyle name="40% - Accent5 2 7" xfId="733" xr:uid="{00000000-0005-0000-0000-0000D1020000}"/>
    <cellStyle name="40% - Accent5 2 8" xfId="734" xr:uid="{00000000-0005-0000-0000-0000D2020000}"/>
    <cellStyle name="40% - Accent5 2 9" xfId="735" xr:uid="{00000000-0005-0000-0000-0000D3020000}"/>
    <cellStyle name="40% - Accent5 20" xfId="736" xr:uid="{00000000-0005-0000-0000-0000D4020000}"/>
    <cellStyle name="40% - Accent5 21" xfId="737" xr:uid="{00000000-0005-0000-0000-0000D5020000}"/>
    <cellStyle name="40% - Accent5 22" xfId="738" xr:uid="{00000000-0005-0000-0000-0000D6020000}"/>
    <cellStyle name="40% - Accent5 23" xfId="739" xr:uid="{00000000-0005-0000-0000-0000D7020000}"/>
    <cellStyle name="40% - Accent5 24" xfId="740" xr:uid="{00000000-0005-0000-0000-0000D8020000}"/>
    <cellStyle name="40% - Accent5 25" xfId="741" xr:uid="{00000000-0005-0000-0000-0000D9020000}"/>
    <cellStyle name="40% - Accent5 26" xfId="742" xr:uid="{00000000-0005-0000-0000-0000DA020000}"/>
    <cellStyle name="40% - Accent5 27" xfId="743" xr:uid="{00000000-0005-0000-0000-0000DB020000}"/>
    <cellStyle name="40% - Accent5 28" xfId="744" xr:uid="{00000000-0005-0000-0000-0000DC020000}"/>
    <cellStyle name="40% - Accent5 29" xfId="745" xr:uid="{00000000-0005-0000-0000-0000DD020000}"/>
    <cellStyle name="40% - Accent5 3" xfId="746" xr:uid="{00000000-0005-0000-0000-0000DE020000}"/>
    <cellStyle name="40% - Accent5 30" xfId="747" xr:uid="{00000000-0005-0000-0000-0000DF020000}"/>
    <cellStyle name="40% - Accent5 31" xfId="748" xr:uid="{00000000-0005-0000-0000-0000E0020000}"/>
    <cellStyle name="40% - Accent5 32" xfId="749" xr:uid="{00000000-0005-0000-0000-0000E1020000}"/>
    <cellStyle name="40% - Accent5 33" xfId="750" xr:uid="{00000000-0005-0000-0000-0000E2020000}"/>
    <cellStyle name="40% - Accent5 34" xfId="751" xr:uid="{00000000-0005-0000-0000-0000E3020000}"/>
    <cellStyle name="40% - Accent5 35" xfId="752" xr:uid="{00000000-0005-0000-0000-0000E4020000}"/>
    <cellStyle name="40% - Accent5 36" xfId="753" xr:uid="{00000000-0005-0000-0000-0000E5020000}"/>
    <cellStyle name="40% - Accent5 4" xfId="754" xr:uid="{00000000-0005-0000-0000-0000E6020000}"/>
    <cellStyle name="40% - Accent5 5" xfId="755" xr:uid="{00000000-0005-0000-0000-0000E7020000}"/>
    <cellStyle name="40% - Accent5 6" xfId="756" xr:uid="{00000000-0005-0000-0000-0000E8020000}"/>
    <cellStyle name="40% - Accent5 7" xfId="757" xr:uid="{00000000-0005-0000-0000-0000E9020000}"/>
    <cellStyle name="40% - Accent5 8" xfId="758" xr:uid="{00000000-0005-0000-0000-0000EA020000}"/>
    <cellStyle name="40% - Accent5 9" xfId="759" xr:uid="{00000000-0005-0000-0000-0000EB020000}"/>
    <cellStyle name="40% - Accent6 10" xfId="760" xr:uid="{00000000-0005-0000-0000-0000EC020000}"/>
    <cellStyle name="40% - Accent6 11" xfId="761" xr:uid="{00000000-0005-0000-0000-0000ED020000}"/>
    <cellStyle name="40% - Accent6 12" xfId="762" xr:uid="{00000000-0005-0000-0000-0000EE020000}"/>
    <cellStyle name="40% - Accent6 13" xfId="763" xr:uid="{00000000-0005-0000-0000-0000EF020000}"/>
    <cellStyle name="40% - Accent6 14" xfId="764" xr:uid="{00000000-0005-0000-0000-0000F0020000}"/>
    <cellStyle name="40% - Accent6 15" xfId="765" xr:uid="{00000000-0005-0000-0000-0000F1020000}"/>
    <cellStyle name="40% - Accent6 15 2" xfId="766" xr:uid="{00000000-0005-0000-0000-0000F2020000}"/>
    <cellStyle name="40% - Accent6 15 3" xfId="767" xr:uid="{00000000-0005-0000-0000-0000F3020000}"/>
    <cellStyle name="40% - Accent6 15 4" xfId="768" xr:uid="{00000000-0005-0000-0000-0000F4020000}"/>
    <cellStyle name="40% - Accent6 15 5" xfId="769" xr:uid="{00000000-0005-0000-0000-0000F5020000}"/>
    <cellStyle name="40% - Accent6 16" xfId="770" xr:uid="{00000000-0005-0000-0000-0000F6020000}"/>
    <cellStyle name="40% - Accent6 16 2" xfId="771" xr:uid="{00000000-0005-0000-0000-0000F7020000}"/>
    <cellStyle name="40% - Accent6 16 3" xfId="772" xr:uid="{00000000-0005-0000-0000-0000F8020000}"/>
    <cellStyle name="40% - Accent6 16 4" xfId="773" xr:uid="{00000000-0005-0000-0000-0000F9020000}"/>
    <cellStyle name="40% - Accent6 16 5" xfId="774" xr:uid="{00000000-0005-0000-0000-0000FA020000}"/>
    <cellStyle name="40% - Accent6 17" xfId="775" xr:uid="{00000000-0005-0000-0000-0000FB020000}"/>
    <cellStyle name="40% - Accent6 17 2" xfId="776" xr:uid="{00000000-0005-0000-0000-0000FC020000}"/>
    <cellStyle name="40% - Accent6 17 3" xfId="777" xr:uid="{00000000-0005-0000-0000-0000FD020000}"/>
    <cellStyle name="40% - Accent6 17 4" xfId="778" xr:uid="{00000000-0005-0000-0000-0000FE020000}"/>
    <cellStyle name="40% - Accent6 17 5" xfId="779" xr:uid="{00000000-0005-0000-0000-0000FF020000}"/>
    <cellStyle name="40% - Accent6 18" xfId="780" xr:uid="{00000000-0005-0000-0000-000000030000}"/>
    <cellStyle name="40% - Accent6 19" xfId="781" xr:uid="{00000000-0005-0000-0000-000001030000}"/>
    <cellStyle name="40% - Accent6 2" xfId="782" xr:uid="{00000000-0005-0000-0000-000002030000}"/>
    <cellStyle name="40% - Accent6 2 10" xfId="783" xr:uid="{00000000-0005-0000-0000-000003030000}"/>
    <cellStyle name="40% - Accent6 2 2" xfId="784" xr:uid="{00000000-0005-0000-0000-000004030000}"/>
    <cellStyle name="40% - Accent6 2 2 2" xfId="785" xr:uid="{00000000-0005-0000-0000-000005030000}"/>
    <cellStyle name="40% - Accent6 2 2 2 2" xfId="786" xr:uid="{00000000-0005-0000-0000-000006030000}"/>
    <cellStyle name="40% - Accent6 2 2 2 2 2" xfId="787" xr:uid="{00000000-0005-0000-0000-000007030000}"/>
    <cellStyle name="40% - Accent6 2 2 2 2 3" xfId="788" xr:uid="{00000000-0005-0000-0000-000008030000}"/>
    <cellStyle name="40% - Accent6 2 2 2 3" xfId="789" xr:uid="{00000000-0005-0000-0000-000009030000}"/>
    <cellStyle name="40% - Accent6 2 2 2 4" xfId="790" xr:uid="{00000000-0005-0000-0000-00000A030000}"/>
    <cellStyle name="40% - Accent6 2 2 2 5" xfId="791" xr:uid="{00000000-0005-0000-0000-00000B030000}"/>
    <cellStyle name="40% - Accent6 2 2 2 6" xfId="792" xr:uid="{00000000-0005-0000-0000-00000C030000}"/>
    <cellStyle name="40% - Accent6 2 2 3" xfId="793" xr:uid="{00000000-0005-0000-0000-00000D030000}"/>
    <cellStyle name="40% - Accent6 2 2 4" xfId="794" xr:uid="{00000000-0005-0000-0000-00000E030000}"/>
    <cellStyle name="40% - Accent6 2 2 5" xfId="795" xr:uid="{00000000-0005-0000-0000-00000F030000}"/>
    <cellStyle name="40% - Accent6 2 2 6" xfId="796" xr:uid="{00000000-0005-0000-0000-000010030000}"/>
    <cellStyle name="40% - Accent6 2 3" xfId="797" xr:uid="{00000000-0005-0000-0000-000011030000}"/>
    <cellStyle name="40% - Accent6 2 4" xfId="798" xr:uid="{00000000-0005-0000-0000-000012030000}"/>
    <cellStyle name="40% - Accent6 2 5" xfId="799" xr:uid="{00000000-0005-0000-0000-000013030000}"/>
    <cellStyle name="40% - Accent6 2 6" xfId="800" xr:uid="{00000000-0005-0000-0000-000014030000}"/>
    <cellStyle name="40% - Accent6 2 7" xfId="801" xr:uid="{00000000-0005-0000-0000-000015030000}"/>
    <cellStyle name="40% - Accent6 2 8" xfId="802" xr:uid="{00000000-0005-0000-0000-000016030000}"/>
    <cellStyle name="40% - Accent6 2 9" xfId="803" xr:uid="{00000000-0005-0000-0000-000017030000}"/>
    <cellStyle name="40% - Accent6 20" xfId="804" xr:uid="{00000000-0005-0000-0000-000018030000}"/>
    <cellStyle name="40% - Accent6 21" xfId="805" xr:uid="{00000000-0005-0000-0000-000019030000}"/>
    <cellStyle name="40% - Accent6 22" xfId="806" xr:uid="{00000000-0005-0000-0000-00001A030000}"/>
    <cellStyle name="40% - Accent6 23" xfId="807" xr:uid="{00000000-0005-0000-0000-00001B030000}"/>
    <cellStyle name="40% - Accent6 24" xfId="808" xr:uid="{00000000-0005-0000-0000-00001C030000}"/>
    <cellStyle name="40% - Accent6 25" xfId="809" xr:uid="{00000000-0005-0000-0000-00001D030000}"/>
    <cellStyle name="40% - Accent6 26" xfId="810" xr:uid="{00000000-0005-0000-0000-00001E030000}"/>
    <cellStyle name="40% - Accent6 27" xfId="811" xr:uid="{00000000-0005-0000-0000-00001F030000}"/>
    <cellStyle name="40% - Accent6 28" xfId="812" xr:uid="{00000000-0005-0000-0000-000020030000}"/>
    <cellStyle name="40% - Accent6 29" xfId="813" xr:uid="{00000000-0005-0000-0000-000021030000}"/>
    <cellStyle name="40% - Accent6 3" xfId="814" xr:uid="{00000000-0005-0000-0000-000022030000}"/>
    <cellStyle name="40% - Accent6 30" xfId="815" xr:uid="{00000000-0005-0000-0000-000023030000}"/>
    <cellStyle name="40% - Accent6 31" xfId="816" xr:uid="{00000000-0005-0000-0000-000024030000}"/>
    <cellStyle name="40% - Accent6 32" xfId="817" xr:uid="{00000000-0005-0000-0000-000025030000}"/>
    <cellStyle name="40% - Accent6 33" xfId="818" xr:uid="{00000000-0005-0000-0000-000026030000}"/>
    <cellStyle name="40% - Accent6 34" xfId="819" xr:uid="{00000000-0005-0000-0000-000027030000}"/>
    <cellStyle name="40% - Accent6 35" xfId="820" xr:uid="{00000000-0005-0000-0000-000028030000}"/>
    <cellStyle name="40% - Accent6 36" xfId="821" xr:uid="{00000000-0005-0000-0000-000029030000}"/>
    <cellStyle name="40% - Accent6 4" xfId="822" xr:uid="{00000000-0005-0000-0000-00002A030000}"/>
    <cellStyle name="40% - Accent6 5" xfId="823" xr:uid="{00000000-0005-0000-0000-00002B030000}"/>
    <cellStyle name="40% - Accent6 6" xfId="824" xr:uid="{00000000-0005-0000-0000-00002C030000}"/>
    <cellStyle name="40% - Accent6 7" xfId="825" xr:uid="{00000000-0005-0000-0000-00002D030000}"/>
    <cellStyle name="40% - Accent6 8" xfId="826" xr:uid="{00000000-0005-0000-0000-00002E030000}"/>
    <cellStyle name="40% - Accent6 9" xfId="827" xr:uid="{00000000-0005-0000-0000-00002F030000}"/>
    <cellStyle name="60% - Accent1 10" xfId="828" xr:uid="{00000000-0005-0000-0000-000030030000}"/>
    <cellStyle name="60% - Accent1 11" xfId="829" xr:uid="{00000000-0005-0000-0000-000031030000}"/>
    <cellStyle name="60% - Accent1 12" xfId="830" xr:uid="{00000000-0005-0000-0000-000032030000}"/>
    <cellStyle name="60% - Accent1 13" xfId="831" xr:uid="{00000000-0005-0000-0000-000033030000}"/>
    <cellStyle name="60% - Accent1 14" xfId="832" xr:uid="{00000000-0005-0000-0000-000034030000}"/>
    <cellStyle name="60% - Accent1 15" xfId="833" xr:uid="{00000000-0005-0000-0000-000035030000}"/>
    <cellStyle name="60% - Accent1 16" xfId="834" xr:uid="{00000000-0005-0000-0000-000036030000}"/>
    <cellStyle name="60% - Accent1 17" xfId="835" xr:uid="{00000000-0005-0000-0000-000037030000}"/>
    <cellStyle name="60% - Accent1 18" xfId="836" xr:uid="{00000000-0005-0000-0000-000038030000}"/>
    <cellStyle name="60% - Accent1 19" xfId="837" xr:uid="{00000000-0005-0000-0000-000039030000}"/>
    <cellStyle name="60% - Accent1 2" xfId="838" xr:uid="{00000000-0005-0000-0000-00003A030000}"/>
    <cellStyle name="60% - Accent1 2 10" xfId="839" xr:uid="{00000000-0005-0000-0000-00003B030000}"/>
    <cellStyle name="60% - Accent1 2 2" xfId="840" xr:uid="{00000000-0005-0000-0000-00003C030000}"/>
    <cellStyle name="60% - Accent1 2 2 2" xfId="841" xr:uid="{00000000-0005-0000-0000-00003D030000}"/>
    <cellStyle name="60% - Accent1 2 2 2 2" xfId="842" xr:uid="{00000000-0005-0000-0000-00003E030000}"/>
    <cellStyle name="60% - Accent1 2 2 2 2 2" xfId="843" xr:uid="{00000000-0005-0000-0000-00003F030000}"/>
    <cellStyle name="60% - Accent1 2 2 2 2 3" xfId="844" xr:uid="{00000000-0005-0000-0000-000040030000}"/>
    <cellStyle name="60% - Accent1 2 2 2 3" xfId="845" xr:uid="{00000000-0005-0000-0000-000041030000}"/>
    <cellStyle name="60% - Accent1 2 2 2 4" xfId="846" xr:uid="{00000000-0005-0000-0000-000042030000}"/>
    <cellStyle name="60% - Accent1 2 2 2 5" xfId="847" xr:uid="{00000000-0005-0000-0000-000043030000}"/>
    <cellStyle name="60% - Accent1 2 2 2 6" xfId="848" xr:uid="{00000000-0005-0000-0000-000044030000}"/>
    <cellStyle name="60% - Accent1 2 2 3" xfId="849" xr:uid="{00000000-0005-0000-0000-000045030000}"/>
    <cellStyle name="60% - Accent1 2 2 4" xfId="850" xr:uid="{00000000-0005-0000-0000-000046030000}"/>
    <cellStyle name="60% - Accent1 2 2 5" xfId="851" xr:uid="{00000000-0005-0000-0000-000047030000}"/>
    <cellStyle name="60% - Accent1 2 2 6" xfId="852" xr:uid="{00000000-0005-0000-0000-000048030000}"/>
    <cellStyle name="60% - Accent1 2 3" xfId="853" xr:uid="{00000000-0005-0000-0000-000049030000}"/>
    <cellStyle name="60% - Accent1 2 4" xfId="854" xr:uid="{00000000-0005-0000-0000-00004A030000}"/>
    <cellStyle name="60% - Accent1 2 5" xfId="855" xr:uid="{00000000-0005-0000-0000-00004B030000}"/>
    <cellStyle name="60% - Accent1 2 6" xfId="856" xr:uid="{00000000-0005-0000-0000-00004C030000}"/>
    <cellStyle name="60% - Accent1 2 7" xfId="857" xr:uid="{00000000-0005-0000-0000-00004D030000}"/>
    <cellStyle name="60% - Accent1 2 8" xfId="858" xr:uid="{00000000-0005-0000-0000-00004E030000}"/>
    <cellStyle name="60% - Accent1 2 9" xfId="859" xr:uid="{00000000-0005-0000-0000-00004F030000}"/>
    <cellStyle name="60% - Accent1 20" xfId="860" xr:uid="{00000000-0005-0000-0000-000050030000}"/>
    <cellStyle name="60% - Accent1 21" xfId="861" xr:uid="{00000000-0005-0000-0000-000051030000}"/>
    <cellStyle name="60% - Accent1 22" xfId="862" xr:uid="{00000000-0005-0000-0000-000052030000}"/>
    <cellStyle name="60% - Accent1 23" xfId="863" xr:uid="{00000000-0005-0000-0000-000053030000}"/>
    <cellStyle name="60% - Accent1 3" xfId="864" xr:uid="{00000000-0005-0000-0000-000054030000}"/>
    <cellStyle name="60% - Accent1 4" xfId="865" xr:uid="{00000000-0005-0000-0000-000055030000}"/>
    <cellStyle name="60% - Accent1 5" xfId="866" xr:uid="{00000000-0005-0000-0000-000056030000}"/>
    <cellStyle name="60% - Accent1 6" xfId="867" xr:uid="{00000000-0005-0000-0000-000057030000}"/>
    <cellStyle name="60% - Accent1 7" xfId="868" xr:uid="{00000000-0005-0000-0000-000058030000}"/>
    <cellStyle name="60% - Accent1 8" xfId="869" xr:uid="{00000000-0005-0000-0000-000059030000}"/>
    <cellStyle name="60% - Accent1 9" xfId="870" xr:uid="{00000000-0005-0000-0000-00005A030000}"/>
    <cellStyle name="60% - Accent2 10" xfId="871" xr:uid="{00000000-0005-0000-0000-00005B030000}"/>
    <cellStyle name="60% - Accent2 11" xfId="872" xr:uid="{00000000-0005-0000-0000-00005C030000}"/>
    <cellStyle name="60% - Accent2 12" xfId="873" xr:uid="{00000000-0005-0000-0000-00005D030000}"/>
    <cellStyle name="60% - Accent2 13" xfId="874" xr:uid="{00000000-0005-0000-0000-00005E030000}"/>
    <cellStyle name="60% - Accent2 14" xfId="875" xr:uid="{00000000-0005-0000-0000-00005F030000}"/>
    <cellStyle name="60% - Accent2 15" xfId="876" xr:uid="{00000000-0005-0000-0000-000060030000}"/>
    <cellStyle name="60% - Accent2 16" xfId="877" xr:uid="{00000000-0005-0000-0000-000061030000}"/>
    <cellStyle name="60% - Accent2 17" xfId="878" xr:uid="{00000000-0005-0000-0000-000062030000}"/>
    <cellStyle name="60% - Accent2 18" xfId="879" xr:uid="{00000000-0005-0000-0000-000063030000}"/>
    <cellStyle name="60% - Accent2 19" xfId="880" xr:uid="{00000000-0005-0000-0000-000064030000}"/>
    <cellStyle name="60% - Accent2 2" xfId="881" xr:uid="{00000000-0005-0000-0000-000065030000}"/>
    <cellStyle name="60% - Accent2 2 10" xfId="882" xr:uid="{00000000-0005-0000-0000-000066030000}"/>
    <cellStyle name="60% - Accent2 2 2" xfId="883" xr:uid="{00000000-0005-0000-0000-000067030000}"/>
    <cellStyle name="60% - Accent2 2 2 2" xfId="884" xr:uid="{00000000-0005-0000-0000-000068030000}"/>
    <cellStyle name="60% - Accent2 2 2 2 2" xfId="885" xr:uid="{00000000-0005-0000-0000-000069030000}"/>
    <cellStyle name="60% - Accent2 2 2 2 2 2" xfId="886" xr:uid="{00000000-0005-0000-0000-00006A030000}"/>
    <cellStyle name="60% - Accent2 2 2 2 2 3" xfId="887" xr:uid="{00000000-0005-0000-0000-00006B030000}"/>
    <cellStyle name="60% - Accent2 2 2 2 3" xfId="888" xr:uid="{00000000-0005-0000-0000-00006C030000}"/>
    <cellStyle name="60% - Accent2 2 2 2 4" xfId="889" xr:uid="{00000000-0005-0000-0000-00006D030000}"/>
    <cellStyle name="60% - Accent2 2 2 2 5" xfId="890" xr:uid="{00000000-0005-0000-0000-00006E030000}"/>
    <cellStyle name="60% - Accent2 2 2 2 6" xfId="891" xr:uid="{00000000-0005-0000-0000-00006F030000}"/>
    <cellStyle name="60% - Accent2 2 2 3" xfId="892" xr:uid="{00000000-0005-0000-0000-000070030000}"/>
    <cellStyle name="60% - Accent2 2 2 4" xfId="893" xr:uid="{00000000-0005-0000-0000-000071030000}"/>
    <cellStyle name="60% - Accent2 2 2 5" xfId="894" xr:uid="{00000000-0005-0000-0000-000072030000}"/>
    <cellStyle name="60% - Accent2 2 2 6" xfId="895" xr:uid="{00000000-0005-0000-0000-000073030000}"/>
    <cellStyle name="60% - Accent2 2 3" xfId="896" xr:uid="{00000000-0005-0000-0000-000074030000}"/>
    <cellStyle name="60% - Accent2 2 4" xfId="897" xr:uid="{00000000-0005-0000-0000-000075030000}"/>
    <cellStyle name="60% - Accent2 2 5" xfId="898" xr:uid="{00000000-0005-0000-0000-000076030000}"/>
    <cellStyle name="60% - Accent2 2 6" xfId="899" xr:uid="{00000000-0005-0000-0000-000077030000}"/>
    <cellStyle name="60% - Accent2 2 7" xfId="900" xr:uid="{00000000-0005-0000-0000-000078030000}"/>
    <cellStyle name="60% - Accent2 2 8" xfId="901" xr:uid="{00000000-0005-0000-0000-000079030000}"/>
    <cellStyle name="60% - Accent2 2 9" xfId="902" xr:uid="{00000000-0005-0000-0000-00007A030000}"/>
    <cellStyle name="60% - Accent2 20" xfId="903" xr:uid="{00000000-0005-0000-0000-00007B030000}"/>
    <cellStyle name="60% - Accent2 21" xfId="904" xr:uid="{00000000-0005-0000-0000-00007C030000}"/>
    <cellStyle name="60% - Accent2 22" xfId="905" xr:uid="{00000000-0005-0000-0000-00007D030000}"/>
    <cellStyle name="60% - Accent2 23" xfId="906" xr:uid="{00000000-0005-0000-0000-00007E030000}"/>
    <cellStyle name="60% - Accent2 3" xfId="907" xr:uid="{00000000-0005-0000-0000-00007F030000}"/>
    <cellStyle name="60% - Accent2 4" xfId="908" xr:uid="{00000000-0005-0000-0000-000080030000}"/>
    <cellStyle name="60% - Accent2 5" xfId="909" xr:uid="{00000000-0005-0000-0000-000081030000}"/>
    <cellStyle name="60% - Accent2 6" xfId="910" xr:uid="{00000000-0005-0000-0000-000082030000}"/>
    <cellStyle name="60% - Accent2 7" xfId="911" xr:uid="{00000000-0005-0000-0000-000083030000}"/>
    <cellStyle name="60% - Accent2 8" xfId="912" xr:uid="{00000000-0005-0000-0000-000084030000}"/>
    <cellStyle name="60% - Accent2 9" xfId="913" xr:uid="{00000000-0005-0000-0000-000085030000}"/>
    <cellStyle name="60% - Accent3 10" xfId="914" xr:uid="{00000000-0005-0000-0000-000086030000}"/>
    <cellStyle name="60% - Accent3 11" xfId="915" xr:uid="{00000000-0005-0000-0000-000087030000}"/>
    <cellStyle name="60% - Accent3 12" xfId="916" xr:uid="{00000000-0005-0000-0000-000088030000}"/>
    <cellStyle name="60% - Accent3 13" xfId="917" xr:uid="{00000000-0005-0000-0000-000089030000}"/>
    <cellStyle name="60% - Accent3 14" xfId="918" xr:uid="{00000000-0005-0000-0000-00008A030000}"/>
    <cellStyle name="60% - Accent3 15" xfId="919" xr:uid="{00000000-0005-0000-0000-00008B030000}"/>
    <cellStyle name="60% - Accent3 16" xfId="920" xr:uid="{00000000-0005-0000-0000-00008C030000}"/>
    <cellStyle name="60% - Accent3 17" xfId="921" xr:uid="{00000000-0005-0000-0000-00008D030000}"/>
    <cellStyle name="60% - Accent3 18" xfId="922" xr:uid="{00000000-0005-0000-0000-00008E030000}"/>
    <cellStyle name="60% - Accent3 19" xfId="923" xr:uid="{00000000-0005-0000-0000-00008F030000}"/>
    <cellStyle name="60% - Accent3 2" xfId="924" xr:uid="{00000000-0005-0000-0000-000090030000}"/>
    <cellStyle name="60% - Accent3 2 10" xfId="925" xr:uid="{00000000-0005-0000-0000-000091030000}"/>
    <cellStyle name="60% - Accent3 2 2" xfId="926" xr:uid="{00000000-0005-0000-0000-000092030000}"/>
    <cellStyle name="60% - Accent3 2 2 2" xfId="927" xr:uid="{00000000-0005-0000-0000-000093030000}"/>
    <cellStyle name="60% - Accent3 2 2 2 2" xfId="928" xr:uid="{00000000-0005-0000-0000-000094030000}"/>
    <cellStyle name="60% - Accent3 2 2 2 2 2" xfId="929" xr:uid="{00000000-0005-0000-0000-000095030000}"/>
    <cellStyle name="60% - Accent3 2 2 2 2 3" xfId="930" xr:uid="{00000000-0005-0000-0000-000096030000}"/>
    <cellStyle name="60% - Accent3 2 2 2 3" xfId="931" xr:uid="{00000000-0005-0000-0000-000097030000}"/>
    <cellStyle name="60% - Accent3 2 2 2 4" xfId="932" xr:uid="{00000000-0005-0000-0000-000098030000}"/>
    <cellStyle name="60% - Accent3 2 2 2 5" xfId="933" xr:uid="{00000000-0005-0000-0000-000099030000}"/>
    <cellStyle name="60% - Accent3 2 2 2 6" xfId="934" xr:uid="{00000000-0005-0000-0000-00009A030000}"/>
    <cellStyle name="60% - Accent3 2 2 3" xfId="935" xr:uid="{00000000-0005-0000-0000-00009B030000}"/>
    <cellStyle name="60% - Accent3 2 2 4" xfId="936" xr:uid="{00000000-0005-0000-0000-00009C030000}"/>
    <cellStyle name="60% - Accent3 2 2 5" xfId="937" xr:uid="{00000000-0005-0000-0000-00009D030000}"/>
    <cellStyle name="60% - Accent3 2 2 6" xfId="938" xr:uid="{00000000-0005-0000-0000-00009E030000}"/>
    <cellStyle name="60% - Accent3 2 3" xfId="939" xr:uid="{00000000-0005-0000-0000-00009F030000}"/>
    <cellStyle name="60% - Accent3 2 4" xfId="940" xr:uid="{00000000-0005-0000-0000-0000A0030000}"/>
    <cellStyle name="60% - Accent3 2 5" xfId="941" xr:uid="{00000000-0005-0000-0000-0000A1030000}"/>
    <cellStyle name="60% - Accent3 2 6" xfId="942" xr:uid="{00000000-0005-0000-0000-0000A2030000}"/>
    <cellStyle name="60% - Accent3 2 7" xfId="943" xr:uid="{00000000-0005-0000-0000-0000A3030000}"/>
    <cellStyle name="60% - Accent3 2 8" xfId="944" xr:uid="{00000000-0005-0000-0000-0000A4030000}"/>
    <cellStyle name="60% - Accent3 2 9" xfId="945" xr:uid="{00000000-0005-0000-0000-0000A5030000}"/>
    <cellStyle name="60% - Accent3 20" xfId="946" xr:uid="{00000000-0005-0000-0000-0000A6030000}"/>
    <cellStyle name="60% - Accent3 21" xfId="947" xr:uid="{00000000-0005-0000-0000-0000A7030000}"/>
    <cellStyle name="60% - Accent3 22" xfId="948" xr:uid="{00000000-0005-0000-0000-0000A8030000}"/>
    <cellStyle name="60% - Accent3 23" xfId="949" xr:uid="{00000000-0005-0000-0000-0000A9030000}"/>
    <cellStyle name="60% - Accent3 3" xfId="950" xr:uid="{00000000-0005-0000-0000-0000AA030000}"/>
    <cellStyle name="60% - Accent3 4" xfId="951" xr:uid="{00000000-0005-0000-0000-0000AB030000}"/>
    <cellStyle name="60% - Accent3 5" xfId="952" xr:uid="{00000000-0005-0000-0000-0000AC030000}"/>
    <cellStyle name="60% - Accent3 6" xfId="953" xr:uid="{00000000-0005-0000-0000-0000AD030000}"/>
    <cellStyle name="60% - Accent3 7" xfId="954" xr:uid="{00000000-0005-0000-0000-0000AE030000}"/>
    <cellStyle name="60% - Accent3 8" xfId="955" xr:uid="{00000000-0005-0000-0000-0000AF030000}"/>
    <cellStyle name="60% - Accent3 9" xfId="956" xr:uid="{00000000-0005-0000-0000-0000B0030000}"/>
    <cellStyle name="60% - Accent4 10" xfId="957" xr:uid="{00000000-0005-0000-0000-0000B1030000}"/>
    <cellStyle name="60% - Accent4 11" xfId="958" xr:uid="{00000000-0005-0000-0000-0000B2030000}"/>
    <cellStyle name="60% - Accent4 12" xfId="959" xr:uid="{00000000-0005-0000-0000-0000B3030000}"/>
    <cellStyle name="60% - Accent4 13" xfId="960" xr:uid="{00000000-0005-0000-0000-0000B4030000}"/>
    <cellStyle name="60% - Accent4 14" xfId="961" xr:uid="{00000000-0005-0000-0000-0000B5030000}"/>
    <cellStyle name="60% - Accent4 15" xfId="962" xr:uid="{00000000-0005-0000-0000-0000B6030000}"/>
    <cellStyle name="60% - Accent4 16" xfId="963" xr:uid="{00000000-0005-0000-0000-0000B7030000}"/>
    <cellStyle name="60% - Accent4 17" xfId="964" xr:uid="{00000000-0005-0000-0000-0000B8030000}"/>
    <cellStyle name="60% - Accent4 18" xfId="965" xr:uid="{00000000-0005-0000-0000-0000B9030000}"/>
    <cellStyle name="60% - Accent4 19" xfId="966" xr:uid="{00000000-0005-0000-0000-0000BA030000}"/>
    <cellStyle name="60% - Accent4 2" xfId="967" xr:uid="{00000000-0005-0000-0000-0000BB030000}"/>
    <cellStyle name="60% - Accent4 2 10" xfId="968" xr:uid="{00000000-0005-0000-0000-0000BC030000}"/>
    <cellStyle name="60% - Accent4 2 2" xfId="969" xr:uid="{00000000-0005-0000-0000-0000BD030000}"/>
    <cellStyle name="60% - Accent4 2 2 2" xfId="970" xr:uid="{00000000-0005-0000-0000-0000BE030000}"/>
    <cellStyle name="60% - Accent4 2 2 2 2" xfId="971" xr:uid="{00000000-0005-0000-0000-0000BF030000}"/>
    <cellStyle name="60% - Accent4 2 2 2 2 2" xfId="972" xr:uid="{00000000-0005-0000-0000-0000C0030000}"/>
    <cellStyle name="60% - Accent4 2 2 2 2 3" xfId="973" xr:uid="{00000000-0005-0000-0000-0000C1030000}"/>
    <cellStyle name="60% - Accent4 2 2 2 3" xfId="974" xr:uid="{00000000-0005-0000-0000-0000C2030000}"/>
    <cellStyle name="60% - Accent4 2 2 2 4" xfId="975" xr:uid="{00000000-0005-0000-0000-0000C3030000}"/>
    <cellStyle name="60% - Accent4 2 2 2 5" xfId="976" xr:uid="{00000000-0005-0000-0000-0000C4030000}"/>
    <cellStyle name="60% - Accent4 2 2 2 6" xfId="977" xr:uid="{00000000-0005-0000-0000-0000C5030000}"/>
    <cellStyle name="60% - Accent4 2 2 3" xfId="978" xr:uid="{00000000-0005-0000-0000-0000C6030000}"/>
    <cellStyle name="60% - Accent4 2 2 4" xfId="979" xr:uid="{00000000-0005-0000-0000-0000C7030000}"/>
    <cellStyle name="60% - Accent4 2 2 5" xfId="980" xr:uid="{00000000-0005-0000-0000-0000C8030000}"/>
    <cellStyle name="60% - Accent4 2 2 6" xfId="981" xr:uid="{00000000-0005-0000-0000-0000C9030000}"/>
    <cellStyle name="60% - Accent4 2 3" xfId="982" xr:uid="{00000000-0005-0000-0000-0000CA030000}"/>
    <cellStyle name="60% - Accent4 2 4" xfId="983" xr:uid="{00000000-0005-0000-0000-0000CB030000}"/>
    <cellStyle name="60% - Accent4 2 5" xfId="984" xr:uid="{00000000-0005-0000-0000-0000CC030000}"/>
    <cellStyle name="60% - Accent4 2 6" xfId="985" xr:uid="{00000000-0005-0000-0000-0000CD030000}"/>
    <cellStyle name="60% - Accent4 2 7" xfId="986" xr:uid="{00000000-0005-0000-0000-0000CE030000}"/>
    <cellStyle name="60% - Accent4 2 8" xfId="987" xr:uid="{00000000-0005-0000-0000-0000CF030000}"/>
    <cellStyle name="60% - Accent4 2 9" xfId="988" xr:uid="{00000000-0005-0000-0000-0000D0030000}"/>
    <cellStyle name="60% - Accent4 20" xfId="989" xr:uid="{00000000-0005-0000-0000-0000D1030000}"/>
    <cellStyle name="60% - Accent4 21" xfId="990" xr:uid="{00000000-0005-0000-0000-0000D2030000}"/>
    <cellStyle name="60% - Accent4 22" xfId="991" xr:uid="{00000000-0005-0000-0000-0000D3030000}"/>
    <cellStyle name="60% - Accent4 23" xfId="992" xr:uid="{00000000-0005-0000-0000-0000D4030000}"/>
    <cellStyle name="60% - Accent4 3" xfId="993" xr:uid="{00000000-0005-0000-0000-0000D5030000}"/>
    <cellStyle name="60% - Accent4 4" xfId="994" xr:uid="{00000000-0005-0000-0000-0000D6030000}"/>
    <cellStyle name="60% - Accent4 5" xfId="995" xr:uid="{00000000-0005-0000-0000-0000D7030000}"/>
    <cellStyle name="60% - Accent4 6" xfId="996" xr:uid="{00000000-0005-0000-0000-0000D8030000}"/>
    <cellStyle name="60% - Accent4 7" xfId="997" xr:uid="{00000000-0005-0000-0000-0000D9030000}"/>
    <cellStyle name="60% - Accent4 8" xfId="998" xr:uid="{00000000-0005-0000-0000-0000DA030000}"/>
    <cellStyle name="60% - Accent4 9" xfId="999" xr:uid="{00000000-0005-0000-0000-0000DB030000}"/>
    <cellStyle name="60% - Accent5 10" xfId="1000" xr:uid="{00000000-0005-0000-0000-0000DC030000}"/>
    <cellStyle name="60% - Accent5 11" xfId="1001" xr:uid="{00000000-0005-0000-0000-0000DD030000}"/>
    <cellStyle name="60% - Accent5 12" xfId="1002" xr:uid="{00000000-0005-0000-0000-0000DE030000}"/>
    <cellStyle name="60% - Accent5 13" xfId="1003" xr:uid="{00000000-0005-0000-0000-0000DF030000}"/>
    <cellStyle name="60% - Accent5 14" xfId="1004" xr:uid="{00000000-0005-0000-0000-0000E0030000}"/>
    <cellStyle name="60% - Accent5 15" xfId="1005" xr:uid="{00000000-0005-0000-0000-0000E1030000}"/>
    <cellStyle name="60% - Accent5 16" xfId="1006" xr:uid="{00000000-0005-0000-0000-0000E2030000}"/>
    <cellStyle name="60% - Accent5 17" xfId="1007" xr:uid="{00000000-0005-0000-0000-0000E3030000}"/>
    <cellStyle name="60% - Accent5 18" xfId="1008" xr:uid="{00000000-0005-0000-0000-0000E4030000}"/>
    <cellStyle name="60% - Accent5 19" xfId="1009" xr:uid="{00000000-0005-0000-0000-0000E5030000}"/>
    <cellStyle name="60% - Accent5 2" xfId="1010" xr:uid="{00000000-0005-0000-0000-0000E6030000}"/>
    <cellStyle name="60% - Accent5 2 10" xfId="1011" xr:uid="{00000000-0005-0000-0000-0000E7030000}"/>
    <cellStyle name="60% - Accent5 2 2" xfId="1012" xr:uid="{00000000-0005-0000-0000-0000E8030000}"/>
    <cellStyle name="60% - Accent5 2 2 2" xfId="1013" xr:uid="{00000000-0005-0000-0000-0000E9030000}"/>
    <cellStyle name="60% - Accent5 2 2 2 2" xfId="1014" xr:uid="{00000000-0005-0000-0000-0000EA030000}"/>
    <cellStyle name="60% - Accent5 2 2 2 2 2" xfId="1015" xr:uid="{00000000-0005-0000-0000-0000EB030000}"/>
    <cellStyle name="60% - Accent5 2 2 2 2 3" xfId="1016" xr:uid="{00000000-0005-0000-0000-0000EC030000}"/>
    <cellStyle name="60% - Accent5 2 2 2 3" xfId="1017" xr:uid="{00000000-0005-0000-0000-0000ED030000}"/>
    <cellStyle name="60% - Accent5 2 2 2 4" xfId="1018" xr:uid="{00000000-0005-0000-0000-0000EE030000}"/>
    <cellStyle name="60% - Accent5 2 2 2 5" xfId="1019" xr:uid="{00000000-0005-0000-0000-0000EF030000}"/>
    <cellStyle name="60% - Accent5 2 2 2 6" xfId="1020" xr:uid="{00000000-0005-0000-0000-0000F0030000}"/>
    <cellStyle name="60% - Accent5 2 2 3" xfId="1021" xr:uid="{00000000-0005-0000-0000-0000F1030000}"/>
    <cellStyle name="60% - Accent5 2 2 4" xfId="1022" xr:uid="{00000000-0005-0000-0000-0000F2030000}"/>
    <cellStyle name="60% - Accent5 2 2 5" xfId="1023" xr:uid="{00000000-0005-0000-0000-0000F3030000}"/>
    <cellStyle name="60% - Accent5 2 2 6" xfId="1024" xr:uid="{00000000-0005-0000-0000-0000F4030000}"/>
    <cellStyle name="60% - Accent5 2 3" xfId="1025" xr:uid="{00000000-0005-0000-0000-0000F5030000}"/>
    <cellStyle name="60% - Accent5 2 4" xfId="1026" xr:uid="{00000000-0005-0000-0000-0000F6030000}"/>
    <cellStyle name="60% - Accent5 2 5" xfId="1027" xr:uid="{00000000-0005-0000-0000-0000F7030000}"/>
    <cellStyle name="60% - Accent5 2 6" xfId="1028" xr:uid="{00000000-0005-0000-0000-0000F8030000}"/>
    <cellStyle name="60% - Accent5 2 7" xfId="1029" xr:uid="{00000000-0005-0000-0000-0000F9030000}"/>
    <cellStyle name="60% - Accent5 2 8" xfId="1030" xr:uid="{00000000-0005-0000-0000-0000FA030000}"/>
    <cellStyle name="60% - Accent5 2 9" xfId="1031" xr:uid="{00000000-0005-0000-0000-0000FB030000}"/>
    <cellStyle name="60% - Accent5 20" xfId="1032" xr:uid="{00000000-0005-0000-0000-0000FC030000}"/>
    <cellStyle name="60% - Accent5 21" xfId="1033" xr:uid="{00000000-0005-0000-0000-0000FD030000}"/>
    <cellStyle name="60% - Accent5 22" xfId="1034" xr:uid="{00000000-0005-0000-0000-0000FE030000}"/>
    <cellStyle name="60% - Accent5 23" xfId="1035" xr:uid="{00000000-0005-0000-0000-0000FF030000}"/>
    <cellStyle name="60% - Accent5 3" xfId="1036" xr:uid="{00000000-0005-0000-0000-000000040000}"/>
    <cellStyle name="60% - Accent5 4" xfId="1037" xr:uid="{00000000-0005-0000-0000-000001040000}"/>
    <cellStyle name="60% - Accent5 5" xfId="1038" xr:uid="{00000000-0005-0000-0000-000002040000}"/>
    <cellStyle name="60% - Accent5 6" xfId="1039" xr:uid="{00000000-0005-0000-0000-000003040000}"/>
    <cellStyle name="60% - Accent5 7" xfId="1040" xr:uid="{00000000-0005-0000-0000-000004040000}"/>
    <cellStyle name="60% - Accent5 8" xfId="1041" xr:uid="{00000000-0005-0000-0000-000005040000}"/>
    <cellStyle name="60% - Accent5 9" xfId="1042" xr:uid="{00000000-0005-0000-0000-000006040000}"/>
    <cellStyle name="60% - Accent6 10" xfId="1043" xr:uid="{00000000-0005-0000-0000-000007040000}"/>
    <cellStyle name="60% - Accent6 11" xfId="1044" xr:uid="{00000000-0005-0000-0000-000008040000}"/>
    <cellStyle name="60% - Accent6 12" xfId="1045" xr:uid="{00000000-0005-0000-0000-000009040000}"/>
    <cellStyle name="60% - Accent6 13" xfId="1046" xr:uid="{00000000-0005-0000-0000-00000A040000}"/>
    <cellStyle name="60% - Accent6 14" xfId="1047" xr:uid="{00000000-0005-0000-0000-00000B040000}"/>
    <cellStyle name="60% - Accent6 15" xfId="1048" xr:uid="{00000000-0005-0000-0000-00000C040000}"/>
    <cellStyle name="60% - Accent6 16" xfId="1049" xr:uid="{00000000-0005-0000-0000-00000D040000}"/>
    <cellStyle name="60% - Accent6 17" xfId="1050" xr:uid="{00000000-0005-0000-0000-00000E040000}"/>
    <cellStyle name="60% - Accent6 18" xfId="1051" xr:uid="{00000000-0005-0000-0000-00000F040000}"/>
    <cellStyle name="60% - Accent6 19" xfId="1052" xr:uid="{00000000-0005-0000-0000-000010040000}"/>
    <cellStyle name="60% - Accent6 2" xfId="1053" xr:uid="{00000000-0005-0000-0000-000011040000}"/>
    <cellStyle name="60% - Accent6 2 10" xfId="1054" xr:uid="{00000000-0005-0000-0000-000012040000}"/>
    <cellStyle name="60% - Accent6 2 2" xfId="1055" xr:uid="{00000000-0005-0000-0000-000013040000}"/>
    <cellStyle name="60% - Accent6 2 2 2" xfId="1056" xr:uid="{00000000-0005-0000-0000-000014040000}"/>
    <cellStyle name="60% - Accent6 2 2 2 2" xfId="1057" xr:uid="{00000000-0005-0000-0000-000015040000}"/>
    <cellStyle name="60% - Accent6 2 2 2 2 2" xfId="1058" xr:uid="{00000000-0005-0000-0000-000016040000}"/>
    <cellStyle name="60% - Accent6 2 2 2 2 3" xfId="1059" xr:uid="{00000000-0005-0000-0000-000017040000}"/>
    <cellStyle name="60% - Accent6 2 2 2 3" xfId="1060" xr:uid="{00000000-0005-0000-0000-000018040000}"/>
    <cellStyle name="60% - Accent6 2 2 2 4" xfId="1061" xr:uid="{00000000-0005-0000-0000-000019040000}"/>
    <cellStyle name="60% - Accent6 2 2 2 5" xfId="1062" xr:uid="{00000000-0005-0000-0000-00001A040000}"/>
    <cellStyle name="60% - Accent6 2 2 2 6" xfId="1063" xr:uid="{00000000-0005-0000-0000-00001B040000}"/>
    <cellStyle name="60% - Accent6 2 2 3" xfId="1064" xr:uid="{00000000-0005-0000-0000-00001C040000}"/>
    <cellStyle name="60% - Accent6 2 2 4" xfId="1065" xr:uid="{00000000-0005-0000-0000-00001D040000}"/>
    <cellStyle name="60% - Accent6 2 2 5" xfId="1066" xr:uid="{00000000-0005-0000-0000-00001E040000}"/>
    <cellStyle name="60% - Accent6 2 2 6" xfId="1067" xr:uid="{00000000-0005-0000-0000-00001F040000}"/>
    <cellStyle name="60% - Accent6 2 3" xfId="1068" xr:uid="{00000000-0005-0000-0000-000020040000}"/>
    <cellStyle name="60% - Accent6 2 4" xfId="1069" xr:uid="{00000000-0005-0000-0000-000021040000}"/>
    <cellStyle name="60% - Accent6 2 5" xfId="1070" xr:uid="{00000000-0005-0000-0000-000022040000}"/>
    <cellStyle name="60% - Accent6 2 6" xfId="1071" xr:uid="{00000000-0005-0000-0000-000023040000}"/>
    <cellStyle name="60% - Accent6 2 7" xfId="1072" xr:uid="{00000000-0005-0000-0000-000024040000}"/>
    <cellStyle name="60% - Accent6 2 8" xfId="1073" xr:uid="{00000000-0005-0000-0000-000025040000}"/>
    <cellStyle name="60% - Accent6 2 9" xfId="1074" xr:uid="{00000000-0005-0000-0000-000026040000}"/>
    <cellStyle name="60% - Accent6 20" xfId="1075" xr:uid="{00000000-0005-0000-0000-000027040000}"/>
    <cellStyle name="60% - Accent6 21" xfId="1076" xr:uid="{00000000-0005-0000-0000-000028040000}"/>
    <cellStyle name="60% - Accent6 22" xfId="1077" xr:uid="{00000000-0005-0000-0000-000029040000}"/>
    <cellStyle name="60% - Accent6 23" xfId="1078" xr:uid="{00000000-0005-0000-0000-00002A040000}"/>
    <cellStyle name="60% - Accent6 3" xfId="1079" xr:uid="{00000000-0005-0000-0000-00002B040000}"/>
    <cellStyle name="60% - Accent6 4" xfId="1080" xr:uid="{00000000-0005-0000-0000-00002C040000}"/>
    <cellStyle name="60% - Accent6 5" xfId="1081" xr:uid="{00000000-0005-0000-0000-00002D040000}"/>
    <cellStyle name="60% - Accent6 6" xfId="1082" xr:uid="{00000000-0005-0000-0000-00002E040000}"/>
    <cellStyle name="60% - Accent6 7" xfId="1083" xr:uid="{00000000-0005-0000-0000-00002F040000}"/>
    <cellStyle name="60% - Accent6 8" xfId="1084" xr:uid="{00000000-0005-0000-0000-000030040000}"/>
    <cellStyle name="60% - Accent6 9" xfId="1085" xr:uid="{00000000-0005-0000-0000-000031040000}"/>
    <cellStyle name="Accent1 10" xfId="1086" xr:uid="{00000000-0005-0000-0000-000032040000}"/>
    <cellStyle name="Accent1 11" xfId="1087" xr:uid="{00000000-0005-0000-0000-000033040000}"/>
    <cellStyle name="Accent1 12" xfId="1088" xr:uid="{00000000-0005-0000-0000-000034040000}"/>
    <cellStyle name="Accent1 13" xfId="1089" xr:uid="{00000000-0005-0000-0000-000035040000}"/>
    <cellStyle name="Accent1 14" xfId="1090" xr:uid="{00000000-0005-0000-0000-000036040000}"/>
    <cellStyle name="Accent1 15" xfId="1091" xr:uid="{00000000-0005-0000-0000-000037040000}"/>
    <cellStyle name="Accent1 16" xfId="1092" xr:uid="{00000000-0005-0000-0000-000038040000}"/>
    <cellStyle name="Accent1 17" xfId="1093" xr:uid="{00000000-0005-0000-0000-000039040000}"/>
    <cellStyle name="Accent1 18" xfId="1094" xr:uid="{00000000-0005-0000-0000-00003A040000}"/>
    <cellStyle name="Accent1 19" xfId="1095" xr:uid="{00000000-0005-0000-0000-00003B040000}"/>
    <cellStyle name="Accent1 2" xfId="1096" xr:uid="{00000000-0005-0000-0000-00003C040000}"/>
    <cellStyle name="Accent1 2 10" xfId="1097" xr:uid="{00000000-0005-0000-0000-00003D040000}"/>
    <cellStyle name="Accent1 2 2" xfId="1098" xr:uid="{00000000-0005-0000-0000-00003E040000}"/>
    <cellStyle name="Accent1 2 2 2" xfId="1099" xr:uid="{00000000-0005-0000-0000-00003F040000}"/>
    <cellStyle name="Accent1 2 2 2 2" xfId="1100" xr:uid="{00000000-0005-0000-0000-000040040000}"/>
    <cellStyle name="Accent1 2 2 2 2 2" xfId="1101" xr:uid="{00000000-0005-0000-0000-000041040000}"/>
    <cellStyle name="Accent1 2 2 2 2 3" xfId="1102" xr:uid="{00000000-0005-0000-0000-000042040000}"/>
    <cellStyle name="Accent1 2 2 2 3" xfId="1103" xr:uid="{00000000-0005-0000-0000-000043040000}"/>
    <cellStyle name="Accent1 2 2 2 4" xfId="1104" xr:uid="{00000000-0005-0000-0000-000044040000}"/>
    <cellStyle name="Accent1 2 2 2 5" xfId="1105" xr:uid="{00000000-0005-0000-0000-000045040000}"/>
    <cellStyle name="Accent1 2 2 2 6" xfId="1106" xr:uid="{00000000-0005-0000-0000-000046040000}"/>
    <cellStyle name="Accent1 2 2 3" xfId="1107" xr:uid="{00000000-0005-0000-0000-000047040000}"/>
    <cellStyle name="Accent1 2 2 4" xfId="1108" xr:uid="{00000000-0005-0000-0000-000048040000}"/>
    <cellStyle name="Accent1 2 2 5" xfId="1109" xr:uid="{00000000-0005-0000-0000-000049040000}"/>
    <cellStyle name="Accent1 2 2 6" xfId="1110" xr:uid="{00000000-0005-0000-0000-00004A040000}"/>
    <cellStyle name="Accent1 2 3" xfId="1111" xr:uid="{00000000-0005-0000-0000-00004B040000}"/>
    <cellStyle name="Accent1 2 4" xfId="1112" xr:uid="{00000000-0005-0000-0000-00004C040000}"/>
    <cellStyle name="Accent1 2 5" xfId="1113" xr:uid="{00000000-0005-0000-0000-00004D040000}"/>
    <cellStyle name="Accent1 2 6" xfId="1114" xr:uid="{00000000-0005-0000-0000-00004E040000}"/>
    <cellStyle name="Accent1 2 7" xfId="1115" xr:uid="{00000000-0005-0000-0000-00004F040000}"/>
    <cellStyle name="Accent1 2 8" xfId="1116" xr:uid="{00000000-0005-0000-0000-000050040000}"/>
    <cellStyle name="Accent1 2 9" xfId="1117" xr:uid="{00000000-0005-0000-0000-000051040000}"/>
    <cellStyle name="Accent1 20" xfId="1118" xr:uid="{00000000-0005-0000-0000-000052040000}"/>
    <cellStyle name="Accent1 21" xfId="1119" xr:uid="{00000000-0005-0000-0000-000053040000}"/>
    <cellStyle name="Accent1 22" xfId="1120" xr:uid="{00000000-0005-0000-0000-000054040000}"/>
    <cellStyle name="Accent1 23" xfId="1121" xr:uid="{00000000-0005-0000-0000-000055040000}"/>
    <cellStyle name="Accent1 3" xfId="1122" xr:uid="{00000000-0005-0000-0000-000056040000}"/>
    <cellStyle name="Accent1 4" xfId="1123" xr:uid="{00000000-0005-0000-0000-000057040000}"/>
    <cellStyle name="Accent1 5" xfId="1124" xr:uid="{00000000-0005-0000-0000-000058040000}"/>
    <cellStyle name="Accent1 6" xfId="1125" xr:uid="{00000000-0005-0000-0000-000059040000}"/>
    <cellStyle name="Accent1 7" xfId="1126" xr:uid="{00000000-0005-0000-0000-00005A040000}"/>
    <cellStyle name="Accent1 8" xfId="1127" xr:uid="{00000000-0005-0000-0000-00005B040000}"/>
    <cellStyle name="Accent1 9" xfId="1128" xr:uid="{00000000-0005-0000-0000-00005C040000}"/>
    <cellStyle name="Accent2 10" xfId="1129" xr:uid="{00000000-0005-0000-0000-00005D040000}"/>
    <cellStyle name="Accent2 11" xfId="1130" xr:uid="{00000000-0005-0000-0000-00005E040000}"/>
    <cellStyle name="Accent2 12" xfId="1131" xr:uid="{00000000-0005-0000-0000-00005F040000}"/>
    <cellStyle name="Accent2 13" xfId="1132" xr:uid="{00000000-0005-0000-0000-000060040000}"/>
    <cellStyle name="Accent2 14" xfId="1133" xr:uid="{00000000-0005-0000-0000-000061040000}"/>
    <cellStyle name="Accent2 15" xfId="1134" xr:uid="{00000000-0005-0000-0000-000062040000}"/>
    <cellStyle name="Accent2 16" xfId="1135" xr:uid="{00000000-0005-0000-0000-000063040000}"/>
    <cellStyle name="Accent2 17" xfId="1136" xr:uid="{00000000-0005-0000-0000-000064040000}"/>
    <cellStyle name="Accent2 18" xfId="1137" xr:uid="{00000000-0005-0000-0000-000065040000}"/>
    <cellStyle name="Accent2 19" xfId="1138" xr:uid="{00000000-0005-0000-0000-000066040000}"/>
    <cellStyle name="Accent2 2" xfId="1139" xr:uid="{00000000-0005-0000-0000-000067040000}"/>
    <cellStyle name="Accent2 2 10" xfId="1140" xr:uid="{00000000-0005-0000-0000-000068040000}"/>
    <cellStyle name="Accent2 2 2" xfId="1141" xr:uid="{00000000-0005-0000-0000-000069040000}"/>
    <cellStyle name="Accent2 2 2 2" xfId="1142" xr:uid="{00000000-0005-0000-0000-00006A040000}"/>
    <cellStyle name="Accent2 2 2 2 2" xfId="1143" xr:uid="{00000000-0005-0000-0000-00006B040000}"/>
    <cellStyle name="Accent2 2 2 2 2 2" xfId="1144" xr:uid="{00000000-0005-0000-0000-00006C040000}"/>
    <cellStyle name="Accent2 2 2 2 2 3" xfId="1145" xr:uid="{00000000-0005-0000-0000-00006D040000}"/>
    <cellStyle name="Accent2 2 2 2 3" xfId="1146" xr:uid="{00000000-0005-0000-0000-00006E040000}"/>
    <cellStyle name="Accent2 2 2 2 4" xfId="1147" xr:uid="{00000000-0005-0000-0000-00006F040000}"/>
    <cellStyle name="Accent2 2 2 2 5" xfId="1148" xr:uid="{00000000-0005-0000-0000-000070040000}"/>
    <cellStyle name="Accent2 2 2 2 6" xfId="1149" xr:uid="{00000000-0005-0000-0000-000071040000}"/>
    <cellStyle name="Accent2 2 2 3" xfId="1150" xr:uid="{00000000-0005-0000-0000-000072040000}"/>
    <cellStyle name="Accent2 2 2 4" xfId="1151" xr:uid="{00000000-0005-0000-0000-000073040000}"/>
    <cellStyle name="Accent2 2 2 5" xfId="1152" xr:uid="{00000000-0005-0000-0000-000074040000}"/>
    <cellStyle name="Accent2 2 2 6" xfId="1153" xr:uid="{00000000-0005-0000-0000-000075040000}"/>
    <cellStyle name="Accent2 2 3" xfId="1154" xr:uid="{00000000-0005-0000-0000-000076040000}"/>
    <cellStyle name="Accent2 2 4" xfId="1155" xr:uid="{00000000-0005-0000-0000-000077040000}"/>
    <cellStyle name="Accent2 2 5" xfId="1156" xr:uid="{00000000-0005-0000-0000-000078040000}"/>
    <cellStyle name="Accent2 2 6" xfId="1157" xr:uid="{00000000-0005-0000-0000-000079040000}"/>
    <cellStyle name="Accent2 2 7" xfId="1158" xr:uid="{00000000-0005-0000-0000-00007A040000}"/>
    <cellStyle name="Accent2 2 8" xfId="1159" xr:uid="{00000000-0005-0000-0000-00007B040000}"/>
    <cellStyle name="Accent2 2 9" xfId="1160" xr:uid="{00000000-0005-0000-0000-00007C040000}"/>
    <cellStyle name="Accent2 20" xfId="1161" xr:uid="{00000000-0005-0000-0000-00007D040000}"/>
    <cellStyle name="Accent2 21" xfId="1162" xr:uid="{00000000-0005-0000-0000-00007E040000}"/>
    <cellStyle name="Accent2 22" xfId="1163" xr:uid="{00000000-0005-0000-0000-00007F040000}"/>
    <cellStyle name="Accent2 23" xfId="1164" xr:uid="{00000000-0005-0000-0000-000080040000}"/>
    <cellStyle name="Accent2 3" xfId="1165" xr:uid="{00000000-0005-0000-0000-000081040000}"/>
    <cellStyle name="Accent2 4" xfId="1166" xr:uid="{00000000-0005-0000-0000-000082040000}"/>
    <cellStyle name="Accent2 5" xfId="1167" xr:uid="{00000000-0005-0000-0000-000083040000}"/>
    <cellStyle name="Accent2 6" xfId="1168" xr:uid="{00000000-0005-0000-0000-000084040000}"/>
    <cellStyle name="Accent2 7" xfId="1169" xr:uid="{00000000-0005-0000-0000-000085040000}"/>
    <cellStyle name="Accent2 8" xfId="1170" xr:uid="{00000000-0005-0000-0000-000086040000}"/>
    <cellStyle name="Accent2 9" xfId="1171" xr:uid="{00000000-0005-0000-0000-000087040000}"/>
    <cellStyle name="Accent3 10" xfId="1172" xr:uid="{00000000-0005-0000-0000-000088040000}"/>
    <cellStyle name="Accent3 11" xfId="1173" xr:uid="{00000000-0005-0000-0000-000089040000}"/>
    <cellStyle name="Accent3 12" xfId="1174" xr:uid="{00000000-0005-0000-0000-00008A040000}"/>
    <cellStyle name="Accent3 13" xfId="1175" xr:uid="{00000000-0005-0000-0000-00008B040000}"/>
    <cellStyle name="Accent3 14" xfId="1176" xr:uid="{00000000-0005-0000-0000-00008C040000}"/>
    <cellStyle name="Accent3 15" xfId="1177" xr:uid="{00000000-0005-0000-0000-00008D040000}"/>
    <cellStyle name="Accent3 16" xfId="1178" xr:uid="{00000000-0005-0000-0000-00008E040000}"/>
    <cellStyle name="Accent3 17" xfId="1179" xr:uid="{00000000-0005-0000-0000-00008F040000}"/>
    <cellStyle name="Accent3 18" xfId="1180" xr:uid="{00000000-0005-0000-0000-000090040000}"/>
    <cellStyle name="Accent3 19" xfId="1181" xr:uid="{00000000-0005-0000-0000-000091040000}"/>
    <cellStyle name="Accent3 2" xfId="1182" xr:uid="{00000000-0005-0000-0000-000092040000}"/>
    <cellStyle name="Accent3 2 10" xfId="1183" xr:uid="{00000000-0005-0000-0000-000093040000}"/>
    <cellStyle name="Accent3 2 2" xfId="1184" xr:uid="{00000000-0005-0000-0000-000094040000}"/>
    <cellStyle name="Accent3 2 2 2" xfId="1185" xr:uid="{00000000-0005-0000-0000-000095040000}"/>
    <cellStyle name="Accent3 2 2 2 2" xfId="1186" xr:uid="{00000000-0005-0000-0000-000096040000}"/>
    <cellStyle name="Accent3 2 2 2 2 2" xfId="1187" xr:uid="{00000000-0005-0000-0000-000097040000}"/>
    <cellStyle name="Accent3 2 2 2 2 3" xfId="1188" xr:uid="{00000000-0005-0000-0000-000098040000}"/>
    <cellStyle name="Accent3 2 2 2 3" xfId="1189" xr:uid="{00000000-0005-0000-0000-000099040000}"/>
    <cellStyle name="Accent3 2 2 2 4" xfId="1190" xr:uid="{00000000-0005-0000-0000-00009A040000}"/>
    <cellStyle name="Accent3 2 2 2 5" xfId="1191" xr:uid="{00000000-0005-0000-0000-00009B040000}"/>
    <cellStyle name="Accent3 2 2 2 6" xfId="1192" xr:uid="{00000000-0005-0000-0000-00009C040000}"/>
    <cellStyle name="Accent3 2 2 3" xfId="1193" xr:uid="{00000000-0005-0000-0000-00009D040000}"/>
    <cellStyle name="Accent3 2 2 4" xfId="1194" xr:uid="{00000000-0005-0000-0000-00009E040000}"/>
    <cellStyle name="Accent3 2 2 5" xfId="1195" xr:uid="{00000000-0005-0000-0000-00009F040000}"/>
    <cellStyle name="Accent3 2 2 6" xfId="1196" xr:uid="{00000000-0005-0000-0000-0000A0040000}"/>
    <cellStyle name="Accent3 2 3" xfId="1197" xr:uid="{00000000-0005-0000-0000-0000A1040000}"/>
    <cellStyle name="Accent3 2 4" xfId="1198" xr:uid="{00000000-0005-0000-0000-0000A2040000}"/>
    <cellStyle name="Accent3 2 5" xfId="1199" xr:uid="{00000000-0005-0000-0000-0000A3040000}"/>
    <cellStyle name="Accent3 2 6" xfId="1200" xr:uid="{00000000-0005-0000-0000-0000A4040000}"/>
    <cellStyle name="Accent3 2 7" xfId="1201" xr:uid="{00000000-0005-0000-0000-0000A5040000}"/>
    <cellStyle name="Accent3 2 8" xfId="1202" xr:uid="{00000000-0005-0000-0000-0000A6040000}"/>
    <cellStyle name="Accent3 2 9" xfId="1203" xr:uid="{00000000-0005-0000-0000-0000A7040000}"/>
    <cellStyle name="Accent3 20" xfId="1204" xr:uid="{00000000-0005-0000-0000-0000A8040000}"/>
    <cellStyle name="Accent3 21" xfId="1205" xr:uid="{00000000-0005-0000-0000-0000A9040000}"/>
    <cellStyle name="Accent3 22" xfId="1206" xr:uid="{00000000-0005-0000-0000-0000AA040000}"/>
    <cellStyle name="Accent3 23" xfId="1207" xr:uid="{00000000-0005-0000-0000-0000AB040000}"/>
    <cellStyle name="Accent3 3" xfId="1208" xr:uid="{00000000-0005-0000-0000-0000AC040000}"/>
    <cellStyle name="Accent3 4" xfId="1209" xr:uid="{00000000-0005-0000-0000-0000AD040000}"/>
    <cellStyle name="Accent3 5" xfId="1210" xr:uid="{00000000-0005-0000-0000-0000AE040000}"/>
    <cellStyle name="Accent3 6" xfId="1211" xr:uid="{00000000-0005-0000-0000-0000AF040000}"/>
    <cellStyle name="Accent3 7" xfId="1212" xr:uid="{00000000-0005-0000-0000-0000B0040000}"/>
    <cellStyle name="Accent3 8" xfId="1213" xr:uid="{00000000-0005-0000-0000-0000B1040000}"/>
    <cellStyle name="Accent3 9" xfId="1214" xr:uid="{00000000-0005-0000-0000-0000B2040000}"/>
    <cellStyle name="Accent4 10" xfId="1215" xr:uid="{00000000-0005-0000-0000-0000B3040000}"/>
    <cellStyle name="Accent4 11" xfId="1216" xr:uid="{00000000-0005-0000-0000-0000B4040000}"/>
    <cellStyle name="Accent4 12" xfId="1217" xr:uid="{00000000-0005-0000-0000-0000B5040000}"/>
    <cellStyle name="Accent4 13" xfId="1218" xr:uid="{00000000-0005-0000-0000-0000B6040000}"/>
    <cellStyle name="Accent4 14" xfId="1219" xr:uid="{00000000-0005-0000-0000-0000B7040000}"/>
    <cellStyle name="Accent4 15" xfId="1220" xr:uid="{00000000-0005-0000-0000-0000B8040000}"/>
    <cellStyle name="Accent4 16" xfId="1221" xr:uid="{00000000-0005-0000-0000-0000B9040000}"/>
    <cellStyle name="Accent4 17" xfId="1222" xr:uid="{00000000-0005-0000-0000-0000BA040000}"/>
    <cellStyle name="Accent4 18" xfId="1223" xr:uid="{00000000-0005-0000-0000-0000BB040000}"/>
    <cellStyle name="Accent4 19" xfId="1224" xr:uid="{00000000-0005-0000-0000-0000BC040000}"/>
    <cellStyle name="Accent4 2" xfId="1225" xr:uid="{00000000-0005-0000-0000-0000BD040000}"/>
    <cellStyle name="Accent4 2 10" xfId="1226" xr:uid="{00000000-0005-0000-0000-0000BE040000}"/>
    <cellStyle name="Accent4 2 2" xfId="1227" xr:uid="{00000000-0005-0000-0000-0000BF040000}"/>
    <cellStyle name="Accent4 2 2 2" xfId="1228" xr:uid="{00000000-0005-0000-0000-0000C0040000}"/>
    <cellStyle name="Accent4 2 2 2 2" xfId="1229" xr:uid="{00000000-0005-0000-0000-0000C1040000}"/>
    <cellStyle name="Accent4 2 2 2 2 2" xfId="1230" xr:uid="{00000000-0005-0000-0000-0000C2040000}"/>
    <cellStyle name="Accent4 2 2 2 2 3" xfId="1231" xr:uid="{00000000-0005-0000-0000-0000C3040000}"/>
    <cellStyle name="Accent4 2 2 2 3" xfId="1232" xr:uid="{00000000-0005-0000-0000-0000C4040000}"/>
    <cellStyle name="Accent4 2 2 2 4" xfId="1233" xr:uid="{00000000-0005-0000-0000-0000C5040000}"/>
    <cellStyle name="Accent4 2 2 2 5" xfId="1234" xr:uid="{00000000-0005-0000-0000-0000C6040000}"/>
    <cellStyle name="Accent4 2 2 2 6" xfId="1235" xr:uid="{00000000-0005-0000-0000-0000C7040000}"/>
    <cellStyle name="Accent4 2 2 3" xfId="1236" xr:uid="{00000000-0005-0000-0000-0000C8040000}"/>
    <cellStyle name="Accent4 2 2 4" xfId="1237" xr:uid="{00000000-0005-0000-0000-0000C9040000}"/>
    <cellStyle name="Accent4 2 2 5" xfId="1238" xr:uid="{00000000-0005-0000-0000-0000CA040000}"/>
    <cellStyle name="Accent4 2 2 6" xfId="1239" xr:uid="{00000000-0005-0000-0000-0000CB040000}"/>
    <cellStyle name="Accent4 2 3" xfId="1240" xr:uid="{00000000-0005-0000-0000-0000CC040000}"/>
    <cellStyle name="Accent4 2 4" xfId="1241" xr:uid="{00000000-0005-0000-0000-0000CD040000}"/>
    <cellStyle name="Accent4 2 5" xfId="1242" xr:uid="{00000000-0005-0000-0000-0000CE040000}"/>
    <cellStyle name="Accent4 2 6" xfId="1243" xr:uid="{00000000-0005-0000-0000-0000CF040000}"/>
    <cellStyle name="Accent4 2 7" xfId="1244" xr:uid="{00000000-0005-0000-0000-0000D0040000}"/>
    <cellStyle name="Accent4 2 8" xfId="1245" xr:uid="{00000000-0005-0000-0000-0000D1040000}"/>
    <cellStyle name="Accent4 2 9" xfId="1246" xr:uid="{00000000-0005-0000-0000-0000D2040000}"/>
    <cellStyle name="Accent4 20" xfId="1247" xr:uid="{00000000-0005-0000-0000-0000D3040000}"/>
    <cellStyle name="Accent4 21" xfId="1248" xr:uid="{00000000-0005-0000-0000-0000D4040000}"/>
    <cellStyle name="Accent4 22" xfId="1249" xr:uid="{00000000-0005-0000-0000-0000D5040000}"/>
    <cellStyle name="Accent4 23" xfId="1250" xr:uid="{00000000-0005-0000-0000-0000D6040000}"/>
    <cellStyle name="Accent4 3" xfId="1251" xr:uid="{00000000-0005-0000-0000-0000D7040000}"/>
    <cellStyle name="Accent4 4" xfId="1252" xr:uid="{00000000-0005-0000-0000-0000D8040000}"/>
    <cellStyle name="Accent4 5" xfId="1253" xr:uid="{00000000-0005-0000-0000-0000D9040000}"/>
    <cellStyle name="Accent4 6" xfId="1254" xr:uid="{00000000-0005-0000-0000-0000DA040000}"/>
    <cellStyle name="Accent4 7" xfId="1255" xr:uid="{00000000-0005-0000-0000-0000DB040000}"/>
    <cellStyle name="Accent4 8" xfId="1256" xr:uid="{00000000-0005-0000-0000-0000DC040000}"/>
    <cellStyle name="Accent4 9" xfId="1257" xr:uid="{00000000-0005-0000-0000-0000DD040000}"/>
    <cellStyle name="Accent5 10" xfId="1258" xr:uid="{00000000-0005-0000-0000-0000DE040000}"/>
    <cellStyle name="Accent5 11" xfId="1259" xr:uid="{00000000-0005-0000-0000-0000DF040000}"/>
    <cellStyle name="Accent5 12" xfId="1260" xr:uid="{00000000-0005-0000-0000-0000E0040000}"/>
    <cellStyle name="Accent5 13" xfId="1261" xr:uid="{00000000-0005-0000-0000-0000E1040000}"/>
    <cellStyle name="Accent5 14" xfId="1262" xr:uid="{00000000-0005-0000-0000-0000E2040000}"/>
    <cellStyle name="Accent5 15" xfId="1263" xr:uid="{00000000-0005-0000-0000-0000E3040000}"/>
    <cellStyle name="Accent5 16" xfId="1264" xr:uid="{00000000-0005-0000-0000-0000E4040000}"/>
    <cellStyle name="Accent5 17" xfId="1265" xr:uid="{00000000-0005-0000-0000-0000E5040000}"/>
    <cellStyle name="Accent5 18" xfId="1266" xr:uid="{00000000-0005-0000-0000-0000E6040000}"/>
    <cellStyle name="Accent5 19" xfId="1267" xr:uid="{00000000-0005-0000-0000-0000E7040000}"/>
    <cellStyle name="Accent5 2" xfId="1268" xr:uid="{00000000-0005-0000-0000-0000E8040000}"/>
    <cellStyle name="Accent5 2 10" xfId="1269" xr:uid="{00000000-0005-0000-0000-0000E9040000}"/>
    <cellStyle name="Accent5 2 2" xfId="1270" xr:uid="{00000000-0005-0000-0000-0000EA040000}"/>
    <cellStyle name="Accent5 2 2 2" xfId="1271" xr:uid="{00000000-0005-0000-0000-0000EB040000}"/>
    <cellStyle name="Accent5 2 2 2 2" xfId="1272" xr:uid="{00000000-0005-0000-0000-0000EC040000}"/>
    <cellStyle name="Accent5 2 2 2 2 2" xfId="1273" xr:uid="{00000000-0005-0000-0000-0000ED040000}"/>
    <cellStyle name="Accent5 2 2 2 2 3" xfId="1274" xr:uid="{00000000-0005-0000-0000-0000EE040000}"/>
    <cellStyle name="Accent5 2 2 2 3" xfId="1275" xr:uid="{00000000-0005-0000-0000-0000EF040000}"/>
    <cellStyle name="Accent5 2 2 2 4" xfId="1276" xr:uid="{00000000-0005-0000-0000-0000F0040000}"/>
    <cellStyle name="Accent5 2 2 2 5" xfId="1277" xr:uid="{00000000-0005-0000-0000-0000F1040000}"/>
    <cellStyle name="Accent5 2 2 2 6" xfId="1278" xr:uid="{00000000-0005-0000-0000-0000F2040000}"/>
    <cellStyle name="Accent5 2 2 3" xfId="1279" xr:uid="{00000000-0005-0000-0000-0000F3040000}"/>
    <cellStyle name="Accent5 2 2 4" xfId="1280" xr:uid="{00000000-0005-0000-0000-0000F4040000}"/>
    <cellStyle name="Accent5 2 2 5" xfId="1281" xr:uid="{00000000-0005-0000-0000-0000F5040000}"/>
    <cellStyle name="Accent5 2 2 6" xfId="1282" xr:uid="{00000000-0005-0000-0000-0000F6040000}"/>
    <cellStyle name="Accent5 2 3" xfId="1283" xr:uid="{00000000-0005-0000-0000-0000F7040000}"/>
    <cellStyle name="Accent5 2 4" xfId="1284" xr:uid="{00000000-0005-0000-0000-0000F8040000}"/>
    <cellStyle name="Accent5 2 5" xfId="1285" xr:uid="{00000000-0005-0000-0000-0000F9040000}"/>
    <cellStyle name="Accent5 2 6" xfId="1286" xr:uid="{00000000-0005-0000-0000-0000FA040000}"/>
    <cellStyle name="Accent5 2 7" xfId="1287" xr:uid="{00000000-0005-0000-0000-0000FB040000}"/>
    <cellStyle name="Accent5 2 8" xfId="1288" xr:uid="{00000000-0005-0000-0000-0000FC040000}"/>
    <cellStyle name="Accent5 2 9" xfId="1289" xr:uid="{00000000-0005-0000-0000-0000FD040000}"/>
    <cellStyle name="Accent5 20" xfId="1290" xr:uid="{00000000-0005-0000-0000-0000FE040000}"/>
    <cellStyle name="Accent5 21" xfId="1291" xr:uid="{00000000-0005-0000-0000-0000FF040000}"/>
    <cellStyle name="Accent5 22" xfId="1292" xr:uid="{00000000-0005-0000-0000-000000050000}"/>
    <cellStyle name="Accent5 23" xfId="1293" xr:uid="{00000000-0005-0000-0000-000001050000}"/>
    <cellStyle name="Accent5 3" xfId="1294" xr:uid="{00000000-0005-0000-0000-000002050000}"/>
    <cellStyle name="Accent5 4" xfId="1295" xr:uid="{00000000-0005-0000-0000-000003050000}"/>
    <cellStyle name="Accent5 5" xfId="1296" xr:uid="{00000000-0005-0000-0000-000004050000}"/>
    <cellStyle name="Accent5 6" xfId="1297" xr:uid="{00000000-0005-0000-0000-000005050000}"/>
    <cellStyle name="Accent5 7" xfId="1298" xr:uid="{00000000-0005-0000-0000-000006050000}"/>
    <cellStyle name="Accent5 8" xfId="1299" xr:uid="{00000000-0005-0000-0000-000007050000}"/>
    <cellStyle name="Accent5 9" xfId="1300" xr:uid="{00000000-0005-0000-0000-000008050000}"/>
    <cellStyle name="Accent6 10" xfId="1301" xr:uid="{00000000-0005-0000-0000-000009050000}"/>
    <cellStyle name="Accent6 11" xfId="1302" xr:uid="{00000000-0005-0000-0000-00000A050000}"/>
    <cellStyle name="Accent6 12" xfId="1303" xr:uid="{00000000-0005-0000-0000-00000B050000}"/>
    <cellStyle name="Accent6 13" xfId="1304" xr:uid="{00000000-0005-0000-0000-00000C050000}"/>
    <cellStyle name="Accent6 14" xfId="1305" xr:uid="{00000000-0005-0000-0000-00000D050000}"/>
    <cellStyle name="Accent6 15" xfId="1306" xr:uid="{00000000-0005-0000-0000-00000E050000}"/>
    <cellStyle name="Accent6 16" xfId="1307" xr:uid="{00000000-0005-0000-0000-00000F050000}"/>
    <cellStyle name="Accent6 17" xfId="1308" xr:uid="{00000000-0005-0000-0000-000010050000}"/>
    <cellStyle name="Accent6 18" xfId="1309" xr:uid="{00000000-0005-0000-0000-000011050000}"/>
    <cellStyle name="Accent6 19" xfId="1310" xr:uid="{00000000-0005-0000-0000-000012050000}"/>
    <cellStyle name="Accent6 2" xfId="1311" xr:uid="{00000000-0005-0000-0000-000013050000}"/>
    <cellStyle name="Accent6 2 10" xfId="1312" xr:uid="{00000000-0005-0000-0000-000014050000}"/>
    <cellStyle name="Accent6 2 2" xfId="1313" xr:uid="{00000000-0005-0000-0000-000015050000}"/>
    <cellStyle name="Accent6 2 2 2" xfId="1314" xr:uid="{00000000-0005-0000-0000-000016050000}"/>
    <cellStyle name="Accent6 2 2 2 2" xfId="1315" xr:uid="{00000000-0005-0000-0000-000017050000}"/>
    <cellStyle name="Accent6 2 2 2 2 2" xfId="1316" xr:uid="{00000000-0005-0000-0000-000018050000}"/>
    <cellStyle name="Accent6 2 2 2 2 3" xfId="1317" xr:uid="{00000000-0005-0000-0000-000019050000}"/>
    <cellStyle name="Accent6 2 2 2 3" xfId="1318" xr:uid="{00000000-0005-0000-0000-00001A050000}"/>
    <cellStyle name="Accent6 2 2 2 4" xfId="1319" xr:uid="{00000000-0005-0000-0000-00001B050000}"/>
    <cellStyle name="Accent6 2 2 2 5" xfId="1320" xr:uid="{00000000-0005-0000-0000-00001C050000}"/>
    <cellStyle name="Accent6 2 2 2 6" xfId="1321" xr:uid="{00000000-0005-0000-0000-00001D050000}"/>
    <cellStyle name="Accent6 2 2 3" xfId="1322" xr:uid="{00000000-0005-0000-0000-00001E050000}"/>
    <cellStyle name="Accent6 2 2 4" xfId="1323" xr:uid="{00000000-0005-0000-0000-00001F050000}"/>
    <cellStyle name="Accent6 2 2 5" xfId="1324" xr:uid="{00000000-0005-0000-0000-000020050000}"/>
    <cellStyle name="Accent6 2 2 6" xfId="1325" xr:uid="{00000000-0005-0000-0000-000021050000}"/>
    <cellStyle name="Accent6 2 3" xfId="1326" xr:uid="{00000000-0005-0000-0000-000022050000}"/>
    <cellStyle name="Accent6 2 4" xfId="1327" xr:uid="{00000000-0005-0000-0000-000023050000}"/>
    <cellStyle name="Accent6 2 5" xfId="1328" xr:uid="{00000000-0005-0000-0000-000024050000}"/>
    <cellStyle name="Accent6 2 6" xfId="1329" xr:uid="{00000000-0005-0000-0000-000025050000}"/>
    <cellStyle name="Accent6 2 7" xfId="1330" xr:uid="{00000000-0005-0000-0000-000026050000}"/>
    <cellStyle name="Accent6 2 8" xfId="1331" xr:uid="{00000000-0005-0000-0000-000027050000}"/>
    <cellStyle name="Accent6 2 9" xfId="1332" xr:uid="{00000000-0005-0000-0000-000028050000}"/>
    <cellStyle name="Accent6 20" xfId="1333" xr:uid="{00000000-0005-0000-0000-000029050000}"/>
    <cellStyle name="Accent6 21" xfId="1334" xr:uid="{00000000-0005-0000-0000-00002A050000}"/>
    <cellStyle name="Accent6 22" xfId="1335" xr:uid="{00000000-0005-0000-0000-00002B050000}"/>
    <cellStyle name="Accent6 23" xfId="1336" xr:uid="{00000000-0005-0000-0000-00002C050000}"/>
    <cellStyle name="Accent6 3" xfId="1337" xr:uid="{00000000-0005-0000-0000-00002D050000}"/>
    <cellStyle name="Accent6 4" xfId="1338" xr:uid="{00000000-0005-0000-0000-00002E050000}"/>
    <cellStyle name="Accent6 5" xfId="1339" xr:uid="{00000000-0005-0000-0000-00002F050000}"/>
    <cellStyle name="Accent6 6" xfId="1340" xr:uid="{00000000-0005-0000-0000-000030050000}"/>
    <cellStyle name="Accent6 7" xfId="1341" xr:uid="{00000000-0005-0000-0000-000031050000}"/>
    <cellStyle name="Accent6 8" xfId="1342" xr:uid="{00000000-0005-0000-0000-000032050000}"/>
    <cellStyle name="Accent6 9" xfId="1343" xr:uid="{00000000-0005-0000-0000-000033050000}"/>
    <cellStyle name="Bad 10" xfId="1344" xr:uid="{00000000-0005-0000-0000-000034050000}"/>
    <cellStyle name="Bad 11" xfId="1345" xr:uid="{00000000-0005-0000-0000-000035050000}"/>
    <cellStyle name="Bad 12" xfId="1346" xr:uid="{00000000-0005-0000-0000-000036050000}"/>
    <cellStyle name="Bad 13" xfId="1347" xr:uid="{00000000-0005-0000-0000-000037050000}"/>
    <cellStyle name="Bad 14" xfId="1348" xr:uid="{00000000-0005-0000-0000-000038050000}"/>
    <cellStyle name="Bad 15" xfId="1349" xr:uid="{00000000-0005-0000-0000-000039050000}"/>
    <cellStyle name="Bad 16" xfId="1350" xr:uid="{00000000-0005-0000-0000-00003A050000}"/>
    <cellStyle name="Bad 17" xfId="1351" xr:uid="{00000000-0005-0000-0000-00003B050000}"/>
    <cellStyle name="Bad 18" xfId="1352" xr:uid="{00000000-0005-0000-0000-00003C050000}"/>
    <cellStyle name="Bad 19" xfId="1353" xr:uid="{00000000-0005-0000-0000-00003D050000}"/>
    <cellStyle name="Bad 2" xfId="1354" xr:uid="{00000000-0005-0000-0000-00003E050000}"/>
    <cellStyle name="Bad 2 10" xfId="1355" xr:uid="{00000000-0005-0000-0000-00003F050000}"/>
    <cellStyle name="Bad 2 2" xfId="1356" xr:uid="{00000000-0005-0000-0000-000040050000}"/>
    <cellStyle name="Bad 2 2 2" xfId="1357" xr:uid="{00000000-0005-0000-0000-000041050000}"/>
    <cellStyle name="Bad 2 2 2 2" xfId="1358" xr:uid="{00000000-0005-0000-0000-000042050000}"/>
    <cellStyle name="Bad 2 2 2 2 2" xfId="1359" xr:uid="{00000000-0005-0000-0000-000043050000}"/>
    <cellStyle name="Bad 2 2 2 2 3" xfId="1360" xr:uid="{00000000-0005-0000-0000-000044050000}"/>
    <cellStyle name="Bad 2 2 2 3" xfId="1361" xr:uid="{00000000-0005-0000-0000-000045050000}"/>
    <cellStyle name="Bad 2 2 2 4" xfId="1362" xr:uid="{00000000-0005-0000-0000-000046050000}"/>
    <cellStyle name="Bad 2 2 2 5" xfId="1363" xr:uid="{00000000-0005-0000-0000-000047050000}"/>
    <cellStyle name="Bad 2 2 2 6" xfId="1364" xr:uid="{00000000-0005-0000-0000-000048050000}"/>
    <cellStyle name="Bad 2 2 3" xfId="1365" xr:uid="{00000000-0005-0000-0000-000049050000}"/>
    <cellStyle name="Bad 2 2 4" xfId="1366" xr:uid="{00000000-0005-0000-0000-00004A050000}"/>
    <cellStyle name="Bad 2 2 5" xfId="1367" xr:uid="{00000000-0005-0000-0000-00004B050000}"/>
    <cellStyle name="Bad 2 2 6" xfId="1368" xr:uid="{00000000-0005-0000-0000-00004C050000}"/>
    <cellStyle name="Bad 2 3" xfId="1369" xr:uid="{00000000-0005-0000-0000-00004D050000}"/>
    <cellStyle name="Bad 2 4" xfId="1370" xr:uid="{00000000-0005-0000-0000-00004E050000}"/>
    <cellStyle name="Bad 2 5" xfId="1371" xr:uid="{00000000-0005-0000-0000-00004F050000}"/>
    <cellStyle name="Bad 2 6" xfId="1372" xr:uid="{00000000-0005-0000-0000-000050050000}"/>
    <cellStyle name="Bad 2 7" xfId="1373" xr:uid="{00000000-0005-0000-0000-000051050000}"/>
    <cellStyle name="Bad 2 8" xfId="1374" xr:uid="{00000000-0005-0000-0000-000052050000}"/>
    <cellStyle name="Bad 2 9" xfId="1375" xr:uid="{00000000-0005-0000-0000-000053050000}"/>
    <cellStyle name="Bad 20" xfId="1376" xr:uid="{00000000-0005-0000-0000-000054050000}"/>
    <cellStyle name="Bad 21" xfId="1377" xr:uid="{00000000-0005-0000-0000-000055050000}"/>
    <cellStyle name="Bad 22" xfId="1378" xr:uid="{00000000-0005-0000-0000-000056050000}"/>
    <cellStyle name="Bad 23" xfId="1379" xr:uid="{00000000-0005-0000-0000-000057050000}"/>
    <cellStyle name="Bad 3" xfId="1380" xr:uid="{00000000-0005-0000-0000-000058050000}"/>
    <cellStyle name="Bad 4" xfId="1381" xr:uid="{00000000-0005-0000-0000-000059050000}"/>
    <cellStyle name="Bad 5" xfId="1382" xr:uid="{00000000-0005-0000-0000-00005A050000}"/>
    <cellStyle name="Bad 6" xfId="1383" xr:uid="{00000000-0005-0000-0000-00005B050000}"/>
    <cellStyle name="Bad 7" xfId="1384" xr:uid="{00000000-0005-0000-0000-00005C050000}"/>
    <cellStyle name="Bad 8" xfId="1385" xr:uid="{00000000-0005-0000-0000-00005D050000}"/>
    <cellStyle name="Bad 9" xfId="1386" xr:uid="{00000000-0005-0000-0000-00005E050000}"/>
    <cellStyle name="Calculation 10" xfId="1387" xr:uid="{00000000-0005-0000-0000-00005F050000}"/>
    <cellStyle name="Calculation 11" xfId="1388" xr:uid="{00000000-0005-0000-0000-000060050000}"/>
    <cellStyle name="Calculation 12" xfId="1389" xr:uid="{00000000-0005-0000-0000-000061050000}"/>
    <cellStyle name="Calculation 13" xfId="1390" xr:uid="{00000000-0005-0000-0000-000062050000}"/>
    <cellStyle name="Calculation 14" xfId="1391" xr:uid="{00000000-0005-0000-0000-000063050000}"/>
    <cellStyle name="Calculation 15" xfId="1392" xr:uid="{00000000-0005-0000-0000-000064050000}"/>
    <cellStyle name="Calculation 16" xfId="1393" xr:uid="{00000000-0005-0000-0000-000065050000}"/>
    <cellStyle name="Calculation 17" xfId="1394" xr:uid="{00000000-0005-0000-0000-000066050000}"/>
    <cellStyle name="Calculation 18" xfId="1395" xr:uid="{00000000-0005-0000-0000-000067050000}"/>
    <cellStyle name="Calculation 19" xfId="1396" xr:uid="{00000000-0005-0000-0000-000068050000}"/>
    <cellStyle name="Calculation 2" xfId="1397" xr:uid="{00000000-0005-0000-0000-000069050000}"/>
    <cellStyle name="Calculation 2 10" xfId="1398" xr:uid="{00000000-0005-0000-0000-00006A050000}"/>
    <cellStyle name="Calculation 2 2" xfId="1399" xr:uid="{00000000-0005-0000-0000-00006B050000}"/>
    <cellStyle name="Calculation 2 2 2" xfId="1400" xr:uid="{00000000-0005-0000-0000-00006C050000}"/>
    <cellStyle name="Calculation 2 2 2 2" xfId="1401" xr:uid="{00000000-0005-0000-0000-00006D050000}"/>
    <cellStyle name="Calculation 2 2 2 2 2" xfId="1402" xr:uid="{00000000-0005-0000-0000-00006E050000}"/>
    <cellStyle name="Calculation 2 2 2 2 3" xfId="1403" xr:uid="{00000000-0005-0000-0000-00006F050000}"/>
    <cellStyle name="Calculation 2 2 2 3" xfId="1404" xr:uid="{00000000-0005-0000-0000-000070050000}"/>
    <cellStyle name="Calculation 2 2 2 4" xfId="1405" xr:uid="{00000000-0005-0000-0000-000071050000}"/>
    <cellStyle name="Calculation 2 2 2 5" xfId="1406" xr:uid="{00000000-0005-0000-0000-000072050000}"/>
    <cellStyle name="Calculation 2 2 2 6" xfId="1407" xr:uid="{00000000-0005-0000-0000-000073050000}"/>
    <cellStyle name="Calculation 2 2 3" xfId="1408" xr:uid="{00000000-0005-0000-0000-000074050000}"/>
    <cellStyle name="Calculation 2 2 4" xfId="1409" xr:uid="{00000000-0005-0000-0000-000075050000}"/>
    <cellStyle name="Calculation 2 2 5" xfId="1410" xr:uid="{00000000-0005-0000-0000-000076050000}"/>
    <cellStyle name="Calculation 2 2 6" xfId="1411" xr:uid="{00000000-0005-0000-0000-000077050000}"/>
    <cellStyle name="Calculation 2 3" xfId="1412" xr:uid="{00000000-0005-0000-0000-000078050000}"/>
    <cellStyle name="Calculation 2 4" xfId="1413" xr:uid="{00000000-0005-0000-0000-000079050000}"/>
    <cellStyle name="Calculation 2 5" xfId="1414" xr:uid="{00000000-0005-0000-0000-00007A050000}"/>
    <cellStyle name="Calculation 2 6" xfId="1415" xr:uid="{00000000-0005-0000-0000-00007B050000}"/>
    <cellStyle name="Calculation 2 7" xfId="1416" xr:uid="{00000000-0005-0000-0000-00007C050000}"/>
    <cellStyle name="Calculation 2 8" xfId="1417" xr:uid="{00000000-0005-0000-0000-00007D050000}"/>
    <cellStyle name="Calculation 2 9" xfId="1418" xr:uid="{00000000-0005-0000-0000-00007E050000}"/>
    <cellStyle name="Calculation 20" xfId="1419" xr:uid="{00000000-0005-0000-0000-00007F050000}"/>
    <cellStyle name="Calculation 21" xfId="1420" xr:uid="{00000000-0005-0000-0000-000080050000}"/>
    <cellStyle name="Calculation 22" xfId="1421" xr:uid="{00000000-0005-0000-0000-000081050000}"/>
    <cellStyle name="Calculation 23" xfId="1422" xr:uid="{00000000-0005-0000-0000-000082050000}"/>
    <cellStyle name="Calculation 3" xfId="1423" xr:uid="{00000000-0005-0000-0000-000083050000}"/>
    <cellStyle name="Calculation 4" xfId="1424" xr:uid="{00000000-0005-0000-0000-000084050000}"/>
    <cellStyle name="Calculation 5" xfId="1425" xr:uid="{00000000-0005-0000-0000-000085050000}"/>
    <cellStyle name="Calculation 6" xfId="1426" xr:uid="{00000000-0005-0000-0000-000086050000}"/>
    <cellStyle name="Calculation 7" xfId="1427" xr:uid="{00000000-0005-0000-0000-000087050000}"/>
    <cellStyle name="Calculation 8" xfId="1428" xr:uid="{00000000-0005-0000-0000-000088050000}"/>
    <cellStyle name="Calculation 9" xfId="1429" xr:uid="{00000000-0005-0000-0000-000089050000}"/>
    <cellStyle name="Check Cell 10" xfId="1430" xr:uid="{00000000-0005-0000-0000-00008A050000}"/>
    <cellStyle name="Check Cell 11" xfId="1431" xr:uid="{00000000-0005-0000-0000-00008B050000}"/>
    <cellStyle name="Check Cell 12" xfId="1432" xr:uid="{00000000-0005-0000-0000-00008C050000}"/>
    <cellStyle name="Check Cell 13" xfId="1433" xr:uid="{00000000-0005-0000-0000-00008D050000}"/>
    <cellStyle name="Check Cell 14" xfId="1434" xr:uid="{00000000-0005-0000-0000-00008E050000}"/>
    <cellStyle name="Check Cell 15" xfId="1435" xr:uid="{00000000-0005-0000-0000-00008F050000}"/>
    <cellStyle name="Check Cell 16" xfId="1436" xr:uid="{00000000-0005-0000-0000-000090050000}"/>
    <cellStyle name="Check Cell 17" xfId="1437" xr:uid="{00000000-0005-0000-0000-000091050000}"/>
    <cellStyle name="Check Cell 18" xfId="1438" xr:uid="{00000000-0005-0000-0000-000092050000}"/>
    <cellStyle name="Check Cell 19" xfId="1439" xr:uid="{00000000-0005-0000-0000-000093050000}"/>
    <cellStyle name="Check Cell 2" xfId="1440" xr:uid="{00000000-0005-0000-0000-000094050000}"/>
    <cellStyle name="Check Cell 2 10" xfId="1441" xr:uid="{00000000-0005-0000-0000-000095050000}"/>
    <cellStyle name="Check Cell 2 2" xfId="1442" xr:uid="{00000000-0005-0000-0000-000096050000}"/>
    <cellStyle name="Check Cell 2 2 2" xfId="1443" xr:uid="{00000000-0005-0000-0000-000097050000}"/>
    <cellStyle name="Check Cell 2 2 2 2" xfId="1444" xr:uid="{00000000-0005-0000-0000-000098050000}"/>
    <cellStyle name="Check Cell 2 2 2 2 2" xfId="1445" xr:uid="{00000000-0005-0000-0000-000099050000}"/>
    <cellStyle name="Check Cell 2 2 2 2 3" xfId="1446" xr:uid="{00000000-0005-0000-0000-00009A050000}"/>
    <cellStyle name="Check Cell 2 2 2 3" xfId="1447" xr:uid="{00000000-0005-0000-0000-00009B050000}"/>
    <cellStyle name="Check Cell 2 2 2 4" xfId="1448" xr:uid="{00000000-0005-0000-0000-00009C050000}"/>
    <cellStyle name="Check Cell 2 2 2 5" xfId="1449" xr:uid="{00000000-0005-0000-0000-00009D050000}"/>
    <cellStyle name="Check Cell 2 2 2 6" xfId="1450" xr:uid="{00000000-0005-0000-0000-00009E050000}"/>
    <cellStyle name="Check Cell 2 2 3" xfId="1451" xr:uid="{00000000-0005-0000-0000-00009F050000}"/>
    <cellStyle name="Check Cell 2 2 4" xfId="1452" xr:uid="{00000000-0005-0000-0000-0000A0050000}"/>
    <cellStyle name="Check Cell 2 2 5" xfId="1453" xr:uid="{00000000-0005-0000-0000-0000A1050000}"/>
    <cellStyle name="Check Cell 2 2 6" xfId="1454" xr:uid="{00000000-0005-0000-0000-0000A2050000}"/>
    <cellStyle name="Check Cell 2 3" xfId="1455" xr:uid="{00000000-0005-0000-0000-0000A3050000}"/>
    <cellStyle name="Check Cell 2 4" xfId="1456" xr:uid="{00000000-0005-0000-0000-0000A4050000}"/>
    <cellStyle name="Check Cell 2 5" xfId="1457" xr:uid="{00000000-0005-0000-0000-0000A5050000}"/>
    <cellStyle name="Check Cell 2 6" xfId="1458" xr:uid="{00000000-0005-0000-0000-0000A6050000}"/>
    <cellStyle name="Check Cell 2 7" xfId="1459" xr:uid="{00000000-0005-0000-0000-0000A7050000}"/>
    <cellStyle name="Check Cell 2 8" xfId="1460" xr:uid="{00000000-0005-0000-0000-0000A8050000}"/>
    <cellStyle name="Check Cell 2 9" xfId="1461" xr:uid="{00000000-0005-0000-0000-0000A9050000}"/>
    <cellStyle name="Check Cell 20" xfId="1462" xr:uid="{00000000-0005-0000-0000-0000AA050000}"/>
    <cellStyle name="Check Cell 21" xfId="1463" xr:uid="{00000000-0005-0000-0000-0000AB050000}"/>
    <cellStyle name="Check Cell 22" xfId="1464" xr:uid="{00000000-0005-0000-0000-0000AC050000}"/>
    <cellStyle name="Check Cell 23" xfId="1465" xr:uid="{00000000-0005-0000-0000-0000AD050000}"/>
    <cellStyle name="Check Cell 3" xfId="1466" xr:uid="{00000000-0005-0000-0000-0000AE050000}"/>
    <cellStyle name="Check Cell 4" xfId="1467" xr:uid="{00000000-0005-0000-0000-0000AF050000}"/>
    <cellStyle name="Check Cell 5" xfId="1468" xr:uid="{00000000-0005-0000-0000-0000B0050000}"/>
    <cellStyle name="Check Cell 6" xfId="1469" xr:uid="{00000000-0005-0000-0000-0000B1050000}"/>
    <cellStyle name="Check Cell 7" xfId="1470" xr:uid="{00000000-0005-0000-0000-0000B2050000}"/>
    <cellStyle name="Check Cell 8" xfId="1471" xr:uid="{00000000-0005-0000-0000-0000B3050000}"/>
    <cellStyle name="Check Cell 9" xfId="1472" xr:uid="{00000000-0005-0000-0000-0000B4050000}"/>
    <cellStyle name="ColumnAttributeAbovePrompt" xfId="1473" xr:uid="{00000000-0005-0000-0000-0000B5050000}"/>
    <cellStyle name="ColumnAttributePrompt" xfId="1474" xr:uid="{00000000-0005-0000-0000-0000B6050000}"/>
    <cellStyle name="ColumnAttributeValue" xfId="1475" xr:uid="{00000000-0005-0000-0000-0000B7050000}"/>
    <cellStyle name="ColumnHeadingPrompt" xfId="1476" xr:uid="{00000000-0005-0000-0000-0000B8050000}"/>
    <cellStyle name="ColumnHeadingValue" xfId="1477" xr:uid="{00000000-0005-0000-0000-0000B9050000}"/>
    <cellStyle name="Comma" xfId="1" builtinId="3"/>
    <cellStyle name="Comma 10" xfId="1478" xr:uid="{00000000-0005-0000-0000-0000BB050000}"/>
    <cellStyle name="Comma 11" xfId="1479" xr:uid="{00000000-0005-0000-0000-0000BC050000}"/>
    <cellStyle name="Comma 12" xfId="1480" xr:uid="{00000000-0005-0000-0000-0000BD050000}"/>
    <cellStyle name="Comma 13" xfId="1481" xr:uid="{00000000-0005-0000-0000-0000BE050000}"/>
    <cellStyle name="Comma 14" xfId="1482" xr:uid="{00000000-0005-0000-0000-0000BF050000}"/>
    <cellStyle name="Comma 15" xfId="1483" xr:uid="{00000000-0005-0000-0000-0000C0050000}"/>
    <cellStyle name="Comma 16" xfId="1484" xr:uid="{00000000-0005-0000-0000-0000C1050000}"/>
    <cellStyle name="Comma 17" xfId="1485" xr:uid="{00000000-0005-0000-0000-0000C2050000}"/>
    <cellStyle name="Comma 18" xfId="8" xr:uid="{00000000-0005-0000-0000-0000C3050000}"/>
    <cellStyle name="Comma 2" xfId="5" xr:uid="{00000000-0005-0000-0000-0000C4050000}"/>
    <cellStyle name="Comma 2 10" xfId="1486" xr:uid="{00000000-0005-0000-0000-0000C5050000}"/>
    <cellStyle name="Comma 2 11" xfId="1487" xr:uid="{00000000-0005-0000-0000-0000C6050000}"/>
    <cellStyle name="Comma 2 12" xfId="1488" xr:uid="{00000000-0005-0000-0000-0000C7050000}"/>
    <cellStyle name="Comma 2 13" xfId="1489" xr:uid="{00000000-0005-0000-0000-0000C8050000}"/>
    <cellStyle name="Comma 2 14" xfId="1490" xr:uid="{00000000-0005-0000-0000-0000C9050000}"/>
    <cellStyle name="Comma 2 15" xfId="1491" xr:uid="{00000000-0005-0000-0000-0000CA050000}"/>
    <cellStyle name="Comma 2 16" xfId="1492" xr:uid="{00000000-0005-0000-0000-0000CB050000}"/>
    <cellStyle name="Comma 2 17" xfId="1493" xr:uid="{00000000-0005-0000-0000-0000CC050000}"/>
    <cellStyle name="Comma 2 18" xfId="1494" xr:uid="{00000000-0005-0000-0000-0000CD050000}"/>
    <cellStyle name="Comma 2 19" xfId="1495" xr:uid="{00000000-0005-0000-0000-0000CE050000}"/>
    <cellStyle name="Comma 2 2" xfId="1496" xr:uid="{00000000-0005-0000-0000-0000CF050000}"/>
    <cellStyle name="Comma 2 20" xfId="1497" xr:uid="{00000000-0005-0000-0000-0000D0050000}"/>
    <cellStyle name="Comma 2 21" xfId="1498" xr:uid="{00000000-0005-0000-0000-0000D1050000}"/>
    <cellStyle name="Comma 2 22" xfId="1499" xr:uid="{00000000-0005-0000-0000-0000D2050000}"/>
    <cellStyle name="Comma 2 3" xfId="1500" xr:uid="{00000000-0005-0000-0000-0000D3050000}"/>
    <cellStyle name="Comma 2 4" xfId="1501" xr:uid="{00000000-0005-0000-0000-0000D4050000}"/>
    <cellStyle name="Comma 2 4 2" xfId="2391" xr:uid="{00000000-0005-0000-0000-0000D5050000}"/>
    <cellStyle name="Comma 2 5" xfId="1502" xr:uid="{00000000-0005-0000-0000-0000D6050000}"/>
    <cellStyle name="Comma 2 6" xfId="1503" xr:uid="{00000000-0005-0000-0000-0000D7050000}"/>
    <cellStyle name="Comma 2 7" xfId="1504" xr:uid="{00000000-0005-0000-0000-0000D8050000}"/>
    <cellStyle name="Comma 2 8" xfId="1505" xr:uid="{00000000-0005-0000-0000-0000D9050000}"/>
    <cellStyle name="Comma 2 9" xfId="1506" xr:uid="{00000000-0005-0000-0000-0000DA050000}"/>
    <cellStyle name="Comma 3" xfId="10" xr:uid="{00000000-0005-0000-0000-0000DB050000}"/>
    <cellStyle name="Comma 3 2" xfId="1507" xr:uid="{00000000-0005-0000-0000-0000DC050000}"/>
    <cellStyle name="Comma 3 3" xfId="1508" xr:uid="{00000000-0005-0000-0000-0000DD050000}"/>
    <cellStyle name="Comma 3 4" xfId="1509" xr:uid="{00000000-0005-0000-0000-0000DE050000}"/>
    <cellStyle name="Comma 3 5" xfId="1510" xr:uid="{00000000-0005-0000-0000-0000DF050000}"/>
    <cellStyle name="Comma 3 6" xfId="2399" xr:uid="{4078183A-0C0B-425F-BF8B-7A03CFF85BEB}"/>
    <cellStyle name="Comma 4" xfId="1511" xr:uid="{00000000-0005-0000-0000-0000E0050000}"/>
    <cellStyle name="Comma 4 2" xfId="1512" xr:uid="{00000000-0005-0000-0000-0000E1050000}"/>
    <cellStyle name="Comma 4 3" xfId="1513" xr:uid="{00000000-0005-0000-0000-0000E2050000}"/>
    <cellStyle name="Comma 4 4" xfId="1514" xr:uid="{00000000-0005-0000-0000-0000E3050000}"/>
    <cellStyle name="Comma 4 5" xfId="1515" xr:uid="{00000000-0005-0000-0000-0000E4050000}"/>
    <cellStyle name="Comma 5" xfId="1516" xr:uid="{00000000-0005-0000-0000-0000E5050000}"/>
    <cellStyle name="Comma 6" xfId="1517" xr:uid="{00000000-0005-0000-0000-0000E6050000}"/>
    <cellStyle name="Comma 7" xfId="1518" xr:uid="{00000000-0005-0000-0000-0000E7050000}"/>
    <cellStyle name="Comma 8" xfId="1519" xr:uid="{00000000-0005-0000-0000-0000E8050000}"/>
    <cellStyle name="Comma 9" xfId="1520" xr:uid="{00000000-0005-0000-0000-0000E9050000}"/>
    <cellStyle name="Comma0" xfId="1521" xr:uid="{00000000-0005-0000-0000-0000EA050000}"/>
    <cellStyle name="Currency" xfId="2" builtinId="4"/>
    <cellStyle name="Currency 2" xfId="11" xr:uid="{00000000-0005-0000-0000-0000EC050000}"/>
    <cellStyle name="Currency 2 2" xfId="1522" xr:uid="{00000000-0005-0000-0000-0000ED050000}"/>
    <cellStyle name="Currency 2 2 2" xfId="1523" xr:uid="{00000000-0005-0000-0000-0000EE050000}"/>
    <cellStyle name="Currency 2 2 3" xfId="1524" xr:uid="{00000000-0005-0000-0000-0000EF050000}"/>
    <cellStyle name="Currency 2 3" xfId="1525" xr:uid="{00000000-0005-0000-0000-0000F0050000}"/>
    <cellStyle name="Currency 2 4" xfId="1526" xr:uid="{00000000-0005-0000-0000-0000F1050000}"/>
    <cellStyle name="Currency 2 5" xfId="1527" xr:uid="{00000000-0005-0000-0000-0000F2050000}"/>
    <cellStyle name="Currency 2 6" xfId="1528" xr:uid="{00000000-0005-0000-0000-0000F3050000}"/>
    <cellStyle name="Currency 3" xfId="1529" xr:uid="{00000000-0005-0000-0000-0000F4050000}"/>
    <cellStyle name="Currency 3 2" xfId="1530" xr:uid="{00000000-0005-0000-0000-0000F5050000}"/>
    <cellStyle name="Currency 3 3" xfId="1531" xr:uid="{00000000-0005-0000-0000-0000F6050000}"/>
    <cellStyle name="Currency 3 4" xfId="1532" xr:uid="{00000000-0005-0000-0000-0000F7050000}"/>
    <cellStyle name="Currency 3 5" xfId="1533" xr:uid="{00000000-0005-0000-0000-0000F8050000}"/>
    <cellStyle name="Currency 3 6" xfId="2400" xr:uid="{615BDDF0-F4CE-4312-9A58-E954C9608AD4}"/>
    <cellStyle name="Currency 4" xfId="1534" xr:uid="{00000000-0005-0000-0000-0000F9050000}"/>
    <cellStyle name="Currency 5" xfId="2384" xr:uid="{00000000-0005-0000-0000-0000FA050000}"/>
    <cellStyle name="Currency0" xfId="1535" xr:uid="{00000000-0005-0000-0000-0000FB050000}"/>
    <cellStyle name="Date" xfId="1536" xr:uid="{00000000-0005-0000-0000-0000FC050000}"/>
    <cellStyle name="Euro" xfId="1537" xr:uid="{00000000-0005-0000-0000-0000FD050000}"/>
    <cellStyle name="Explanatory Text 10" xfId="1538" xr:uid="{00000000-0005-0000-0000-0000FE050000}"/>
    <cellStyle name="Explanatory Text 11" xfId="1539" xr:uid="{00000000-0005-0000-0000-0000FF050000}"/>
    <cellStyle name="Explanatory Text 12" xfId="1540" xr:uid="{00000000-0005-0000-0000-000000060000}"/>
    <cellStyle name="Explanatory Text 13" xfId="1541" xr:uid="{00000000-0005-0000-0000-000001060000}"/>
    <cellStyle name="Explanatory Text 14" xfId="1542" xr:uid="{00000000-0005-0000-0000-000002060000}"/>
    <cellStyle name="Explanatory Text 15" xfId="1543" xr:uid="{00000000-0005-0000-0000-000003060000}"/>
    <cellStyle name="Explanatory Text 16" xfId="1544" xr:uid="{00000000-0005-0000-0000-000004060000}"/>
    <cellStyle name="Explanatory Text 17" xfId="1545" xr:uid="{00000000-0005-0000-0000-000005060000}"/>
    <cellStyle name="Explanatory Text 18" xfId="1546" xr:uid="{00000000-0005-0000-0000-000006060000}"/>
    <cellStyle name="Explanatory Text 19" xfId="1547" xr:uid="{00000000-0005-0000-0000-000007060000}"/>
    <cellStyle name="Explanatory Text 2" xfId="1548" xr:uid="{00000000-0005-0000-0000-000008060000}"/>
    <cellStyle name="Explanatory Text 2 10" xfId="1549" xr:uid="{00000000-0005-0000-0000-000009060000}"/>
    <cellStyle name="Explanatory Text 2 2" xfId="1550" xr:uid="{00000000-0005-0000-0000-00000A060000}"/>
    <cellStyle name="Explanatory Text 2 2 2" xfId="1551" xr:uid="{00000000-0005-0000-0000-00000B060000}"/>
    <cellStyle name="Explanatory Text 2 2 2 2" xfId="1552" xr:uid="{00000000-0005-0000-0000-00000C060000}"/>
    <cellStyle name="Explanatory Text 2 2 2 2 2" xfId="1553" xr:uid="{00000000-0005-0000-0000-00000D060000}"/>
    <cellStyle name="Explanatory Text 2 2 2 2 3" xfId="1554" xr:uid="{00000000-0005-0000-0000-00000E060000}"/>
    <cellStyle name="Explanatory Text 2 2 2 3" xfId="1555" xr:uid="{00000000-0005-0000-0000-00000F060000}"/>
    <cellStyle name="Explanatory Text 2 2 2 4" xfId="1556" xr:uid="{00000000-0005-0000-0000-000010060000}"/>
    <cellStyle name="Explanatory Text 2 2 2 5" xfId="1557" xr:uid="{00000000-0005-0000-0000-000011060000}"/>
    <cellStyle name="Explanatory Text 2 2 2 6" xfId="1558" xr:uid="{00000000-0005-0000-0000-000012060000}"/>
    <cellStyle name="Explanatory Text 2 2 3" xfId="1559" xr:uid="{00000000-0005-0000-0000-000013060000}"/>
    <cellStyle name="Explanatory Text 2 2 4" xfId="1560" xr:uid="{00000000-0005-0000-0000-000014060000}"/>
    <cellStyle name="Explanatory Text 2 2 5" xfId="1561" xr:uid="{00000000-0005-0000-0000-000015060000}"/>
    <cellStyle name="Explanatory Text 2 2 6" xfId="1562" xr:uid="{00000000-0005-0000-0000-000016060000}"/>
    <cellStyle name="Explanatory Text 2 3" xfId="1563" xr:uid="{00000000-0005-0000-0000-000017060000}"/>
    <cellStyle name="Explanatory Text 2 4" xfId="1564" xr:uid="{00000000-0005-0000-0000-000018060000}"/>
    <cellStyle name="Explanatory Text 2 5" xfId="1565" xr:uid="{00000000-0005-0000-0000-000019060000}"/>
    <cellStyle name="Explanatory Text 2 6" xfId="1566" xr:uid="{00000000-0005-0000-0000-00001A060000}"/>
    <cellStyle name="Explanatory Text 2 7" xfId="1567" xr:uid="{00000000-0005-0000-0000-00001B060000}"/>
    <cellStyle name="Explanatory Text 2 8" xfId="1568" xr:uid="{00000000-0005-0000-0000-00001C060000}"/>
    <cellStyle name="Explanatory Text 2 9" xfId="1569" xr:uid="{00000000-0005-0000-0000-00001D060000}"/>
    <cellStyle name="Explanatory Text 20" xfId="1570" xr:uid="{00000000-0005-0000-0000-00001E060000}"/>
    <cellStyle name="Explanatory Text 21" xfId="1571" xr:uid="{00000000-0005-0000-0000-00001F060000}"/>
    <cellStyle name="Explanatory Text 22" xfId="1572" xr:uid="{00000000-0005-0000-0000-000020060000}"/>
    <cellStyle name="Explanatory Text 23" xfId="1573" xr:uid="{00000000-0005-0000-0000-000021060000}"/>
    <cellStyle name="Explanatory Text 3" xfId="1574" xr:uid="{00000000-0005-0000-0000-000022060000}"/>
    <cellStyle name="Explanatory Text 4" xfId="1575" xr:uid="{00000000-0005-0000-0000-000023060000}"/>
    <cellStyle name="Explanatory Text 5" xfId="1576" xr:uid="{00000000-0005-0000-0000-000024060000}"/>
    <cellStyle name="Explanatory Text 6" xfId="1577" xr:uid="{00000000-0005-0000-0000-000025060000}"/>
    <cellStyle name="Explanatory Text 7" xfId="1578" xr:uid="{00000000-0005-0000-0000-000026060000}"/>
    <cellStyle name="Explanatory Text 8" xfId="1579" xr:uid="{00000000-0005-0000-0000-000027060000}"/>
    <cellStyle name="Explanatory Text 9" xfId="1580" xr:uid="{00000000-0005-0000-0000-000028060000}"/>
    <cellStyle name="F2" xfId="1581" xr:uid="{00000000-0005-0000-0000-000029060000}"/>
    <cellStyle name="F2 2" xfId="1582" xr:uid="{00000000-0005-0000-0000-00002A060000}"/>
    <cellStyle name="F2 3" xfId="1583" xr:uid="{00000000-0005-0000-0000-00002B060000}"/>
    <cellStyle name="F2 4" xfId="1584" xr:uid="{00000000-0005-0000-0000-00002C060000}"/>
    <cellStyle name="F2 5" xfId="1585" xr:uid="{00000000-0005-0000-0000-00002D060000}"/>
    <cellStyle name="F2 6" xfId="1586" xr:uid="{00000000-0005-0000-0000-00002E060000}"/>
    <cellStyle name="F2 7" xfId="1587" xr:uid="{00000000-0005-0000-0000-00002F060000}"/>
    <cellStyle name="F3" xfId="1588" xr:uid="{00000000-0005-0000-0000-000030060000}"/>
    <cellStyle name="F3 2" xfId="1589" xr:uid="{00000000-0005-0000-0000-000031060000}"/>
    <cellStyle name="F3 3" xfId="1590" xr:uid="{00000000-0005-0000-0000-000032060000}"/>
    <cellStyle name="F3 4" xfId="1591" xr:uid="{00000000-0005-0000-0000-000033060000}"/>
    <cellStyle name="F3 5" xfId="1592" xr:uid="{00000000-0005-0000-0000-000034060000}"/>
    <cellStyle name="F3 6" xfId="1593" xr:uid="{00000000-0005-0000-0000-000035060000}"/>
    <cellStyle name="F3 7" xfId="1594" xr:uid="{00000000-0005-0000-0000-000036060000}"/>
    <cellStyle name="F4" xfId="1595" xr:uid="{00000000-0005-0000-0000-000037060000}"/>
    <cellStyle name="F4 2" xfId="1596" xr:uid="{00000000-0005-0000-0000-000038060000}"/>
    <cellStyle name="F4 3" xfId="1597" xr:uid="{00000000-0005-0000-0000-000039060000}"/>
    <cellStyle name="F4 4" xfId="1598" xr:uid="{00000000-0005-0000-0000-00003A060000}"/>
    <cellStyle name="F4 5" xfId="1599" xr:uid="{00000000-0005-0000-0000-00003B060000}"/>
    <cellStyle name="F4 6" xfId="1600" xr:uid="{00000000-0005-0000-0000-00003C060000}"/>
    <cellStyle name="F4 7" xfId="1601" xr:uid="{00000000-0005-0000-0000-00003D060000}"/>
    <cellStyle name="F5" xfId="1602" xr:uid="{00000000-0005-0000-0000-00003E060000}"/>
    <cellStyle name="F5 2" xfId="1603" xr:uid="{00000000-0005-0000-0000-00003F060000}"/>
    <cellStyle name="F5 3" xfId="1604" xr:uid="{00000000-0005-0000-0000-000040060000}"/>
    <cellStyle name="F5 4" xfId="1605" xr:uid="{00000000-0005-0000-0000-000041060000}"/>
    <cellStyle name="F5 5" xfId="1606" xr:uid="{00000000-0005-0000-0000-000042060000}"/>
    <cellStyle name="F5 6" xfId="1607" xr:uid="{00000000-0005-0000-0000-000043060000}"/>
    <cellStyle name="F5 7" xfId="1608" xr:uid="{00000000-0005-0000-0000-000044060000}"/>
    <cellStyle name="F6" xfId="1609" xr:uid="{00000000-0005-0000-0000-000045060000}"/>
    <cellStyle name="F6 2" xfId="1610" xr:uid="{00000000-0005-0000-0000-000046060000}"/>
    <cellStyle name="F6 3" xfId="1611" xr:uid="{00000000-0005-0000-0000-000047060000}"/>
    <cellStyle name="F6 4" xfId="1612" xr:uid="{00000000-0005-0000-0000-000048060000}"/>
    <cellStyle name="F6 5" xfId="1613" xr:uid="{00000000-0005-0000-0000-000049060000}"/>
    <cellStyle name="F6 6" xfId="1614" xr:uid="{00000000-0005-0000-0000-00004A060000}"/>
    <cellStyle name="F6 7" xfId="1615" xr:uid="{00000000-0005-0000-0000-00004B060000}"/>
    <cellStyle name="F7" xfId="1616" xr:uid="{00000000-0005-0000-0000-00004C060000}"/>
    <cellStyle name="F7 2" xfId="1617" xr:uid="{00000000-0005-0000-0000-00004D060000}"/>
    <cellStyle name="F7 3" xfId="1618" xr:uid="{00000000-0005-0000-0000-00004E060000}"/>
    <cellStyle name="F7 4" xfId="1619" xr:uid="{00000000-0005-0000-0000-00004F060000}"/>
    <cellStyle name="F7 5" xfId="1620" xr:uid="{00000000-0005-0000-0000-000050060000}"/>
    <cellStyle name="F7 6" xfId="1621" xr:uid="{00000000-0005-0000-0000-000051060000}"/>
    <cellStyle name="F7 7" xfId="1622" xr:uid="{00000000-0005-0000-0000-000052060000}"/>
    <cellStyle name="F8" xfId="1623" xr:uid="{00000000-0005-0000-0000-000053060000}"/>
    <cellStyle name="F8 2" xfId="1624" xr:uid="{00000000-0005-0000-0000-000054060000}"/>
    <cellStyle name="F8 3" xfId="1625" xr:uid="{00000000-0005-0000-0000-000055060000}"/>
    <cellStyle name="F8 4" xfId="1626" xr:uid="{00000000-0005-0000-0000-000056060000}"/>
    <cellStyle name="F8 5" xfId="1627" xr:uid="{00000000-0005-0000-0000-000057060000}"/>
    <cellStyle name="F8 6" xfId="1628" xr:uid="{00000000-0005-0000-0000-000058060000}"/>
    <cellStyle name="F8 7" xfId="1629" xr:uid="{00000000-0005-0000-0000-000059060000}"/>
    <cellStyle name="Fixed" xfId="1630" xr:uid="{00000000-0005-0000-0000-00005A060000}"/>
    <cellStyle name="Good 10" xfId="1631" xr:uid="{00000000-0005-0000-0000-00005B060000}"/>
    <cellStyle name="Good 11" xfId="1632" xr:uid="{00000000-0005-0000-0000-00005C060000}"/>
    <cellStyle name="Good 12" xfId="1633" xr:uid="{00000000-0005-0000-0000-00005D060000}"/>
    <cellStyle name="Good 13" xfId="1634" xr:uid="{00000000-0005-0000-0000-00005E060000}"/>
    <cellStyle name="Good 14" xfId="1635" xr:uid="{00000000-0005-0000-0000-00005F060000}"/>
    <cellStyle name="Good 15" xfId="1636" xr:uid="{00000000-0005-0000-0000-000060060000}"/>
    <cellStyle name="Good 16" xfId="1637" xr:uid="{00000000-0005-0000-0000-000061060000}"/>
    <cellStyle name="Good 17" xfId="1638" xr:uid="{00000000-0005-0000-0000-000062060000}"/>
    <cellStyle name="Good 18" xfId="1639" xr:uid="{00000000-0005-0000-0000-000063060000}"/>
    <cellStyle name="Good 19" xfId="1640" xr:uid="{00000000-0005-0000-0000-000064060000}"/>
    <cellStyle name="Good 2" xfId="1641" xr:uid="{00000000-0005-0000-0000-000065060000}"/>
    <cellStyle name="Good 2 10" xfId="1642" xr:uid="{00000000-0005-0000-0000-000066060000}"/>
    <cellStyle name="Good 2 2" xfId="1643" xr:uid="{00000000-0005-0000-0000-000067060000}"/>
    <cellStyle name="Good 2 2 2" xfId="1644" xr:uid="{00000000-0005-0000-0000-000068060000}"/>
    <cellStyle name="Good 2 2 2 2" xfId="1645" xr:uid="{00000000-0005-0000-0000-000069060000}"/>
    <cellStyle name="Good 2 2 2 2 2" xfId="1646" xr:uid="{00000000-0005-0000-0000-00006A060000}"/>
    <cellStyle name="Good 2 2 2 2 3" xfId="1647" xr:uid="{00000000-0005-0000-0000-00006B060000}"/>
    <cellStyle name="Good 2 2 2 3" xfId="1648" xr:uid="{00000000-0005-0000-0000-00006C060000}"/>
    <cellStyle name="Good 2 2 2 4" xfId="1649" xr:uid="{00000000-0005-0000-0000-00006D060000}"/>
    <cellStyle name="Good 2 2 2 5" xfId="1650" xr:uid="{00000000-0005-0000-0000-00006E060000}"/>
    <cellStyle name="Good 2 2 2 6" xfId="1651" xr:uid="{00000000-0005-0000-0000-00006F060000}"/>
    <cellStyle name="Good 2 2 3" xfId="1652" xr:uid="{00000000-0005-0000-0000-000070060000}"/>
    <cellStyle name="Good 2 2 4" xfId="1653" xr:uid="{00000000-0005-0000-0000-000071060000}"/>
    <cellStyle name="Good 2 2 5" xfId="1654" xr:uid="{00000000-0005-0000-0000-000072060000}"/>
    <cellStyle name="Good 2 2 6" xfId="1655" xr:uid="{00000000-0005-0000-0000-000073060000}"/>
    <cellStyle name="Good 2 3" xfId="1656" xr:uid="{00000000-0005-0000-0000-000074060000}"/>
    <cellStyle name="Good 2 4" xfId="1657" xr:uid="{00000000-0005-0000-0000-000075060000}"/>
    <cellStyle name="Good 2 5" xfId="1658" xr:uid="{00000000-0005-0000-0000-000076060000}"/>
    <cellStyle name="Good 2 6" xfId="1659" xr:uid="{00000000-0005-0000-0000-000077060000}"/>
    <cellStyle name="Good 2 7" xfId="1660" xr:uid="{00000000-0005-0000-0000-000078060000}"/>
    <cellStyle name="Good 2 8" xfId="1661" xr:uid="{00000000-0005-0000-0000-000079060000}"/>
    <cellStyle name="Good 2 9" xfId="1662" xr:uid="{00000000-0005-0000-0000-00007A060000}"/>
    <cellStyle name="Good 20" xfId="1663" xr:uid="{00000000-0005-0000-0000-00007B060000}"/>
    <cellStyle name="Good 21" xfId="1664" xr:uid="{00000000-0005-0000-0000-00007C060000}"/>
    <cellStyle name="Good 22" xfId="1665" xr:uid="{00000000-0005-0000-0000-00007D060000}"/>
    <cellStyle name="Good 23" xfId="1666" xr:uid="{00000000-0005-0000-0000-00007E060000}"/>
    <cellStyle name="Good 3" xfId="1667" xr:uid="{00000000-0005-0000-0000-00007F060000}"/>
    <cellStyle name="Good 4" xfId="1668" xr:uid="{00000000-0005-0000-0000-000080060000}"/>
    <cellStyle name="Good 5" xfId="1669" xr:uid="{00000000-0005-0000-0000-000081060000}"/>
    <cellStyle name="Good 6" xfId="1670" xr:uid="{00000000-0005-0000-0000-000082060000}"/>
    <cellStyle name="Good 7" xfId="1671" xr:uid="{00000000-0005-0000-0000-000083060000}"/>
    <cellStyle name="Good 8" xfId="1672" xr:uid="{00000000-0005-0000-0000-000084060000}"/>
    <cellStyle name="Good 9" xfId="1673" xr:uid="{00000000-0005-0000-0000-000085060000}"/>
    <cellStyle name="Heading 1 10" xfId="1674" xr:uid="{00000000-0005-0000-0000-000086060000}"/>
    <cellStyle name="Heading 1 11" xfId="1675" xr:uid="{00000000-0005-0000-0000-000087060000}"/>
    <cellStyle name="Heading 1 12" xfId="1676" xr:uid="{00000000-0005-0000-0000-000088060000}"/>
    <cellStyle name="Heading 1 13" xfId="1677" xr:uid="{00000000-0005-0000-0000-000089060000}"/>
    <cellStyle name="Heading 1 14" xfId="1678" xr:uid="{00000000-0005-0000-0000-00008A060000}"/>
    <cellStyle name="Heading 1 15" xfId="1679" xr:uid="{00000000-0005-0000-0000-00008B060000}"/>
    <cellStyle name="Heading 1 16" xfId="1680" xr:uid="{00000000-0005-0000-0000-00008C060000}"/>
    <cellStyle name="Heading 1 17" xfId="1681" xr:uid="{00000000-0005-0000-0000-00008D060000}"/>
    <cellStyle name="Heading 1 18" xfId="1682" xr:uid="{00000000-0005-0000-0000-00008E060000}"/>
    <cellStyle name="Heading 1 19" xfId="1683" xr:uid="{00000000-0005-0000-0000-00008F060000}"/>
    <cellStyle name="Heading 1 2" xfId="1684" xr:uid="{00000000-0005-0000-0000-000090060000}"/>
    <cellStyle name="Heading 1 2 10" xfId="1685" xr:uid="{00000000-0005-0000-0000-000091060000}"/>
    <cellStyle name="Heading 1 2 2" xfId="1686" xr:uid="{00000000-0005-0000-0000-000092060000}"/>
    <cellStyle name="Heading 1 2 2 2" xfId="1687" xr:uid="{00000000-0005-0000-0000-000093060000}"/>
    <cellStyle name="Heading 1 2 2 2 2" xfId="1688" xr:uid="{00000000-0005-0000-0000-000094060000}"/>
    <cellStyle name="Heading 1 2 2 2 2 2" xfId="1689" xr:uid="{00000000-0005-0000-0000-000095060000}"/>
    <cellStyle name="Heading 1 2 2 2 2 3" xfId="1690" xr:uid="{00000000-0005-0000-0000-000096060000}"/>
    <cellStyle name="Heading 1 2 2 2 3" xfId="1691" xr:uid="{00000000-0005-0000-0000-000097060000}"/>
    <cellStyle name="Heading 1 2 2 2 4" xfId="1692" xr:uid="{00000000-0005-0000-0000-000098060000}"/>
    <cellStyle name="Heading 1 2 2 2 5" xfId="1693" xr:uid="{00000000-0005-0000-0000-000099060000}"/>
    <cellStyle name="Heading 1 2 2 2 6" xfId="1694" xr:uid="{00000000-0005-0000-0000-00009A060000}"/>
    <cellStyle name="Heading 1 2 2 3" xfId="1695" xr:uid="{00000000-0005-0000-0000-00009B060000}"/>
    <cellStyle name="Heading 1 2 2 4" xfId="1696" xr:uid="{00000000-0005-0000-0000-00009C060000}"/>
    <cellStyle name="Heading 1 2 2 5" xfId="1697" xr:uid="{00000000-0005-0000-0000-00009D060000}"/>
    <cellStyle name="Heading 1 2 2 6" xfId="1698" xr:uid="{00000000-0005-0000-0000-00009E060000}"/>
    <cellStyle name="Heading 1 2 3" xfId="1699" xr:uid="{00000000-0005-0000-0000-00009F060000}"/>
    <cellStyle name="Heading 1 2 4" xfId="1700" xr:uid="{00000000-0005-0000-0000-0000A0060000}"/>
    <cellStyle name="Heading 1 2 5" xfId="1701" xr:uid="{00000000-0005-0000-0000-0000A1060000}"/>
    <cellStyle name="Heading 1 2 6" xfId="1702" xr:uid="{00000000-0005-0000-0000-0000A2060000}"/>
    <cellStyle name="Heading 1 2 7" xfId="1703" xr:uid="{00000000-0005-0000-0000-0000A3060000}"/>
    <cellStyle name="Heading 1 2 8" xfId="1704" xr:uid="{00000000-0005-0000-0000-0000A4060000}"/>
    <cellStyle name="Heading 1 2 9" xfId="1705" xr:uid="{00000000-0005-0000-0000-0000A5060000}"/>
    <cellStyle name="Heading 1 20" xfId="1706" xr:uid="{00000000-0005-0000-0000-0000A6060000}"/>
    <cellStyle name="Heading 1 21" xfId="1707" xr:uid="{00000000-0005-0000-0000-0000A7060000}"/>
    <cellStyle name="Heading 1 22" xfId="1708" xr:uid="{00000000-0005-0000-0000-0000A8060000}"/>
    <cellStyle name="Heading 1 23" xfId="1709" xr:uid="{00000000-0005-0000-0000-0000A9060000}"/>
    <cellStyle name="Heading 1 24" xfId="1710" xr:uid="{00000000-0005-0000-0000-0000AA060000}"/>
    <cellStyle name="Heading 1 25" xfId="1711" xr:uid="{00000000-0005-0000-0000-0000AB060000}"/>
    <cellStyle name="Heading 1 3" xfId="1712" xr:uid="{00000000-0005-0000-0000-0000AC060000}"/>
    <cellStyle name="Heading 1 4" xfId="1713" xr:uid="{00000000-0005-0000-0000-0000AD060000}"/>
    <cellStyle name="Heading 1 5" xfId="1714" xr:uid="{00000000-0005-0000-0000-0000AE060000}"/>
    <cellStyle name="Heading 1 6" xfId="1715" xr:uid="{00000000-0005-0000-0000-0000AF060000}"/>
    <cellStyle name="Heading 1 7" xfId="1716" xr:uid="{00000000-0005-0000-0000-0000B0060000}"/>
    <cellStyle name="Heading 1 8" xfId="1717" xr:uid="{00000000-0005-0000-0000-0000B1060000}"/>
    <cellStyle name="Heading 1 9" xfId="1718" xr:uid="{00000000-0005-0000-0000-0000B2060000}"/>
    <cellStyle name="Heading 2 10" xfId="1719" xr:uid="{00000000-0005-0000-0000-0000B3060000}"/>
    <cellStyle name="Heading 2 11" xfId="1720" xr:uid="{00000000-0005-0000-0000-0000B4060000}"/>
    <cellStyle name="Heading 2 12" xfId="1721" xr:uid="{00000000-0005-0000-0000-0000B5060000}"/>
    <cellStyle name="Heading 2 13" xfId="1722" xr:uid="{00000000-0005-0000-0000-0000B6060000}"/>
    <cellStyle name="Heading 2 14" xfId="1723" xr:uid="{00000000-0005-0000-0000-0000B7060000}"/>
    <cellStyle name="Heading 2 15" xfId="1724" xr:uid="{00000000-0005-0000-0000-0000B8060000}"/>
    <cellStyle name="Heading 2 16" xfId="1725" xr:uid="{00000000-0005-0000-0000-0000B9060000}"/>
    <cellStyle name="Heading 2 17" xfId="1726" xr:uid="{00000000-0005-0000-0000-0000BA060000}"/>
    <cellStyle name="Heading 2 18" xfId="1727" xr:uid="{00000000-0005-0000-0000-0000BB060000}"/>
    <cellStyle name="Heading 2 19" xfId="1728" xr:uid="{00000000-0005-0000-0000-0000BC060000}"/>
    <cellStyle name="Heading 2 2" xfId="1729" xr:uid="{00000000-0005-0000-0000-0000BD060000}"/>
    <cellStyle name="Heading 2 2 10" xfId="1730" xr:uid="{00000000-0005-0000-0000-0000BE060000}"/>
    <cellStyle name="Heading 2 2 2" xfId="1731" xr:uid="{00000000-0005-0000-0000-0000BF060000}"/>
    <cellStyle name="Heading 2 2 2 2" xfId="1732" xr:uid="{00000000-0005-0000-0000-0000C0060000}"/>
    <cellStyle name="Heading 2 2 2 2 2" xfId="1733" xr:uid="{00000000-0005-0000-0000-0000C1060000}"/>
    <cellStyle name="Heading 2 2 2 2 2 2" xfId="1734" xr:uid="{00000000-0005-0000-0000-0000C2060000}"/>
    <cellStyle name="Heading 2 2 2 2 2 3" xfId="1735" xr:uid="{00000000-0005-0000-0000-0000C3060000}"/>
    <cellStyle name="Heading 2 2 2 2 3" xfId="1736" xr:uid="{00000000-0005-0000-0000-0000C4060000}"/>
    <cellStyle name="Heading 2 2 2 2 4" xfId="1737" xr:uid="{00000000-0005-0000-0000-0000C5060000}"/>
    <cellStyle name="Heading 2 2 2 2 5" xfId="1738" xr:uid="{00000000-0005-0000-0000-0000C6060000}"/>
    <cellStyle name="Heading 2 2 2 2 6" xfId="1739" xr:uid="{00000000-0005-0000-0000-0000C7060000}"/>
    <cellStyle name="Heading 2 2 2 3" xfId="1740" xr:uid="{00000000-0005-0000-0000-0000C8060000}"/>
    <cellStyle name="Heading 2 2 2 4" xfId="1741" xr:uid="{00000000-0005-0000-0000-0000C9060000}"/>
    <cellStyle name="Heading 2 2 2 5" xfId="1742" xr:uid="{00000000-0005-0000-0000-0000CA060000}"/>
    <cellStyle name="Heading 2 2 2 6" xfId="1743" xr:uid="{00000000-0005-0000-0000-0000CB060000}"/>
    <cellStyle name="Heading 2 2 3" xfId="1744" xr:uid="{00000000-0005-0000-0000-0000CC060000}"/>
    <cellStyle name="Heading 2 2 4" xfId="1745" xr:uid="{00000000-0005-0000-0000-0000CD060000}"/>
    <cellStyle name="Heading 2 2 5" xfId="1746" xr:uid="{00000000-0005-0000-0000-0000CE060000}"/>
    <cellStyle name="Heading 2 2 6" xfId="1747" xr:uid="{00000000-0005-0000-0000-0000CF060000}"/>
    <cellStyle name="Heading 2 2 7" xfId="1748" xr:uid="{00000000-0005-0000-0000-0000D0060000}"/>
    <cellStyle name="Heading 2 2 8" xfId="1749" xr:uid="{00000000-0005-0000-0000-0000D1060000}"/>
    <cellStyle name="Heading 2 2 9" xfId="1750" xr:uid="{00000000-0005-0000-0000-0000D2060000}"/>
    <cellStyle name="Heading 2 20" xfId="1751" xr:uid="{00000000-0005-0000-0000-0000D3060000}"/>
    <cellStyle name="Heading 2 21" xfId="1752" xr:uid="{00000000-0005-0000-0000-0000D4060000}"/>
    <cellStyle name="Heading 2 22" xfId="1753" xr:uid="{00000000-0005-0000-0000-0000D5060000}"/>
    <cellStyle name="Heading 2 23" xfId="1754" xr:uid="{00000000-0005-0000-0000-0000D6060000}"/>
    <cellStyle name="Heading 2 24" xfId="1755" xr:uid="{00000000-0005-0000-0000-0000D7060000}"/>
    <cellStyle name="Heading 2 25" xfId="1756" xr:uid="{00000000-0005-0000-0000-0000D8060000}"/>
    <cellStyle name="Heading 2 3" xfId="1757" xr:uid="{00000000-0005-0000-0000-0000D9060000}"/>
    <cellStyle name="Heading 2 4" xfId="1758" xr:uid="{00000000-0005-0000-0000-0000DA060000}"/>
    <cellStyle name="Heading 2 5" xfId="1759" xr:uid="{00000000-0005-0000-0000-0000DB060000}"/>
    <cellStyle name="Heading 2 6" xfId="1760" xr:uid="{00000000-0005-0000-0000-0000DC060000}"/>
    <cellStyle name="Heading 2 7" xfId="1761" xr:uid="{00000000-0005-0000-0000-0000DD060000}"/>
    <cellStyle name="Heading 2 8" xfId="1762" xr:uid="{00000000-0005-0000-0000-0000DE060000}"/>
    <cellStyle name="Heading 2 9" xfId="1763" xr:uid="{00000000-0005-0000-0000-0000DF060000}"/>
    <cellStyle name="Heading 3 10" xfId="1764" xr:uid="{00000000-0005-0000-0000-0000E0060000}"/>
    <cellStyle name="Heading 3 11" xfId="1765" xr:uid="{00000000-0005-0000-0000-0000E1060000}"/>
    <cellStyle name="Heading 3 12" xfId="1766" xr:uid="{00000000-0005-0000-0000-0000E2060000}"/>
    <cellStyle name="Heading 3 13" xfId="1767" xr:uid="{00000000-0005-0000-0000-0000E3060000}"/>
    <cellStyle name="Heading 3 14" xfId="1768" xr:uid="{00000000-0005-0000-0000-0000E4060000}"/>
    <cellStyle name="Heading 3 15" xfId="1769" xr:uid="{00000000-0005-0000-0000-0000E5060000}"/>
    <cellStyle name="Heading 3 16" xfId="1770" xr:uid="{00000000-0005-0000-0000-0000E6060000}"/>
    <cellStyle name="Heading 3 17" xfId="1771" xr:uid="{00000000-0005-0000-0000-0000E7060000}"/>
    <cellStyle name="Heading 3 18" xfId="1772" xr:uid="{00000000-0005-0000-0000-0000E8060000}"/>
    <cellStyle name="Heading 3 19" xfId="1773" xr:uid="{00000000-0005-0000-0000-0000E9060000}"/>
    <cellStyle name="Heading 3 2" xfId="1774" xr:uid="{00000000-0005-0000-0000-0000EA060000}"/>
    <cellStyle name="Heading 3 2 10" xfId="1775" xr:uid="{00000000-0005-0000-0000-0000EB060000}"/>
    <cellStyle name="Heading 3 2 2" xfId="1776" xr:uid="{00000000-0005-0000-0000-0000EC060000}"/>
    <cellStyle name="Heading 3 2 2 2" xfId="1777" xr:uid="{00000000-0005-0000-0000-0000ED060000}"/>
    <cellStyle name="Heading 3 2 2 2 2" xfId="1778" xr:uid="{00000000-0005-0000-0000-0000EE060000}"/>
    <cellStyle name="Heading 3 2 2 2 2 2" xfId="1779" xr:uid="{00000000-0005-0000-0000-0000EF060000}"/>
    <cellStyle name="Heading 3 2 2 2 2 3" xfId="1780" xr:uid="{00000000-0005-0000-0000-0000F0060000}"/>
    <cellStyle name="Heading 3 2 2 2 3" xfId="1781" xr:uid="{00000000-0005-0000-0000-0000F1060000}"/>
    <cellStyle name="Heading 3 2 2 2 4" xfId="1782" xr:uid="{00000000-0005-0000-0000-0000F2060000}"/>
    <cellStyle name="Heading 3 2 2 2 5" xfId="1783" xr:uid="{00000000-0005-0000-0000-0000F3060000}"/>
    <cellStyle name="Heading 3 2 2 2 6" xfId="1784" xr:uid="{00000000-0005-0000-0000-0000F4060000}"/>
    <cellStyle name="Heading 3 2 2 3" xfId="1785" xr:uid="{00000000-0005-0000-0000-0000F5060000}"/>
    <cellStyle name="Heading 3 2 2 4" xfId="1786" xr:uid="{00000000-0005-0000-0000-0000F6060000}"/>
    <cellStyle name="Heading 3 2 2 5" xfId="1787" xr:uid="{00000000-0005-0000-0000-0000F7060000}"/>
    <cellStyle name="Heading 3 2 2 6" xfId="1788" xr:uid="{00000000-0005-0000-0000-0000F8060000}"/>
    <cellStyle name="Heading 3 2 3" xfId="1789" xr:uid="{00000000-0005-0000-0000-0000F9060000}"/>
    <cellStyle name="Heading 3 2 4" xfId="1790" xr:uid="{00000000-0005-0000-0000-0000FA060000}"/>
    <cellStyle name="Heading 3 2 5" xfId="1791" xr:uid="{00000000-0005-0000-0000-0000FB060000}"/>
    <cellStyle name="Heading 3 2 6" xfId="1792" xr:uid="{00000000-0005-0000-0000-0000FC060000}"/>
    <cellStyle name="Heading 3 2 7" xfId="1793" xr:uid="{00000000-0005-0000-0000-0000FD060000}"/>
    <cellStyle name="Heading 3 2 8" xfId="1794" xr:uid="{00000000-0005-0000-0000-0000FE060000}"/>
    <cellStyle name="Heading 3 2 9" xfId="1795" xr:uid="{00000000-0005-0000-0000-0000FF060000}"/>
    <cellStyle name="Heading 3 20" xfId="1796" xr:uid="{00000000-0005-0000-0000-000000070000}"/>
    <cellStyle name="Heading 3 21" xfId="1797" xr:uid="{00000000-0005-0000-0000-000001070000}"/>
    <cellStyle name="Heading 3 22" xfId="1798" xr:uid="{00000000-0005-0000-0000-000002070000}"/>
    <cellStyle name="Heading 3 23" xfId="1799" xr:uid="{00000000-0005-0000-0000-000003070000}"/>
    <cellStyle name="Heading 3 3" xfId="1800" xr:uid="{00000000-0005-0000-0000-000004070000}"/>
    <cellStyle name="Heading 3 4" xfId="1801" xr:uid="{00000000-0005-0000-0000-000005070000}"/>
    <cellStyle name="Heading 3 5" xfId="1802" xr:uid="{00000000-0005-0000-0000-000006070000}"/>
    <cellStyle name="Heading 3 6" xfId="1803" xr:uid="{00000000-0005-0000-0000-000007070000}"/>
    <cellStyle name="Heading 3 7" xfId="1804" xr:uid="{00000000-0005-0000-0000-000008070000}"/>
    <cellStyle name="Heading 3 8" xfId="1805" xr:uid="{00000000-0005-0000-0000-000009070000}"/>
    <cellStyle name="Heading 3 9" xfId="1806" xr:uid="{00000000-0005-0000-0000-00000A070000}"/>
    <cellStyle name="Heading 4 10" xfId="1807" xr:uid="{00000000-0005-0000-0000-00000B070000}"/>
    <cellStyle name="Heading 4 11" xfId="1808" xr:uid="{00000000-0005-0000-0000-00000C070000}"/>
    <cellStyle name="Heading 4 12" xfId="1809" xr:uid="{00000000-0005-0000-0000-00000D070000}"/>
    <cellStyle name="Heading 4 13" xfId="1810" xr:uid="{00000000-0005-0000-0000-00000E070000}"/>
    <cellStyle name="Heading 4 14" xfId="1811" xr:uid="{00000000-0005-0000-0000-00000F070000}"/>
    <cellStyle name="Heading 4 15" xfId="1812" xr:uid="{00000000-0005-0000-0000-000010070000}"/>
    <cellStyle name="Heading 4 16" xfId="1813" xr:uid="{00000000-0005-0000-0000-000011070000}"/>
    <cellStyle name="Heading 4 17" xfId="1814" xr:uid="{00000000-0005-0000-0000-000012070000}"/>
    <cellStyle name="Heading 4 18" xfId="1815" xr:uid="{00000000-0005-0000-0000-000013070000}"/>
    <cellStyle name="Heading 4 19" xfId="1816" xr:uid="{00000000-0005-0000-0000-000014070000}"/>
    <cellStyle name="Heading 4 2" xfId="1817" xr:uid="{00000000-0005-0000-0000-000015070000}"/>
    <cellStyle name="Heading 4 2 10" xfId="1818" xr:uid="{00000000-0005-0000-0000-000016070000}"/>
    <cellStyle name="Heading 4 2 2" xfId="1819" xr:uid="{00000000-0005-0000-0000-000017070000}"/>
    <cellStyle name="Heading 4 2 2 2" xfId="1820" xr:uid="{00000000-0005-0000-0000-000018070000}"/>
    <cellStyle name="Heading 4 2 2 2 2" xfId="1821" xr:uid="{00000000-0005-0000-0000-000019070000}"/>
    <cellStyle name="Heading 4 2 2 2 2 2" xfId="1822" xr:uid="{00000000-0005-0000-0000-00001A070000}"/>
    <cellStyle name="Heading 4 2 2 2 2 3" xfId="1823" xr:uid="{00000000-0005-0000-0000-00001B070000}"/>
    <cellStyle name="Heading 4 2 2 2 3" xfId="1824" xr:uid="{00000000-0005-0000-0000-00001C070000}"/>
    <cellStyle name="Heading 4 2 2 2 4" xfId="1825" xr:uid="{00000000-0005-0000-0000-00001D070000}"/>
    <cellStyle name="Heading 4 2 2 2 5" xfId="1826" xr:uid="{00000000-0005-0000-0000-00001E070000}"/>
    <cellStyle name="Heading 4 2 2 2 6" xfId="1827" xr:uid="{00000000-0005-0000-0000-00001F070000}"/>
    <cellStyle name="Heading 4 2 2 3" xfId="1828" xr:uid="{00000000-0005-0000-0000-000020070000}"/>
    <cellStyle name="Heading 4 2 2 4" xfId="1829" xr:uid="{00000000-0005-0000-0000-000021070000}"/>
    <cellStyle name="Heading 4 2 2 5" xfId="1830" xr:uid="{00000000-0005-0000-0000-000022070000}"/>
    <cellStyle name="Heading 4 2 2 6" xfId="1831" xr:uid="{00000000-0005-0000-0000-000023070000}"/>
    <cellStyle name="Heading 4 2 3" xfId="1832" xr:uid="{00000000-0005-0000-0000-000024070000}"/>
    <cellStyle name="Heading 4 2 4" xfId="1833" xr:uid="{00000000-0005-0000-0000-000025070000}"/>
    <cellStyle name="Heading 4 2 5" xfId="1834" xr:uid="{00000000-0005-0000-0000-000026070000}"/>
    <cellStyle name="Heading 4 2 6" xfId="1835" xr:uid="{00000000-0005-0000-0000-000027070000}"/>
    <cellStyle name="Heading 4 2 7" xfId="1836" xr:uid="{00000000-0005-0000-0000-000028070000}"/>
    <cellStyle name="Heading 4 2 8" xfId="1837" xr:uid="{00000000-0005-0000-0000-000029070000}"/>
    <cellStyle name="Heading 4 2 9" xfId="1838" xr:uid="{00000000-0005-0000-0000-00002A070000}"/>
    <cellStyle name="Heading 4 20" xfId="1839" xr:uid="{00000000-0005-0000-0000-00002B070000}"/>
    <cellStyle name="Heading 4 21" xfId="1840" xr:uid="{00000000-0005-0000-0000-00002C070000}"/>
    <cellStyle name="Heading 4 22" xfId="1841" xr:uid="{00000000-0005-0000-0000-00002D070000}"/>
    <cellStyle name="Heading 4 23" xfId="1842" xr:uid="{00000000-0005-0000-0000-00002E070000}"/>
    <cellStyle name="Heading 4 3" xfId="1843" xr:uid="{00000000-0005-0000-0000-00002F070000}"/>
    <cellStyle name="Heading 4 4" xfId="1844" xr:uid="{00000000-0005-0000-0000-000030070000}"/>
    <cellStyle name="Heading 4 5" xfId="1845" xr:uid="{00000000-0005-0000-0000-000031070000}"/>
    <cellStyle name="Heading 4 6" xfId="1846" xr:uid="{00000000-0005-0000-0000-000032070000}"/>
    <cellStyle name="Heading 4 7" xfId="1847" xr:uid="{00000000-0005-0000-0000-000033070000}"/>
    <cellStyle name="Heading 4 8" xfId="1848" xr:uid="{00000000-0005-0000-0000-000034070000}"/>
    <cellStyle name="Heading 4 9" xfId="1849" xr:uid="{00000000-0005-0000-0000-000035070000}"/>
    <cellStyle name="Input 10" xfId="1850" xr:uid="{00000000-0005-0000-0000-000036070000}"/>
    <cellStyle name="Input 11" xfId="1851" xr:uid="{00000000-0005-0000-0000-000037070000}"/>
    <cellStyle name="Input 12" xfId="1852" xr:uid="{00000000-0005-0000-0000-000038070000}"/>
    <cellStyle name="Input 13" xfId="1853" xr:uid="{00000000-0005-0000-0000-000039070000}"/>
    <cellStyle name="Input 14" xfId="1854" xr:uid="{00000000-0005-0000-0000-00003A070000}"/>
    <cellStyle name="Input 15" xfId="1855" xr:uid="{00000000-0005-0000-0000-00003B070000}"/>
    <cellStyle name="Input 16" xfId="1856" xr:uid="{00000000-0005-0000-0000-00003C070000}"/>
    <cellStyle name="Input 17" xfId="1857" xr:uid="{00000000-0005-0000-0000-00003D070000}"/>
    <cellStyle name="Input 18" xfId="1858" xr:uid="{00000000-0005-0000-0000-00003E070000}"/>
    <cellStyle name="Input 19" xfId="1859" xr:uid="{00000000-0005-0000-0000-00003F070000}"/>
    <cellStyle name="Input 2" xfId="1860" xr:uid="{00000000-0005-0000-0000-000040070000}"/>
    <cellStyle name="Input 2 10" xfId="1861" xr:uid="{00000000-0005-0000-0000-000041070000}"/>
    <cellStyle name="Input 2 2" xfId="1862" xr:uid="{00000000-0005-0000-0000-000042070000}"/>
    <cellStyle name="Input 2 2 2" xfId="1863" xr:uid="{00000000-0005-0000-0000-000043070000}"/>
    <cellStyle name="Input 2 2 2 2" xfId="1864" xr:uid="{00000000-0005-0000-0000-000044070000}"/>
    <cellStyle name="Input 2 2 2 2 2" xfId="1865" xr:uid="{00000000-0005-0000-0000-000045070000}"/>
    <cellStyle name="Input 2 2 2 2 3" xfId="1866" xr:uid="{00000000-0005-0000-0000-000046070000}"/>
    <cellStyle name="Input 2 2 2 3" xfId="1867" xr:uid="{00000000-0005-0000-0000-000047070000}"/>
    <cellStyle name="Input 2 2 2 4" xfId="1868" xr:uid="{00000000-0005-0000-0000-000048070000}"/>
    <cellStyle name="Input 2 2 2 5" xfId="1869" xr:uid="{00000000-0005-0000-0000-000049070000}"/>
    <cellStyle name="Input 2 2 2 6" xfId="1870" xr:uid="{00000000-0005-0000-0000-00004A070000}"/>
    <cellStyle name="Input 2 2 3" xfId="1871" xr:uid="{00000000-0005-0000-0000-00004B070000}"/>
    <cellStyle name="Input 2 2 4" xfId="1872" xr:uid="{00000000-0005-0000-0000-00004C070000}"/>
    <cellStyle name="Input 2 2 5" xfId="1873" xr:uid="{00000000-0005-0000-0000-00004D070000}"/>
    <cellStyle name="Input 2 2 6" xfId="1874" xr:uid="{00000000-0005-0000-0000-00004E070000}"/>
    <cellStyle name="Input 2 3" xfId="1875" xr:uid="{00000000-0005-0000-0000-00004F070000}"/>
    <cellStyle name="Input 2 4" xfId="1876" xr:uid="{00000000-0005-0000-0000-000050070000}"/>
    <cellStyle name="Input 2 5" xfId="1877" xr:uid="{00000000-0005-0000-0000-000051070000}"/>
    <cellStyle name="Input 2 6" xfId="1878" xr:uid="{00000000-0005-0000-0000-000052070000}"/>
    <cellStyle name="Input 2 7" xfId="1879" xr:uid="{00000000-0005-0000-0000-000053070000}"/>
    <cellStyle name="Input 2 8" xfId="1880" xr:uid="{00000000-0005-0000-0000-000054070000}"/>
    <cellStyle name="Input 2 9" xfId="1881" xr:uid="{00000000-0005-0000-0000-000055070000}"/>
    <cellStyle name="Input 20" xfId="1882" xr:uid="{00000000-0005-0000-0000-000056070000}"/>
    <cellStyle name="Input 21" xfId="1883" xr:uid="{00000000-0005-0000-0000-000057070000}"/>
    <cellStyle name="Input 22" xfId="1884" xr:uid="{00000000-0005-0000-0000-000058070000}"/>
    <cellStyle name="Input 23" xfId="1885" xr:uid="{00000000-0005-0000-0000-000059070000}"/>
    <cellStyle name="Input 3" xfId="1886" xr:uid="{00000000-0005-0000-0000-00005A070000}"/>
    <cellStyle name="Input 4" xfId="1887" xr:uid="{00000000-0005-0000-0000-00005B070000}"/>
    <cellStyle name="Input 5" xfId="1888" xr:uid="{00000000-0005-0000-0000-00005C070000}"/>
    <cellStyle name="Input 6" xfId="1889" xr:uid="{00000000-0005-0000-0000-00005D070000}"/>
    <cellStyle name="Input 7" xfId="1890" xr:uid="{00000000-0005-0000-0000-00005E070000}"/>
    <cellStyle name="Input 8" xfId="1891" xr:uid="{00000000-0005-0000-0000-00005F070000}"/>
    <cellStyle name="Input 9" xfId="1892" xr:uid="{00000000-0005-0000-0000-000060070000}"/>
    <cellStyle name="LineItemPrompt" xfId="1893" xr:uid="{00000000-0005-0000-0000-000061070000}"/>
    <cellStyle name="LineItemValue" xfId="1894" xr:uid="{00000000-0005-0000-0000-000062070000}"/>
    <cellStyle name="Linked Cell 10" xfId="1895" xr:uid="{00000000-0005-0000-0000-000063070000}"/>
    <cellStyle name="Linked Cell 11" xfId="1896" xr:uid="{00000000-0005-0000-0000-000064070000}"/>
    <cellStyle name="Linked Cell 12" xfId="1897" xr:uid="{00000000-0005-0000-0000-000065070000}"/>
    <cellStyle name="Linked Cell 13" xfId="1898" xr:uid="{00000000-0005-0000-0000-000066070000}"/>
    <cellStyle name="Linked Cell 14" xfId="1899" xr:uid="{00000000-0005-0000-0000-000067070000}"/>
    <cellStyle name="Linked Cell 15" xfId="1900" xr:uid="{00000000-0005-0000-0000-000068070000}"/>
    <cellStyle name="Linked Cell 16" xfId="1901" xr:uid="{00000000-0005-0000-0000-000069070000}"/>
    <cellStyle name="Linked Cell 17" xfId="1902" xr:uid="{00000000-0005-0000-0000-00006A070000}"/>
    <cellStyle name="Linked Cell 18" xfId="1903" xr:uid="{00000000-0005-0000-0000-00006B070000}"/>
    <cellStyle name="Linked Cell 19" xfId="1904" xr:uid="{00000000-0005-0000-0000-00006C070000}"/>
    <cellStyle name="Linked Cell 2" xfId="1905" xr:uid="{00000000-0005-0000-0000-00006D070000}"/>
    <cellStyle name="Linked Cell 2 10" xfId="1906" xr:uid="{00000000-0005-0000-0000-00006E070000}"/>
    <cellStyle name="Linked Cell 2 2" xfId="1907" xr:uid="{00000000-0005-0000-0000-00006F070000}"/>
    <cellStyle name="Linked Cell 2 2 2" xfId="1908" xr:uid="{00000000-0005-0000-0000-000070070000}"/>
    <cellStyle name="Linked Cell 2 2 2 2" xfId="1909" xr:uid="{00000000-0005-0000-0000-000071070000}"/>
    <cellStyle name="Linked Cell 2 2 2 2 2" xfId="1910" xr:uid="{00000000-0005-0000-0000-000072070000}"/>
    <cellStyle name="Linked Cell 2 2 2 2 3" xfId="1911" xr:uid="{00000000-0005-0000-0000-000073070000}"/>
    <cellStyle name="Linked Cell 2 2 2 3" xfId="1912" xr:uid="{00000000-0005-0000-0000-000074070000}"/>
    <cellStyle name="Linked Cell 2 2 2 4" xfId="1913" xr:uid="{00000000-0005-0000-0000-000075070000}"/>
    <cellStyle name="Linked Cell 2 2 2 5" xfId="1914" xr:uid="{00000000-0005-0000-0000-000076070000}"/>
    <cellStyle name="Linked Cell 2 2 2 6" xfId="1915" xr:uid="{00000000-0005-0000-0000-000077070000}"/>
    <cellStyle name="Linked Cell 2 2 3" xfId="1916" xr:uid="{00000000-0005-0000-0000-000078070000}"/>
    <cellStyle name="Linked Cell 2 2 4" xfId="1917" xr:uid="{00000000-0005-0000-0000-000079070000}"/>
    <cellStyle name="Linked Cell 2 2 5" xfId="1918" xr:uid="{00000000-0005-0000-0000-00007A070000}"/>
    <cellStyle name="Linked Cell 2 2 6" xfId="1919" xr:uid="{00000000-0005-0000-0000-00007B070000}"/>
    <cellStyle name="Linked Cell 2 3" xfId="1920" xr:uid="{00000000-0005-0000-0000-00007C070000}"/>
    <cellStyle name="Linked Cell 2 4" xfId="1921" xr:uid="{00000000-0005-0000-0000-00007D070000}"/>
    <cellStyle name="Linked Cell 2 5" xfId="1922" xr:uid="{00000000-0005-0000-0000-00007E070000}"/>
    <cellStyle name="Linked Cell 2 6" xfId="1923" xr:uid="{00000000-0005-0000-0000-00007F070000}"/>
    <cellStyle name="Linked Cell 2 7" xfId="1924" xr:uid="{00000000-0005-0000-0000-000080070000}"/>
    <cellStyle name="Linked Cell 2 8" xfId="1925" xr:uid="{00000000-0005-0000-0000-000081070000}"/>
    <cellStyle name="Linked Cell 2 9" xfId="1926" xr:uid="{00000000-0005-0000-0000-000082070000}"/>
    <cellStyle name="Linked Cell 20" xfId="1927" xr:uid="{00000000-0005-0000-0000-000083070000}"/>
    <cellStyle name="Linked Cell 21" xfId="1928" xr:uid="{00000000-0005-0000-0000-000084070000}"/>
    <cellStyle name="Linked Cell 22" xfId="1929" xr:uid="{00000000-0005-0000-0000-000085070000}"/>
    <cellStyle name="Linked Cell 23" xfId="1930" xr:uid="{00000000-0005-0000-0000-000086070000}"/>
    <cellStyle name="Linked Cell 3" xfId="1931" xr:uid="{00000000-0005-0000-0000-000087070000}"/>
    <cellStyle name="Linked Cell 4" xfId="1932" xr:uid="{00000000-0005-0000-0000-000088070000}"/>
    <cellStyle name="Linked Cell 5" xfId="1933" xr:uid="{00000000-0005-0000-0000-000089070000}"/>
    <cellStyle name="Linked Cell 6" xfId="1934" xr:uid="{00000000-0005-0000-0000-00008A070000}"/>
    <cellStyle name="Linked Cell 7" xfId="1935" xr:uid="{00000000-0005-0000-0000-00008B070000}"/>
    <cellStyle name="Linked Cell 8" xfId="1936" xr:uid="{00000000-0005-0000-0000-00008C070000}"/>
    <cellStyle name="Linked Cell 9" xfId="1937" xr:uid="{00000000-0005-0000-0000-00008D070000}"/>
    <cellStyle name="Neutral 10" xfId="1938" xr:uid="{00000000-0005-0000-0000-00008E070000}"/>
    <cellStyle name="Neutral 11" xfId="1939" xr:uid="{00000000-0005-0000-0000-00008F070000}"/>
    <cellStyle name="Neutral 12" xfId="1940" xr:uid="{00000000-0005-0000-0000-000090070000}"/>
    <cellStyle name="Neutral 13" xfId="1941" xr:uid="{00000000-0005-0000-0000-000091070000}"/>
    <cellStyle name="Neutral 14" xfId="1942" xr:uid="{00000000-0005-0000-0000-000092070000}"/>
    <cellStyle name="Neutral 15" xfId="1943" xr:uid="{00000000-0005-0000-0000-000093070000}"/>
    <cellStyle name="Neutral 16" xfId="1944" xr:uid="{00000000-0005-0000-0000-000094070000}"/>
    <cellStyle name="Neutral 17" xfId="1945" xr:uid="{00000000-0005-0000-0000-000095070000}"/>
    <cellStyle name="Neutral 18" xfId="1946" xr:uid="{00000000-0005-0000-0000-000096070000}"/>
    <cellStyle name="Neutral 19" xfId="1947" xr:uid="{00000000-0005-0000-0000-000097070000}"/>
    <cellStyle name="Neutral 2" xfId="1948" xr:uid="{00000000-0005-0000-0000-000098070000}"/>
    <cellStyle name="Neutral 2 10" xfId="1949" xr:uid="{00000000-0005-0000-0000-000099070000}"/>
    <cellStyle name="Neutral 2 2" xfId="1950" xr:uid="{00000000-0005-0000-0000-00009A070000}"/>
    <cellStyle name="Neutral 2 2 2" xfId="1951" xr:uid="{00000000-0005-0000-0000-00009B070000}"/>
    <cellStyle name="Neutral 2 2 2 2" xfId="1952" xr:uid="{00000000-0005-0000-0000-00009C070000}"/>
    <cellStyle name="Neutral 2 2 2 2 2" xfId="1953" xr:uid="{00000000-0005-0000-0000-00009D070000}"/>
    <cellStyle name="Neutral 2 2 2 2 3" xfId="1954" xr:uid="{00000000-0005-0000-0000-00009E070000}"/>
    <cellStyle name="Neutral 2 2 2 3" xfId="1955" xr:uid="{00000000-0005-0000-0000-00009F070000}"/>
    <cellStyle name="Neutral 2 2 2 4" xfId="1956" xr:uid="{00000000-0005-0000-0000-0000A0070000}"/>
    <cellStyle name="Neutral 2 2 2 5" xfId="1957" xr:uid="{00000000-0005-0000-0000-0000A1070000}"/>
    <cellStyle name="Neutral 2 2 2 6" xfId="1958" xr:uid="{00000000-0005-0000-0000-0000A2070000}"/>
    <cellStyle name="Neutral 2 2 3" xfId="1959" xr:uid="{00000000-0005-0000-0000-0000A3070000}"/>
    <cellStyle name="Neutral 2 2 4" xfId="1960" xr:uid="{00000000-0005-0000-0000-0000A4070000}"/>
    <cellStyle name="Neutral 2 2 5" xfId="1961" xr:uid="{00000000-0005-0000-0000-0000A5070000}"/>
    <cellStyle name="Neutral 2 2 6" xfId="1962" xr:uid="{00000000-0005-0000-0000-0000A6070000}"/>
    <cellStyle name="Neutral 2 3" xfId="1963" xr:uid="{00000000-0005-0000-0000-0000A7070000}"/>
    <cellStyle name="Neutral 2 4" xfId="1964" xr:uid="{00000000-0005-0000-0000-0000A8070000}"/>
    <cellStyle name="Neutral 2 5" xfId="1965" xr:uid="{00000000-0005-0000-0000-0000A9070000}"/>
    <cellStyle name="Neutral 2 6" xfId="1966" xr:uid="{00000000-0005-0000-0000-0000AA070000}"/>
    <cellStyle name="Neutral 2 7" xfId="1967" xr:uid="{00000000-0005-0000-0000-0000AB070000}"/>
    <cellStyle name="Neutral 2 8" xfId="1968" xr:uid="{00000000-0005-0000-0000-0000AC070000}"/>
    <cellStyle name="Neutral 2 9" xfId="1969" xr:uid="{00000000-0005-0000-0000-0000AD070000}"/>
    <cellStyle name="Neutral 20" xfId="1970" xr:uid="{00000000-0005-0000-0000-0000AE070000}"/>
    <cellStyle name="Neutral 21" xfId="1971" xr:uid="{00000000-0005-0000-0000-0000AF070000}"/>
    <cellStyle name="Neutral 22" xfId="1972" xr:uid="{00000000-0005-0000-0000-0000B0070000}"/>
    <cellStyle name="Neutral 23" xfId="1973" xr:uid="{00000000-0005-0000-0000-0000B1070000}"/>
    <cellStyle name="Neutral 3" xfId="1974" xr:uid="{00000000-0005-0000-0000-0000B2070000}"/>
    <cellStyle name="Neutral 4" xfId="1975" xr:uid="{00000000-0005-0000-0000-0000B3070000}"/>
    <cellStyle name="Neutral 5" xfId="1976" xr:uid="{00000000-0005-0000-0000-0000B4070000}"/>
    <cellStyle name="Neutral 6" xfId="1977" xr:uid="{00000000-0005-0000-0000-0000B5070000}"/>
    <cellStyle name="Neutral 7" xfId="1978" xr:uid="{00000000-0005-0000-0000-0000B6070000}"/>
    <cellStyle name="Neutral 8" xfId="1979" xr:uid="{00000000-0005-0000-0000-0000B7070000}"/>
    <cellStyle name="Neutral 9" xfId="1980" xr:uid="{00000000-0005-0000-0000-0000B8070000}"/>
    <cellStyle name="Normal" xfId="0" builtinId="0"/>
    <cellStyle name="Normal 10" xfId="1981" xr:uid="{00000000-0005-0000-0000-0000BA070000}"/>
    <cellStyle name="Normal 11" xfId="1982" xr:uid="{00000000-0005-0000-0000-0000BB070000}"/>
    <cellStyle name="Normal 11 2" xfId="1983" xr:uid="{00000000-0005-0000-0000-0000BC070000}"/>
    <cellStyle name="Normal 11 3" xfId="1984" xr:uid="{00000000-0005-0000-0000-0000BD070000}"/>
    <cellStyle name="Normal 11 4" xfId="1985" xr:uid="{00000000-0005-0000-0000-0000BE070000}"/>
    <cellStyle name="Normal 11 5" xfId="1986" xr:uid="{00000000-0005-0000-0000-0000BF070000}"/>
    <cellStyle name="Normal 12" xfId="1987" xr:uid="{00000000-0005-0000-0000-0000C0070000}"/>
    <cellStyle name="Normal 12 2" xfId="2389" xr:uid="{00000000-0005-0000-0000-0000C1070000}"/>
    <cellStyle name="Normal 13" xfId="1988" xr:uid="{00000000-0005-0000-0000-0000C2070000}"/>
    <cellStyle name="Normal 13 2" xfId="1989" xr:uid="{00000000-0005-0000-0000-0000C3070000}"/>
    <cellStyle name="Normal 13 3" xfId="1990" xr:uid="{00000000-0005-0000-0000-0000C4070000}"/>
    <cellStyle name="Normal 13 4" xfId="1991" xr:uid="{00000000-0005-0000-0000-0000C5070000}"/>
    <cellStyle name="Normal 13 5" xfId="1992" xr:uid="{00000000-0005-0000-0000-0000C6070000}"/>
    <cellStyle name="Normal 14" xfId="1993" xr:uid="{00000000-0005-0000-0000-0000C7070000}"/>
    <cellStyle name="Normal 15" xfId="1994" xr:uid="{00000000-0005-0000-0000-0000C8070000}"/>
    <cellStyle name="Normal 16" xfId="1995" xr:uid="{00000000-0005-0000-0000-0000C9070000}"/>
    <cellStyle name="Normal 17" xfId="1996" xr:uid="{00000000-0005-0000-0000-0000CA070000}"/>
    <cellStyle name="Normal 18" xfId="1997" xr:uid="{00000000-0005-0000-0000-0000CB070000}"/>
    <cellStyle name="Normal 19" xfId="1998" xr:uid="{00000000-0005-0000-0000-0000CC070000}"/>
    <cellStyle name="Normal 2" xfId="6" xr:uid="{00000000-0005-0000-0000-0000CD070000}"/>
    <cellStyle name="Normal 2 10" xfId="1999" xr:uid="{00000000-0005-0000-0000-0000CE070000}"/>
    <cellStyle name="Normal 2 11" xfId="2000" xr:uid="{00000000-0005-0000-0000-0000CF070000}"/>
    <cellStyle name="Normal 2 12" xfId="2001" xr:uid="{00000000-0005-0000-0000-0000D0070000}"/>
    <cellStyle name="Normal 2 13" xfId="2002" xr:uid="{00000000-0005-0000-0000-0000D1070000}"/>
    <cellStyle name="Normal 2 14" xfId="2003" xr:uid="{00000000-0005-0000-0000-0000D2070000}"/>
    <cellStyle name="Normal 2 15" xfId="2004" xr:uid="{00000000-0005-0000-0000-0000D3070000}"/>
    <cellStyle name="Normal 2 16" xfId="2005" xr:uid="{00000000-0005-0000-0000-0000D4070000}"/>
    <cellStyle name="Normal 2 17" xfId="2006" xr:uid="{00000000-0005-0000-0000-0000D5070000}"/>
    <cellStyle name="Normal 2 18" xfId="2007" xr:uid="{00000000-0005-0000-0000-0000D6070000}"/>
    <cellStyle name="Normal 2 19" xfId="2008" xr:uid="{00000000-0005-0000-0000-0000D7070000}"/>
    <cellStyle name="Normal 2 19 2" xfId="2009" xr:uid="{00000000-0005-0000-0000-0000D8070000}"/>
    <cellStyle name="Normal 2 19 3" xfId="2010" xr:uid="{00000000-0005-0000-0000-0000D9070000}"/>
    <cellStyle name="Normal 2 19 4" xfId="2011" xr:uid="{00000000-0005-0000-0000-0000DA070000}"/>
    <cellStyle name="Normal 2 19 5" xfId="2012" xr:uid="{00000000-0005-0000-0000-0000DB070000}"/>
    <cellStyle name="Normal 2 2" xfId="9" xr:uid="{00000000-0005-0000-0000-0000DC070000}"/>
    <cellStyle name="Normal 2 2 2" xfId="2013" xr:uid="{00000000-0005-0000-0000-0000DD070000}"/>
    <cellStyle name="Normal 2 2 2 2" xfId="2014" xr:uid="{00000000-0005-0000-0000-0000DE070000}"/>
    <cellStyle name="Normal 2 2 2 3" xfId="2015" xr:uid="{00000000-0005-0000-0000-0000DF070000}"/>
    <cellStyle name="Normal 2 2 2 4" xfId="2394" xr:uid="{00000000-0005-0000-0000-0000E0070000}"/>
    <cellStyle name="Normal 2 2 3" xfId="2016" xr:uid="{00000000-0005-0000-0000-0000E1070000}"/>
    <cellStyle name="Normal 2 2 4" xfId="2398" xr:uid="{ACFC608E-534E-4AA0-8E75-F4A79400E981}"/>
    <cellStyle name="Normal 2 20" xfId="2017" xr:uid="{00000000-0005-0000-0000-0000E2070000}"/>
    <cellStyle name="Normal 2 21" xfId="2018" xr:uid="{00000000-0005-0000-0000-0000E3070000}"/>
    <cellStyle name="Normal 2 22" xfId="2019" xr:uid="{00000000-0005-0000-0000-0000E4070000}"/>
    <cellStyle name="Normal 2 23" xfId="2020" xr:uid="{00000000-0005-0000-0000-0000E5070000}"/>
    <cellStyle name="Normal 2 24" xfId="2021" xr:uid="{00000000-0005-0000-0000-0000E6070000}"/>
    <cellStyle name="Normal 2 25" xfId="2022" xr:uid="{00000000-0005-0000-0000-0000E7070000}"/>
    <cellStyle name="Normal 2 26" xfId="2023" xr:uid="{00000000-0005-0000-0000-0000E8070000}"/>
    <cellStyle name="Normal 2 27" xfId="2393" xr:uid="{00000000-0005-0000-0000-0000E9070000}"/>
    <cellStyle name="Normal 2 28" xfId="2397" xr:uid="{271C0249-4C23-4942-B3A7-40F06ABCD4E6}"/>
    <cellStyle name="Normal 2 3" xfId="2024" xr:uid="{00000000-0005-0000-0000-0000EA070000}"/>
    <cellStyle name="Normal 2 4" xfId="2025" xr:uid="{00000000-0005-0000-0000-0000EB070000}"/>
    <cellStyle name="Normal 2 4 2" xfId="2390" xr:uid="{00000000-0005-0000-0000-0000EC070000}"/>
    <cellStyle name="Normal 2 5" xfId="2026" xr:uid="{00000000-0005-0000-0000-0000ED070000}"/>
    <cellStyle name="Normal 2 6" xfId="2027" xr:uid="{00000000-0005-0000-0000-0000EE070000}"/>
    <cellStyle name="Normal 2 7" xfId="2028" xr:uid="{00000000-0005-0000-0000-0000EF070000}"/>
    <cellStyle name="Normal 2 8" xfId="2029" xr:uid="{00000000-0005-0000-0000-0000F0070000}"/>
    <cellStyle name="Normal 2 9" xfId="2030" xr:uid="{00000000-0005-0000-0000-0000F1070000}"/>
    <cellStyle name="Normal 20" xfId="2031" xr:uid="{00000000-0005-0000-0000-0000F2070000}"/>
    <cellStyle name="Normal 20 2" xfId="2032" xr:uid="{00000000-0005-0000-0000-0000F3070000}"/>
    <cellStyle name="Normal 20 3" xfId="2033" xr:uid="{00000000-0005-0000-0000-0000F4070000}"/>
    <cellStyle name="Normal 20 4" xfId="2034" xr:uid="{00000000-0005-0000-0000-0000F5070000}"/>
    <cellStyle name="Normal 20 5" xfId="2035" xr:uid="{00000000-0005-0000-0000-0000F6070000}"/>
    <cellStyle name="Normal 21" xfId="2036" xr:uid="{00000000-0005-0000-0000-0000F7070000}"/>
    <cellStyle name="Normal 22" xfId="2037" xr:uid="{00000000-0005-0000-0000-0000F8070000}"/>
    <cellStyle name="Normal 23" xfId="2038" xr:uid="{00000000-0005-0000-0000-0000F9070000}"/>
    <cellStyle name="Normal 24" xfId="2039" xr:uid="{00000000-0005-0000-0000-0000FA070000}"/>
    <cellStyle name="Normal 25" xfId="2040" xr:uid="{00000000-0005-0000-0000-0000FB070000}"/>
    <cellStyle name="Normal 26" xfId="2041" xr:uid="{00000000-0005-0000-0000-0000FC070000}"/>
    <cellStyle name="Normal 27" xfId="2042" xr:uid="{00000000-0005-0000-0000-0000FD070000}"/>
    <cellStyle name="Normal 28" xfId="2043" xr:uid="{00000000-0005-0000-0000-0000FE070000}"/>
    <cellStyle name="Normal 29" xfId="2044" xr:uid="{00000000-0005-0000-0000-0000FF070000}"/>
    <cellStyle name="Normal 3" xfId="4" xr:uid="{00000000-0005-0000-0000-000000080000}"/>
    <cellStyle name="Normal 3 10" xfId="2045" xr:uid="{00000000-0005-0000-0000-000001080000}"/>
    <cellStyle name="Normal 3 11" xfId="2046" xr:uid="{00000000-0005-0000-0000-000002080000}"/>
    <cellStyle name="Normal 3 12" xfId="2047" xr:uid="{00000000-0005-0000-0000-000003080000}"/>
    <cellStyle name="Normal 3 13" xfId="2048" xr:uid="{00000000-0005-0000-0000-000004080000}"/>
    <cellStyle name="Normal 3 14" xfId="2049" xr:uid="{00000000-0005-0000-0000-000005080000}"/>
    <cellStyle name="Normal 3 15" xfId="2050" xr:uid="{00000000-0005-0000-0000-000006080000}"/>
    <cellStyle name="Normal 3 16" xfId="2051" xr:uid="{00000000-0005-0000-0000-000007080000}"/>
    <cellStyle name="Normal 3 17" xfId="2052" xr:uid="{00000000-0005-0000-0000-000008080000}"/>
    <cellStyle name="Normal 3 18" xfId="2053" xr:uid="{00000000-0005-0000-0000-000009080000}"/>
    <cellStyle name="Normal 3 2" xfId="2054" xr:uid="{00000000-0005-0000-0000-00000A080000}"/>
    <cellStyle name="Normal 3 3" xfId="2055" xr:uid="{00000000-0005-0000-0000-00000B080000}"/>
    <cellStyle name="Normal 3 4" xfId="2056" xr:uid="{00000000-0005-0000-0000-00000C080000}"/>
    <cellStyle name="Normal 3 5" xfId="2057" xr:uid="{00000000-0005-0000-0000-00000D080000}"/>
    <cellStyle name="Normal 3 6" xfId="2058" xr:uid="{00000000-0005-0000-0000-00000E080000}"/>
    <cellStyle name="Normal 3 7" xfId="2059" xr:uid="{00000000-0005-0000-0000-00000F080000}"/>
    <cellStyle name="Normal 3 8" xfId="2060" xr:uid="{00000000-0005-0000-0000-000010080000}"/>
    <cellStyle name="Normal 3 9" xfId="2061" xr:uid="{00000000-0005-0000-0000-000011080000}"/>
    <cellStyle name="Normal 30" xfId="2062" xr:uid="{00000000-0005-0000-0000-000012080000}"/>
    <cellStyle name="Normal 31" xfId="2063" xr:uid="{00000000-0005-0000-0000-000013080000}"/>
    <cellStyle name="Normal 31 2" xfId="2064" xr:uid="{00000000-0005-0000-0000-000014080000}"/>
    <cellStyle name="Normal 31 3" xfId="2065" xr:uid="{00000000-0005-0000-0000-000015080000}"/>
    <cellStyle name="Normal 31 4" xfId="2066" xr:uid="{00000000-0005-0000-0000-000016080000}"/>
    <cellStyle name="Normal 31 5" xfId="2067" xr:uid="{00000000-0005-0000-0000-000017080000}"/>
    <cellStyle name="Normal 32" xfId="2068" xr:uid="{00000000-0005-0000-0000-000018080000}"/>
    <cellStyle name="Normal 33" xfId="2069" xr:uid="{00000000-0005-0000-0000-000019080000}"/>
    <cellStyle name="Normal 34" xfId="2070" xr:uid="{00000000-0005-0000-0000-00001A080000}"/>
    <cellStyle name="Normal 35" xfId="2071" xr:uid="{00000000-0005-0000-0000-00001B080000}"/>
    <cellStyle name="Normal 36" xfId="2383" xr:uid="{00000000-0005-0000-0000-00001C080000}"/>
    <cellStyle name="Normal 36 2" xfId="2072" xr:uid="{00000000-0005-0000-0000-00001D080000}"/>
    <cellStyle name="Normal 36 3" xfId="2073" xr:uid="{00000000-0005-0000-0000-00001E080000}"/>
    <cellStyle name="Normal 36 4" xfId="2074" xr:uid="{00000000-0005-0000-0000-00001F080000}"/>
    <cellStyle name="Normal 36 5" xfId="2075" xr:uid="{00000000-0005-0000-0000-000020080000}"/>
    <cellStyle name="Normal 37" xfId="2076" xr:uid="{00000000-0005-0000-0000-000021080000}"/>
    <cellStyle name="Normal 38" xfId="2077" xr:uid="{00000000-0005-0000-0000-000022080000}"/>
    <cellStyle name="Normal 39" xfId="2386" xr:uid="{00000000-0005-0000-0000-000023080000}"/>
    <cellStyle name="Normal 4" xfId="2078" xr:uid="{00000000-0005-0000-0000-000024080000}"/>
    <cellStyle name="Normal 40" xfId="2079" xr:uid="{00000000-0005-0000-0000-000025080000}"/>
    <cellStyle name="Normal 41" xfId="2387" xr:uid="{00000000-0005-0000-0000-000026080000}"/>
    <cellStyle name="Normal 41 2" xfId="2388" xr:uid="{00000000-0005-0000-0000-000027080000}"/>
    <cellStyle name="Normal 42" xfId="2080" xr:uid="{00000000-0005-0000-0000-000028080000}"/>
    <cellStyle name="Normal 43" xfId="2081" xr:uid="{00000000-0005-0000-0000-000029080000}"/>
    <cellStyle name="Normal 44" xfId="2395" xr:uid="{884BB825-C8A3-42D6-B08C-15430C0701FC}"/>
    <cellStyle name="Normal 45" xfId="2082" xr:uid="{00000000-0005-0000-0000-00002A080000}"/>
    <cellStyle name="Normal 46" xfId="2083" xr:uid="{00000000-0005-0000-0000-00002B080000}"/>
    <cellStyle name="Normal 47" xfId="2396" xr:uid="{1E706C08-39A4-4ACE-BA17-442BB7CE3BCA}"/>
    <cellStyle name="Normal 48" xfId="2084" xr:uid="{00000000-0005-0000-0000-00002C080000}"/>
    <cellStyle name="Normal 49" xfId="2085" xr:uid="{00000000-0005-0000-0000-00002D080000}"/>
    <cellStyle name="Normal 5" xfId="2086" xr:uid="{00000000-0005-0000-0000-00002E080000}"/>
    <cellStyle name="Normal 50" xfId="2087" xr:uid="{00000000-0005-0000-0000-00002F080000}"/>
    <cellStyle name="Normal 51" xfId="2088" xr:uid="{00000000-0005-0000-0000-000030080000}"/>
    <cellStyle name="Normal 52" xfId="2089" xr:uid="{00000000-0005-0000-0000-000031080000}"/>
    <cellStyle name="Normal 6" xfId="2090" xr:uid="{00000000-0005-0000-0000-000032080000}"/>
    <cellStyle name="Normal 7" xfId="2091" xr:uid="{00000000-0005-0000-0000-000033080000}"/>
    <cellStyle name="Normal 8" xfId="2092" xr:uid="{00000000-0005-0000-0000-000034080000}"/>
    <cellStyle name="Normal 9" xfId="2093" xr:uid="{00000000-0005-0000-0000-000035080000}"/>
    <cellStyle name="Note 10" xfId="2094" xr:uid="{00000000-0005-0000-0000-000036080000}"/>
    <cellStyle name="Note 10 2" xfId="2095" xr:uid="{00000000-0005-0000-0000-000037080000}"/>
    <cellStyle name="Note 10 3" xfId="2096" xr:uid="{00000000-0005-0000-0000-000038080000}"/>
    <cellStyle name="Note 10 4" xfId="2097" xr:uid="{00000000-0005-0000-0000-000039080000}"/>
    <cellStyle name="Note 10 5" xfId="2098" xr:uid="{00000000-0005-0000-0000-00003A080000}"/>
    <cellStyle name="Note 11" xfId="2099" xr:uid="{00000000-0005-0000-0000-00003B080000}"/>
    <cellStyle name="Note 11 2" xfId="2100" xr:uid="{00000000-0005-0000-0000-00003C080000}"/>
    <cellStyle name="Note 11 3" xfId="2101" xr:uid="{00000000-0005-0000-0000-00003D080000}"/>
    <cellStyle name="Note 11 4" xfId="2102" xr:uid="{00000000-0005-0000-0000-00003E080000}"/>
    <cellStyle name="Note 11 5" xfId="2103" xr:uid="{00000000-0005-0000-0000-00003F080000}"/>
    <cellStyle name="Note 12" xfId="2104" xr:uid="{00000000-0005-0000-0000-000040080000}"/>
    <cellStyle name="Note 13" xfId="2105" xr:uid="{00000000-0005-0000-0000-000041080000}"/>
    <cellStyle name="Note 14" xfId="2106" xr:uid="{00000000-0005-0000-0000-000042080000}"/>
    <cellStyle name="Note 15" xfId="2107" xr:uid="{00000000-0005-0000-0000-000043080000}"/>
    <cellStyle name="Note 15 2" xfId="2108" xr:uid="{00000000-0005-0000-0000-000044080000}"/>
    <cellStyle name="Note 15 3" xfId="2109" xr:uid="{00000000-0005-0000-0000-000045080000}"/>
    <cellStyle name="Note 15 4" xfId="2110" xr:uid="{00000000-0005-0000-0000-000046080000}"/>
    <cellStyle name="Note 15 5" xfId="2111" xr:uid="{00000000-0005-0000-0000-000047080000}"/>
    <cellStyle name="Note 16" xfId="2112" xr:uid="{00000000-0005-0000-0000-000048080000}"/>
    <cellStyle name="Note 16 2" xfId="2113" xr:uid="{00000000-0005-0000-0000-000049080000}"/>
    <cellStyle name="Note 16 3" xfId="2114" xr:uid="{00000000-0005-0000-0000-00004A080000}"/>
    <cellStyle name="Note 16 4" xfId="2115" xr:uid="{00000000-0005-0000-0000-00004B080000}"/>
    <cellStyle name="Note 16 5" xfId="2116" xr:uid="{00000000-0005-0000-0000-00004C080000}"/>
    <cellStyle name="Note 17" xfId="2117" xr:uid="{00000000-0005-0000-0000-00004D080000}"/>
    <cellStyle name="Note 18" xfId="2118" xr:uid="{00000000-0005-0000-0000-00004E080000}"/>
    <cellStyle name="Note 18 2" xfId="2119" xr:uid="{00000000-0005-0000-0000-00004F080000}"/>
    <cellStyle name="Note 18 3" xfId="2120" xr:uid="{00000000-0005-0000-0000-000050080000}"/>
    <cellStyle name="Note 18 4" xfId="2121" xr:uid="{00000000-0005-0000-0000-000051080000}"/>
    <cellStyle name="Note 18 5" xfId="2122" xr:uid="{00000000-0005-0000-0000-000052080000}"/>
    <cellStyle name="Note 19" xfId="2123" xr:uid="{00000000-0005-0000-0000-000053080000}"/>
    <cellStyle name="Note 2" xfId="2124" xr:uid="{00000000-0005-0000-0000-000054080000}"/>
    <cellStyle name="Note 2 2" xfId="2125" xr:uid="{00000000-0005-0000-0000-000055080000}"/>
    <cellStyle name="Note 2 2 2" xfId="2126" xr:uid="{00000000-0005-0000-0000-000056080000}"/>
    <cellStyle name="Note 2 2 3" xfId="2127" xr:uid="{00000000-0005-0000-0000-000057080000}"/>
    <cellStyle name="Note 2 3" xfId="2128" xr:uid="{00000000-0005-0000-0000-000058080000}"/>
    <cellStyle name="Note 20" xfId="2129" xr:uid="{00000000-0005-0000-0000-000059080000}"/>
    <cellStyle name="Note 21" xfId="2130" xr:uid="{00000000-0005-0000-0000-00005A080000}"/>
    <cellStyle name="Note 22" xfId="2131" xr:uid="{00000000-0005-0000-0000-00005B080000}"/>
    <cellStyle name="Note 23" xfId="2132" xr:uid="{00000000-0005-0000-0000-00005C080000}"/>
    <cellStyle name="Note 24" xfId="2133" xr:uid="{00000000-0005-0000-0000-00005D080000}"/>
    <cellStyle name="Note 25" xfId="2134" xr:uid="{00000000-0005-0000-0000-00005E080000}"/>
    <cellStyle name="Note 26" xfId="2135" xr:uid="{00000000-0005-0000-0000-00005F080000}"/>
    <cellStyle name="Note 27" xfId="2136" xr:uid="{00000000-0005-0000-0000-000060080000}"/>
    <cellStyle name="Note 28" xfId="2137" xr:uid="{00000000-0005-0000-0000-000061080000}"/>
    <cellStyle name="Note 29" xfId="2138" xr:uid="{00000000-0005-0000-0000-000062080000}"/>
    <cellStyle name="Note 3" xfId="2139" xr:uid="{00000000-0005-0000-0000-000063080000}"/>
    <cellStyle name="Note 30" xfId="2140" xr:uid="{00000000-0005-0000-0000-000064080000}"/>
    <cellStyle name="Note 31" xfId="2141" xr:uid="{00000000-0005-0000-0000-000065080000}"/>
    <cellStyle name="Note 32" xfId="2142" xr:uid="{00000000-0005-0000-0000-000066080000}"/>
    <cellStyle name="Note 33" xfId="2143" xr:uid="{00000000-0005-0000-0000-000067080000}"/>
    <cellStyle name="Note 34" xfId="2144" xr:uid="{00000000-0005-0000-0000-000068080000}"/>
    <cellStyle name="Note 35" xfId="2145" xr:uid="{00000000-0005-0000-0000-000069080000}"/>
    <cellStyle name="Note 4" xfId="2146" xr:uid="{00000000-0005-0000-0000-00006A080000}"/>
    <cellStyle name="Note 5" xfId="2147" xr:uid="{00000000-0005-0000-0000-00006B080000}"/>
    <cellStyle name="Note 6" xfId="2148" xr:uid="{00000000-0005-0000-0000-00006C080000}"/>
    <cellStyle name="Note 7" xfId="2149" xr:uid="{00000000-0005-0000-0000-00006D080000}"/>
    <cellStyle name="Note 8" xfId="2150" xr:uid="{00000000-0005-0000-0000-00006E080000}"/>
    <cellStyle name="Note 9" xfId="2151" xr:uid="{00000000-0005-0000-0000-00006F080000}"/>
    <cellStyle name="Note 9 2" xfId="2152" xr:uid="{00000000-0005-0000-0000-000070080000}"/>
    <cellStyle name="Note 9 3" xfId="2153" xr:uid="{00000000-0005-0000-0000-000071080000}"/>
    <cellStyle name="Note 9 4" xfId="2154" xr:uid="{00000000-0005-0000-0000-000072080000}"/>
    <cellStyle name="Note 9 5" xfId="2155" xr:uid="{00000000-0005-0000-0000-000073080000}"/>
    <cellStyle name="Output 10" xfId="2156" xr:uid="{00000000-0005-0000-0000-000074080000}"/>
    <cellStyle name="Output 11" xfId="2157" xr:uid="{00000000-0005-0000-0000-000075080000}"/>
    <cellStyle name="Output 12" xfId="2158" xr:uid="{00000000-0005-0000-0000-000076080000}"/>
    <cellStyle name="Output 13" xfId="2159" xr:uid="{00000000-0005-0000-0000-000077080000}"/>
    <cellStyle name="Output 14" xfId="2160" xr:uid="{00000000-0005-0000-0000-000078080000}"/>
    <cellStyle name="Output 15" xfId="2161" xr:uid="{00000000-0005-0000-0000-000079080000}"/>
    <cellStyle name="Output 16" xfId="2162" xr:uid="{00000000-0005-0000-0000-00007A080000}"/>
    <cellStyle name="Output 17" xfId="2163" xr:uid="{00000000-0005-0000-0000-00007B080000}"/>
    <cellStyle name="Output 18" xfId="2164" xr:uid="{00000000-0005-0000-0000-00007C080000}"/>
    <cellStyle name="Output 19" xfId="2165" xr:uid="{00000000-0005-0000-0000-00007D080000}"/>
    <cellStyle name="Output 2" xfId="2166" xr:uid="{00000000-0005-0000-0000-00007E080000}"/>
    <cellStyle name="Output 2 10" xfId="2167" xr:uid="{00000000-0005-0000-0000-00007F080000}"/>
    <cellStyle name="Output 2 2" xfId="2168" xr:uid="{00000000-0005-0000-0000-000080080000}"/>
    <cellStyle name="Output 2 2 2" xfId="2169" xr:uid="{00000000-0005-0000-0000-000081080000}"/>
    <cellStyle name="Output 2 2 2 2" xfId="2170" xr:uid="{00000000-0005-0000-0000-000082080000}"/>
    <cellStyle name="Output 2 2 2 2 2" xfId="2171" xr:uid="{00000000-0005-0000-0000-000083080000}"/>
    <cellStyle name="Output 2 2 2 2 3" xfId="2172" xr:uid="{00000000-0005-0000-0000-000084080000}"/>
    <cellStyle name="Output 2 2 2 3" xfId="2173" xr:uid="{00000000-0005-0000-0000-000085080000}"/>
    <cellStyle name="Output 2 2 2 4" xfId="2174" xr:uid="{00000000-0005-0000-0000-000086080000}"/>
    <cellStyle name="Output 2 2 2 5" xfId="2175" xr:uid="{00000000-0005-0000-0000-000087080000}"/>
    <cellStyle name="Output 2 2 2 6" xfId="2176" xr:uid="{00000000-0005-0000-0000-000088080000}"/>
    <cellStyle name="Output 2 2 3" xfId="2177" xr:uid="{00000000-0005-0000-0000-000089080000}"/>
    <cellStyle name="Output 2 2 4" xfId="2178" xr:uid="{00000000-0005-0000-0000-00008A080000}"/>
    <cellStyle name="Output 2 2 5" xfId="2179" xr:uid="{00000000-0005-0000-0000-00008B080000}"/>
    <cellStyle name="Output 2 2 6" xfId="2180" xr:uid="{00000000-0005-0000-0000-00008C080000}"/>
    <cellStyle name="Output 2 3" xfId="2181" xr:uid="{00000000-0005-0000-0000-00008D080000}"/>
    <cellStyle name="Output 2 4" xfId="2182" xr:uid="{00000000-0005-0000-0000-00008E080000}"/>
    <cellStyle name="Output 2 5" xfId="2183" xr:uid="{00000000-0005-0000-0000-00008F080000}"/>
    <cellStyle name="Output 2 6" xfId="2184" xr:uid="{00000000-0005-0000-0000-000090080000}"/>
    <cellStyle name="Output 2 7" xfId="2185" xr:uid="{00000000-0005-0000-0000-000091080000}"/>
    <cellStyle name="Output 2 8" xfId="2186" xr:uid="{00000000-0005-0000-0000-000092080000}"/>
    <cellStyle name="Output 2 9" xfId="2187" xr:uid="{00000000-0005-0000-0000-000093080000}"/>
    <cellStyle name="Output 20" xfId="2188" xr:uid="{00000000-0005-0000-0000-000094080000}"/>
    <cellStyle name="Output 21" xfId="2189" xr:uid="{00000000-0005-0000-0000-000095080000}"/>
    <cellStyle name="Output 22" xfId="2190" xr:uid="{00000000-0005-0000-0000-000096080000}"/>
    <cellStyle name="Output 23" xfId="2191" xr:uid="{00000000-0005-0000-0000-000097080000}"/>
    <cellStyle name="Output 3" xfId="2192" xr:uid="{00000000-0005-0000-0000-000098080000}"/>
    <cellStyle name="Output 4" xfId="2193" xr:uid="{00000000-0005-0000-0000-000099080000}"/>
    <cellStyle name="Output 5" xfId="2194" xr:uid="{00000000-0005-0000-0000-00009A080000}"/>
    <cellStyle name="Output 6" xfId="2195" xr:uid="{00000000-0005-0000-0000-00009B080000}"/>
    <cellStyle name="Output 7" xfId="2196" xr:uid="{00000000-0005-0000-0000-00009C080000}"/>
    <cellStyle name="Output 8" xfId="2197" xr:uid="{00000000-0005-0000-0000-00009D080000}"/>
    <cellStyle name="Output 9" xfId="2198" xr:uid="{00000000-0005-0000-0000-00009E080000}"/>
    <cellStyle name="Output Amounts" xfId="2199" xr:uid="{00000000-0005-0000-0000-00009F080000}"/>
    <cellStyle name="Output Column Headings" xfId="2200" xr:uid="{00000000-0005-0000-0000-0000A0080000}"/>
    <cellStyle name="Output Column Headings 2" xfId="2201" xr:uid="{00000000-0005-0000-0000-0000A1080000}"/>
    <cellStyle name="Output Column Headings 3" xfId="2202" xr:uid="{00000000-0005-0000-0000-0000A2080000}"/>
    <cellStyle name="Output Column Headings 4" xfId="2203" xr:uid="{00000000-0005-0000-0000-0000A3080000}"/>
    <cellStyle name="Output Column Headings 5" xfId="2204" xr:uid="{00000000-0005-0000-0000-0000A4080000}"/>
    <cellStyle name="Output Column Headings 6" xfId="2205" xr:uid="{00000000-0005-0000-0000-0000A5080000}"/>
    <cellStyle name="Output Column Headings 7" xfId="2206" xr:uid="{00000000-0005-0000-0000-0000A6080000}"/>
    <cellStyle name="Output Line Items" xfId="2207" xr:uid="{00000000-0005-0000-0000-0000A7080000}"/>
    <cellStyle name="Output Line Items 2" xfId="2208" xr:uid="{00000000-0005-0000-0000-0000A8080000}"/>
    <cellStyle name="Output Line Items 3" xfId="2209" xr:uid="{00000000-0005-0000-0000-0000A9080000}"/>
    <cellStyle name="Output Line Items 4" xfId="2210" xr:uid="{00000000-0005-0000-0000-0000AA080000}"/>
    <cellStyle name="Output Line Items 5" xfId="2211" xr:uid="{00000000-0005-0000-0000-0000AB080000}"/>
    <cellStyle name="Output Line Items 6" xfId="2212" xr:uid="{00000000-0005-0000-0000-0000AC080000}"/>
    <cellStyle name="Output Line Items 7" xfId="2213" xr:uid="{00000000-0005-0000-0000-0000AD080000}"/>
    <cellStyle name="Output Report Heading" xfId="2214" xr:uid="{00000000-0005-0000-0000-0000AE080000}"/>
    <cellStyle name="Output Report Heading 2" xfId="2215" xr:uid="{00000000-0005-0000-0000-0000AF080000}"/>
    <cellStyle name="Output Report Heading 3" xfId="2216" xr:uid="{00000000-0005-0000-0000-0000B0080000}"/>
    <cellStyle name="Output Report Heading 4" xfId="2217" xr:uid="{00000000-0005-0000-0000-0000B1080000}"/>
    <cellStyle name="Output Report Heading 5" xfId="2218" xr:uid="{00000000-0005-0000-0000-0000B2080000}"/>
    <cellStyle name="Output Report Heading 6" xfId="2219" xr:uid="{00000000-0005-0000-0000-0000B3080000}"/>
    <cellStyle name="Output Report Heading 7" xfId="2220" xr:uid="{00000000-0005-0000-0000-0000B4080000}"/>
    <cellStyle name="Output Report Title" xfId="2221" xr:uid="{00000000-0005-0000-0000-0000B5080000}"/>
    <cellStyle name="Output Report Title 2" xfId="2222" xr:uid="{00000000-0005-0000-0000-0000B6080000}"/>
    <cellStyle name="Output Report Title 3" xfId="2223" xr:uid="{00000000-0005-0000-0000-0000B7080000}"/>
    <cellStyle name="Output Report Title 4" xfId="2224" xr:uid="{00000000-0005-0000-0000-0000B8080000}"/>
    <cellStyle name="Output Report Title 5" xfId="2225" xr:uid="{00000000-0005-0000-0000-0000B9080000}"/>
    <cellStyle name="Output Report Title 6" xfId="2226" xr:uid="{00000000-0005-0000-0000-0000BA080000}"/>
    <cellStyle name="Output Report Title 7" xfId="2227" xr:uid="{00000000-0005-0000-0000-0000BB080000}"/>
    <cellStyle name="Percent" xfId="3" builtinId="5"/>
    <cellStyle name="Percent 2" xfId="7" xr:uid="{00000000-0005-0000-0000-0000BD080000}"/>
    <cellStyle name="Percent 2 2" xfId="2228" xr:uid="{00000000-0005-0000-0000-0000BE080000}"/>
    <cellStyle name="Percent 2 3" xfId="2229" xr:uid="{00000000-0005-0000-0000-0000BF080000}"/>
    <cellStyle name="Percent 2 3 2" xfId="2392" xr:uid="{00000000-0005-0000-0000-0000C0080000}"/>
    <cellStyle name="Percent 2 4" xfId="2230" xr:uid="{00000000-0005-0000-0000-0000C1080000}"/>
    <cellStyle name="Percent 2 5" xfId="2231" xr:uid="{00000000-0005-0000-0000-0000C2080000}"/>
    <cellStyle name="Percent 2 6" xfId="2232" xr:uid="{00000000-0005-0000-0000-0000C3080000}"/>
    <cellStyle name="Percent 3" xfId="2385" xr:uid="{00000000-0005-0000-0000-0000C4080000}"/>
    <cellStyle name="ReportTitlePrompt" xfId="2233" xr:uid="{00000000-0005-0000-0000-0000C5080000}"/>
    <cellStyle name="ReportTitleValue" xfId="2234" xr:uid="{00000000-0005-0000-0000-0000C6080000}"/>
    <cellStyle name="RowAcctAbovePrompt" xfId="2235" xr:uid="{00000000-0005-0000-0000-0000C7080000}"/>
    <cellStyle name="RowAcctSOBAbovePrompt" xfId="2236" xr:uid="{00000000-0005-0000-0000-0000C8080000}"/>
    <cellStyle name="RowAcctSOBValue" xfId="2237" xr:uid="{00000000-0005-0000-0000-0000C9080000}"/>
    <cellStyle name="RowAcctValue" xfId="2238" xr:uid="{00000000-0005-0000-0000-0000CA080000}"/>
    <cellStyle name="RowAttrAbovePrompt" xfId="2239" xr:uid="{00000000-0005-0000-0000-0000CB080000}"/>
    <cellStyle name="RowAttrValue" xfId="2240" xr:uid="{00000000-0005-0000-0000-0000CC080000}"/>
    <cellStyle name="RowColSetAbovePrompt" xfId="2241" xr:uid="{00000000-0005-0000-0000-0000CD080000}"/>
    <cellStyle name="RowColSetLeftPrompt" xfId="2242" xr:uid="{00000000-0005-0000-0000-0000CE080000}"/>
    <cellStyle name="RowColSetValue" xfId="2243" xr:uid="{00000000-0005-0000-0000-0000CF080000}"/>
    <cellStyle name="RowLeftPrompt" xfId="2244" xr:uid="{00000000-0005-0000-0000-0000D0080000}"/>
    <cellStyle name="SampleUsingFormatMask" xfId="2245" xr:uid="{00000000-0005-0000-0000-0000D1080000}"/>
    <cellStyle name="SampleWithNoFormatMask" xfId="2246" xr:uid="{00000000-0005-0000-0000-0000D2080000}"/>
    <cellStyle name="STYL5 - Style5" xfId="2247" xr:uid="{00000000-0005-0000-0000-0000D3080000}"/>
    <cellStyle name="STYL6 - Style6" xfId="2248" xr:uid="{00000000-0005-0000-0000-0000D4080000}"/>
    <cellStyle name="STYLE1 - Style1" xfId="2249" xr:uid="{00000000-0005-0000-0000-0000D5080000}"/>
    <cellStyle name="STYLE2 - Style2" xfId="2250" xr:uid="{00000000-0005-0000-0000-0000D6080000}"/>
    <cellStyle name="STYLE3 - Style3" xfId="2251" xr:uid="{00000000-0005-0000-0000-0000D7080000}"/>
    <cellStyle name="STYLE4 - Style4" xfId="2252" xr:uid="{00000000-0005-0000-0000-0000D8080000}"/>
    <cellStyle name="Title 10" xfId="2253" xr:uid="{00000000-0005-0000-0000-0000D9080000}"/>
    <cellStyle name="Title 11" xfId="2254" xr:uid="{00000000-0005-0000-0000-0000DA080000}"/>
    <cellStyle name="Title 12" xfId="2255" xr:uid="{00000000-0005-0000-0000-0000DB080000}"/>
    <cellStyle name="Title 13" xfId="2256" xr:uid="{00000000-0005-0000-0000-0000DC080000}"/>
    <cellStyle name="Title 14" xfId="2257" xr:uid="{00000000-0005-0000-0000-0000DD080000}"/>
    <cellStyle name="Title 15" xfId="2258" xr:uid="{00000000-0005-0000-0000-0000DE080000}"/>
    <cellStyle name="Title 16" xfId="2259" xr:uid="{00000000-0005-0000-0000-0000DF080000}"/>
    <cellStyle name="Title 17" xfId="2260" xr:uid="{00000000-0005-0000-0000-0000E0080000}"/>
    <cellStyle name="Title 17 2" xfId="2261" xr:uid="{00000000-0005-0000-0000-0000E1080000}"/>
    <cellStyle name="Title 17 3" xfId="2262" xr:uid="{00000000-0005-0000-0000-0000E2080000}"/>
    <cellStyle name="Title 17 4" xfId="2263" xr:uid="{00000000-0005-0000-0000-0000E3080000}"/>
    <cellStyle name="Title 17 5" xfId="2264" xr:uid="{00000000-0005-0000-0000-0000E4080000}"/>
    <cellStyle name="Title 18" xfId="2265" xr:uid="{00000000-0005-0000-0000-0000E5080000}"/>
    <cellStyle name="Title 19" xfId="2266" xr:uid="{00000000-0005-0000-0000-0000E6080000}"/>
    <cellStyle name="Title 2" xfId="2267" xr:uid="{00000000-0005-0000-0000-0000E7080000}"/>
    <cellStyle name="Title 2 2" xfId="2268" xr:uid="{00000000-0005-0000-0000-0000E8080000}"/>
    <cellStyle name="Title 2 2 2" xfId="2269" xr:uid="{00000000-0005-0000-0000-0000E9080000}"/>
    <cellStyle name="Title 2 2 2 2" xfId="2270" xr:uid="{00000000-0005-0000-0000-0000EA080000}"/>
    <cellStyle name="Title 2 2 2 3" xfId="2271" xr:uid="{00000000-0005-0000-0000-0000EB080000}"/>
    <cellStyle name="Title 2 2 3" xfId="2272" xr:uid="{00000000-0005-0000-0000-0000EC080000}"/>
    <cellStyle name="Title 2 2 4" xfId="2273" xr:uid="{00000000-0005-0000-0000-0000ED080000}"/>
    <cellStyle name="Title 2 2 5" xfId="2274" xr:uid="{00000000-0005-0000-0000-0000EE080000}"/>
    <cellStyle name="Title 2 2 6" xfId="2275" xr:uid="{00000000-0005-0000-0000-0000EF080000}"/>
    <cellStyle name="Title 2 3" xfId="2276" xr:uid="{00000000-0005-0000-0000-0000F0080000}"/>
    <cellStyle name="Title 2 4" xfId="2277" xr:uid="{00000000-0005-0000-0000-0000F1080000}"/>
    <cellStyle name="Title 2 5" xfId="2278" xr:uid="{00000000-0005-0000-0000-0000F2080000}"/>
    <cellStyle name="Title 2 6" xfId="2279" xr:uid="{00000000-0005-0000-0000-0000F3080000}"/>
    <cellStyle name="Title 2 7" xfId="2280" xr:uid="{00000000-0005-0000-0000-0000F4080000}"/>
    <cellStyle name="Title 2 8" xfId="2281" xr:uid="{00000000-0005-0000-0000-0000F5080000}"/>
    <cellStyle name="Title 2 9" xfId="2282" xr:uid="{00000000-0005-0000-0000-0000F6080000}"/>
    <cellStyle name="Title 20" xfId="2283" xr:uid="{00000000-0005-0000-0000-0000F7080000}"/>
    <cellStyle name="Title 21" xfId="2284" xr:uid="{00000000-0005-0000-0000-0000F8080000}"/>
    <cellStyle name="Title 22" xfId="2285" xr:uid="{00000000-0005-0000-0000-0000F9080000}"/>
    <cellStyle name="Title 23" xfId="2286" xr:uid="{00000000-0005-0000-0000-0000FA080000}"/>
    <cellStyle name="Title 3" xfId="2287" xr:uid="{00000000-0005-0000-0000-0000FB080000}"/>
    <cellStyle name="Title 4" xfId="2288" xr:uid="{00000000-0005-0000-0000-0000FC080000}"/>
    <cellStyle name="Title 5" xfId="2289" xr:uid="{00000000-0005-0000-0000-0000FD080000}"/>
    <cellStyle name="Title 6" xfId="2290" xr:uid="{00000000-0005-0000-0000-0000FE080000}"/>
    <cellStyle name="Title 7" xfId="2291" xr:uid="{00000000-0005-0000-0000-0000FF080000}"/>
    <cellStyle name="Title 8" xfId="2292" xr:uid="{00000000-0005-0000-0000-000000090000}"/>
    <cellStyle name="Title 9" xfId="2293" xr:uid="{00000000-0005-0000-0000-000001090000}"/>
    <cellStyle name="Total 10" xfId="2294" xr:uid="{00000000-0005-0000-0000-000002090000}"/>
    <cellStyle name="Total 11" xfId="2295" xr:uid="{00000000-0005-0000-0000-000003090000}"/>
    <cellStyle name="Total 12" xfId="2296" xr:uid="{00000000-0005-0000-0000-000004090000}"/>
    <cellStyle name="Total 13" xfId="2297" xr:uid="{00000000-0005-0000-0000-000005090000}"/>
    <cellStyle name="Total 14" xfId="2298" xr:uid="{00000000-0005-0000-0000-000006090000}"/>
    <cellStyle name="Total 15" xfId="2299" xr:uid="{00000000-0005-0000-0000-000007090000}"/>
    <cellStyle name="Total 16" xfId="2300" xr:uid="{00000000-0005-0000-0000-000008090000}"/>
    <cellStyle name="Total 17" xfId="2301" xr:uid="{00000000-0005-0000-0000-000009090000}"/>
    <cellStyle name="Total 18" xfId="2302" xr:uid="{00000000-0005-0000-0000-00000A090000}"/>
    <cellStyle name="Total 19" xfId="2303" xr:uid="{00000000-0005-0000-0000-00000B090000}"/>
    <cellStyle name="Total 2" xfId="2304" xr:uid="{00000000-0005-0000-0000-00000C090000}"/>
    <cellStyle name="Total 2 10" xfId="2305" xr:uid="{00000000-0005-0000-0000-00000D090000}"/>
    <cellStyle name="Total 2 2" xfId="2306" xr:uid="{00000000-0005-0000-0000-00000E090000}"/>
    <cellStyle name="Total 2 2 2" xfId="2307" xr:uid="{00000000-0005-0000-0000-00000F090000}"/>
    <cellStyle name="Total 2 2 2 2" xfId="2308" xr:uid="{00000000-0005-0000-0000-000010090000}"/>
    <cellStyle name="Total 2 2 2 2 2" xfId="2309" xr:uid="{00000000-0005-0000-0000-000011090000}"/>
    <cellStyle name="Total 2 2 2 2 3" xfId="2310" xr:uid="{00000000-0005-0000-0000-000012090000}"/>
    <cellStyle name="Total 2 2 2 3" xfId="2311" xr:uid="{00000000-0005-0000-0000-000013090000}"/>
    <cellStyle name="Total 2 2 2 4" xfId="2312" xr:uid="{00000000-0005-0000-0000-000014090000}"/>
    <cellStyle name="Total 2 2 2 5" xfId="2313" xr:uid="{00000000-0005-0000-0000-000015090000}"/>
    <cellStyle name="Total 2 2 2 6" xfId="2314" xr:uid="{00000000-0005-0000-0000-000016090000}"/>
    <cellStyle name="Total 2 2 3" xfId="2315" xr:uid="{00000000-0005-0000-0000-000017090000}"/>
    <cellStyle name="Total 2 2 4" xfId="2316" xr:uid="{00000000-0005-0000-0000-000018090000}"/>
    <cellStyle name="Total 2 2 5" xfId="2317" xr:uid="{00000000-0005-0000-0000-000019090000}"/>
    <cellStyle name="Total 2 2 6" xfId="2318" xr:uid="{00000000-0005-0000-0000-00001A090000}"/>
    <cellStyle name="Total 2 3" xfId="2319" xr:uid="{00000000-0005-0000-0000-00001B090000}"/>
    <cellStyle name="Total 2 4" xfId="2320" xr:uid="{00000000-0005-0000-0000-00001C090000}"/>
    <cellStyle name="Total 2 5" xfId="2321" xr:uid="{00000000-0005-0000-0000-00001D090000}"/>
    <cellStyle name="Total 2 6" xfId="2322" xr:uid="{00000000-0005-0000-0000-00001E090000}"/>
    <cellStyle name="Total 2 7" xfId="2323" xr:uid="{00000000-0005-0000-0000-00001F090000}"/>
    <cellStyle name="Total 2 8" xfId="2324" xr:uid="{00000000-0005-0000-0000-000020090000}"/>
    <cellStyle name="Total 2 9" xfId="2325" xr:uid="{00000000-0005-0000-0000-000021090000}"/>
    <cellStyle name="Total 20" xfId="2326" xr:uid="{00000000-0005-0000-0000-000022090000}"/>
    <cellStyle name="Total 21" xfId="2327" xr:uid="{00000000-0005-0000-0000-000023090000}"/>
    <cellStyle name="Total 22" xfId="2328" xr:uid="{00000000-0005-0000-0000-000024090000}"/>
    <cellStyle name="Total 23" xfId="2329" xr:uid="{00000000-0005-0000-0000-000025090000}"/>
    <cellStyle name="Total 24" xfId="2330" xr:uid="{00000000-0005-0000-0000-000026090000}"/>
    <cellStyle name="Total 25" xfId="2331" xr:uid="{00000000-0005-0000-0000-000027090000}"/>
    <cellStyle name="Total 3" xfId="2332" xr:uid="{00000000-0005-0000-0000-000028090000}"/>
    <cellStyle name="Total 4" xfId="2333" xr:uid="{00000000-0005-0000-0000-000029090000}"/>
    <cellStyle name="Total 5" xfId="2334" xr:uid="{00000000-0005-0000-0000-00002A090000}"/>
    <cellStyle name="Total 6" xfId="2335" xr:uid="{00000000-0005-0000-0000-00002B090000}"/>
    <cellStyle name="Total 7" xfId="2336" xr:uid="{00000000-0005-0000-0000-00002C090000}"/>
    <cellStyle name="Total 8" xfId="2337" xr:uid="{00000000-0005-0000-0000-00002D090000}"/>
    <cellStyle name="Total 9" xfId="2338" xr:uid="{00000000-0005-0000-0000-00002E090000}"/>
    <cellStyle name="UploadThisRowValue" xfId="2339" xr:uid="{00000000-0005-0000-0000-00002F090000}"/>
    <cellStyle name="Warning Text 10" xfId="2340" xr:uid="{00000000-0005-0000-0000-000030090000}"/>
    <cellStyle name="Warning Text 11" xfId="2341" xr:uid="{00000000-0005-0000-0000-000031090000}"/>
    <cellStyle name="Warning Text 12" xfId="2342" xr:uid="{00000000-0005-0000-0000-000032090000}"/>
    <cellStyle name="Warning Text 13" xfId="2343" xr:uid="{00000000-0005-0000-0000-000033090000}"/>
    <cellStyle name="Warning Text 14" xfId="2344" xr:uid="{00000000-0005-0000-0000-000034090000}"/>
    <cellStyle name="Warning Text 15" xfId="2345" xr:uid="{00000000-0005-0000-0000-000035090000}"/>
    <cellStyle name="Warning Text 16" xfId="2346" xr:uid="{00000000-0005-0000-0000-000036090000}"/>
    <cellStyle name="Warning Text 17" xfId="2347" xr:uid="{00000000-0005-0000-0000-000037090000}"/>
    <cellStyle name="Warning Text 18" xfId="2348" xr:uid="{00000000-0005-0000-0000-000038090000}"/>
    <cellStyle name="Warning Text 19" xfId="2349" xr:uid="{00000000-0005-0000-0000-000039090000}"/>
    <cellStyle name="Warning Text 2" xfId="2350" xr:uid="{00000000-0005-0000-0000-00003A090000}"/>
    <cellStyle name="Warning Text 2 10" xfId="2351" xr:uid="{00000000-0005-0000-0000-00003B090000}"/>
    <cellStyle name="Warning Text 2 2" xfId="2352" xr:uid="{00000000-0005-0000-0000-00003C090000}"/>
    <cellStyle name="Warning Text 2 2 2" xfId="2353" xr:uid="{00000000-0005-0000-0000-00003D090000}"/>
    <cellStyle name="Warning Text 2 2 2 2" xfId="2354" xr:uid="{00000000-0005-0000-0000-00003E090000}"/>
    <cellStyle name="Warning Text 2 2 2 2 2" xfId="2355" xr:uid="{00000000-0005-0000-0000-00003F090000}"/>
    <cellStyle name="Warning Text 2 2 2 2 3" xfId="2356" xr:uid="{00000000-0005-0000-0000-000040090000}"/>
    <cellStyle name="Warning Text 2 2 2 3" xfId="2357" xr:uid="{00000000-0005-0000-0000-000041090000}"/>
    <cellStyle name="Warning Text 2 2 2 4" xfId="2358" xr:uid="{00000000-0005-0000-0000-000042090000}"/>
    <cellStyle name="Warning Text 2 2 2 5" xfId="2359" xr:uid="{00000000-0005-0000-0000-000043090000}"/>
    <cellStyle name="Warning Text 2 2 2 6" xfId="2360" xr:uid="{00000000-0005-0000-0000-000044090000}"/>
    <cellStyle name="Warning Text 2 2 3" xfId="2361" xr:uid="{00000000-0005-0000-0000-000045090000}"/>
    <cellStyle name="Warning Text 2 2 4" xfId="2362" xr:uid="{00000000-0005-0000-0000-000046090000}"/>
    <cellStyle name="Warning Text 2 2 5" xfId="2363" xr:uid="{00000000-0005-0000-0000-000047090000}"/>
    <cellStyle name="Warning Text 2 2 6" xfId="2364" xr:uid="{00000000-0005-0000-0000-000048090000}"/>
    <cellStyle name="Warning Text 2 3" xfId="2365" xr:uid="{00000000-0005-0000-0000-000049090000}"/>
    <cellStyle name="Warning Text 2 4" xfId="2366" xr:uid="{00000000-0005-0000-0000-00004A090000}"/>
    <cellStyle name="Warning Text 2 5" xfId="2367" xr:uid="{00000000-0005-0000-0000-00004B090000}"/>
    <cellStyle name="Warning Text 2 6" xfId="2368" xr:uid="{00000000-0005-0000-0000-00004C090000}"/>
    <cellStyle name="Warning Text 2 7" xfId="2369" xr:uid="{00000000-0005-0000-0000-00004D090000}"/>
    <cellStyle name="Warning Text 2 8" xfId="2370" xr:uid="{00000000-0005-0000-0000-00004E090000}"/>
    <cellStyle name="Warning Text 2 9" xfId="2371" xr:uid="{00000000-0005-0000-0000-00004F090000}"/>
    <cellStyle name="Warning Text 20" xfId="2372" xr:uid="{00000000-0005-0000-0000-000050090000}"/>
    <cellStyle name="Warning Text 21" xfId="2373" xr:uid="{00000000-0005-0000-0000-000051090000}"/>
    <cellStyle name="Warning Text 22" xfId="2374" xr:uid="{00000000-0005-0000-0000-000052090000}"/>
    <cellStyle name="Warning Text 23" xfId="2375" xr:uid="{00000000-0005-0000-0000-000053090000}"/>
    <cellStyle name="Warning Text 3" xfId="2376" xr:uid="{00000000-0005-0000-0000-000054090000}"/>
    <cellStyle name="Warning Text 4" xfId="2377" xr:uid="{00000000-0005-0000-0000-000055090000}"/>
    <cellStyle name="Warning Text 5" xfId="2378" xr:uid="{00000000-0005-0000-0000-000056090000}"/>
    <cellStyle name="Warning Text 6" xfId="2379" xr:uid="{00000000-0005-0000-0000-000057090000}"/>
    <cellStyle name="Warning Text 7" xfId="2380" xr:uid="{00000000-0005-0000-0000-000058090000}"/>
    <cellStyle name="Warning Text 8" xfId="2381" xr:uid="{00000000-0005-0000-0000-000059090000}"/>
    <cellStyle name="Warning Text 9" xfId="2382" xr:uid="{00000000-0005-0000-0000-00005A09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externalLink" Target="externalLinks/externalLink2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4.xml"/><Relationship Id="rId115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31</xdr:row>
      <xdr:rowOff>25400</xdr:rowOff>
    </xdr:from>
    <xdr:to>
      <xdr:col>4</xdr:col>
      <xdr:colOff>130175</xdr:colOff>
      <xdr:row>37</xdr:row>
      <xdr:rowOff>120650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1001CAF9-5478-4AA2-AE48-A9B007367770}"/>
            </a:ext>
          </a:extLst>
        </xdr:cNvPr>
        <xdr:cNvSpPr/>
      </xdr:nvSpPr>
      <xdr:spPr>
        <a:xfrm>
          <a:off x="2495550" y="5045075"/>
          <a:ext cx="187325" cy="1066800"/>
        </a:xfrm>
        <a:prstGeom prst="lef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T\Actuals\LGE%20GLT%20OU%20Recovery%202013%2012%20FINAL%20RATE%20AD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KU\KU%20ECR%20OU%20Recovery%202013.02%20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N2021/CN-00xxxx%20-%20Gas%20Line%20Tracker%20Annual%20Filing/Support/2020%20True%20Up%20Support/LGE%20GLT%20OU%20Recovery%202020.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T\Actuals\LGE%20GLT%20OU%20Recovery%202013%2009%20es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3\LGE\LGE%20ECR%20OU%20Recovery%202013.02%20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llocation"/>
      <sheetName val="Liability Detail"/>
      <sheetName val="OU Collection"/>
      <sheetName val="ROR"/>
      <sheetName val="A216810396964DCDB399904ED81BA8E"/>
      <sheetName val="Net Assets"/>
      <sheetName val="Error Checks"/>
      <sheetName val="Data"/>
      <sheetName val="Input"/>
      <sheetName val="Revenue Report"/>
      <sheetName val="BS Recon"/>
      <sheetName val="Startup"/>
      <sheetName val="Version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4">
          <cell r="BK74" t="str">
            <v>NO</v>
          </cell>
        </row>
      </sheetData>
      <sheetData sheetId="8">
        <row r="4">
          <cell r="K4">
            <v>41609</v>
          </cell>
        </row>
      </sheetData>
      <sheetData sheetId="9"/>
      <sheetData sheetId="10"/>
      <sheetData sheetId="11">
        <row r="5">
          <cell r="N5">
            <v>41244</v>
          </cell>
        </row>
        <row r="8">
          <cell r="N8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Revenue Report"/>
      <sheetName val="Input - Rev Report"/>
      <sheetName val="Data- Rev Report"/>
      <sheetName val="Startup"/>
      <sheetName val="Adjt Input"/>
      <sheetName val="Data Updates"/>
      <sheetName val="VersionHist"/>
    </sheetNames>
    <sheetDataSet>
      <sheetData sheetId="0" refreshError="1"/>
      <sheetData sheetId="1">
        <row r="38">
          <cell r="K38">
            <v>122206198.18000001</v>
          </cell>
        </row>
        <row r="39">
          <cell r="K39">
            <v>139430871.61000001</v>
          </cell>
        </row>
        <row r="40">
          <cell r="K40">
            <v>0.87649999999999995</v>
          </cell>
        </row>
        <row r="60">
          <cell r="K60">
            <v>555232.65</v>
          </cell>
        </row>
        <row r="61">
          <cell r="K61">
            <v>240996.76</v>
          </cell>
        </row>
        <row r="63">
          <cell r="K63">
            <v>306794.60000000003</v>
          </cell>
        </row>
        <row r="64">
          <cell r="K64">
            <v>3736658.66</v>
          </cell>
        </row>
        <row r="67">
          <cell r="K67">
            <v>7441.29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"/>
      <sheetName val="J053-p1"/>
      <sheetName val="Allocation-p2"/>
      <sheetName val="Revenue Allocation Table-p3"/>
      <sheetName val="Combined Balance Detail-p14"/>
      <sheetName val="Distr - Balance Detail-p6"/>
      <sheetName val="Distr - OU Collection-p15"/>
      <sheetName val="Distr - ROR-p16"/>
      <sheetName val="Distr - OpEx-p17"/>
      <sheetName val="Distr - Net Assets-p18"/>
      <sheetName val="Trans - Balance Detail-p7"/>
      <sheetName val="Trans - OU Collection-p19"/>
      <sheetName val="Trans - ROR-p20"/>
      <sheetName val="Trans - OpEx-p21"/>
      <sheetName val="Trans - Net Assets-p22"/>
      <sheetName val="B216810396964DCDB399904ED81BA7S"/>
      <sheetName val="Input-p8-9"/>
      <sheetName val="A216810396964DCDB399904ED81BA8E"/>
      <sheetName val="GL Connect-p10"/>
      <sheetName val="Data"/>
      <sheetName val="Review Checklist-p11-13"/>
      <sheetName val="Error Checks-p23-24"/>
      <sheetName val="Revenue Report"/>
      <sheetName val="GLT Mechanism Recon"/>
      <sheetName val="Distr - Startup"/>
      <sheetName val="Trans - Startup"/>
      <sheetName val="Version History"/>
      <sheetName val="New Yr. Setup Notes"/>
      <sheetName val="Electronic Evidence"/>
      <sheetName val="Support---&gt;"/>
      <sheetName val="PM Distr - Bal Detail-p4"/>
      <sheetName val="PM Trans - Bal Detail-p5"/>
      <sheetName val="Dist Plant,CWIP, and Depr-p25"/>
      <sheetName val="Trans Plant,CWIP,and Depr-p26"/>
      <sheetName val="Removal Costs-p27"/>
      <sheetName val="Def Tax on RB &amp; COR-Dist-p28"/>
      <sheetName val="Def Tax on RB &amp; COR-TRAN- p29"/>
      <sheetName val="Def Tax on Retirements-p30"/>
      <sheetName val="ROR-p31"/>
      <sheetName val="2019 GLT Splits-p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7">
          <cell r="O77">
            <v>202012</v>
          </cell>
          <cell r="P77">
            <v>202011</v>
          </cell>
          <cell r="Q77">
            <v>202010</v>
          </cell>
          <cell r="R77">
            <v>202009</v>
          </cell>
          <cell r="S77">
            <v>202008</v>
          </cell>
          <cell r="T77">
            <v>202007</v>
          </cell>
          <cell r="U77">
            <v>202006</v>
          </cell>
          <cell r="V77">
            <v>202005</v>
          </cell>
          <cell r="W77">
            <v>202004</v>
          </cell>
          <cell r="X77">
            <v>202003</v>
          </cell>
          <cell r="Y77">
            <v>202002</v>
          </cell>
          <cell r="Z77">
            <v>202001</v>
          </cell>
          <cell r="AA77">
            <v>201912</v>
          </cell>
          <cell r="AB77">
            <v>201911</v>
          </cell>
          <cell r="AC77">
            <v>201910</v>
          </cell>
          <cell r="AD77">
            <v>201909</v>
          </cell>
          <cell r="AE77">
            <v>201908</v>
          </cell>
          <cell r="AF77">
            <v>201907</v>
          </cell>
          <cell r="AG77">
            <v>201906</v>
          </cell>
          <cell r="AH77">
            <v>201905</v>
          </cell>
          <cell r="AI77">
            <v>201904</v>
          </cell>
          <cell r="AJ77">
            <v>201903</v>
          </cell>
          <cell r="AK77">
            <v>201902</v>
          </cell>
          <cell r="AL77">
            <v>201901</v>
          </cell>
          <cell r="AM77">
            <v>201812</v>
          </cell>
          <cell r="AN77">
            <v>201811</v>
          </cell>
          <cell r="AO77">
            <v>201810</v>
          </cell>
          <cell r="AP77">
            <v>201809</v>
          </cell>
          <cell r="AQ77">
            <v>201808</v>
          </cell>
          <cell r="AR77">
            <v>201807</v>
          </cell>
          <cell r="AS77">
            <v>201806</v>
          </cell>
          <cell r="AT77">
            <v>201805</v>
          </cell>
          <cell r="AU77">
            <v>201804</v>
          </cell>
          <cell r="AV77">
            <v>201803</v>
          </cell>
          <cell r="AW77">
            <v>201802</v>
          </cell>
          <cell r="AX77">
            <v>201801</v>
          </cell>
          <cell r="AY77">
            <v>201712</v>
          </cell>
          <cell r="AZ77">
            <v>201711</v>
          </cell>
          <cell r="BA77">
            <v>201710</v>
          </cell>
          <cell r="BB77">
            <v>201709</v>
          </cell>
          <cell r="BC77">
            <v>201708</v>
          </cell>
          <cell r="BD77">
            <v>201707</v>
          </cell>
          <cell r="BE77">
            <v>201706</v>
          </cell>
          <cell r="BF77">
            <v>201705</v>
          </cell>
          <cell r="BG77">
            <v>201704</v>
          </cell>
          <cell r="BH77">
            <v>201703</v>
          </cell>
          <cell r="BI77">
            <v>201702</v>
          </cell>
          <cell r="BJ77">
            <v>201701</v>
          </cell>
          <cell r="BK77">
            <v>201612</v>
          </cell>
          <cell r="BL77">
            <v>201611</v>
          </cell>
          <cell r="BM77">
            <v>201610</v>
          </cell>
          <cell r="BN77">
            <v>201609</v>
          </cell>
          <cell r="BO77">
            <v>201608</v>
          </cell>
          <cell r="BP77">
            <v>201607</v>
          </cell>
          <cell r="BQ77">
            <v>201606</v>
          </cell>
          <cell r="BR77">
            <v>201605</v>
          </cell>
          <cell r="BS77">
            <v>201604</v>
          </cell>
          <cell r="BT77">
            <v>201603</v>
          </cell>
          <cell r="BU77">
            <v>201602</v>
          </cell>
          <cell r="BV77">
            <v>201601</v>
          </cell>
          <cell r="BW77">
            <v>201512</v>
          </cell>
          <cell r="BX77" t="str">
            <v/>
          </cell>
          <cell r="BY77" t="str">
            <v/>
          </cell>
          <cell r="BZ77" t="str">
            <v/>
          </cell>
          <cell r="CA77" t="str">
            <v/>
          </cell>
          <cell r="CB77" t="str">
            <v/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J77" t="str">
            <v/>
          </cell>
        </row>
        <row r="78">
          <cell r="O78">
            <v>2020</v>
          </cell>
          <cell r="P78">
            <v>2020</v>
          </cell>
          <cell r="Q78">
            <v>2020</v>
          </cell>
          <cell r="R78">
            <v>2020</v>
          </cell>
          <cell r="S78">
            <v>2020</v>
          </cell>
          <cell r="T78">
            <v>2020</v>
          </cell>
          <cell r="U78">
            <v>2020</v>
          </cell>
          <cell r="V78">
            <v>2020</v>
          </cell>
          <cell r="W78">
            <v>2020</v>
          </cell>
          <cell r="X78">
            <v>2020</v>
          </cell>
          <cell r="Y78">
            <v>2020</v>
          </cell>
          <cell r="Z78">
            <v>2020</v>
          </cell>
          <cell r="AA78">
            <v>2019</v>
          </cell>
          <cell r="AB78">
            <v>2019</v>
          </cell>
          <cell r="AC78">
            <v>2019</v>
          </cell>
          <cell r="AD78">
            <v>2019</v>
          </cell>
          <cell r="AE78">
            <v>2019</v>
          </cell>
          <cell r="AF78">
            <v>2019</v>
          </cell>
          <cell r="AG78">
            <v>2019</v>
          </cell>
          <cell r="AH78">
            <v>2019</v>
          </cell>
          <cell r="AI78">
            <v>2019</v>
          </cell>
          <cell r="AJ78">
            <v>2019</v>
          </cell>
          <cell r="AK78">
            <v>2019</v>
          </cell>
          <cell r="AL78">
            <v>2019</v>
          </cell>
          <cell r="AM78">
            <v>2018</v>
          </cell>
          <cell r="AN78">
            <v>2018</v>
          </cell>
          <cell r="AO78">
            <v>2018</v>
          </cell>
          <cell r="AP78">
            <v>2018</v>
          </cell>
          <cell r="AQ78">
            <v>2018</v>
          </cell>
          <cell r="AR78">
            <v>2018</v>
          </cell>
          <cell r="AS78">
            <v>2018</v>
          </cell>
          <cell r="AT78">
            <v>2018</v>
          </cell>
          <cell r="AU78">
            <v>2018</v>
          </cell>
          <cell r="AV78">
            <v>2018</v>
          </cell>
          <cell r="AW78">
            <v>2018</v>
          </cell>
          <cell r="AX78">
            <v>2018</v>
          </cell>
          <cell r="AY78">
            <v>2017</v>
          </cell>
          <cell r="AZ78">
            <v>2017</v>
          </cell>
          <cell r="BA78">
            <v>2017</v>
          </cell>
          <cell r="BB78">
            <v>2017</v>
          </cell>
          <cell r="BC78">
            <v>2017</v>
          </cell>
          <cell r="BD78">
            <v>2017</v>
          </cell>
          <cell r="BE78">
            <v>2017</v>
          </cell>
          <cell r="BF78">
            <v>2017</v>
          </cell>
          <cell r="BG78">
            <v>2017</v>
          </cell>
          <cell r="BH78">
            <v>2017</v>
          </cell>
          <cell r="BI78">
            <v>2017</v>
          </cell>
          <cell r="BJ78">
            <v>2017</v>
          </cell>
          <cell r="BK78">
            <v>2016</v>
          </cell>
          <cell r="BL78">
            <v>2016</v>
          </cell>
          <cell r="BM78">
            <v>2016</v>
          </cell>
          <cell r="BN78">
            <v>2016</v>
          </cell>
          <cell r="BO78">
            <v>2016</v>
          </cell>
          <cell r="BP78">
            <v>2016</v>
          </cell>
          <cell r="BQ78">
            <v>2016</v>
          </cell>
          <cell r="BR78">
            <v>2016</v>
          </cell>
          <cell r="BS78">
            <v>2016</v>
          </cell>
          <cell r="BT78">
            <v>2016</v>
          </cell>
          <cell r="BU78">
            <v>2016</v>
          </cell>
          <cell r="BV78">
            <v>2016</v>
          </cell>
          <cell r="BW78">
            <v>2015</v>
          </cell>
          <cell r="BX78" t="str">
            <v/>
          </cell>
          <cell r="BY78" t="str">
            <v/>
          </cell>
          <cell r="BZ78" t="str">
            <v/>
          </cell>
          <cell r="CA78" t="str">
            <v/>
          </cell>
          <cell r="CB78" t="str">
            <v/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J78" t="str">
            <v/>
          </cell>
        </row>
        <row r="79">
          <cell r="O79">
            <v>12</v>
          </cell>
          <cell r="P79">
            <v>11</v>
          </cell>
          <cell r="Q79">
            <v>10</v>
          </cell>
          <cell r="R79">
            <v>9</v>
          </cell>
          <cell r="S79">
            <v>8</v>
          </cell>
          <cell r="T79">
            <v>7</v>
          </cell>
          <cell r="U79">
            <v>6</v>
          </cell>
          <cell r="V79">
            <v>5</v>
          </cell>
          <cell r="W79">
            <v>4</v>
          </cell>
          <cell r="X79">
            <v>3</v>
          </cell>
          <cell r="Y79">
            <v>2</v>
          </cell>
          <cell r="Z79">
            <v>1</v>
          </cell>
          <cell r="AA79">
            <v>12</v>
          </cell>
          <cell r="AB79">
            <v>11</v>
          </cell>
          <cell r="AC79">
            <v>10</v>
          </cell>
          <cell r="AD79">
            <v>9</v>
          </cell>
          <cell r="AE79">
            <v>8</v>
          </cell>
          <cell r="AF79">
            <v>7</v>
          </cell>
          <cell r="AG79">
            <v>6</v>
          </cell>
          <cell r="AH79">
            <v>5</v>
          </cell>
          <cell r="AI79">
            <v>4</v>
          </cell>
          <cell r="AJ79">
            <v>3</v>
          </cell>
          <cell r="AK79">
            <v>2</v>
          </cell>
          <cell r="AL79">
            <v>1</v>
          </cell>
          <cell r="AM79">
            <v>12</v>
          </cell>
          <cell r="AN79">
            <v>11</v>
          </cell>
          <cell r="AO79">
            <v>10</v>
          </cell>
          <cell r="AP79">
            <v>9</v>
          </cell>
          <cell r="AQ79">
            <v>8</v>
          </cell>
          <cell r="AR79">
            <v>7</v>
          </cell>
          <cell r="AS79">
            <v>6</v>
          </cell>
          <cell r="AT79">
            <v>5</v>
          </cell>
          <cell r="AU79">
            <v>4</v>
          </cell>
          <cell r="AV79">
            <v>3</v>
          </cell>
          <cell r="AW79">
            <v>2</v>
          </cell>
          <cell r="AX79">
            <v>1</v>
          </cell>
          <cell r="AY79">
            <v>12</v>
          </cell>
          <cell r="AZ79">
            <v>11</v>
          </cell>
          <cell r="BA79">
            <v>10</v>
          </cell>
          <cell r="BB79">
            <v>9</v>
          </cell>
          <cell r="BC79">
            <v>8</v>
          </cell>
          <cell r="BD79">
            <v>7</v>
          </cell>
          <cell r="BE79">
            <v>6</v>
          </cell>
          <cell r="BF79">
            <v>5</v>
          </cell>
          <cell r="BG79">
            <v>4</v>
          </cell>
          <cell r="BH79">
            <v>3</v>
          </cell>
          <cell r="BI79">
            <v>2</v>
          </cell>
          <cell r="BJ79">
            <v>1</v>
          </cell>
          <cell r="BK79">
            <v>12</v>
          </cell>
          <cell r="BL79">
            <v>11</v>
          </cell>
          <cell r="BM79">
            <v>10</v>
          </cell>
          <cell r="BN79">
            <v>9</v>
          </cell>
          <cell r="BO79">
            <v>8</v>
          </cell>
          <cell r="BP79">
            <v>7</v>
          </cell>
          <cell r="BQ79">
            <v>6</v>
          </cell>
          <cell r="BR79">
            <v>5</v>
          </cell>
          <cell r="BS79">
            <v>4</v>
          </cell>
          <cell r="BT79">
            <v>3</v>
          </cell>
          <cell r="BU79">
            <v>2</v>
          </cell>
          <cell r="BV79">
            <v>1</v>
          </cell>
          <cell r="BW79">
            <v>12</v>
          </cell>
          <cell r="BX79" t="str">
            <v/>
          </cell>
          <cell r="BY79" t="str">
            <v/>
          </cell>
          <cell r="BZ79" t="str">
            <v/>
          </cell>
          <cell r="CA79" t="str">
            <v/>
          </cell>
          <cell r="CB79" t="str">
            <v/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J79" t="str">
            <v/>
          </cell>
        </row>
        <row r="84">
          <cell r="O84">
            <v>72692224.670000002</v>
          </cell>
          <cell r="P84">
            <v>71722046.950000003</v>
          </cell>
          <cell r="Q84">
            <v>70384008.370000005</v>
          </cell>
          <cell r="R84">
            <v>68304885.280000001</v>
          </cell>
          <cell r="S84">
            <v>67392926.540000007</v>
          </cell>
          <cell r="T84">
            <v>65863249.229999997</v>
          </cell>
          <cell r="U84">
            <v>64538573.909999996</v>
          </cell>
          <cell r="V84">
            <v>63027762.460000008</v>
          </cell>
          <cell r="W84">
            <v>61689500.399999999</v>
          </cell>
          <cell r="X84">
            <v>60463359.100000001</v>
          </cell>
          <cell r="Y84">
            <v>57699012.600000001</v>
          </cell>
          <cell r="Z84">
            <v>56859607.689999998</v>
          </cell>
          <cell r="AA84">
            <v>55802661.969999999</v>
          </cell>
          <cell r="AB84">
            <v>54138979.700000003</v>
          </cell>
          <cell r="AC84">
            <v>52204254.890000001</v>
          </cell>
          <cell r="AD84">
            <v>50555145.670000002</v>
          </cell>
          <cell r="AE84">
            <v>48799695.539999999</v>
          </cell>
          <cell r="AF84">
            <v>47162016.650000006</v>
          </cell>
          <cell r="AG84">
            <v>45530514.760000005</v>
          </cell>
          <cell r="AH84">
            <v>43713041.299999997</v>
          </cell>
          <cell r="AI84">
            <v>41956291.920000002</v>
          </cell>
          <cell r="AJ84">
            <v>38295916.860000007</v>
          </cell>
          <cell r="AK84">
            <v>37344591.980000012</v>
          </cell>
          <cell r="AL84">
            <v>35987940.68</v>
          </cell>
          <cell r="AM84">
            <v>35116262.590000004</v>
          </cell>
          <cell r="AN84">
            <v>33799338.990000002</v>
          </cell>
          <cell r="AO84">
            <v>30669507.59</v>
          </cell>
          <cell r="AP84">
            <v>29493675.960000001</v>
          </cell>
          <cell r="AQ84">
            <v>27556767.710000001</v>
          </cell>
          <cell r="AR84">
            <v>26110670.129999999</v>
          </cell>
          <cell r="AS84">
            <v>24503751.039999999</v>
          </cell>
          <cell r="AT84">
            <v>23345252.420000002</v>
          </cell>
          <cell r="AU84">
            <v>22144715.75</v>
          </cell>
          <cell r="AV84">
            <v>20918278.960000001</v>
          </cell>
          <cell r="AW84">
            <v>19614845.59</v>
          </cell>
          <cell r="AX84">
            <v>18694748.18</v>
          </cell>
          <cell r="AY84">
            <v>17681979.870000001</v>
          </cell>
          <cell r="AZ84">
            <v>16010268.99</v>
          </cell>
          <cell r="BA84">
            <v>13359775.57</v>
          </cell>
          <cell r="BB84">
            <v>9459921.3599999994</v>
          </cell>
          <cell r="BC84">
            <v>6302967</v>
          </cell>
          <cell r="BD84">
            <v>3037429.96</v>
          </cell>
          <cell r="BE84">
            <v>244926833.38</v>
          </cell>
          <cell r="BF84">
            <v>241878074.94999999</v>
          </cell>
          <cell r="BG84">
            <v>238184140.47</v>
          </cell>
          <cell r="BH84">
            <v>234537476.19</v>
          </cell>
          <cell r="BI84">
            <v>230465769.88999999</v>
          </cell>
          <cell r="BJ84">
            <v>226727802.00999996</v>
          </cell>
          <cell r="BK84">
            <v>223092597.29999998</v>
          </cell>
          <cell r="BL84">
            <v>218177496.94999996</v>
          </cell>
          <cell r="BM84">
            <v>213600648.46000001</v>
          </cell>
          <cell r="BN84">
            <v>208528784.72</v>
          </cell>
          <cell r="BO84">
            <v>203280650.56999999</v>
          </cell>
          <cell r="BP84">
            <v>197954538.44999999</v>
          </cell>
          <cell r="BQ84">
            <v>193090539.58000001</v>
          </cell>
          <cell r="BR84">
            <v>188180821.56999999</v>
          </cell>
          <cell r="BS84">
            <v>183150376.68000001</v>
          </cell>
          <cell r="BT84">
            <v>178407423.22</v>
          </cell>
          <cell r="BU84">
            <v>173926709.34999999</v>
          </cell>
          <cell r="BV84">
            <v>169798502.09</v>
          </cell>
          <cell r="BW84">
            <v>166381907.16999999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</row>
        <row r="85">
          <cell r="O85">
            <v>-4180206.34</v>
          </cell>
          <cell r="P85">
            <v>-3995314.32</v>
          </cell>
          <cell r="Q85">
            <v>-3813555.13</v>
          </cell>
          <cell r="R85">
            <v>-3635733.28</v>
          </cell>
          <cell r="S85">
            <v>-3461948.48</v>
          </cell>
          <cell r="T85">
            <v>-3292133.92</v>
          </cell>
          <cell r="U85">
            <v>-3126177.67</v>
          </cell>
          <cell r="V85">
            <v>-2964054.83</v>
          </cell>
          <cell r="W85">
            <v>-2805810.03</v>
          </cell>
          <cell r="X85">
            <v>-2651056.66</v>
          </cell>
          <cell r="Y85">
            <v>-2501682.02</v>
          </cell>
          <cell r="Z85">
            <v>-2357143.9700000002</v>
          </cell>
          <cell r="AA85">
            <v>-2215132.89</v>
          </cell>
          <cell r="AB85">
            <v>-2076774.38</v>
          </cell>
          <cell r="AC85">
            <v>-1943210.44</v>
          </cell>
          <cell r="AD85">
            <v>-1814421.51</v>
          </cell>
          <cell r="AE85">
            <v>-1690207.77</v>
          </cell>
          <cell r="AF85">
            <v>-1570548.21</v>
          </cell>
          <cell r="AG85">
            <v>-1455271.4</v>
          </cell>
          <cell r="AH85">
            <v>-1344620.57</v>
          </cell>
          <cell r="AI85">
            <v>-1238761.07</v>
          </cell>
          <cell r="AJ85">
            <v>-1140592.3999999999</v>
          </cell>
          <cell r="AK85">
            <v>-1049772.93</v>
          </cell>
          <cell r="AL85">
            <v>-961776.71</v>
          </cell>
          <cell r="AM85">
            <v>-875631.04</v>
          </cell>
          <cell r="AN85">
            <v>-792210.86</v>
          </cell>
          <cell r="AO85">
            <v>-710854.94</v>
          </cell>
          <cell r="AP85">
            <v>-639977.63</v>
          </cell>
          <cell r="AQ85">
            <v>-573213.42000000004</v>
          </cell>
          <cell r="AR85">
            <v>-510355.05</v>
          </cell>
          <cell r="AS85">
            <v>-451154.27</v>
          </cell>
          <cell r="AT85">
            <v>-395195.98000000004</v>
          </cell>
          <cell r="AU85">
            <v>-342074.73</v>
          </cell>
          <cell r="AV85">
            <v>-291894.02</v>
          </cell>
          <cell r="AW85">
            <v>-244781.03</v>
          </cell>
          <cell r="AX85">
            <v>-200411.61</v>
          </cell>
          <cell r="AY85">
            <v>-158385.18</v>
          </cell>
          <cell r="AZ85">
            <v>-119677.57</v>
          </cell>
          <cell r="BA85">
            <v>-86150.91</v>
          </cell>
          <cell r="BB85">
            <v>-60027.199999999997</v>
          </cell>
          <cell r="BC85">
            <v>-41623.97</v>
          </cell>
          <cell r="BD85">
            <v>-3483.1</v>
          </cell>
          <cell r="BE85">
            <v>-18243773.18</v>
          </cell>
          <cell r="BF85">
            <v>-17571754.370000001</v>
          </cell>
          <cell r="BG85">
            <v>-16908737.559999999</v>
          </cell>
          <cell r="BH85">
            <v>-16255222.939999999</v>
          </cell>
          <cell r="BI85">
            <v>-15611327.4</v>
          </cell>
          <cell r="BJ85">
            <v>-14977062.199999999</v>
          </cell>
          <cell r="BK85">
            <v>-14352040.949999999</v>
          </cell>
          <cell r="BL85">
            <v>-13737840.220000001</v>
          </cell>
          <cell r="BM85">
            <v>-13135549.92</v>
          </cell>
          <cell r="BN85">
            <v>-12555505.18</v>
          </cell>
          <cell r="BO85">
            <v>-11998464.48</v>
          </cell>
          <cell r="BP85">
            <v>-11454605.41</v>
          </cell>
          <cell r="BQ85">
            <v>-10923501.880000001</v>
          </cell>
          <cell r="BR85">
            <v>-10404912.34</v>
          </cell>
          <cell r="BS85">
            <v>-9899181.6899999995</v>
          </cell>
          <cell r="BT85">
            <v>-9405502.6199999992</v>
          </cell>
          <cell r="BU85">
            <v>-8922952.4299999997</v>
          </cell>
          <cell r="BV85">
            <v>-8450674.7100000009</v>
          </cell>
          <cell r="BW85">
            <v>-7987505.5800000001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</row>
        <row r="86">
          <cell r="O86">
            <v>13528779.039999999</v>
          </cell>
          <cell r="P86">
            <v>13273172.130000001</v>
          </cell>
          <cell r="Q86">
            <v>12884725.17</v>
          </cell>
          <cell r="R86">
            <v>12318185.699999999</v>
          </cell>
          <cell r="S86">
            <v>11959226.810000001</v>
          </cell>
          <cell r="T86">
            <v>11568487.279999999</v>
          </cell>
          <cell r="U86">
            <v>11223915.869999999</v>
          </cell>
          <cell r="V86">
            <v>10849776.639999999</v>
          </cell>
          <cell r="W86">
            <v>10320675.199999999</v>
          </cell>
          <cell r="X86">
            <v>9654291.7100000009</v>
          </cell>
          <cell r="Y86">
            <v>8988394.8800000008</v>
          </cell>
          <cell r="Z86">
            <v>8459892.2799999993</v>
          </cell>
          <cell r="AA86">
            <v>7647537.2999999998</v>
          </cell>
          <cell r="AB86">
            <v>7487648.1900000004</v>
          </cell>
          <cell r="AC86">
            <v>6984604.5800000001</v>
          </cell>
          <cell r="AD86">
            <v>6571139.8200000003</v>
          </cell>
          <cell r="AE86">
            <v>6102920.8499999996</v>
          </cell>
          <cell r="AF86">
            <v>5728715.1800000006</v>
          </cell>
          <cell r="AG86">
            <v>5343996.8600000003</v>
          </cell>
          <cell r="AH86">
            <v>4893125.6100000003</v>
          </cell>
          <cell r="AI86">
            <v>4500793.04</v>
          </cell>
          <cell r="AJ86">
            <v>3715078.14</v>
          </cell>
          <cell r="AK86">
            <v>3684750.7600000002</v>
          </cell>
          <cell r="AL86">
            <v>3669143.1</v>
          </cell>
          <cell r="AM86">
            <v>3466154.78</v>
          </cell>
          <cell r="AN86">
            <v>3299122.11</v>
          </cell>
          <cell r="AO86">
            <v>3132941.75</v>
          </cell>
          <cell r="AP86">
            <v>2944074.83</v>
          </cell>
          <cell r="AQ86">
            <v>2802081.39</v>
          </cell>
          <cell r="AR86">
            <v>2671672.84</v>
          </cell>
          <cell r="AS86">
            <v>2559902.92</v>
          </cell>
          <cell r="AT86">
            <v>2398285.6699999995</v>
          </cell>
          <cell r="AU86">
            <v>2246271.5999999996</v>
          </cell>
          <cell r="AV86">
            <v>2096194.07</v>
          </cell>
          <cell r="AW86">
            <v>1970935.42</v>
          </cell>
          <cell r="AX86">
            <v>1789207.19</v>
          </cell>
          <cell r="AY86">
            <v>1643717.13</v>
          </cell>
          <cell r="AZ86">
            <v>1192482.7</v>
          </cell>
          <cell r="BA86">
            <v>903421.45</v>
          </cell>
          <cell r="BB86">
            <v>502267.67</v>
          </cell>
          <cell r="BC86">
            <v>354600.65</v>
          </cell>
          <cell r="BD86">
            <v>203541.69</v>
          </cell>
          <cell r="BE86">
            <v>5308416.62</v>
          </cell>
          <cell r="BF86">
            <v>5120795.0999999996</v>
          </cell>
          <cell r="BG86">
            <v>4936468.2699999996</v>
          </cell>
          <cell r="BH86">
            <v>4884911.3600000003</v>
          </cell>
          <cell r="BI86">
            <v>4763777.1100000003</v>
          </cell>
          <cell r="BJ86">
            <v>4531081.7200000007</v>
          </cell>
          <cell r="BK86">
            <v>4464379.71</v>
          </cell>
          <cell r="BL86">
            <v>4314784.26</v>
          </cell>
          <cell r="BM86">
            <v>4269258.55</v>
          </cell>
          <cell r="BN86">
            <v>4219897.68</v>
          </cell>
          <cell r="BO86">
            <v>4173005.85</v>
          </cell>
          <cell r="BP86">
            <v>4079387.27</v>
          </cell>
          <cell r="BQ86">
            <v>4023851.73</v>
          </cell>
          <cell r="BR86">
            <v>3911885.12</v>
          </cell>
          <cell r="BS86">
            <v>3809813.6</v>
          </cell>
          <cell r="BT86">
            <v>3763503.95</v>
          </cell>
          <cell r="BU86">
            <v>3727182.15</v>
          </cell>
          <cell r="BV86">
            <v>3683440.18</v>
          </cell>
          <cell r="BW86">
            <v>3628305.11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</row>
        <row r="87">
          <cell r="O87">
            <v>-11553913.109999999</v>
          </cell>
          <cell r="P87">
            <v>-11414547.73</v>
          </cell>
          <cell r="Q87">
            <v>-11104205.609999999</v>
          </cell>
          <cell r="R87">
            <v>-10780673.08</v>
          </cell>
          <cell r="S87">
            <v>-10504537.66</v>
          </cell>
          <cell r="T87">
            <v>-10256274.970000001</v>
          </cell>
          <cell r="U87">
            <v>-10034626.26</v>
          </cell>
          <cell r="V87">
            <v>-9817492.6600000001</v>
          </cell>
          <cell r="W87">
            <v>-9579443.4561665859</v>
          </cell>
          <cell r="X87">
            <v>-9324146.7300000004</v>
          </cell>
          <cell r="Y87">
            <v>-9086334.0800000001</v>
          </cell>
          <cell r="Z87">
            <v>-8910308.5500000007</v>
          </cell>
          <cell r="AA87">
            <v>-8790723.3000000007</v>
          </cell>
          <cell r="AB87">
            <v>-8385489.8499999996</v>
          </cell>
          <cell r="AC87">
            <v>-8044111.5999999996</v>
          </cell>
          <cell r="AD87">
            <v>-7717838.7199999997</v>
          </cell>
          <cell r="AE87">
            <v>-7389192.1148268059</v>
          </cell>
          <cell r="AF87">
            <v>-7118226.7299298029</v>
          </cell>
          <cell r="AG87">
            <v>-6855479.861694946</v>
          </cell>
          <cell r="AH87">
            <v>-6598140.7599999998</v>
          </cell>
          <cell r="AI87">
            <v>-6364692.9699999997</v>
          </cell>
          <cell r="AJ87">
            <v>-6046523.7202483118</v>
          </cell>
          <cell r="AK87">
            <v>-5947139.7187169762</v>
          </cell>
          <cell r="AL87">
            <v>-5912804.4299999997</v>
          </cell>
          <cell r="AM87">
            <v>-5841052.25</v>
          </cell>
          <cell r="AN87">
            <v>-5677773.9000000004</v>
          </cell>
          <cell r="AO87">
            <v>-5424678.4000000004</v>
          </cell>
          <cell r="AP87">
            <v>-5197254.8499999996</v>
          </cell>
          <cell r="AQ87">
            <v>-4974735.74</v>
          </cell>
          <cell r="AR87">
            <v>-4790459.59</v>
          </cell>
          <cell r="AS87">
            <v>-4625157.2752162451</v>
          </cell>
          <cell r="AT87">
            <v>-4483310.3600000003</v>
          </cell>
          <cell r="AU87">
            <v>-4349185.74</v>
          </cell>
          <cell r="AV87">
            <v>-4248651.4232056169</v>
          </cell>
          <cell r="AW87">
            <v>-4164057.52</v>
          </cell>
          <cell r="AX87">
            <v>-4084296.3</v>
          </cell>
          <cell r="AY87">
            <v>-4031690.84</v>
          </cell>
          <cell r="AZ87">
            <v>-2946106.56</v>
          </cell>
          <cell r="BA87">
            <v>-2028811.5</v>
          </cell>
          <cell r="BB87">
            <v>-1160546.54</v>
          </cell>
          <cell r="BC87">
            <v>-553339.98</v>
          </cell>
          <cell r="BD87">
            <v>-180193.26101066667</v>
          </cell>
          <cell r="BE87">
            <v>-38810975.420000002</v>
          </cell>
          <cell r="BF87">
            <v>-38108993.939999998</v>
          </cell>
          <cell r="BG87">
            <v>-37482100.799999997</v>
          </cell>
          <cell r="BH87">
            <v>-37031489.859999999</v>
          </cell>
          <cell r="BI87">
            <v>-36673342.630000003</v>
          </cell>
          <cell r="BJ87">
            <v>-36385915.189999998</v>
          </cell>
          <cell r="BK87">
            <v>-36256614.840000004</v>
          </cell>
          <cell r="BL87">
            <v>-34695845.079999998</v>
          </cell>
          <cell r="BM87">
            <v>-33413593.98</v>
          </cell>
          <cell r="BN87">
            <v>-32142066.609999999</v>
          </cell>
          <cell r="BO87">
            <v>-31011065.350000001</v>
          </cell>
          <cell r="BP87">
            <v>-29966211.100000001</v>
          </cell>
          <cell r="BQ87">
            <v>-29110393.98</v>
          </cell>
          <cell r="BR87">
            <v>-28314107.350000001</v>
          </cell>
          <cell r="BS87">
            <v>-27670471.489999998</v>
          </cell>
          <cell r="BT87">
            <v>-27238406.489999998</v>
          </cell>
          <cell r="BU87">
            <v>-26841122.059999999</v>
          </cell>
          <cell r="BV87">
            <v>-26694672.289999999</v>
          </cell>
          <cell r="BW87">
            <v>-26602653.989999998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</row>
        <row r="88"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7090839.9299999997</v>
          </cell>
          <cell r="BF88">
            <v>7090839.9299999997</v>
          </cell>
          <cell r="BG88">
            <v>7090839.9299999997</v>
          </cell>
          <cell r="BH88">
            <v>7090839.9299999997</v>
          </cell>
          <cell r="BI88">
            <v>7090839.9299999997</v>
          </cell>
          <cell r="BJ88">
            <v>7090839.9299999997</v>
          </cell>
          <cell r="BK88">
            <v>7090839.9299999997</v>
          </cell>
          <cell r="BL88">
            <v>7090839.9299999997</v>
          </cell>
          <cell r="BM88">
            <v>3715279.44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</row>
        <row r="89"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-4889166.9800000004</v>
          </cell>
          <cell r="BF89">
            <v>-4889166.9800000004</v>
          </cell>
          <cell r="BG89">
            <v>-4889166.9800000004</v>
          </cell>
          <cell r="BH89">
            <v>-4889166.9800000004</v>
          </cell>
          <cell r="BI89">
            <v>-4889166.9800000004</v>
          </cell>
          <cell r="BJ89">
            <v>-4889166.9800000004</v>
          </cell>
          <cell r="BK89">
            <v>-4889166.9800000004</v>
          </cell>
          <cell r="BL89">
            <v>-4889166.9800000004</v>
          </cell>
          <cell r="BM89">
            <v>-3095931.21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</row>
        <row r="90"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-453616.94</v>
          </cell>
          <cell r="BF90">
            <v>-453616.94</v>
          </cell>
          <cell r="BG90">
            <v>-453616.94</v>
          </cell>
          <cell r="BH90">
            <v>-453616.94</v>
          </cell>
          <cell r="BI90">
            <v>-453616.94</v>
          </cell>
          <cell r="BJ90">
            <v>-453616.94338109798</v>
          </cell>
          <cell r="BK90">
            <v>-453616.94338109798</v>
          </cell>
          <cell r="BL90">
            <v>-453616.94338109798</v>
          </cell>
          <cell r="BM90">
            <v>-218841.66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</row>
        <row r="91">
          <cell r="O91">
            <v>70486884.260000005</v>
          </cell>
          <cell r="P91">
            <v>69585357.030000001</v>
          </cell>
          <cell r="Q91">
            <v>68350972.799999997</v>
          </cell>
          <cell r="R91">
            <v>66206664.620000005</v>
          </cell>
          <cell r="S91">
            <v>65385667.210000008</v>
          </cell>
          <cell r="T91">
            <v>63883327.61999999</v>
          </cell>
          <cell r="U91">
            <v>62601685.850000001</v>
          </cell>
          <cell r="V91">
            <v>61095991.610000014</v>
          </cell>
          <cell r="W91">
            <v>59624922.113833405</v>
          </cell>
          <cell r="X91">
            <v>58142447.420000002</v>
          </cell>
          <cell r="Y91">
            <v>55099391.380000003</v>
          </cell>
          <cell r="Z91">
            <v>54052047.450000003</v>
          </cell>
          <cell r="AA91">
            <v>52444343.079999998</v>
          </cell>
          <cell r="AB91">
            <v>51164363.659999996</v>
          </cell>
          <cell r="AC91">
            <v>49201537.43</v>
          </cell>
          <cell r="AD91">
            <v>47594025.260000005</v>
          </cell>
          <cell r="AE91">
            <v>45823216.505173191</v>
          </cell>
          <cell r="AF91">
            <v>44201956.8900702</v>
          </cell>
          <cell r="AG91">
            <v>42563760.358305059</v>
          </cell>
          <cell r="AH91">
            <v>40663405.579999998</v>
          </cell>
          <cell r="AI91">
            <v>38853630.920000002</v>
          </cell>
          <cell r="AJ91">
            <v>34823878.879751697</v>
          </cell>
          <cell r="AK91">
            <v>34032430.091283031</v>
          </cell>
          <cell r="AL91">
            <v>32782502.640000001</v>
          </cell>
          <cell r="AM91">
            <v>31865734.080000006</v>
          </cell>
          <cell r="AN91">
            <v>30628476.340000004</v>
          </cell>
          <cell r="AO91">
            <v>27666916</v>
          </cell>
          <cell r="AP91">
            <v>26600518.310000002</v>
          </cell>
          <cell r="AQ91">
            <v>24810899.939999998</v>
          </cell>
          <cell r="AR91">
            <v>23481528.329999998</v>
          </cell>
          <cell r="AS91">
            <v>21987342.414783753</v>
          </cell>
          <cell r="AT91">
            <v>20865031.75</v>
          </cell>
          <cell r="AU91">
            <v>19699726.879999995</v>
          </cell>
          <cell r="AV91">
            <v>18473927.586794384</v>
          </cell>
          <cell r="AW91">
            <v>17176942.459999997</v>
          </cell>
          <cell r="AX91">
            <v>16199247.460000001</v>
          </cell>
          <cell r="AY91">
            <v>15135620.98</v>
          </cell>
          <cell r="AZ91">
            <v>14136967.560000001</v>
          </cell>
          <cell r="BA91">
            <v>12148234.609999999</v>
          </cell>
          <cell r="BB91">
            <v>8741615.2899999991</v>
          </cell>
          <cell r="BC91">
            <v>6062603.7000000011</v>
          </cell>
          <cell r="BD91">
            <v>3057295.288989333</v>
          </cell>
          <cell r="BE91">
            <v>191432445.38999999</v>
          </cell>
          <cell r="BF91">
            <v>189570065.72999999</v>
          </cell>
          <cell r="BG91">
            <v>186981714.37</v>
          </cell>
          <cell r="BH91">
            <v>184387618.74000001</v>
          </cell>
          <cell r="BI91">
            <v>181196820.96000001</v>
          </cell>
          <cell r="BJ91">
            <v>178147850.33338109</v>
          </cell>
          <cell r="BK91">
            <v>175200265.21338111</v>
          </cell>
          <cell r="BL91">
            <v>172310539.90338108</v>
          </cell>
          <cell r="BM91">
            <v>170920256.54000005</v>
          </cell>
          <cell r="BN91">
            <v>168051110.61000001</v>
          </cell>
          <cell r="BO91">
            <v>164444126.59</v>
          </cell>
          <cell r="BP91">
            <v>160613109.21000001</v>
          </cell>
          <cell r="BQ91">
            <v>157080495.45000002</v>
          </cell>
          <cell r="BR91">
            <v>153373687</v>
          </cell>
          <cell r="BS91">
            <v>149390537.09999999</v>
          </cell>
          <cell r="BT91">
            <v>145527018.05999997</v>
          </cell>
          <cell r="BU91">
            <v>141889817.00999999</v>
          </cell>
          <cell r="BV91">
            <v>138336595.27000001</v>
          </cell>
          <cell r="BW91">
            <v>135420052.70999998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</row>
        <row r="96">
          <cell r="O96">
            <v>99030.180000000008</v>
          </cell>
          <cell r="P96">
            <v>107195.41</v>
          </cell>
          <cell r="Q96">
            <v>128711.62</v>
          </cell>
          <cell r="R96">
            <v>144152.28</v>
          </cell>
          <cell r="S96">
            <v>102549.29999999999</v>
          </cell>
          <cell r="T96">
            <v>127792.47</v>
          </cell>
          <cell r="U96">
            <v>82944.179999999993</v>
          </cell>
          <cell r="V96">
            <v>200109.46</v>
          </cell>
          <cell r="W96">
            <v>89067.53</v>
          </cell>
          <cell r="X96">
            <v>77236.679999999993</v>
          </cell>
          <cell r="Y96">
            <v>109915.09</v>
          </cell>
          <cell r="Z96">
            <v>191850.95</v>
          </cell>
          <cell r="AA96">
            <v>92177.96</v>
          </cell>
          <cell r="AB96">
            <v>74100.510000000009</v>
          </cell>
          <cell r="AC96">
            <v>69510.05</v>
          </cell>
          <cell r="AD96">
            <v>94599.16</v>
          </cell>
          <cell r="AE96">
            <v>75650.09</v>
          </cell>
          <cell r="AF96">
            <v>70058.930000000008</v>
          </cell>
          <cell r="AG96">
            <v>138836.32</v>
          </cell>
          <cell r="AH96">
            <v>154764.51</v>
          </cell>
          <cell r="AI96">
            <v>23537.760000000009</v>
          </cell>
          <cell r="AJ96">
            <v>7399.9800000000114</v>
          </cell>
          <cell r="AK96">
            <v>-994.94999999999709</v>
          </cell>
          <cell r="AL96">
            <v>13468.560000000001</v>
          </cell>
          <cell r="AM96">
            <v>177111.56000000003</v>
          </cell>
          <cell r="AN96">
            <v>48892.760000000009</v>
          </cell>
          <cell r="AO96">
            <v>120155.35</v>
          </cell>
          <cell r="AP96">
            <v>63358.099999999991</v>
          </cell>
          <cell r="AQ96">
            <v>101207.37999999998</v>
          </cell>
          <cell r="AR96">
            <v>71171.619999999981</v>
          </cell>
          <cell r="AS96">
            <v>59565.02</v>
          </cell>
          <cell r="AT96">
            <v>74792.559999999983</v>
          </cell>
          <cell r="AU96">
            <v>-106295.09</v>
          </cell>
          <cell r="AV96">
            <v>-13517.44999999999</v>
          </cell>
          <cell r="AW96">
            <v>-32468.410000000011</v>
          </cell>
          <cell r="AX96">
            <v>116637.37</v>
          </cell>
          <cell r="AY96">
            <v>88839.3</v>
          </cell>
          <cell r="AZ96">
            <v>78694.020000000019</v>
          </cell>
          <cell r="BA96">
            <v>107597.89000000001</v>
          </cell>
          <cell r="BB96">
            <v>64736.08</v>
          </cell>
          <cell r="BC96">
            <v>85274.15</v>
          </cell>
          <cell r="BD96">
            <v>62063.899999999994</v>
          </cell>
          <cell r="BE96">
            <v>46261.820000000007</v>
          </cell>
          <cell r="BF96">
            <v>25340.609999999982</v>
          </cell>
          <cell r="BG96">
            <v>-101343.68999999999</v>
          </cell>
          <cell r="BH96">
            <v>14185.92</v>
          </cell>
          <cell r="BI96">
            <v>9078.5800000000072</v>
          </cell>
          <cell r="BJ96">
            <v>73315.010000000009</v>
          </cell>
          <cell r="BK96">
            <v>221230.34</v>
          </cell>
          <cell r="BL96">
            <v>137250.54</v>
          </cell>
          <cell r="BM96">
            <v>105591.66</v>
          </cell>
          <cell r="BN96">
            <v>107454.16</v>
          </cell>
          <cell r="BO96">
            <v>100872.94</v>
          </cell>
          <cell r="BP96">
            <v>38305.359999999993</v>
          </cell>
          <cell r="BQ96">
            <v>65244.409999999996</v>
          </cell>
          <cell r="BR96">
            <v>116051.95</v>
          </cell>
          <cell r="BS96">
            <v>-120770.09000000001</v>
          </cell>
          <cell r="BT96">
            <v>12343.580000000005</v>
          </cell>
          <cell r="BU96">
            <v>-34136.199999999997</v>
          </cell>
          <cell r="BV96">
            <v>209067.12999999998</v>
          </cell>
          <cell r="BW96">
            <v>235856.42999999996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</row>
        <row r="97">
          <cell r="O97">
            <v>184892.02</v>
          </cell>
          <cell r="P97">
            <v>181759.19</v>
          </cell>
          <cell r="Q97">
            <v>177821.85</v>
          </cell>
          <cell r="R97">
            <v>173784.8</v>
          </cell>
          <cell r="S97">
            <v>169814.56</v>
          </cell>
          <cell r="T97">
            <v>165956.25</v>
          </cell>
          <cell r="U97">
            <v>162122.84</v>
          </cell>
          <cell r="V97">
            <v>158244.79999999999</v>
          </cell>
          <cell r="W97">
            <v>154753.37</v>
          </cell>
          <cell r="X97">
            <v>149374.64000000001</v>
          </cell>
          <cell r="Y97">
            <v>144538.04999999999</v>
          </cell>
          <cell r="Z97">
            <v>142011.07999999999</v>
          </cell>
          <cell r="AA97">
            <v>138358.51</v>
          </cell>
          <cell r="AB97">
            <v>133563.94</v>
          </cell>
          <cell r="AC97">
            <v>128788.93</v>
          </cell>
          <cell r="AD97">
            <v>124213.74</v>
          </cell>
          <cell r="AE97">
            <v>119659.56</v>
          </cell>
          <cell r="AF97">
            <v>115276.81</v>
          </cell>
          <cell r="AG97">
            <v>110650.83</v>
          </cell>
          <cell r="AH97">
            <v>105859.5</v>
          </cell>
          <cell r="AI97">
            <v>98168.67</v>
          </cell>
          <cell r="AJ97">
            <v>90819.47</v>
          </cell>
          <cell r="AK97">
            <v>87996.22</v>
          </cell>
          <cell r="AL97">
            <v>86145.67</v>
          </cell>
          <cell r="AM97">
            <v>83420.179999999993</v>
          </cell>
          <cell r="AN97">
            <v>77276.75</v>
          </cell>
          <cell r="AO97">
            <v>70877.31</v>
          </cell>
          <cell r="AP97">
            <v>66764.210000000006</v>
          </cell>
          <cell r="AQ97">
            <v>62858.37</v>
          </cell>
          <cell r="AR97">
            <v>59200.78</v>
          </cell>
          <cell r="AS97">
            <v>55958.29</v>
          </cell>
          <cell r="AT97">
            <v>53121.25</v>
          </cell>
          <cell r="AU97">
            <v>50180.71</v>
          </cell>
          <cell r="AV97">
            <v>47112.99</v>
          </cell>
          <cell r="AW97">
            <v>44369.42</v>
          </cell>
          <cell r="AX97">
            <v>42026.43</v>
          </cell>
          <cell r="AY97">
            <v>38707.61</v>
          </cell>
          <cell r="AZ97">
            <v>33526.660000000003</v>
          </cell>
          <cell r="BA97">
            <v>26123.71</v>
          </cell>
          <cell r="BB97">
            <v>18403.23</v>
          </cell>
          <cell r="BC97">
            <v>38140.870000000003</v>
          </cell>
          <cell r="BD97">
            <v>3483.1</v>
          </cell>
          <cell r="BE97">
            <v>672018.81</v>
          </cell>
          <cell r="BF97">
            <v>663016.81000000006</v>
          </cell>
          <cell r="BG97">
            <v>653514.62</v>
          </cell>
          <cell r="BH97">
            <v>643895.54</v>
          </cell>
          <cell r="BI97">
            <v>634265.19999999995</v>
          </cell>
          <cell r="BJ97">
            <v>625021.25</v>
          </cell>
          <cell r="BK97">
            <v>614200.7300000001</v>
          </cell>
          <cell r="BL97">
            <v>602290.30000000005</v>
          </cell>
          <cell r="BM97">
            <v>580044.74</v>
          </cell>
          <cell r="BN97">
            <v>557040.69999999995</v>
          </cell>
          <cell r="BO97">
            <v>543859.06999999995</v>
          </cell>
          <cell r="BP97">
            <v>531103.53</v>
          </cell>
          <cell r="BQ97">
            <v>518589.54</v>
          </cell>
          <cell r="BR97">
            <v>505730.65</v>
          </cell>
          <cell r="BS97">
            <v>493679.07</v>
          </cell>
          <cell r="BT97">
            <v>482550.19</v>
          </cell>
          <cell r="BU97">
            <v>472277.72</v>
          </cell>
          <cell r="BV97">
            <v>463169.13</v>
          </cell>
          <cell r="BW97">
            <v>453566.03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</row>
        <row r="98"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-22304.98</v>
          </cell>
          <cell r="BF98">
            <v>-22304.98</v>
          </cell>
          <cell r="BG98">
            <v>-22304.98</v>
          </cell>
          <cell r="BH98">
            <v>-22304.98</v>
          </cell>
          <cell r="BI98">
            <v>-22304.98</v>
          </cell>
          <cell r="BJ98">
            <v>-22304.98</v>
          </cell>
          <cell r="BK98">
            <v>-22304.98</v>
          </cell>
          <cell r="BL98">
            <v>-16974.41</v>
          </cell>
          <cell r="BM98">
            <v>-5821.92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</row>
        <row r="99">
          <cell r="O99">
            <v>68347</v>
          </cell>
          <cell r="P99">
            <v>68347</v>
          </cell>
          <cell r="Q99">
            <v>68347</v>
          </cell>
          <cell r="R99">
            <v>68347</v>
          </cell>
          <cell r="S99">
            <v>68347</v>
          </cell>
          <cell r="T99">
            <v>68347</v>
          </cell>
          <cell r="U99">
            <v>68347</v>
          </cell>
          <cell r="V99">
            <v>68347</v>
          </cell>
          <cell r="W99">
            <v>68347</v>
          </cell>
          <cell r="X99">
            <v>68347</v>
          </cell>
          <cell r="Y99">
            <v>68347</v>
          </cell>
          <cell r="Z99">
            <v>68347</v>
          </cell>
          <cell r="AA99">
            <v>40112</v>
          </cell>
          <cell r="AB99">
            <v>40112</v>
          </cell>
          <cell r="AC99">
            <v>40112</v>
          </cell>
          <cell r="AD99">
            <v>40112</v>
          </cell>
          <cell r="AE99">
            <v>40112</v>
          </cell>
          <cell r="AF99">
            <v>40112</v>
          </cell>
          <cell r="AG99">
            <v>40112</v>
          </cell>
          <cell r="AH99">
            <v>40112</v>
          </cell>
          <cell r="AI99">
            <v>40112</v>
          </cell>
          <cell r="AJ99">
            <v>40112</v>
          </cell>
          <cell r="AK99">
            <v>40112</v>
          </cell>
          <cell r="AL99">
            <v>40112</v>
          </cell>
          <cell r="AM99">
            <v>20784</v>
          </cell>
          <cell r="AN99">
            <v>20784</v>
          </cell>
          <cell r="AO99">
            <v>20784</v>
          </cell>
          <cell r="AP99">
            <v>20784</v>
          </cell>
          <cell r="AQ99">
            <v>20784</v>
          </cell>
          <cell r="AR99">
            <v>20784</v>
          </cell>
          <cell r="AS99">
            <v>20784</v>
          </cell>
          <cell r="AT99">
            <v>20784</v>
          </cell>
          <cell r="AU99">
            <v>20784</v>
          </cell>
          <cell r="AV99">
            <v>20784</v>
          </cell>
          <cell r="AW99">
            <v>20784</v>
          </cell>
          <cell r="AX99">
            <v>20784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215880</v>
          </cell>
          <cell r="BF99">
            <v>215880</v>
          </cell>
          <cell r="BG99">
            <v>215880</v>
          </cell>
          <cell r="BH99">
            <v>215880</v>
          </cell>
          <cell r="BI99">
            <v>215880</v>
          </cell>
          <cell r="BJ99">
            <v>215880</v>
          </cell>
          <cell r="BK99">
            <v>170197</v>
          </cell>
          <cell r="BL99">
            <v>170197</v>
          </cell>
          <cell r="BM99">
            <v>170197</v>
          </cell>
          <cell r="BN99">
            <v>170197</v>
          </cell>
          <cell r="BO99">
            <v>170197</v>
          </cell>
          <cell r="BP99">
            <v>170197</v>
          </cell>
          <cell r="BQ99">
            <v>170197</v>
          </cell>
          <cell r="BR99">
            <v>170197</v>
          </cell>
          <cell r="BS99">
            <v>170197</v>
          </cell>
          <cell r="BT99">
            <v>170197</v>
          </cell>
          <cell r="BU99">
            <v>170197</v>
          </cell>
          <cell r="BV99">
            <v>170197</v>
          </cell>
          <cell r="BW99">
            <v>118644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</row>
        <row r="100">
          <cell r="O100">
            <v>352269.2</v>
          </cell>
          <cell r="P100">
            <v>357301.6</v>
          </cell>
          <cell r="Q100">
            <v>374880.47</v>
          </cell>
          <cell r="R100">
            <v>386284.07999999996</v>
          </cell>
          <cell r="S100">
            <v>340710.86</v>
          </cell>
          <cell r="T100">
            <v>362095.72</v>
          </cell>
          <cell r="U100">
            <v>313414.02</v>
          </cell>
          <cell r="V100">
            <v>426701.26</v>
          </cell>
          <cell r="W100">
            <v>312167.90000000002</v>
          </cell>
          <cell r="X100">
            <v>294958.32</v>
          </cell>
          <cell r="Y100">
            <v>322800.14</v>
          </cell>
          <cell r="Z100">
            <v>402209.03</v>
          </cell>
          <cell r="AA100">
            <v>270648.47000000003</v>
          </cell>
          <cell r="AB100">
            <v>247776.45</v>
          </cell>
          <cell r="AC100">
            <v>238410.97999999998</v>
          </cell>
          <cell r="AD100">
            <v>258924.90000000002</v>
          </cell>
          <cell r="AE100">
            <v>235421.65</v>
          </cell>
          <cell r="AF100">
            <v>225447.74</v>
          </cell>
          <cell r="AG100">
            <v>289599.15000000002</v>
          </cell>
          <cell r="AH100">
            <v>300736.01</v>
          </cell>
          <cell r="AI100">
            <v>161818.43</v>
          </cell>
          <cell r="AJ100">
            <v>138331.45000000001</v>
          </cell>
          <cell r="AK100">
            <v>127113.27</v>
          </cell>
          <cell r="AL100">
            <v>139726.22999999998</v>
          </cell>
          <cell r="AM100">
            <v>281315.74</v>
          </cell>
          <cell r="AN100">
            <v>146953.51</v>
          </cell>
          <cell r="AO100">
            <v>211816.66</v>
          </cell>
          <cell r="AP100">
            <v>150906.31</v>
          </cell>
          <cell r="AQ100">
            <v>184849.74999999997</v>
          </cell>
          <cell r="AR100">
            <v>151156.39999999997</v>
          </cell>
          <cell r="AS100">
            <v>136307.31</v>
          </cell>
          <cell r="AT100">
            <v>148697.81</v>
          </cell>
          <cell r="AU100">
            <v>-35330.379999999997</v>
          </cell>
          <cell r="AV100">
            <v>54379.540000000008</v>
          </cell>
          <cell r="AW100">
            <v>32685.009999999987</v>
          </cell>
          <cell r="AX100">
            <v>179447.8</v>
          </cell>
          <cell r="AY100">
            <v>127546.91</v>
          </cell>
          <cell r="AZ100">
            <v>112220.68000000002</v>
          </cell>
          <cell r="BA100">
            <v>133721.60000000001</v>
          </cell>
          <cell r="BB100">
            <v>83139.31</v>
          </cell>
          <cell r="BC100">
            <v>123415.01999999999</v>
          </cell>
          <cell r="BD100">
            <v>65547</v>
          </cell>
          <cell r="BE100">
            <v>911855.65000000014</v>
          </cell>
          <cell r="BF100">
            <v>881932.44000000006</v>
          </cell>
          <cell r="BG100">
            <v>745745.95000000007</v>
          </cell>
          <cell r="BH100">
            <v>851656.4800000001</v>
          </cell>
          <cell r="BI100">
            <v>836918.79999999993</v>
          </cell>
          <cell r="BJ100">
            <v>891911.28</v>
          </cell>
          <cell r="BK100">
            <v>983323.09000000008</v>
          </cell>
          <cell r="BL100">
            <v>892763.43</v>
          </cell>
          <cell r="BM100">
            <v>850011.48</v>
          </cell>
          <cell r="BN100">
            <v>834691.86</v>
          </cell>
          <cell r="BO100">
            <v>814929.01</v>
          </cell>
          <cell r="BP100">
            <v>739605.89</v>
          </cell>
          <cell r="BQ100">
            <v>754030.95</v>
          </cell>
          <cell r="BR100">
            <v>791979.6</v>
          </cell>
          <cell r="BS100">
            <v>543105.98</v>
          </cell>
          <cell r="BT100">
            <v>665090.77</v>
          </cell>
          <cell r="BU100">
            <v>608338.52</v>
          </cell>
          <cell r="BV100">
            <v>842433.26</v>
          </cell>
          <cell r="BW100">
            <v>808066.46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</row>
        <row r="105">
          <cell r="O105">
            <v>70486884.260000005</v>
          </cell>
          <cell r="P105">
            <v>69585357.030000001</v>
          </cell>
          <cell r="Q105">
            <v>68350972.799999997</v>
          </cell>
          <cell r="R105">
            <v>66206664.620000005</v>
          </cell>
          <cell r="S105">
            <v>65385667.210000008</v>
          </cell>
          <cell r="T105">
            <v>63883327.61999999</v>
          </cell>
          <cell r="U105">
            <v>62601685.850000001</v>
          </cell>
          <cell r="V105">
            <v>61095991.610000014</v>
          </cell>
          <cell r="W105">
            <v>59624922.113833405</v>
          </cell>
          <cell r="X105">
            <v>58142447.420000002</v>
          </cell>
          <cell r="Y105">
            <v>55099391.380000003</v>
          </cell>
          <cell r="Z105">
            <v>54052047.450000003</v>
          </cell>
          <cell r="AA105">
            <v>52444343.079999998</v>
          </cell>
          <cell r="AB105">
            <v>51164363.659999996</v>
          </cell>
          <cell r="AC105">
            <v>49201537.43</v>
          </cell>
          <cell r="AD105">
            <v>47594025.260000005</v>
          </cell>
          <cell r="AE105">
            <v>45823216.505173191</v>
          </cell>
          <cell r="AF105">
            <v>44201956.8900702</v>
          </cell>
          <cell r="AG105">
            <v>42563760.358305059</v>
          </cell>
          <cell r="AH105">
            <v>40663405.579999998</v>
          </cell>
          <cell r="AI105">
            <v>38853630.920000002</v>
          </cell>
          <cell r="AJ105">
            <v>34823878.879751697</v>
          </cell>
          <cell r="AK105">
            <v>34032430.091283031</v>
          </cell>
          <cell r="AL105">
            <v>32782502.640000001</v>
          </cell>
          <cell r="AM105">
            <v>31865734.080000006</v>
          </cell>
          <cell r="AN105">
            <v>30628476.340000004</v>
          </cell>
          <cell r="AO105">
            <v>27666916</v>
          </cell>
          <cell r="AP105">
            <v>26600518.310000002</v>
          </cell>
          <cell r="AQ105">
            <v>24810899.939999998</v>
          </cell>
          <cell r="AR105">
            <v>23481528.329999998</v>
          </cell>
          <cell r="AS105">
            <v>21987342.414783753</v>
          </cell>
          <cell r="AT105">
            <v>20865031.75</v>
          </cell>
          <cell r="AU105">
            <v>19699726.879999995</v>
          </cell>
          <cell r="AV105">
            <v>18473927.586794384</v>
          </cell>
          <cell r="AW105">
            <v>17176942.459999997</v>
          </cell>
          <cell r="AX105">
            <v>16199247.460000001</v>
          </cell>
          <cell r="AY105">
            <v>15135620.98</v>
          </cell>
          <cell r="AZ105">
            <v>14136967.560000001</v>
          </cell>
          <cell r="BA105">
            <v>12148234.609999999</v>
          </cell>
          <cell r="BB105">
            <v>8741615.2899999991</v>
          </cell>
          <cell r="BC105">
            <v>6062603.7000000011</v>
          </cell>
          <cell r="BD105">
            <v>3057295.288989333</v>
          </cell>
          <cell r="BE105">
            <v>191432445.38999999</v>
          </cell>
          <cell r="BF105">
            <v>189570065.72999999</v>
          </cell>
          <cell r="BG105">
            <v>186981714.37</v>
          </cell>
          <cell r="BH105">
            <v>184387618.74000001</v>
          </cell>
          <cell r="BI105">
            <v>181196820.96000001</v>
          </cell>
          <cell r="BJ105">
            <v>178147850.33338109</v>
          </cell>
          <cell r="BK105">
            <v>175200265.21338111</v>
          </cell>
          <cell r="BL105">
            <v>172310539.90338108</v>
          </cell>
          <cell r="BM105">
            <v>170920256.54000005</v>
          </cell>
          <cell r="BN105">
            <v>168051110.61000001</v>
          </cell>
          <cell r="BO105">
            <v>164444126.59</v>
          </cell>
          <cell r="BP105">
            <v>160613109.21000001</v>
          </cell>
          <cell r="BQ105">
            <v>157080495.45000002</v>
          </cell>
          <cell r="BR105">
            <v>153373687</v>
          </cell>
          <cell r="BS105">
            <v>149390537.09999999</v>
          </cell>
          <cell r="BT105">
            <v>145527018.05999997</v>
          </cell>
          <cell r="BU105">
            <v>141889817.00999999</v>
          </cell>
          <cell r="BV105">
            <v>138336595.27000001</v>
          </cell>
          <cell r="BW105">
            <v>135420052.70999998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</row>
        <row r="106">
          <cell r="O106">
            <v>62073823.259999998</v>
          </cell>
          <cell r="P106">
            <v>61372734.850000001</v>
          </cell>
          <cell r="Q106">
            <v>60626132.829999998</v>
          </cell>
          <cell r="R106">
            <v>59853648.840000004</v>
          </cell>
          <cell r="S106">
            <v>59147758.189999998</v>
          </cell>
          <cell r="T106">
            <v>58368019.57</v>
          </cell>
          <cell r="U106">
            <v>57580118.409999996</v>
          </cell>
          <cell r="V106">
            <v>56743190.509999998</v>
          </cell>
          <cell r="W106">
            <v>55872630.289999999</v>
          </cell>
          <cell r="X106">
            <v>54934557.329999998</v>
          </cell>
          <cell r="Y106">
            <v>53865260.640000001</v>
          </cell>
          <cell r="Z106">
            <v>53248195.270000003</v>
          </cell>
          <cell r="AA106">
            <v>42001137.340000004</v>
          </cell>
          <cell r="AB106">
            <v>41130870.189999998</v>
          </cell>
          <cell r="AC106">
            <v>40218734.420000002</v>
          </cell>
          <cell r="AD106">
            <v>39320454.119999997</v>
          </cell>
          <cell r="AE106">
            <v>38401168.439999998</v>
          </cell>
          <cell r="AF106">
            <v>37473412.43</v>
          </cell>
          <cell r="AG106">
            <v>36512191.789999999</v>
          </cell>
          <cell r="AH106">
            <v>35503597.030000001</v>
          </cell>
          <cell r="AI106">
            <v>34471635.32</v>
          </cell>
          <cell r="AJ106">
            <v>33376136.420000002</v>
          </cell>
          <cell r="AK106">
            <v>32893555.600000001</v>
          </cell>
          <cell r="AL106">
            <v>32324118.359999999</v>
          </cell>
          <cell r="AM106">
            <v>22660916.350000001</v>
          </cell>
          <cell r="AN106">
            <v>21893848.199999999</v>
          </cell>
          <cell r="AO106">
            <v>21099791.100000001</v>
          </cell>
          <cell r="AP106">
            <v>20443078.609999999</v>
          </cell>
          <cell r="AQ106">
            <v>19758918.640000001</v>
          </cell>
          <cell r="AR106">
            <v>19127420.98</v>
          </cell>
          <cell r="AS106">
            <v>18505405.649999999</v>
          </cell>
          <cell r="AT106">
            <v>17925082.850000001</v>
          </cell>
          <cell r="AU106">
            <v>17337093.07</v>
          </cell>
          <cell r="AV106">
            <v>16746434.619999999</v>
          </cell>
          <cell r="AW106">
            <v>16170603.630000001</v>
          </cell>
          <cell r="AX106">
            <v>15667434.220000001</v>
          </cell>
          <cell r="AY106">
            <v>8468905.3499999996</v>
          </cell>
          <cell r="AZ106">
            <v>7357786.0700000003</v>
          </cell>
          <cell r="BA106">
            <v>6001949.7800000003</v>
          </cell>
          <cell r="BB106">
            <v>4465378.57</v>
          </cell>
          <cell r="BC106">
            <v>3039966.33</v>
          </cell>
          <cell r="BD106">
            <v>1528647.64</v>
          </cell>
          <cell r="BE106">
            <v>183845254.38999999</v>
          </cell>
          <cell r="BF106">
            <v>182580722.56</v>
          </cell>
          <cell r="BG106">
            <v>181182853.91999999</v>
          </cell>
          <cell r="BH106">
            <v>179733138.81</v>
          </cell>
          <cell r="BI106">
            <v>178181645.5</v>
          </cell>
          <cell r="BJ106">
            <v>176674057.77000001</v>
          </cell>
          <cell r="BK106">
            <v>156350585.44</v>
          </cell>
          <cell r="BL106">
            <v>154779778.78999999</v>
          </cell>
          <cell r="BM106">
            <v>153186073.22999999</v>
          </cell>
          <cell r="BN106">
            <v>151412654.90000001</v>
          </cell>
          <cell r="BO106">
            <v>149563937.59999999</v>
          </cell>
          <cell r="BP106">
            <v>147703913.97999999</v>
          </cell>
          <cell r="BQ106">
            <v>145859743.22999999</v>
          </cell>
          <cell r="BR106">
            <v>143989617.86000001</v>
          </cell>
          <cell r="BS106">
            <v>142112804.03</v>
          </cell>
          <cell r="BT106">
            <v>140293370.75999999</v>
          </cell>
          <cell r="BU106">
            <v>138548821.66</v>
          </cell>
          <cell r="BV106">
            <v>136878323.99000001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</row>
        <row r="107">
          <cell r="O107">
            <v>62073823.259999998</v>
          </cell>
          <cell r="P107">
            <v>62073823.259999998</v>
          </cell>
          <cell r="Q107">
            <v>62073823.259999998</v>
          </cell>
          <cell r="R107">
            <v>62073823.259999998</v>
          </cell>
          <cell r="S107">
            <v>62073823.259999998</v>
          </cell>
          <cell r="T107">
            <v>62073823.259999998</v>
          </cell>
          <cell r="U107">
            <v>62073823.259999998</v>
          </cell>
          <cell r="V107">
            <v>62073823.259999998</v>
          </cell>
          <cell r="W107">
            <v>62073823.259999998</v>
          </cell>
          <cell r="X107">
            <v>62073823.259999998</v>
          </cell>
          <cell r="Y107">
            <v>62073823.259999998</v>
          </cell>
          <cell r="Z107">
            <v>62073823.259999998</v>
          </cell>
          <cell r="AA107">
            <v>42001137.340000004</v>
          </cell>
          <cell r="AB107">
            <v>42001137.340000004</v>
          </cell>
          <cell r="AC107">
            <v>42001137.340000004</v>
          </cell>
          <cell r="AD107">
            <v>42001137.340000004</v>
          </cell>
          <cell r="AE107">
            <v>42001137.340000004</v>
          </cell>
          <cell r="AF107">
            <v>42001137.340000004</v>
          </cell>
          <cell r="AG107">
            <v>42001137.340000004</v>
          </cell>
          <cell r="AH107">
            <v>42001137.340000004</v>
          </cell>
          <cell r="AI107">
            <v>42001137.340000004</v>
          </cell>
          <cell r="AJ107">
            <v>42001137.340000004</v>
          </cell>
          <cell r="AK107">
            <v>42001137.340000004</v>
          </cell>
          <cell r="AL107">
            <v>42001137.340000004</v>
          </cell>
          <cell r="AM107">
            <v>22660916.350000001</v>
          </cell>
          <cell r="AN107">
            <v>22660916.350000001</v>
          </cell>
          <cell r="AO107">
            <v>22660916.350000001</v>
          </cell>
          <cell r="AP107">
            <v>22660916.350000001</v>
          </cell>
          <cell r="AQ107">
            <v>22660916.350000001</v>
          </cell>
          <cell r="AR107">
            <v>22660916.350000001</v>
          </cell>
          <cell r="AS107">
            <v>22660916.350000001</v>
          </cell>
          <cell r="AT107">
            <v>22660916.350000001</v>
          </cell>
          <cell r="AU107">
            <v>22660916.350000001</v>
          </cell>
          <cell r="AV107">
            <v>22660916.350000001</v>
          </cell>
          <cell r="AW107">
            <v>22660916.350000001</v>
          </cell>
          <cell r="AX107">
            <v>22660916.350000001</v>
          </cell>
          <cell r="AY107">
            <v>8468905.3499999996</v>
          </cell>
          <cell r="AZ107">
            <v>8468905.3499999996</v>
          </cell>
          <cell r="BA107">
            <v>8468905.3499999996</v>
          </cell>
          <cell r="BB107">
            <v>8468905.3499999996</v>
          </cell>
          <cell r="BC107">
            <v>8468905.3499999996</v>
          </cell>
          <cell r="BD107">
            <v>8468905.3499999996</v>
          </cell>
          <cell r="BE107">
            <v>183845254.38999999</v>
          </cell>
          <cell r="BF107">
            <v>183845254.38999999</v>
          </cell>
          <cell r="BG107">
            <v>183845254.38999999</v>
          </cell>
          <cell r="BH107">
            <v>183845254.38999999</v>
          </cell>
          <cell r="BI107">
            <v>183845254.38999999</v>
          </cell>
          <cell r="BJ107">
            <v>183845254.38999999</v>
          </cell>
          <cell r="BK107">
            <v>156350585.44</v>
          </cell>
          <cell r="BL107">
            <v>156350585.44</v>
          </cell>
          <cell r="BM107">
            <v>156350585.44</v>
          </cell>
          <cell r="BN107">
            <v>156350585.44</v>
          </cell>
          <cell r="BO107">
            <v>156350585.44</v>
          </cell>
          <cell r="BP107">
            <v>156350585.44</v>
          </cell>
          <cell r="BQ107">
            <v>156350585.44</v>
          </cell>
          <cell r="BR107">
            <v>156350585.44</v>
          </cell>
          <cell r="BS107">
            <v>156350585.44</v>
          </cell>
          <cell r="BT107">
            <v>156350585.44</v>
          </cell>
          <cell r="BU107">
            <v>156350585.44</v>
          </cell>
          <cell r="BV107">
            <v>156350585.44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</row>
        <row r="108">
          <cell r="O108">
            <v>5172818.6100000003</v>
          </cell>
          <cell r="P108">
            <v>5172818.6100000003</v>
          </cell>
          <cell r="Q108">
            <v>5172818.6100000003</v>
          </cell>
          <cell r="R108">
            <v>5172818.6100000003</v>
          </cell>
          <cell r="S108">
            <v>5172818.6100000003</v>
          </cell>
          <cell r="T108">
            <v>5172818.6100000003</v>
          </cell>
          <cell r="U108">
            <v>5172818.6100000003</v>
          </cell>
          <cell r="V108">
            <v>5172818.6100000003</v>
          </cell>
          <cell r="W108">
            <v>5172818.6100000003</v>
          </cell>
          <cell r="X108">
            <v>5172818.6100000003</v>
          </cell>
          <cell r="Y108">
            <v>5172818.6100000003</v>
          </cell>
          <cell r="Z108">
            <v>5172818.6100000003</v>
          </cell>
          <cell r="AA108">
            <v>3500094.78</v>
          </cell>
          <cell r="AB108">
            <v>3500094.78</v>
          </cell>
          <cell r="AC108">
            <v>3500094.78</v>
          </cell>
          <cell r="AD108">
            <v>3500094.78</v>
          </cell>
          <cell r="AE108">
            <v>3500094.78</v>
          </cell>
          <cell r="AF108">
            <v>3500094.78</v>
          </cell>
          <cell r="AG108">
            <v>3500094.78</v>
          </cell>
          <cell r="AH108">
            <v>3500094.78</v>
          </cell>
          <cell r="AI108">
            <v>3500094.78</v>
          </cell>
          <cell r="AJ108">
            <v>3500094.78</v>
          </cell>
          <cell r="AK108">
            <v>3500094.78</v>
          </cell>
          <cell r="AL108">
            <v>3500094.78</v>
          </cell>
          <cell r="AM108">
            <v>1888409.7</v>
          </cell>
          <cell r="AN108">
            <v>1888409.7</v>
          </cell>
          <cell r="AO108">
            <v>1888409.7</v>
          </cell>
          <cell r="AP108">
            <v>1888409.7</v>
          </cell>
          <cell r="AQ108">
            <v>1888409.7</v>
          </cell>
          <cell r="AR108">
            <v>1888409.7</v>
          </cell>
          <cell r="AS108">
            <v>1888409.7</v>
          </cell>
          <cell r="AT108">
            <v>1888409.7</v>
          </cell>
          <cell r="AU108">
            <v>1888409.7</v>
          </cell>
          <cell r="AV108">
            <v>1888409.7</v>
          </cell>
          <cell r="AW108">
            <v>1888409.7</v>
          </cell>
          <cell r="AX108">
            <v>1888409.7</v>
          </cell>
          <cell r="AY108">
            <v>705742.11</v>
          </cell>
          <cell r="AZ108">
            <v>705742.11</v>
          </cell>
          <cell r="BA108">
            <v>705742.11</v>
          </cell>
          <cell r="BB108">
            <v>705742.11</v>
          </cell>
          <cell r="BC108">
            <v>705742.11</v>
          </cell>
          <cell r="BD108">
            <v>705742.11</v>
          </cell>
          <cell r="BE108">
            <v>15320437.869999999</v>
          </cell>
          <cell r="BF108">
            <v>15320437.869999999</v>
          </cell>
          <cell r="BG108">
            <v>15320437.869999999</v>
          </cell>
          <cell r="BH108">
            <v>15320437.869999999</v>
          </cell>
          <cell r="BI108">
            <v>15320437.869999999</v>
          </cell>
          <cell r="BJ108">
            <v>15320437.869999999</v>
          </cell>
          <cell r="BK108">
            <v>13029215.449999999</v>
          </cell>
          <cell r="BL108">
            <v>13029215.449999999</v>
          </cell>
          <cell r="BM108">
            <v>13029215.449999999</v>
          </cell>
          <cell r="BN108">
            <v>13029215.449999999</v>
          </cell>
          <cell r="BO108">
            <v>13029215.449999999</v>
          </cell>
          <cell r="BP108">
            <v>13029215.449999999</v>
          </cell>
          <cell r="BQ108">
            <v>13029215.449999999</v>
          </cell>
          <cell r="BR108">
            <v>13029215.449999999</v>
          </cell>
          <cell r="BS108">
            <v>13029215.449999999</v>
          </cell>
          <cell r="BT108">
            <v>13029215.449999999</v>
          </cell>
          <cell r="BU108">
            <v>13029215.449999999</v>
          </cell>
          <cell r="BV108">
            <v>13029215.449999999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</row>
        <row r="109">
          <cell r="O109">
            <v>8.9200000000000002E-2</v>
          </cell>
          <cell r="P109">
            <v>8.9200000000000002E-2</v>
          </cell>
          <cell r="Q109">
            <v>8.9200000000000002E-2</v>
          </cell>
          <cell r="R109">
            <v>8.9200000000000002E-2</v>
          </cell>
          <cell r="S109">
            <v>8.9200000000000002E-2</v>
          </cell>
          <cell r="T109">
            <v>8.9200000000000002E-2</v>
          </cell>
          <cell r="U109">
            <v>8.9200000000000002E-2</v>
          </cell>
          <cell r="V109">
            <v>8.9200000000000002E-2</v>
          </cell>
          <cell r="W109">
            <v>8.9200000000000002E-2</v>
          </cell>
          <cell r="X109">
            <v>8.9200000000000002E-2</v>
          </cell>
          <cell r="Y109">
            <v>8.9200000000000002E-2</v>
          </cell>
          <cell r="Z109">
            <v>8.9200000000000002E-2</v>
          </cell>
          <cell r="AA109">
            <v>8.9200000000000002E-2</v>
          </cell>
          <cell r="AB109">
            <v>8.9200000000000002E-2</v>
          </cell>
          <cell r="AC109">
            <v>8.9200000000000002E-2</v>
          </cell>
          <cell r="AD109">
            <v>8.9200000000000002E-2</v>
          </cell>
          <cell r="AE109">
            <v>8.9200000000000002E-2</v>
          </cell>
          <cell r="AF109">
            <v>8.9200000000000002E-2</v>
          </cell>
          <cell r="AG109">
            <v>8.9200000000000002E-2</v>
          </cell>
          <cell r="AH109">
            <v>8.9200000000000002E-2</v>
          </cell>
          <cell r="AI109">
            <v>8.6800000000000002E-2</v>
          </cell>
          <cell r="AJ109">
            <v>8.6800000000000002E-2</v>
          </cell>
          <cell r="AK109">
            <v>8.6800000000000002E-2</v>
          </cell>
          <cell r="AL109">
            <v>8.6800000000000002E-2</v>
          </cell>
          <cell r="AM109">
            <v>8.6800000000000002E-2</v>
          </cell>
          <cell r="AN109">
            <v>8.6800000000000002E-2</v>
          </cell>
          <cell r="AO109">
            <v>8.6800000000000002E-2</v>
          </cell>
          <cell r="AP109">
            <v>8.6800000000000002E-2</v>
          </cell>
          <cell r="AQ109">
            <v>8.6800000000000002E-2</v>
          </cell>
          <cell r="AR109">
            <v>8.6800000000000002E-2</v>
          </cell>
          <cell r="AS109">
            <v>8.6800000000000002E-2</v>
          </cell>
          <cell r="AT109">
            <v>8.6800000000000002E-2</v>
          </cell>
          <cell r="AU109">
            <v>8.6800000000000002E-2</v>
          </cell>
          <cell r="AV109">
            <v>8.6800000000000002E-2</v>
          </cell>
          <cell r="AW109">
            <v>8.6800000000000002E-2</v>
          </cell>
          <cell r="AX109">
            <v>8.6800000000000002E-2</v>
          </cell>
          <cell r="AY109">
            <v>0.10249999999999999</v>
          </cell>
          <cell r="AZ109">
            <v>0.10249999999999999</v>
          </cell>
          <cell r="BA109">
            <v>0.10249999999999999</v>
          </cell>
          <cell r="BB109">
            <v>0.10249999999999999</v>
          </cell>
          <cell r="BC109">
            <v>0.10249999999999999</v>
          </cell>
          <cell r="BD109">
            <v>0.10249999999999999</v>
          </cell>
          <cell r="BE109">
            <v>0.10440000000000001</v>
          </cell>
          <cell r="BF109">
            <v>0.10440000000000001</v>
          </cell>
          <cell r="BG109">
            <v>0.10440000000000001</v>
          </cell>
          <cell r="BH109">
            <v>0.10440000000000001</v>
          </cell>
          <cell r="BI109">
            <v>0.10440000000000001</v>
          </cell>
          <cell r="BJ109">
            <v>0.10440000000000001</v>
          </cell>
          <cell r="BK109">
            <v>0.10440000000000001</v>
          </cell>
          <cell r="BL109">
            <v>0.10440000000000001</v>
          </cell>
          <cell r="BM109">
            <v>0.10440000000000001</v>
          </cell>
          <cell r="BN109">
            <v>0.10440000000000001</v>
          </cell>
          <cell r="BO109">
            <v>0.10440000000000001</v>
          </cell>
          <cell r="BP109">
            <v>0.10440000000000001</v>
          </cell>
          <cell r="BQ109">
            <v>0.10440000000000001</v>
          </cell>
          <cell r="BR109">
            <v>0.10440000000000001</v>
          </cell>
          <cell r="BS109">
            <v>0.10440000000000001</v>
          </cell>
          <cell r="BT109">
            <v>0.10440000000000001</v>
          </cell>
          <cell r="BU109">
            <v>0.10440000000000001</v>
          </cell>
          <cell r="BV109">
            <v>0.10440000000000001</v>
          </cell>
          <cell r="BW109">
            <v>0.10440000000000001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</row>
        <row r="110">
          <cell r="O110">
            <v>461415.42</v>
          </cell>
          <cell r="P110">
            <v>461415.42</v>
          </cell>
          <cell r="Q110">
            <v>461415.42</v>
          </cell>
          <cell r="R110">
            <v>461415.42</v>
          </cell>
          <cell r="S110">
            <v>461415.42</v>
          </cell>
          <cell r="T110">
            <v>461415.42</v>
          </cell>
          <cell r="U110">
            <v>461415.42</v>
          </cell>
          <cell r="V110">
            <v>461415.42</v>
          </cell>
          <cell r="W110">
            <v>461415.42</v>
          </cell>
          <cell r="X110">
            <v>461415.42</v>
          </cell>
          <cell r="Y110">
            <v>461415.42</v>
          </cell>
          <cell r="Z110">
            <v>461415.42</v>
          </cell>
          <cell r="AA110">
            <v>312208.45</v>
          </cell>
          <cell r="AB110">
            <v>312208.45</v>
          </cell>
          <cell r="AC110">
            <v>312208.45</v>
          </cell>
          <cell r="AD110">
            <v>312208.45</v>
          </cell>
          <cell r="AE110">
            <v>312208.45</v>
          </cell>
          <cell r="AF110">
            <v>312208.45</v>
          </cell>
          <cell r="AG110">
            <v>312208.45</v>
          </cell>
          <cell r="AH110">
            <v>312208.45</v>
          </cell>
          <cell r="AI110">
            <v>303808.23</v>
          </cell>
          <cell r="AJ110">
            <v>303808.23</v>
          </cell>
          <cell r="AK110">
            <v>303808.23</v>
          </cell>
          <cell r="AL110">
            <v>303808.23</v>
          </cell>
          <cell r="AM110">
            <v>163913.96</v>
          </cell>
          <cell r="AN110">
            <v>163913.96</v>
          </cell>
          <cell r="AO110">
            <v>163913.96</v>
          </cell>
          <cell r="AP110">
            <v>163913.96</v>
          </cell>
          <cell r="AQ110">
            <v>163913.96</v>
          </cell>
          <cell r="AR110">
            <v>163913.96</v>
          </cell>
          <cell r="AS110">
            <v>163913.96</v>
          </cell>
          <cell r="AT110">
            <v>163913.96</v>
          </cell>
          <cell r="AU110">
            <v>163913.96</v>
          </cell>
          <cell r="AV110">
            <v>163913.96</v>
          </cell>
          <cell r="AW110">
            <v>163913.96</v>
          </cell>
          <cell r="AX110">
            <v>163913.96</v>
          </cell>
          <cell r="AY110">
            <v>72338.570000000007</v>
          </cell>
          <cell r="AZ110">
            <v>72338.570000000007</v>
          </cell>
          <cell r="BA110">
            <v>72338.570000000007</v>
          </cell>
          <cell r="BB110">
            <v>72338.570000000007</v>
          </cell>
          <cell r="BC110">
            <v>72338.570000000007</v>
          </cell>
          <cell r="BD110">
            <v>72338.570000000007</v>
          </cell>
          <cell r="BE110">
            <v>1599453.71</v>
          </cell>
          <cell r="BF110">
            <v>1599453.71</v>
          </cell>
          <cell r="BG110">
            <v>1599453.71</v>
          </cell>
          <cell r="BH110">
            <v>1599453.71</v>
          </cell>
          <cell r="BI110">
            <v>1599453.71</v>
          </cell>
          <cell r="BJ110">
            <v>1599453.71</v>
          </cell>
          <cell r="BK110">
            <v>1360250.09</v>
          </cell>
          <cell r="BL110">
            <v>1360250.09</v>
          </cell>
          <cell r="BM110">
            <v>1360250.09</v>
          </cell>
          <cell r="BN110">
            <v>1360250.09</v>
          </cell>
          <cell r="BO110">
            <v>1360250.09</v>
          </cell>
          <cell r="BP110">
            <v>1360250.09</v>
          </cell>
          <cell r="BQ110">
            <v>1360250.09</v>
          </cell>
          <cell r="BR110">
            <v>1360250.09</v>
          </cell>
          <cell r="BS110">
            <v>1360250.09</v>
          </cell>
          <cell r="BT110">
            <v>1360250.09</v>
          </cell>
          <cell r="BU110">
            <v>1360250.09</v>
          </cell>
          <cell r="BV110">
            <v>1360250.09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</row>
        <row r="111">
          <cell r="O111">
            <v>352269.2</v>
          </cell>
          <cell r="P111">
            <v>357301.6</v>
          </cell>
          <cell r="Q111">
            <v>374880.47</v>
          </cell>
          <cell r="R111">
            <v>386284.07999999996</v>
          </cell>
          <cell r="S111">
            <v>340710.86</v>
          </cell>
          <cell r="T111">
            <v>362095.72</v>
          </cell>
          <cell r="U111">
            <v>313414.02</v>
          </cell>
          <cell r="V111">
            <v>426701.26</v>
          </cell>
          <cell r="W111">
            <v>312167.90000000002</v>
          </cell>
          <cell r="X111">
            <v>294958.32</v>
          </cell>
          <cell r="Y111">
            <v>322800.14</v>
          </cell>
          <cell r="Z111">
            <v>402209.03</v>
          </cell>
          <cell r="AA111">
            <v>270648.47000000003</v>
          </cell>
          <cell r="AB111">
            <v>247776.45</v>
          </cell>
          <cell r="AC111">
            <v>238410.97999999998</v>
          </cell>
          <cell r="AD111">
            <v>258924.90000000002</v>
          </cell>
          <cell r="AE111">
            <v>235421.65</v>
          </cell>
          <cell r="AF111">
            <v>225447.74</v>
          </cell>
          <cell r="AG111">
            <v>289599.15000000002</v>
          </cell>
          <cell r="AH111">
            <v>300736.01</v>
          </cell>
          <cell r="AI111">
            <v>161818.43</v>
          </cell>
          <cell r="AJ111">
            <v>138331.45000000001</v>
          </cell>
          <cell r="AK111">
            <v>127113.27</v>
          </cell>
          <cell r="AL111">
            <v>139726.22999999998</v>
          </cell>
          <cell r="AM111">
            <v>281315.74</v>
          </cell>
          <cell r="AN111">
            <v>146953.51</v>
          </cell>
          <cell r="AO111">
            <v>211816.66</v>
          </cell>
          <cell r="AP111">
            <v>150906.31</v>
          </cell>
          <cell r="AQ111">
            <v>184849.74999999997</v>
          </cell>
          <cell r="AR111">
            <v>151156.39999999997</v>
          </cell>
          <cell r="AS111">
            <v>136307.31</v>
          </cell>
          <cell r="AT111">
            <v>148697.81</v>
          </cell>
          <cell r="AU111">
            <v>-35330.379999999997</v>
          </cell>
          <cell r="AV111">
            <v>54379.540000000008</v>
          </cell>
          <cell r="AW111">
            <v>32685.009999999987</v>
          </cell>
          <cell r="AX111">
            <v>179447.8</v>
          </cell>
          <cell r="AY111">
            <v>127546.91</v>
          </cell>
          <cell r="AZ111">
            <v>112220.68000000002</v>
          </cell>
          <cell r="BA111">
            <v>133721.60000000001</v>
          </cell>
          <cell r="BB111">
            <v>83139.31</v>
          </cell>
          <cell r="BC111">
            <v>123415.01999999999</v>
          </cell>
          <cell r="BD111">
            <v>65547</v>
          </cell>
          <cell r="BE111">
            <v>911855.65000000014</v>
          </cell>
          <cell r="BF111">
            <v>881932.44000000006</v>
          </cell>
          <cell r="BG111">
            <v>745745.95000000007</v>
          </cell>
          <cell r="BH111">
            <v>851656.4800000001</v>
          </cell>
          <cell r="BI111">
            <v>836918.79999999993</v>
          </cell>
          <cell r="BJ111">
            <v>891911.28</v>
          </cell>
          <cell r="BK111">
            <v>983323.09000000008</v>
          </cell>
          <cell r="BL111">
            <v>892763.43</v>
          </cell>
          <cell r="BM111">
            <v>850011.48</v>
          </cell>
          <cell r="BN111">
            <v>834691.86</v>
          </cell>
          <cell r="BO111">
            <v>814929.01</v>
          </cell>
          <cell r="BP111">
            <v>739605.89</v>
          </cell>
          <cell r="BQ111">
            <v>754030.95</v>
          </cell>
          <cell r="BR111">
            <v>791979.6</v>
          </cell>
          <cell r="BS111">
            <v>543105.98</v>
          </cell>
          <cell r="BT111">
            <v>665090.77</v>
          </cell>
          <cell r="BU111">
            <v>608338.52</v>
          </cell>
          <cell r="BV111">
            <v>842433.26</v>
          </cell>
          <cell r="BW111">
            <v>808066.46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</row>
        <row r="112">
          <cell r="O112">
            <v>813684.62</v>
          </cell>
          <cell r="P112">
            <v>818717.02</v>
          </cell>
          <cell r="Q112">
            <v>836295.8899999999</v>
          </cell>
          <cell r="R112">
            <v>847699.5</v>
          </cell>
          <cell r="S112">
            <v>802126.28</v>
          </cell>
          <cell r="T112">
            <v>823511.1399999999</v>
          </cell>
          <cell r="U112">
            <v>774829.44</v>
          </cell>
          <cell r="V112">
            <v>888116.67999999993</v>
          </cell>
          <cell r="W112">
            <v>773583.32000000007</v>
          </cell>
          <cell r="X112">
            <v>756373.74</v>
          </cell>
          <cell r="Y112">
            <v>784215.56</v>
          </cell>
          <cell r="Z112">
            <v>863624.45</v>
          </cell>
          <cell r="AA112">
            <v>582856.92000000004</v>
          </cell>
          <cell r="AB112">
            <v>559984.9</v>
          </cell>
          <cell r="AC112">
            <v>550619.42999999993</v>
          </cell>
          <cell r="AD112">
            <v>571133.35000000009</v>
          </cell>
          <cell r="AE112">
            <v>547630.1</v>
          </cell>
          <cell r="AF112">
            <v>537656.18999999994</v>
          </cell>
          <cell r="AG112">
            <v>601807.60000000009</v>
          </cell>
          <cell r="AH112">
            <v>612944.46</v>
          </cell>
          <cell r="AI112">
            <v>465626.66</v>
          </cell>
          <cell r="AJ112">
            <v>442139.68</v>
          </cell>
          <cell r="AK112">
            <v>430921.5</v>
          </cell>
          <cell r="AL112">
            <v>443534.45999999996</v>
          </cell>
          <cell r="AM112">
            <v>445229.69999999995</v>
          </cell>
          <cell r="AN112">
            <v>310867.46999999997</v>
          </cell>
          <cell r="AO112">
            <v>375730.62</v>
          </cell>
          <cell r="AP112">
            <v>314820.27</v>
          </cell>
          <cell r="AQ112">
            <v>348763.70999999996</v>
          </cell>
          <cell r="AR112">
            <v>315070.36</v>
          </cell>
          <cell r="AS112">
            <v>300221.27</v>
          </cell>
          <cell r="AT112">
            <v>312611.77</v>
          </cell>
          <cell r="AU112">
            <v>128583.57999999999</v>
          </cell>
          <cell r="AV112">
            <v>218293.5</v>
          </cell>
          <cell r="AW112">
            <v>196598.96999999997</v>
          </cell>
          <cell r="AX112">
            <v>343361.76</v>
          </cell>
          <cell r="AY112">
            <v>199885.48</v>
          </cell>
          <cell r="AZ112">
            <v>184559.25000000003</v>
          </cell>
          <cell r="BA112">
            <v>206060.17</v>
          </cell>
          <cell r="BB112">
            <v>155477.88</v>
          </cell>
          <cell r="BC112">
            <v>195753.59</v>
          </cell>
          <cell r="BD112">
            <v>137885.57</v>
          </cell>
          <cell r="BE112">
            <v>2511309.3600000003</v>
          </cell>
          <cell r="BF112">
            <v>2481386.15</v>
          </cell>
          <cell r="BG112">
            <v>2345199.66</v>
          </cell>
          <cell r="BH112">
            <v>2451110.19</v>
          </cell>
          <cell r="BI112">
            <v>2436372.5099999998</v>
          </cell>
          <cell r="BJ112">
            <v>2491364.9900000002</v>
          </cell>
          <cell r="BK112">
            <v>2343573.1800000002</v>
          </cell>
          <cell r="BL112">
            <v>2253013.52</v>
          </cell>
          <cell r="BM112">
            <v>2210261.5700000003</v>
          </cell>
          <cell r="BN112">
            <v>2194941.9500000002</v>
          </cell>
          <cell r="BO112">
            <v>2175179.1</v>
          </cell>
          <cell r="BP112">
            <v>2099855.98</v>
          </cell>
          <cell r="BQ112">
            <v>2114281.04</v>
          </cell>
          <cell r="BR112">
            <v>2152229.69</v>
          </cell>
          <cell r="BS112">
            <v>1903356.07</v>
          </cell>
          <cell r="BT112">
            <v>2025340.86</v>
          </cell>
          <cell r="BU112">
            <v>1968588.61</v>
          </cell>
          <cell r="BV112">
            <v>2202683.35</v>
          </cell>
          <cell r="BW112">
            <v>808066.46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</row>
        <row r="113">
          <cell r="O113">
            <v>35617.050000000003</v>
          </cell>
          <cell r="P113">
            <v>35617.050000000003</v>
          </cell>
          <cell r="Q113">
            <v>35617.050000000003</v>
          </cell>
          <cell r="R113">
            <v>35617.050000000003</v>
          </cell>
          <cell r="S113">
            <v>35617.050000000003</v>
          </cell>
          <cell r="T113">
            <v>35617.050000000003</v>
          </cell>
          <cell r="U113">
            <v>35617.050000000003</v>
          </cell>
          <cell r="V113">
            <v>-17796.39</v>
          </cell>
          <cell r="W113">
            <v>-71209.78</v>
          </cell>
          <cell r="X113">
            <v>-71209.78</v>
          </cell>
          <cell r="Y113">
            <v>-71209.78</v>
          </cell>
          <cell r="Z113">
            <v>-71209.78</v>
          </cell>
          <cell r="AA113">
            <v>-71209.78</v>
          </cell>
          <cell r="AB113">
            <v>-71209.78</v>
          </cell>
          <cell r="AC113">
            <v>-71209.78</v>
          </cell>
          <cell r="AD113">
            <v>-71209.78</v>
          </cell>
          <cell r="AE113">
            <v>-71209.78</v>
          </cell>
          <cell r="AF113">
            <v>-71209.78</v>
          </cell>
          <cell r="AG113">
            <v>-71209.78</v>
          </cell>
          <cell r="AH113">
            <v>-125451.19</v>
          </cell>
          <cell r="AI113">
            <v>-179692.59</v>
          </cell>
          <cell r="AJ113">
            <v>-179692.59</v>
          </cell>
          <cell r="AK113">
            <v>-179692.59</v>
          </cell>
          <cell r="AL113">
            <v>-179692.59</v>
          </cell>
          <cell r="AM113">
            <v>-179692.59</v>
          </cell>
          <cell r="AN113">
            <v>-179692.59</v>
          </cell>
          <cell r="AO113">
            <v>-179692.59</v>
          </cell>
          <cell r="AP113">
            <v>-179692.59</v>
          </cell>
          <cell r="AQ113">
            <v>-179692.59</v>
          </cell>
          <cell r="AR113">
            <v>-179692.59</v>
          </cell>
          <cell r="AS113">
            <v>-179692.59</v>
          </cell>
          <cell r="AT113">
            <v>-59264.92</v>
          </cell>
          <cell r="AU113">
            <v>61162.67</v>
          </cell>
          <cell r="AV113">
            <v>61162.67</v>
          </cell>
          <cell r="AW113">
            <v>61162.67</v>
          </cell>
          <cell r="AX113">
            <v>61162.67</v>
          </cell>
          <cell r="AY113">
            <v>61162.67</v>
          </cell>
          <cell r="AZ113">
            <v>61162.67</v>
          </cell>
          <cell r="BA113">
            <v>61162.67</v>
          </cell>
          <cell r="BB113">
            <v>61162.67</v>
          </cell>
          <cell r="BC113">
            <v>61162.67</v>
          </cell>
          <cell r="BD113">
            <v>61162.67</v>
          </cell>
          <cell r="BE113">
            <v>61162.67</v>
          </cell>
          <cell r="BF113">
            <v>87067.72</v>
          </cell>
          <cell r="BG113">
            <v>112972.73</v>
          </cell>
          <cell r="BH113">
            <v>112972.73</v>
          </cell>
          <cell r="BI113">
            <v>112972.73</v>
          </cell>
          <cell r="BJ113">
            <v>112972.73</v>
          </cell>
          <cell r="BK113">
            <v>112972.73</v>
          </cell>
          <cell r="BL113">
            <v>112972.73</v>
          </cell>
          <cell r="BM113">
            <v>112972.73</v>
          </cell>
          <cell r="BN113">
            <v>112972.73</v>
          </cell>
          <cell r="BO113">
            <v>112972.73</v>
          </cell>
          <cell r="BP113">
            <v>112972.73</v>
          </cell>
          <cell r="BQ113">
            <v>112972.73</v>
          </cell>
          <cell r="BR113">
            <v>48840.01</v>
          </cell>
          <cell r="BS113">
            <v>-15292.73</v>
          </cell>
          <cell r="BT113">
            <v>-15292.73</v>
          </cell>
          <cell r="BU113">
            <v>-15292.73</v>
          </cell>
          <cell r="BV113">
            <v>-15292.73</v>
          </cell>
          <cell r="BW113">
            <v>-13354.54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</row>
        <row r="114">
          <cell r="O114">
            <v>849301.67</v>
          </cell>
          <cell r="P114">
            <v>854334.07000000007</v>
          </cell>
          <cell r="Q114">
            <v>871912.94</v>
          </cell>
          <cell r="R114">
            <v>883316.55</v>
          </cell>
          <cell r="S114">
            <v>837743.33000000007</v>
          </cell>
          <cell r="T114">
            <v>859128.19</v>
          </cell>
          <cell r="U114">
            <v>810446.49</v>
          </cell>
          <cell r="V114">
            <v>870320.28999999992</v>
          </cell>
          <cell r="W114">
            <v>702373.54</v>
          </cell>
          <cell r="X114">
            <v>685163.96</v>
          </cell>
          <cell r="Y114">
            <v>713005.78</v>
          </cell>
          <cell r="Z114">
            <v>792414.66999999993</v>
          </cell>
          <cell r="AA114">
            <v>511647.14</v>
          </cell>
          <cell r="AB114">
            <v>488775.12</v>
          </cell>
          <cell r="AC114">
            <v>479409.64999999991</v>
          </cell>
          <cell r="AD114">
            <v>499923.57000000007</v>
          </cell>
          <cell r="AE114">
            <v>476420.31999999995</v>
          </cell>
          <cell r="AF114">
            <v>466446.40999999992</v>
          </cell>
          <cell r="AG114">
            <v>530597.82000000007</v>
          </cell>
          <cell r="AH114">
            <v>487493.26999999996</v>
          </cell>
          <cell r="AI114">
            <v>285934.06999999995</v>
          </cell>
          <cell r="AJ114">
            <v>262447.08999999997</v>
          </cell>
          <cell r="AK114">
            <v>251228.91</v>
          </cell>
          <cell r="AL114">
            <v>263841.87</v>
          </cell>
          <cell r="AM114">
            <v>265537.11</v>
          </cell>
          <cell r="AN114">
            <v>131174.87999999998</v>
          </cell>
          <cell r="AO114">
            <v>196038.03</v>
          </cell>
          <cell r="AP114">
            <v>135127.68000000002</v>
          </cell>
          <cell r="AQ114">
            <v>169071.11999999997</v>
          </cell>
          <cell r="AR114">
            <v>135377.76999999999</v>
          </cell>
          <cell r="AS114">
            <v>120528.68000000002</v>
          </cell>
          <cell r="AT114">
            <v>253346.85000000003</v>
          </cell>
          <cell r="AU114">
            <v>189746.25</v>
          </cell>
          <cell r="AV114">
            <v>279456.17</v>
          </cell>
          <cell r="AW114">
            <v>257761.63999999996</v>
          </cell>
          <cell r="AX114">
            <v>404524.43</v>
          </cell>
          <cell r="AY114">
            <v>261048.15000000002</v>
          </cell>
          <cell r="AZ114">
            <v>245721.92000000004</v>
          </cell>
          <cell r="BA114">
            <v>267222.84000000003</v>
          </cell>
          <cell r="BB114">
            <v>216640.55</v>
          </cell>
          <cell r="BC114">
            <v>256916.26</v>
          </cell>
          <cell r="BD114">
            <v>199048.24</v>
          </cell>
          <cell r="BE114">
            <v>2572472.0300000003</v>
          </cell>
          <cell r="BF114">
            <v>2568453.87</v>
          </cell>
          <cell r="BG114">
            <v>2458172.39</v>
          </cell>
          <cell r="BH114">
            <v>2564082.92</v>
          </cell>
          <cell r="BI114">
            <v>2549345.2399999998</v>
          </cell>
          <cell r="BJ114">
            <v>2604337.7200000002</v>
          </cell>
          <cell r="BK114">
            <v>2456545.91</v>
          </cell>
          <cell r="BL114">
            <v>2365986.25</v>
          </cell>
          <cell r="BM114">
            <v>2323234.3000000003</v>
          </cell>
          <cell r="BN114">
            <v>2307914.6800000002</v>
          </cell>
          <cell r="BO114">
            <v>2288151.83</v>
          </cell>
          <cell r="BP114">
            <v>2212828.71</v>
          </cell>
          <cell r="BQ114">
            <v>2227253.77</v>
          </cell>
          <cell r="BR114">
            <v>2201069.6999999997</v>
          </cell>
          <cell r="BS114">
            <v>1888063.34</v>
          </cell>
          <cell r="BT114">
            <v>2010048.1300000001</v>
          </cell>
          <cell r="BU114">
            <v>1953295.8800000001</v>
          </cell>
          <cell r="BV114">
            <v>2187390.62</v>
          </cell>
          <cell r="BW114">
            <v>794711.91999999993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</row>
        <row r="119">
          <cell r="O119">
            <v>813684.62</v>
          </cell>
          <cell r="P119">
            <v>818717.02</v>
          </cell>
          <cell r="Q119">
            <v>836295.8899999999</v>
          </cell>
          <cell r="R119">
            <v>847699.5</v>
          </cell>
          <cell r="S119">
            <v>802126.28</v>
          </cell>
          <cell r="T119">
            <v>823511.1399999999</v>
          </cell>
          <cell r="U119">
            <v>774829.44</v>
          </cell>
          <cell r="V119">
            <v>888116.67999999993</v>
          </cell>
          <cell r="W119">
            <v>773583.32000000007</v>
          </cell>
          <cell r="X119">
            <v>756373.74</v>
          </cell>
          <cell r="Y119">
            <v>784215.56</v>
          </cell>
          <cell r="Z119">
            <v>863624.45</v>
          </cell>
          <cell r="AA119">
            <v>582856.92000000004</v>
          </cell>
          <cell r="AB119">
            <v>559984.9</v>
          </cell>
          <cell r="AC119">
            <v>550619.42999999993</v>
          </cell>
          <cell r="AD119">
            <v>571133.35000000009</v>
          </cell>
          <cell r="AE119">
            <v>547630.1</v>
          </cell>
          <cell r="AF119">
            <v>537656.18999999994</v>
          </cell>
          <cell r="AG119">
            <v>601807.60000000009</v>
          </cell>
          <cell r="AH119">
            <v>612944.46</v>
          </cell>
          <cell r="AI119">
            <v>465626.66</v>
          </cell>
          <cell r="AJ119">
            <v>442139.68</v>
          </cell>
          <cell r="AK119">
            <v>430921.5</v>
          </cell>
          <cell r="AL119">
            <v>443534.45999999996</v>
          </cell>
          <cell r="AM119">
            <v>445229.69999999995</v>
          </cell>
          <cell r="AN119">
            <v>310867.46999999997</v>
          </cell>
          <cell r="AO119">
            <v>375730.62</v>
          </cell>
          <cell r="AP119">
            <v>314820.27</v>
          </cell>
          <cell r="AQ119">
            <v>348763.70999999996</v>
          </cell>
          <cell r="AR119">
            <v>315070.36</v>
          </cell>
          <cell r="AS119">
            <v>300221.27</v>
          </cell>
          <cell r="AT119">
            <v>312611.77</v>
          </cell>
          <cell r="AU119">
            <v>128583.57999999999</v>
          </cell>
          <cell r="AV119">
            <v>218293.5</v>
          </cell>
          <cell r="AW119">
            <v>196598.96999999997</v>
          </cell>
          <cell r="AX119">
            <v>343361.76</v>
          </cell>
          <cell r="AY119">
            <v>199885.48</v>
          </cell>
          <cell r="AZ119">
            <v>184559.25000000003</v>
          </cell>
          <cell r="BA119">
            <v>206060.17</v>
          </cell>
          <cell r="BB119">
            <v>155477.88</v>
          </cell>
          <cell r="BC119">
            <v>195753.59</v>
          </cell>
          <cell r="BD119">
            <v>137885.57</v>
          </cell>
          <cell r="BE119">
            <v>2511309.3600000003</v>
          </cell>
          <cell r="BF119">
            <v>2481386.15</v>
          </cell>
          <cell r="BG119">
            <v>2345199.66</v>
          </cell>
          <cell r="BH119">
            <v>2451110.19</v>
          </cell>
          <cell r="BI119">
            <v>2436372.5099999998</v>
          </cell>
          <cell r="BJ119">
            <v>2491364.9900000002</v>
          </cell>
          <cell r="BK119">
            <v>2343573.1800000002</v>
          </cell>
          <cell r="BL119">
            <v>2253013.52</v>
          </cell>
          <cell r="BM119">
            <v>2210261.5700000003</v>
          </cell>
          <cell r="BN119">
            <v>2194941.9500000002</v>
          </cell>
          <cell r="BO119">
            <v>2175179.1</v>
          </cell>
          <cell r="BP119">
            <v>2099855.98</v>
          </cell>
          <cell r="BQ119">
            <v>2114281.04</v>
          </cell>
          <cell r="BR119">
            <v>2152229.69</v>
          </cell>
          <cell r="BS119">
            <v>1903356.07</v>
          </cell>
          <cell r="BT119">
            <v>2025340.86</v>
          </cell>
          <cell r="BU119">
            <v>1968588.61</v>
          </cell>
          <cell r="BV119">
            <v>2202683.35</v>
          </cell>
          <cell r="BW119">
            <v>808066.46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</row>
        <row r="120">
          <cell r="O120">
            <v>35617.050000000003</v>
          </cell>
          <cell r="P120">
            <v>35617.050000000003</v>
          </cell>
          <cell r="Q120">
            <v>35617.050000000003</v>
          </cell>
          <cell r="R120">
            <v>35617.050000000003</v>
          </cell>
          <cell r="S120">
            <v>35617.050000000003</v>
          </cell>
          <cell r="T120">
            <v>35617.050000000003</v>
          </cell>
          <cell r="U120">
            <v>35617.050000000003</v>
          </cell>
          <cell r="V120">
            <v>-17796.39</v>
          </cell>
          <cell r="W120">
            <v>-71209.78</v>
          </cell>
          <cell r="X120">
            <v>-71209.78</v>
          </cell>
          <cell r="Y120">
            <v>-71209.78</v>
          </cell>
          <cell r="Z120">
            <v>-71209.78</v>
          </cell>
          <cell r="AA120">
            <v>-71209.78</v>
          </cell>
          <cell r="AB120">
            <v>-71209.78</v>
          </cell>
          <cell r="AC120">
            <v>-71209.78</v>
          </cell>
          <cell r="AD120">
            <v>-71209.78</v>
          </cell>
          <cell r="AE120">
            <v>-71209.78</v>
          </cell>
          <cell r="AF120">
            <v>-71209.78</v>
          </cell>
          <cell r="AG120">
            <v>-71209.78</v>
          </cell>
          <cell r="AH120">
            <v>-125451.19</v>
          </cell>
          <cell r="AI120">
            <v>-179692.59</v>
          </cell>
          <cell r="AJ120">
            <v>-179692.59</v>
          </cell>
          <cell r="AK120">
            <v>-179692.59</v>
          </cell>
          <cell r="AL120">
            <v>-179692.59</v>
          </cell>
          <cell r="AM120">
            <v>-179692.59</v>
          </cell>
          <cell r="AN120">
            <v>-179692.59</v>
          </cell>
          <cell r="AO120">
            <v>-179692.59</v>
          </cell>
          <cell r="AP120">
            <v>-179692.59</v>
          </cell>
          <cell r="AQ120">
            <v>-179692.59</v>
          </cell>
          <cell r="AR120">
            <v>-179692.59</v>
          </cell>
          <cell r="AS120">
            <v>-179692.59</v>
          </cell>
          <cell r="AT120">
            <v>-59264.92</v>
          </cell>
          <cell r="AU120">
            <v>61162.67</v>
          </cell>
          <cell r="AV120">
            <v>61162.67</v>
          </cell>
          <cell r="AW120">
            <v>61162.67</v>
          </cell>
          <cell r="AX120">
            <v>61162.67</v>
          </cell>
          <cell r="AY120">
            <v>61162.67</v>
          </cell>
          <cell r="AZ120">
            <v>61162.67</v>
          </cell>
          <cell r="BA120">
            <v>61162.67</v>
          </cell>
          <cell r="BB120">
            <v>61162.67</v>
          </cell>
          <cell r="BC120">
            <v>61162.67</v>
          </cell>
          <cell r="BD120">
            <v>61162.67</v>
          </cell>
          <cell r="BE120">
            <v>61162.67</v>
          </cell>
          <cell r="BF120">
            <v>87067.72</v>
          </cell>
          <cell r="BG120">
            <v>112972.73</v>
          </cell>
          <cell r="BH120">
            <v>112972.73</v>
          </cell>
          <cell r="BI120">
            <v>112972.73</v>
          </cell>
          <cell r="BJ120">
            <v>112972.73</v>
          </cell>
          <cell r="BK120">
            <v>112972.73</v>
          </cell>
          <cell r="BL120">
            <v>112972.73</v>
          </cell>
          <cell r="BM120">
            <v>112972.73</v>
          </cell>
          <cell r="BN120">
            <v>112972.73</v>
          </cell>
          <cell r="BO120">
            <v>112972.73</v>
          </cell>
          <cell r="BP120">
            <v>112972.73</v>
          </cell>
          <cell r="BQ120">
            <v>112972.73</v>
          </cell>
          <cell r="BR120">
            <v>48840.01</v>
          </cell>
          <cell r="BS120">
            <v>-15292.73</v>
          </cell>
          <cell r="BT120">
            <v>-15292.73</v>
          </cell>
          <cell r="BU120">
            <v>-15292.73</v>
          </cell>
          <cell r="BV120">
            <v>-15292.73</v>
          </cell>
          <cell r="BW120">
            <v>-13354.54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</row>
        <row r="121"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</row>
        <row r="122">
          <cell r="O122">
            <v>849301.67</v>
          </cell>
          <cell r="P122">
            <v>854334.07000000007</v>
          </cell>
          <cell r="Q122">
            <v>871912.94</v>
          </cell>
          <cell r="R122">
            <v>883316.55</v>
          </cell>
          <cell r="S122">
            <v>837743.33000000007</v>
          </cell>
          <cell r="T122">
            <v>859128.19</v>
          </cell>
          <cell r="U122">
            <v>810446.49</v>
          </cell>
          <cell r="V122">
            <v>870320.28999999992</v>
          </cell>
          <cell r="W122">
            <v>702373.54</v>
          </cell>
          <cell r="X122">
            <v>685163.96</v>
          </cell>
          <cell r="Y122">
            <v>713005.78</v>
          </cell>
          <cell r="Z122">
            <v>792414.66999999993</v>
          </cell>
          <cell r="AA122">
            <v>511647.14</v>
          </cell>
          <cell r="AB122">
            <v>488775.12</v>
          </cell>
          <cell r="AC122">
            <v>479409.64999999991</v>
          </cell>
          <cell r="AD122">
            <v>499923.57000000007</v>
          </cell>
          <cell r="AE122">
            <v>476420.31999999995</v>
          </cell>
          <cell r="AF122">
            <v>466446.40999999992</v>
          </cell>
          <cell r="AG122">
            <v>530597.82000000007</v>
          </cell>
          <cell r="AH122">
            <v>487493.26999999996</v>
          </cell>
          <cell r="AI122">
            <v>285934.06999999995</v>
          </cell>
          <cell r="AJ122">
            <v>262447.08999999997</v>
          </cell>
          <cell r="AK122">
            <v>251228.91</v>
          </cell>
          <cell r="AL122">
            <v>263841.87</v>
          </cell>
          <cell r="AM122">
            <v>265537.11</v>
          </cell>
          <cell r="AN122">
            <v>131174.87999999998</v>
          </cell>
          <cell r="AO122">
            <v>196038.03</v>
          </cell>
          <cell r="AP122">
            <v>135127.68000000002</v>
          </cell>
          <cell r="AQ122">
            <v>169071.11999999997</v>
          </cell>
          <cell r="AR122">
            <v>135377.76999999999</v>
          </cell>
          <cell r="AS122">
            <v>120528.68000000002</v>
          </cell>
          <cell r="AT122">
            <v>253346.85000000003</v>
          </cell>
          <cell r="AU122">
            <v>189746.25</v>
          </cell>
          <cell r="AV122">
            <v>279456.17</v>
          </cell>
          <cell r="AW122">
            <v>257761.63999999996</v>
          </cell>
          <cell r="AX122">
            <v>404524.43</v>
          </cell>
          <cell r="AY122">
            <v>261048.15000000002</v>
          </cell>
          <cell r="AZ122">
            <v>245721.92000000004</v>
          </cell>
          <cell r="BA122">
            <v>267222.84000000003</v>
          </cell>
          <cell r="BB122">
            <v>216640.55</v>
          </cell>
          <cell r="BC122">
            <v>256916.26</v>
          </cell>
          <cell r="BD122">
            <v>199048.24</v>
          </cell>
          <cell r="BE122">
            <v>2572472.0300000003</v>
          </cell>
          <cell r="BF122">
            <v>2568453.87</v>
          </cell>
          <cell r="BG122">
            <v>2458172.39</v>
          </cell>
          <cell r="BH122">
            <v>2564082.92</v>
          </cell>
          <cell r="BI122">
            <v>2549345.2399999998</v>
          </cell>
          <cell r="BJ122">
            <v>2604337.7200000002</v>
          </cell>
          <cell r="BK122">
            <v>2456545.91</v>
          </cell>
          <cell r="BL122">
            <v>2365986.25</v>
          </cell>
          <cell r="BM122">
            <v>2323234.3000000003</v>
          </cell>
          <cell r="BN122">
            <v>2307914.6800000002</v>
          </cell>
          <cell r="BO122">
            <v>2288151.83</v>
          </cell>
          <cell r="BP122">
            <v>2212828.71</v>
          </cell>
          <cell r="BQ122">
            <v>2227253.77</v>
          </cell>
          <cell r="BR122">
            <v>2201069.6999999997</v>
          </cell>
          <cell r="BS122">
            <v>1888063.34</v>
          </cell>
          <cell r="BT122">
            <v>2010048.1300000001</v>
          </cell>
          <cell r="BU122">
            <v>1953295.8800000001</v>
          </cell>
          <cell r="BV122">
            <v>2187390.62</v>
          </cell>
          <cell r="BW122">
            <v>794711.91999999993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</row>
        <row r="123">
          <cell r="O123">
            <v>835728.43</v>
          </cell>
          <cell r="P123">
            <v>821469.4</v>
          </cell>
          <cell r="Q123">
            <v>824135.82</v>
          </cell>
          <cell r="R123">
            <v>820615.99</v>
          </cell>
          <cell r="S123">
            <v>822055.08</v>
          </cell>
          <cell r="T123">
            <v>823824.31</v>
          </cell>
          <cell r="U123">
            <v>826960.08</v>
          </cell>
          <cell r="V123">
            <v>626927.82999999996</v>
          </cell>
          <cell r="W123">
            <v>456019.61</v>
          </cell>
          <cell r="X123">
            <v>455873.45</v>
          </cell>
          <cell r="Y123">
            <v>455604.38</v>
          </cell>
          <cell r="Z123">
            <v>458853.11</v>
          </cell>
          <cell r="AA123">
            <v>454866.51</v>
          </cell>
          <cell r="AB123">
            <v>449408.67</v>
          </cell>
          <cell r="AC123">
            <v>448691.94</v>
          </cell>
          <cell r="AD123">
            <v>447401.16</v>
          </cell>
          <cell r="AE123">
            <v>449539.25</v>
          </cell>
          <cell r="AF123">
            <v>451996.74</v>
          </cell>
          <cell r="AG123">
            <v>449177.38</v>
          </cell>
          <cell r="AH123">
            <v>359428.69</v>
          </cell>
          <cell r="AI123">
            <v>266500.84999999998</v>
          </cell>
          <cell r="AJ123">
            <v>265982.09999999998</v>
          </cell>
          <cell r="AK123">
            <v>265307.01</v>
          </cell>
          <cell r="AL123">
            <v>268144.34999999998</v>
          </cell>
          <cell r="AM123">
            <v>263697.40999999997</v>
          </cell>
          <cell r="AN123">
            <v>263756.87</v>
          </cell>
          <cell r="AO123">
            <v>262040.78</v>
          </cell>
          <cell r="AP123">
            <v>262188.76</v>
          </cell>
          <cell r="AQ123">
            <v>263709.62</v>
          </cell>
          <cell r="AR123">
            <v>262181.40000000002</v>
          </cell>
          <cell r="AS123">
            <v>264119.21999999997</v>
          </cell>
          <cell r="AT123">
            <v>289256.77</v>
          </cell>
          <cell r="AU123">
            <v>314869.92</v>
          </cell>
          <cell r="AV123">
            <v>314780.86</v>
          </cell>
          <cell r="AW123">
            <v>314427.87</v>
          </cell>
          <cell r="AX123">
            <v>316914.51</v>
          </cell>
          <cell r="AY123">
            <v>312734.57</v>
          </cell>
          <cell r="AZ123">
            <v>311556.59000000003</v>
          </cell>
          <cell r="BA123">
            <v>308281.83</v>
          </cell>
          <cell r="BB123">
            <v>302415.96000000002</v>
          </cell>
          <cell r="BC123">
            <v>311699.43</v>
          </cell>
          <cell r="BD123">
            <v>1365987.23</v>
          </cell>
          <cell r="BE123">
            <v>2797014.89</v>
          </cell>
          <cell r="BF123">
            <v>2762273.0300000003</v>
          </cell>
          <cell r="BG123">
            <v>2830770.25</v>
          </cell>
          <cell r="BH123">
            <v>2839369.74</v>
          </cell>
          <cell r="BI123">
            <v>2299532.75</v>
          </cell>
          <cell r="BJ123">
            <v>2478136.9500000002</v>
          </cell>
          <cell r="BK123">
            <v>2298680.4299999997</v>
          </cell>
          <cell r="BL123">
            <v>2257562.3899999997</v>
          </cell>
          <cell r="BM123">
            <v>2257674.3199999998</v>
          </cell>
          <cell r="BN123">
            <v>2263458.9700000002</v>
          </cell>
          <cell r="BO123">
            <v>2273264.4700000002</v>
          </cell>
          <cell r="BP123">
            <v>2261812.9900000002</v>
          </cell>
          <cell r="BQ123">
            <v>2279244.08</v>
          </cell>
          <cell r="BR123">
            <v>2232084.58</v>
          </cell>
          <cell r="BS123">
            <v>2166525.54</v>
          </cell>
          <cell r="BT123">
            <v>2221778.09</v>
          </cell>
          <cell r="BU123">
            <v>1970081.87</v>
          </cell>
          <cell r="BV123">
            <v>1559603.36</v>
          </cell>
          <cell r="BW123">
            <v>1589372.96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</row>
        <row r="124"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419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129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187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264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</row>
        <row r="125">
          <cell r="O125">
            <v>13573.239999999991</v>
          </cell>
          <cell r="P125">
            <v>32864.670000000042</v>
          </cell>
          <cell r="Q125">
            <v>47777.119999999995</v>
          </cell>
          <cell r="R125">
            <v>62700.560000000056</v>
          </cell>
          <cell r="S125">
            <v>15688.250000000116</v>
          </cell>
          <cell r="T125">
            <v>35303.879999999888</v>
          </cell>
          <cell r="U125">
            <v>-16513.589999999967</v>
          </cell>
          <cell r="V125">
            <v>242973.45999999996</v>
          </cell>
          <cell r="W125">
            <v>246353.93000000005</v>
          </cell>
          <cell r="X125">
            <v>229290.50999999995</v>
          </cell>
          <cell r="Y125">
            <v>257401.40000000002</v>
          </cell>
          <cell r="Z125">
            <v>333561.55999999994</v>
          </cell>
          <cell r="AA125">
            <v>56780.630000000005</v>
          </cell>
          <cell r="AB125">
            <v>39237.450000000012</v>
          </cell>
          <cell r="AC125">
            <v>30717.709999999905</v>
          </cell>
          <cell r="AD125">
            <v>52522.410000000091</v>
          </cell>
          <cell r="AE125">
            <v>26881.069999999949</v>
          </cell>
          <cell r="AF125">
            <v>14449.669999999925</v>
          </cell>
          <cell r="AG125">
            <v>81420.440000000061</v>
          </cell>
          <cell r="AH125">
            <v>127877.57999999996</v>
          </cell>
          <cell r="AI125">
            <v>19433.219999999972</v>
          </cell>
          <cell r="AJ125">
            <v>-3535.0100000000093</v>
          </cell>
          <cell r="AK125">
            <v>-14078.100000000006</v>
          </cell>
          <cell r="AL125">
            <v>-4302.4799999999814</v>
          </cell>
          <cell r="AM125">
            <v>1575.7000000000116</v>
          </cell>
          <cell r="AN125">
            <v>-132581.99000000002</v>
          </cell>
          <cell r="AO125">
            <v>-66002.75</v>
          </cell>
          <cell r="AP125">
            <v>-127061.07999999999</v>
          </cell>
          <cell r="AQ125">
            <v>-94638.500000000029</v>
          </cell>
          <cell r="AR125">
            <v>-126803.63000000003</v>
          </cell>
          <cell r="AS125">
            <v>-143590.53999999995</v>
          </cell>
          <cell r="AT125">
            <v>-35909.919999999984</v>
          </cell>
          <cell r="AU125">
            <v>-125123.66999999998</v>
          </cell>
          <cell r="AV125">
            <v>-35324.69</v>
          </cell>
          <cell r="AW125">
            <v>-56666.23000000004</v>
          </cell>
          <cell r="AX125">
            <v>87609.919999999984</v>
          </cell>
          <cell r="AY125">
            <v>-51686.419999999984</v>
          </cell>
          <cell r="AZ125">
            <v>-65834.669999999984</v>
          </cell>
          <cell r="BA125">
            <v>-41058.989999999991</v>
          </cell>
          <cell r="BB125">
            <v>-85775.410000000033</v>
          </cell>
          <cell r="BC125">
            <v>-54783.169999999984</v>
          </cell>
          <cell r="BD125">
            <v>-1166938.99</v>
          </cell>
          <cell r="BE125">
            <v>-224542.85999999987</v>
          </cell>
          <cell r="BF125">
            <v>-193819.16000000015</v>
          </cell>
          <cell r="BG125">
            <v>-372597.85999999987</v>
          </cell>
          <cell r="BH125">
            <v>-275286.8200000003</v>
          </cell>
          <cell r="BI125">
            <v>249812.48999999976</v>
          </cell>
          <cell r="BJ125">
            <v>126200.77000000002</v>
          </cell>
          <cell r="BK125">
            <v>157865.48000000045</v>
          </cell>
          <cell r="BL125">
            <v>108423.86000000034</v>
          </cell>
          <cell r="BM125">
            <v>65559.980000000447</v>
          </cell>
          <cell r="BN125">
            <v>44455.709999999963</v>
          </cell>
          <cell r="BO125">
            <v>14887.35999999987</v>
          </cell>
          <cell r="BP125">
            <v>-48984.280000000261</v>
          </cell>
          <cell r="BQ125">
            <v>-51990.310000000056</v>
          </cell>
          <cell r="BR125">
            <v>-31014.880000000354</v>
          </cell>
          <cell r="BS125">
            <v>-278462.19999999995</v>
          </cell>
          <cell r="BT125">
            <v>-211729.95999999973</v>
          </cell>
          <cell r="BU125">
            <v>-16785.989999999991</v>
          </cell>
          <cell r="BV125">
            <v>627787.26</v>
          </cell>
          <cell r="BW125">
            <v>-794661.04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</row>
        <row r="126">
          <cell r="O126">
            <v>-35617.050000000003</v>
          </cell>
          <cell r="P126">
            <v>-35617.050000000003</v>
          </cell>
          <cell r="Q126">
            <v>-35617.050000000003</v>
          </cell>
          <cell r="R126">
            <v>-35617.050000000003</v>
          </cell>
          <cell r="S126">
            <v>-35617.050000000003</v>
          </cell>
          <cell r="T126">
            <v>-35617.050000000003</v>
          </cell>
          <cell r="U126">
            <v>-35617.050000000003</v>
          </cell>
          <cell r="V126">
            <v>17796.39</v>
          </cell>
          <cell r="W126">
            <v>71209.78</v>
          </cell>
          <cell r="X126">
            <v>71209.78</v>
          </cell>
          <cell r="Y126">
            <v>71209.78</v>
          </cell>
          <cell r="Z126">
            <v>71209.78</v>
          </cell>
          <cell r="AA126">
            <v>71209.78</v>
          </cell>
          <cell r="AB126">
            <v>71209.78</v>
          </cell>
          <cell r="AC126">
            <v>71209.78</v>
          </cell>
          <cell r="AD126">
            <v>71209.78</v>
          </cell>
          <cell r="AE126">
            <v>71209.78</v>
          </cell>
          <cell r="AF126">
            <v>71209.78</v>
          </cell>
          <cell r="AG126">
            <v>71209.78</v>
          </cell>
          <cell r="AH126">
            <v>125451.19</v>
          </cell>
          <cell r="AI126">
            <v>179692.59</v>
          </cell>
          <cell r="AJ126">
            <v>179692.59</v>
          </cell>
          <cell r="AK126">
            <v>179692.59</v>
          </cell>
          <cell r="AL126">
            <v>179692.59</v>
          </cell>
          <cell r="AM126">
            <v>179692.59</v>
          </cell>
          <cell r="AN126">
            <v>179692.59</v>
          </cell>
          <cell r="AO126">
            <v>179692.59</v>
          </cell>
          <cell r="AP126">
            <v>179692.59</v>
          </cell>
          <cell r="AQ126">
            <v>179692.59</v>
          </cell>
          <cell r="AR126">
            <v>179692.59</v>
          </cell>
          <cell r="AS126">
            <v>179692.59</v>
          </cell>
          <cell r="AT126">
            <v>59264.92</v>
          </cell>
          <cell r="AU126">
            <v>-61162.67</v>
          </cell>
          <cell r="AV126">
            <v>-61162.67</v>
          </cell>
          <cell r="AW126">
            <v>-61162.67</v>
          </cell>
          <cell r="AX126">
            <v>-61162.67</v>
          </cell>
          <cell r="AY126">
            <v>-61162.67</v>
          </cell>
          <cell r="AZ126">
            <v>-61162.67</v>
          </cell>
          <cell r="BA126">
            <v>-61162.67</v>
          </cell>
          <cell r="BB126">
            <v>-61162.67</v>
          </cell>
          <cell r="BC126">
            <v>-61162.67</v>
          </cell>
          <cell r="BD126">
            <v>-61162.67</v>
          </cell>
          <cell r="BE126">
            <v>-61162.67</v>
          </cell>
          <cell r="BF126">
            <v>-87067.72</v>
          </cell>
          <cell r="BG126">
            <v>-112972.73</v>
          </cell>
          <cell r="BH126">
            <v>-112972.73</v>
          </cell>
          <cell r="BI126">
            <v>-112972.73</v>
          </cell>
          <cell r="BJ126">
            <v>-112972.73</v>
          </cell>
          <cell r="BK126">
            <v>-112972.73</v>
          </cell>
          <cell r="BL126">
            <v>-112972.73</v>
          </cell>
          <cell r="BM126">
            <v>-112972.73</v>
          </cell>
          <cell r="BN126">
            <v>-112972.73</v>
          </cell>
          <cell r="BO126">
            <v>-112972.73</v>
          </cell>
          <cell r="BP126">
            <v>-112972.73</v>
          </cell>
          <cell r="BQ126">
            <v>-112972.73</v>
          </cell>
          <cell r="BR126">
            <v>-48840.01</v>
          </cell>
          <cell r="BS126">
            <v>15292.73</v>
          </cell>
          <cell r="BT126">
            <v>15292.73</v>
          </cell>
          <cell r="BU126">
            <v>15292.73</v>
          </cell>
          <cell r="BV126">
            <v>15292.73</v>
          </cell>
          <cell r="BW126">
            <v>13354.54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</row>
        <row r="127">
          <cell r="O127" t="str">
            <v>2019</v>
          </cell>
          <cell r="P127" t="str">
            <v>2019</v>
          </cell>
          <cell r="Q127" t="str">
            <v>2019</v>
          </cell>
          <cell r="R127" t="str">
            <v>2019</v>
          </cell>
          <cell r="S127" t="str">
            <v>2019</v>
          </cell>
          <cell r="T127" t="str">
            <v>2019</v>
          </cell>
          <cell r="U127" t="str">
            <v>2019</v>
          </cell>
          <cell r="V127" t="str">
            <v>2019</v>
          </cell>
          <cell r="W127" t="str">
            <v>2018</v>
          </cell>
          <cell r="X127" t="str">
            <v>2018</v>
          </cell>
          <cell r="Y127" t="str">
            <v>2018</v>
          </cell>
          <cell r="Z127" t="str">
            <v>2018</v>
          </cell>
          <cell r="AA127" t="str">
            <v>2018</v>
          </cell>
          <cell r="AB127" t="str">
            <v>2018</v>
          </cell>
          <cell r="AC127" t="str">
            <v>2018</v>
          </cell>
          <cell r="AD127" t="str">
            <v>2018</v>
          </cell>
          <cell r="AE127" t="str">
            <v>2018</v>
          </cell>
          <cell r="AF127" t="str">
            <v>2018</v>
          </cell>
          <cell r="AG127" t="str">
            <v>2018</v>
          </cell>
          <cell r="AH127" t="str">
            <v>2018</v>
          </cell>
          <cell r="AI127" t="str">
            <v>2017</v>
          </cell>
          <cell r="AJ127" t="str">
            <v>2017</v>
          </cell>
          <cell r="AK127" t="str">
            <v>2017</v>
          </cell>
          <cell r="AL127" t="str">
            <v>2017</v>
          </cell>
          <cell r="AM127" t="str">
            <v>2017</v>
          </cell>
          <cell r="AN127" t="str">
            <v>2017</v>
          </cell>
          <cell r="AO127" t="str">
            <v>2017</v>
          </cell>
          <cell r="AP127" t="str">
            <v>2017</v>
          </cell>
          <cell r="AQ127" t="str">
            <v>2017</v>
          </cell>
          <cell r="AR127" t="str">
            <v>2017</v>
          </cell>
          <cell r="AS127" t="str">
            <v>2017</v>
          </cell>
          <cell r="AT127" t="str">
            <v>2017</v>
          </cell>
          <cell r="AU127" t="str">
            <v>2016</v>
          </cell>
          <cell r="AV127" t="str">
            <v>2016</v>
          </cell>
          <cell r="AW127" t="str">
            <v>2016</v>
          </cell>
          <cell r="AX127" t="str">
            <v>2016</v>
          </cell>
          <cell r="AY127" t="str">
            <v>2016</v>
          </cell>
          <cell r="AZ127" t="str">
            <v>2016</v>
          </cell>
          <cell r="BA127" t="str">
            <v>2016</v>
          </cell>
          <cell r="BB127" t="str">
            <v>2016</v>
          </cell>
          <cell r="BC127" t="str">
            <v>2016</v>
          </cell>
          <cell r="BD127" t="str">
            <v>2016</v>
          </cell>
          <cell r="BE127" t="str">
            <v>2016</v>
          </cell>
          <cell r="BF127" t="str">
            <v>2016</v>
          </cell>
          <cell r="BG127" t="str">
            <v>2015</v>
          </cell>
          <cell r="BH127" t="str">
            <v>2015</v>
          </cell>
          <cell r="BI127" t="str">
            <v>2015</v>
          </cell>
          <cell r="BJ127" t="str">
            <v>2015</v>
          </cell>
          <cell r="BK127" t="str">
            <v>2015</v>
          </cell>
          <cell r="BL127" t="str">
            <v>2015</v>
          </cell>
          <cell r="BM127" t="str">
            <v>2015</v>
          </cell>
          <cell r="BN127" t="str">
            <v>2015</v>
          </cell>
          <cell r="BO127" t="str">
            <v>2015</v>
          </cell>
          <cell r="BP127" t="str">
            <v>2015</v>
          </cell>
          <cell r="BQ127" t="str">
            <v>2015</v>
          </cell>
          <cell r="BR127" t="str">
            <v>2014</v>
          </cell>
          <cell r="BS127" t="str">
            <v>2014</v>
          </cell>
          <cell r="BT127" t="str">
            <v>2014</v>
          </cell>
          <cell r="BU127" t="str">
            <v>2014</v>
          </cell>
          <cell r="BV127" t="str">
            <v>2014</v>
          </cell>
          <cell r="BW127" t="str">
            <v>2014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</row>
        <row r="128">
          <cell r="O128">
            <v>-22043.810000000005</v>
          </cell>
          <cell r="P128">
            <v>-2752.3800000000047</v>
          </cell>
          <cell r="Q128">
            <v>12160.07</v>
          </cell>
          <cell r="R128">
            <v>27083.509999999995</v>
          </cell>
          <cell r="S128">
            <v>-19928.800000000003</v>
          </cell>
          <cell r="T128">
            <v>-313.17000000000553</v>
          </cell>
          <cell r="U128">
            <v>-52130.64</v>
          </cell>
          <cell r="V128">
            <v>260769.84999999998</v>
          </cell>
          <cell r="W128">
            <v>317563.70999999996</v>
          </cell>
          <cell r="X128">
            <v>300500.29000000004</v>
          </cell>
          <cell r="Y128">
            <v>328611.18</v>
          </cell>
          <cell r="Z128">
            <v>404771.33999999997</v>
          </cell>
          <cell r="AA128">
            <v>127990.41</v>
          </cell>
          <cell r="AB128">
            <v>110447.23</v>
          </cell>
          <cell r="AC128">
            <v>101927.48999999999</v>
          </cell>
          <cell r="AD128">
            <v>123732.19</v>
          </cell>
          <cell r="AE128">
            <v>98090.85</v>
          </cell>
          <cell r="AF128">
            <v>85659.45</v>
          </cell>
          <cell r="AG128">
            <v>152630.22</v>
          </cell>
          <cell r="AH128">
            <v>253328.77000000002</v>
          </cell>
          <cell r="AI128">
            <v>199125.81</v>
          </cell>
          <cell r="AJ128">
            <v>176157.58</v>
          </cell>
          <cell r="AK128">
            <v>165614.49</v>
          </cell>
          <cell r="AL128">
            <v>175390.11</v>
          </cell>
          <cell r="AM128">
            <v>181268.29</v>
          </cell>
          <cell r="AN128">
            <v>47110.600000000006</v>
          </cell>
          <cell r="AO128">
            <v>113689.84</v>
          </cell>
          <cell r="AP128">
            <v>52631.509999999995</v>
          </cell>
          <cell r="AQ128">
            <v>85054.09</v>
          </cell>
          <cell r="AR128">
            <v>52888.959999999992</v>
          </cell>
          <cell r="AS128">
            <v>36102.049999999988</v>
          </cell>
          <cell r="AT128">
            <v>23355</v>
          </cell>
          <cell r="AU128">
            <v>-186286.34</v>
          </cell>
          <cell r="AV128">
            <v>-96487.360000000001</v>
          </cell>
          <cell r="AW128">
            <v>-117828.9</v>
          </cell>
          <cell r="AX128">
            <v>26447.25</v>
          </cell>
          <cell r="AY128">
            <v>-112849.09</v>
          </cell>
          <cell r="AZ128">
            <v>-126997.34</v>
          </cell>
          <cell r="BA128">
            <v>-102221.66</v>
          </cell>
          <cell r="BB128">
            <v>-146938.08000000002</v>
          </cell>
          <cell r="BC128">
            <v>-115945.84</v>
          </cell>
          <cell r="BD128">
            <v>-1228101.6599999999</v>
          </cell>
          <cell r="BE128">
            <v>-285705.52999999997</v>
          </cell>
          <cell r="BF128">
            <v>-280886.88</v>
          </cell>
          <cell r="BG128">
            <v>-485570.58999999997</v>
          </cell>
          <cell r="BH128">
            <v>-388259.55</v>
          </cell>
          <cell r="BI128">
            <v>136839.76</v>
          </cell>
          <cell r="BJ128">
            <v>13228.040000000008</v>
          </cell>
          <cell r="BK128">
            <v>44892.750000000015</v>
          </cell>
          <cell r="BL128">
            <v>-4548.8699999999953</v>
          </cell>
          <cell r="BM128">
            <v>-47412.75</v>
          </cell>
          <cell r="BN128">
            <v>-68517.01999999999</v>
          </cell>
          <cell r="BO128">
            <v>-98085.37</v>
          </cell>
          <cell r="BP128">
            <v>-161957.01</v>
          </cell>
          <cell r="BQ128">
            <v>-164963.03999999998</v>
          </cell>
          <cell r="BR128">
            <v>-79854.89</v>
          </cell>
          <cell r="BS128">
            <v>-263169.47000000003</v>
          </cell>
          <cell r="BT128">
            <v>-196437.22999999998</v>
          </cell>
          <cell r="BU128">
            <v>-1493.260000000002</v>
          </cell>
          <cell r="BV128">
            <v>643079.99</v>
          </cell>
          <cell r="BW128">
            <v>-781306.5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</row>
        <row r="129">
          <cell r="O129">
            <v>1661251.7100000004</v>
          </cell>
          <cell r="P129">
            <v>1683295.5200000005</v>
          </cell>
          <cell r="Q129">
            <v>1686047.9000000004</v>
          </cell>
          <cell r="R129">
            <v>1673887.8300000003</v>
          </cell>
          <cell r="S129">
            <v>1646804.3200000003</v>
          </cell>
          <cell r="T129">
            <v>1666733.1200000003</v>
          </cell>
          <cell r="U129">
            <v>1667046.2900000003</v>
          </cell>
          <cell r="V129">
            <v>1719176.9300000002</v>
          </cell>
          <cell r="W129">
            <v>1458407.08</v>
          </cell>
          <cell r="X129">
            <v>1140843.3700000001</v>
          </cell>
          <cell r="Y129">
            <v>840343.08</v>
          </cell>
          <cell r="Z129">
            <v>511731.89999999997</v>
          </cell>
          <cell r="AA129">
            <v>106960.55999999998</v>
          </cell>
          <cell r="AB129">
            <v>-21029.85000000002</v>
          </cell>
          <cell r="AC129">
            <v>-131477.08000000002</v>
          </cell>
          <cell r="AD129">
            <v>-233404.57</v>
          </cell>
          <cell r="AE129">
            <v>-357136.76</v>
          </cell>
          <cell r="AF129">
            <v>-455227.61000000004</v>
          </cell>
          <cell r="AG129">
            <v>-540887.06000000006</v>
          </cell>
          <cell r="AH129">
            <v>-693517.28</v>
          </cell>
          <cell r="AI129">
            <v>-946846.05</v>
          </cell>
          <cell r="AJ129">
            <v>-1145971.8600000001</v>
          </cell>
          <cell r="AK129">
            <v>-1322129.4400000002</v>
          </cell>
          <cell r="AL129">
            <v>-1487743.9300000002</v>
          </cell>
          <cell r="AM129">
            <v>-1663134.0400000003</v>
          </cell>
          <cell r="AN129">
            <v>-4266504.3900000006</v>
          </cell>
          <cell r="AO129">
            <v>-4313614.99</v>
          </cell>
          <cell r="AP129">
            <v>-4427304.83</v>
          </cell>
          <cell r="AQ129">
            <v>-4479936.34</v>
          </cell>
          <cell r="AR129">
            <v>-4564990.43</v>
          </cell>
          <cell r="AS129">
            <v>-4617879.3899999997</v>
          </cell>
          <cell r="AT129">
            <v>-4653981.4399999995</v>
          </cell>
          <cell r="AU129">
            <v>-4677336.4399999995</v>
          </cell>
          <cell r="AV129">
            <v>-4491050.0999999996</v>
          </cell>
          <cell r="AW129">
            <v>-4394562.7399999993</v>
          </cell>
          <cell r="AX129">
            <v>-4276733.8399999989</v>
          </cell>
          <cell r="AY129">
            <v>-4303181.0899999989</v>
          </cell>
          <cell r="AZ129">
            <v>-4190331.9999999991</v>
          </cell>
          <cell r="BA129">
            <v>-4063334.6599999992</v>
          </cell>
          <cell r="BB129">
            <v>-3961112.9999999991</v>
          </cell>
          <cell r="BC129">
            <v>-3814174.919999999</v>
          </cell>
          <cell r="BD129">
            <v>-3698229.0799999991</v>
          </cell>
          <cell r="BE129">
            <v>-2470127.4199999995</v>
          </cell>
          <cell r="BF129">
            <v>-2184421.8899999997</v>
          </cell>
          <cell r="BG129">
            <v>-1903535.0099999998</v>
          </cell>
          <cell r="BH129">
            <v>-1417964.42</v>
          </cell>
          <cell r="BI129">
            <v>-1029704.8699999999</v>
          </cell>
          <cell r="BJ129">
            <v>-1166544.6299999999</v>
          </cell>
          <cell r="BK129">
            <v>-1179772.67</v>
          </cell>
          <cell r="BL129">
            <v>-1224665.42</v>
          </cell>
          <cell r="BM129">
            <v>-1220116.5499999998</v>
          </cell>
          <cell r="BN129">
            <v>-1172703.7999999998</v>
          </cell>
          <cell r="BO129">
            <v>-1104186.7799999998</v>
          </cell>
          <cell r="BP129">
            <v>-1006101.4099999999</v>
          </cell>
          <cell r="BQ129">
            <v>-844144.39999999991</v>
          </cell>
          <cell r="BR129">
            <v>-679181.36</v>
          </cell>
          <cell r="BS129">
            <v>-599326.47</v>
          </cell>
          <cell r="BT129">
            <v>-336157</v>
          </cell>
          <cell r="BU129">
            <v>-139719.77000000002</v>
          </cell>
          <cell r="BV129">
            <v>-138226.51</v>
          </cell>
          <cell r="BW129">
            <v>-781306.5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</row>
        <row r="137">
          <cell r="O137">
            <v>202012</v>
          </cell>
          <cell r="P137">
            <v>202011</v>
          </cell>
          <cell r="Q137">
            <v>202010</v>
          </cell>
          <cell r="R137">
            <v>202009</v>
          </cell>
          <cell r="S137">
            <v>202008</v>
          </cell>
          <cell r="T137">
            <v>202007</v>
          </cell>
          <cell r="U137">
            <v>202006</v>
          </cell>
          <cell r="V137">
            <v>202005</v>
          </cell>
          <cell r="W137">
            <v>202004</v>
          </cell>
          <cell r="X137">
            <v>202003</v>
          </cell>
          <cell r="Y137">
            <v>202002</v>
          </cell>
          <cell r="Z137">
            <v>202001</v>
          </cell>
          <cell r="AA137">
            <v>201912</v>
          </cell>
          <cell r="AB137">
            <v>201911</v>
          </cell>
          <cell r="AC137">
            <v>201910</v>
          </cell>
          <cell r="AD137">
            <v>201909</v>
          </cell>
          <cell r="AE137">
            <v>201908</v>
          </cell>
          <cell r="AF137">
            <v>201907</v>
          </cell>
          <cell r="AG137">
            <v>201906</v>
          </cell>
          <cell r="AH137">
            <v>201905</v>
          </cell>
          <cell r="AI137">
            <v>201904</v>
          </cell>
          <cell r="AJ137">
            <v>201903</v>
          </cell>
          <cell r="AK137">
            <v>201902</v>
          </cell>
          <cell r="AL137">
            <v>201901</v>
          </cell>
          <cell r="AM137">
            <v>201812</v>
          </cell>
          <cell r="AN137">
            <v>201811</v>
          </cell>
          <cell r="AO137">
            <v>201810</v>
          </cell>
          <cell r="AP137">
            <v>201809</v>
          </cell>
          <cell r="AQ137">
            <v>201808</v>
          </cell>
          <cell r="AR137">
            <v>201807</v>
          </cell>
          <cell r="AS137">
            <v>201806</v>
          </cell>
          <cell r="AT137">
            <v>201805</v>
          </cell>
          <cell r="AU137">
            <v>201804</v>
          </cell>
          <cell r="AV137">
            <v>201803</v>
          </cell>
          <cell r="AW137">
            <v>201802</v>
          </cell>
          <cell r="AX137">
            <v>201801</v>
          </cell>
          <cell r="AY137">
            <v>201712</v>
          </cell>
          <cell r="AZ137">
            <v>201711</v>
          </cell>
          <cell r="BA137">
            <v>201710</v>
          </cell>
          <cell r="BB137">
            <v>201709</v>
          </cell>
          <cell r="BC137">
            <v>201708</v>
          </cell>
          <cell r="BD137">
            <v>201707</v>
          </cell>
          <cell r="BE137">
            <v>201706</v>
          </cell>
          <cell r="BF137">
            <v>201705</v>
          </cell>
          <cell r="BG137">
            <v>201704</v>
          </cell>
          <cell r="BH137">
            <v>201703</v>
          </cell>
          <cell r="BI137">
            <v>201702</v>
          </cell>
          <cell r="BJ137">
            <v>201701</v>
          </cell>
          <cell r="BK137">
            <v>201612</v>
          </cell>
          <cell r="BL137">
            <v>201611</v>
          </cell>
          <cell r="BM137">
            <v>201610</v>
          </cell>
          <cell r="BN137">
            <v>201609</v>
          </cell>
          <cell r="BO137">
            <v>201608</v>
          </cell>
          <cell r="BP137">
            <v>201607</v>
          </cell>
          <cell r="BQ137">
            <v>201606</v>
          </cell>
          <cell r="BR137">
            <v>201605</v>
          </cell>
          <cell r="BS137">
            <v>201604</v>
          </cell>
          <cell r="BT137">
            <v>201603</v>
          </cell>
          <cell r="BU137">
            <v>201602</v>
          </cell>
          <cell r="BV137">
            <v>201601</v>
          </cell>
          <cell r="BW137">
            <v>201512</v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</row>
        <row r="138">
          <cell r="O138">
            <v>2020</v>
          </cell>
          <cell r="P138">
            <v>2020</v>
          </cell>
          <cell r="Q138">
            <v>2020</v>
          </cell>
          <cell r="R138">
            <v>2020</v>
          </cell>
          <cell r="S138">
            <v>2020</v>
          </cell>
          <cell r="T138">
            <v>2020</v>
          </cell>
          <cell r="U138">
            <v>2020</v>
          </cell>
          <cell r="V138">
            <v>2020</v>
          </cell>
          <cell r="W138">
            <v>2020</v>
          </cell>
          <cell r="X138">
            <v>2020</v>
          </cell>
          <cell r="Y138">
            <v>2020</v>
          </cell>
          <cell r="Z138">
            <v>2020</v>
          </cell>
          <cell r="AA138">
            <v>2019</v>
          </cell>
          <cell r="AB138">
            <v>2019</v>
          </cell>
          <cell r="AC138">
            <v>2019</v>
          </cell>
          <cell r="AD138">
            <v>2019</v>
          </cell>
          <cell r="AE138">
            <v>2019</v>
          </cell>
          <cell r="AF138">
            <v>2019</v>
          </cell>
          <cell r="AG138">
            <v>2019</v>
          </cell>
          <cell r="AH138">
            <v>2019</v>
          </cell>
          <cell r="AI138">
            <v>2019</v>
          </cell>
          <cell r="AJ138">
            <v>2019</v>
          </cell>
          <cell r="AK138">
            <v>2019</v>
          </cell>
          <cell r="AL138">
            <v>2019</v>
          </cell>
          <cell r="AM138">
            <v>2018</v>
          </cell>
          <cell r="AN138">
            <v>2018</v>
          </cell>
          <cell r="AO138">
            <v>2018</v>
          </cell>
          <cell r="AP138">
            <v>2018</v>
          </cell>
          <cell r="AQ138">
            <v>2018</v>
          </cell>
          <cell r="AR138">
            <v>2018</v>
          </cell>
          <cell r="AS138">
            <v>2018</v>
          </cell>
          <cell r="AT138">
            <v>2018</v>
          </cell>
          <cell r="AU138">
            <v>2018</v>
          </cell>
          <cell r="AV138">
            <v>2018</v>
          </cell>
          <cell r="AW138">
            <v>2018</v>
          </cell>
          <cell r="AX138">
            <v>2018</v>
          </cell>
          <cell r="AY138">
            <v>2017</v>
          </cell>
          <cell r="AZ138">
            <v>2017</v>
          </cell>
          <cell r="BA138">
            <v>2017</v>
          </cell>
          <cell r="BB138">
            <v>2017</v>
          </cell>
          <cell r="BC138">
            <v>2017</v>
          </cell>
          <cell r="BD138">
            <v>2017</v>
          </cell>
          <cell r="BE138">
            <v>2017</v>
          </cell>
          <cell r="BF138">
            <v>2017</v>
          </cell>
          <cell r="BG138">
            <v>2017</v>
          </cell>
          <cell r="BH138">
            <v>2017</v>
          </cell>
          <cell r="BI138">
            <v>2017</v>
          </cell>
          <cell r="BJ138">
            <v>2017</v>
          </cell>
          <cell r="BK138">
            <v>2016</v>
          </cell>
          <cell r="BL138">
            <v>2016</v>
          </cell>
          <cell r="BM138">
            <v>2016</v>
          </cell>
          <cell r="BN138">
            <v>2016</v>
          </cell>
          <cell r="BO138">
            <v>2016</v>
          </cell>
          <cell r="BP138">
            <v>2016</v>
          </cell>
          <cell r="BQ138">
            <v>2016</v>
          </cell>
          <cell r="BR138">
            <v>2016</v>
          </cell>
          <cell r="BS138">
            <v>2016</v>
          </cell>
          <cell r="BT138">
            <v>2016</v>
          </cell>
          <cell r="BU138">
            <v>2016</v>
          </cell>
          <cell r="BV138">
            <v>2016</v>
          </cell>
          <cell r="BW138">
            <v>2015</v>
          </cell>
          <cell r="BX138" t="str">
            <v/>
          </cell>
          <cell r="BY138" t="str">
            <v/>
          </cell>
          <cell r="BZ138" t="str">
            <v/>
          </cell>
          <cell r="CA138" t="str">
            <v/>
          </cell>
          <cell r="CB138" t="str">
            <v/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J138" t="str">
            <v/>
          </cell>
        </row>
        <row r="139">
          <cell r="O139">
            <v>12</v>
          </cell>
          <cell r="P139">
            <v>11</v>
          </cell>
          <cell r="Q139">
            <v>10</v>
          </cell>
          <cell r="R139">
            <v>9</v>
          </cell>
          <cell r="S139">
            <v>8</v>
          </cell>
          <cell r="T139">
            <v>7</v>
          </cell>
          <cell r="U139">
            <v>6</v>
          </cell>
          <cell r="V139">
            <v>5</v>
          </cell>
          <cell r="W139">
            <v>4</v>
          </cell>
          <cell r="X139">
            <v>3</v>
          </cell>
          <cell r="Y139">
            <v>2</v>
          </cell>
          <cell r="Z139">
            <v>1</v>
          </cell>
          <cell r="AA139">
            <v>12</v>
          </cell>
          <cell r="AB139">
            <v>11</v>
          </cell>
          <cell r="AC139">
            <v>10</v>
          </cell>
          <cell r="AD139">
            <v>9</v>
          </cell>
          <cell r="AE139">
            <v>8</v>
          </cell>
          <cell r="AF139">
            <v>7</v>
          </cell>
          <cell r="AG139">
            <v>6</v>
          </cell>
          <cell r="AH139">
            <v>5</v>
          </cell>
          <cell r="AI139">
            <v>4</v>
          </cell>
          <cell r="AJ139">
            <v>3</v>
          </cell>
          <cell r="AK139">
            <v>2</v>
          </cell>
          <cell r="AL139">
            <v>1</v>
          </cell>
          <cell r="AM139">
            <v>12</v>
          </cell>
          <cell r="AN139">
            <v>11</v>
          </cell>
          <cell r="AO139">
            <v>10</v>
          </cell>
          <cell r="AP139">
            <v>9</v>
          </cell>
          <cell r="AQ139">
            <v>8</v>
          </cell>
          <cell r="AR139">
            <v>7</v>
          </cell>
          <cell r="AS139">
            <v>6</v>
          </cell>
          <cell r="AT139">
            <v>5</v>
          </cell>
          <cell r="AU139">
            <v>4</v>
          </cell>
          <cell r="AV139">
            <v>3</v>
          </cell>
          <cell r="AW139">
            <v>2</v>
          </cell>
          <cell r="AX139">
            <v>1</v>
          </cell>
          <cell r="AY139">
            <v>12</v>
          </cell>
          <cell r="AZ139">
            <v>11</v>
          </cell>
          <cell r="BA139">
            <v>10</v>
          </cell>
          <cell r="BB139">
            <v>9</v>
          </cell>
          <cell r="BC139">
            <v>8</v>
          </cell>
          <cell r="BD139">
            <v>7</v>
          </cell>
          <cell r="BE139">
            <v>6</v>
          </cell>
          <cell r="BF139">
            <v>5</v>
          </cell>
          <cell r="BG139">
            <v>4</v>
          </cell>
          <cell r="BH139">
            <v>3</v>
          </cell>
          <cell r="BI139">
            <v>2</v>
          </cell>
          <cell r="BJ139">
            <v>1</v>
          </cell>
          <cell r="BK139">
            <v>12</v>
          </cell>
          <cell r="BL139">
            <v>11</v>
          </cell>
          <cell r="BM139">
            <v>10</v>
          </cell>
          <cell r="BN139">
            <v>9</v>
          </cell>
          <cell r="BO139">
            <v>8</v>
          </cell>
          <cell r="BP139">
            <v>7</v>
          </cell>
          <cell r="BQ139">
            <v>6</v>
          </cell>
          <cell r="BR139">
            <v>5</v>
          </cell>
          <cell r="BS139">
            <v>4</v>
          </cell>
          <cell r="BT139">
            <v>3</v>
          </cell>
          <cell r="BU139">
            <v>2</v>
          </cell>
          <cell r="BV139">
            <v>1</v>
          </cell>
          <cell r="BW139">
            <v>12</v>
          </cell>
          <cell r="BX139" t="str">
            <v/>
          </cell>
          <cell r="BY139" t="str">
            <v/>
          </cell>
          <cell r="BZ139" t="str">
            <v/>
          </cell>
          <cell r="CA139" t="str">
            <v/>
          </cell>
          <cell r="CB139" t="str">
            <v/>
          </cell>
          <cell r="CC139" t="str">
            <v/>
          </cell>
          <cell r="CD139" t="str">
            <v/>
          </cell>
          <cell r="CE139" t="str">
            <v/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J139" t="str">
            <v/>
          </cell>
        </row>
        <row r="144">
          <cell r="O144">
            <v>94254632.129999995</v>
          </cell>
          <cell r="P144">
            <v>90772307.310000002</v>
          </cell>
          <cell r="Q144">
            <v>86855698</v>
          </cell>
          <cell r="R144">
            <v>80338856.760000005</v>
          </cell>
          <cell r="S144">
            <v>76537033.349999994</v>
          </cell>
          <cell r="T144">
            <v>70817410.409999996</v>
          </cell>
          <cell r="U144">
            <v>67021007.729999997</v>
          </cell>
          <cell r="V144">
            <v>63305594.029999994</v>
          </cell>
          <cell r="W144">
            <v>59951368.499999993</v>
          </cell>
          <cell r="X144">
            <v>54041312.049999997</v>
          </cell>
          <cell r="Y144">
            <v>49650737.149999999</v>
          </cell>
          <cell r="Z144">
            <v>46655058.210000001</v>
          </cell>
          <cell r="AA144">
            <v>44002739.890000001</v>
          </cell>
          <cell r="AB144">
            <v>42365586.899999999</v>
          </cell>
          <cell r="AC144">
            <v>37085782.100000001</v>
          </cell>
          <cell r="AD144">
            <v>31360379.030000001</v>
          </cell>
          <cell r="AE144">
            <v>26447799.649999999</v>
          </cell>
          <cell r="AF144">
            <v>23420482.129999999</v>
          </cell>
          <cell r="AG144">
            <v>20801914.799999997</v>
          </cell>
          <cell r="AH144">
            <v>19551518.379999999</v>
          </cell>
          <cell r="AI144">
            <v>16484315.449999999</v>
          </cell>
          <cell r="AJ144">
            <v>15217857.67</v>
          </cell>
          <cell r="AK144">
            <v>12426920.369999999</v>
          </cell>
          <cell r="AL144">
            <v>11864591.74</v>
          </cell>
          <cell r="AM144">
            <v>11207438.539999999</v>
          </cell>
          <cell r="AN144">
            <v>10436606.98</v>
          </cell>
          <cell r="AO144">
            <v>9803648.7100000009</v>
          </cell>
          <cell r="AP144">
            <v>9347877.8699999992</v>
          </cell>
          <cell r="AQ144">
            <v>7338384.1799999997</v>
          </cell>
          <cell r="AR144">
            <v>6758536.7399999993</v>
          </cell>
          <cell r="AS144">
            <v>6722508.1899999995</v>
          </cell>
          <cell r="AT144">
            <v>6515328.0999999996</v>
          </cell>
          <cell r="AU144">
            <v>6250879.4800000004</v>
          </cell>
          <cell r="AV144">
            <v>5166106.24</v>
          </cell>
          <cell r="AW144">
            <v>4342215.1900000004</v>
          </cell>
          <cell r="AX144">
            <v>3370480.97</v>
          </cell>
          <cell r="AY144">
            <v>3062641.2100000004</v>
          </cell>
          <cell r="AZ144">
            <v>1439946.39</v>
          </cell>
          <cell r="BA144">
            <v>1046533.85</v>
          </cell>
          <cell r="BB144">
            <v>616593.06999999995</v>
          </cell>
          <cell r="BC144">
            <v>310103.82</v>
          </cell>
          <cell r="BD144">
            <v>239723.06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</row>
        <row r="145">
          <cell r="O145">
            <v>-317268.3</v>
          </cell>
          <cell r="P145">
            <v>-188247.1</v>
          </cell>
          <cell r="Q145">
            <v>-62107.67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</row>
        <row r="146">
          <cell r="O146">
            <v>45058.31</v>
          </cell>
          <cell r="P146">
            <v>45058.31</v>
          </cell>
          <cell r="Q146">
            <v>40412.29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</row>
        <row r="147">
          <cell r="O147">
            <v>-881246.51</v>
          </cell>
          <cell r="P147">
            <v>-821519.15</v>
          </cell>
          <cell r="Q147">
            <v>-750482.69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</row>
        <row r="148"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</row>
        <row r="149"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</row>
        <row r="150"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</row>
        <row r="151">
          <cell r="O151">
            <v>93101175.629999995</v>
          </cell>
          <cell r="P151">
            <v>89807599.370000005</v>
          </cell>
          <cell r="Q151">
            <v>86083519.930000007</v>
          </cell>
          <cell r="R151">
            <v>80338856.760000005</v>
          </cell>
          <cell r="S151">
            <v>76537033.349999994</v>
          </cell>
          <cell r="T151">
            <v>70817410.409999996</v>
          </cell>
          <cell r="U151">
            <v>67021007.729999997</v>
          </cell>
          <cell r="V151">
            <v>63305594.029999994</v>
          </cell>
          <cell r="W151">
            <v>59951368.499999993</v>
          </cell>
          <cell r="X151">
            <v>54041312.049999997</v>
          </cell>
          <cell r="Y151">
            <v>49650737.149999999</v>
          </cell>
          <cell r="Z151">
            <v>46655058.210000001</v>
          </cell>
          <cell r="AA151">
            <v>44002739.890000001</v>
          </cell>
          <cell r="AB151">
            <v>42365586.899999999</v>
          </cell>
          <cell r="AC151">
            <v>37085782.100000001</v>
          </cell>
          <cell r="AD151">
            <v>31360379.030000001</v>
          </cell>
          <cell r="AE151">
            <v>26447799.649999999</v>
          </cell>
          <cell r="AF151">
            <v>23420482.129999999</v>
          </cell>
          <cell r="AG151">
            <v>20801914.799999997</v>
          </cell>
          <cell r="AH151">
            <v>19551518.379999999</v>
          </cell>
          <cell r="AI151">
            <v>16484315.449999999</v>
          </cell>
          <cell r="AJ151">
            <v>15217857.67</v>
          </cell>
          <cell r="AK151">
            <v>12426920.369999999</v>
          </cell>
          <cell r="AL151">
            <v>11864591.74</v>
          </cell>
          <cell r="AM151">
            <v>11207438.539999999</v>
          </cell>
          <cell r="AN151">
            <v>10436606.98</v>
          </cell>
          <cell r="AO151">
            <v>9803648.7100000009</v>
          </cell>
          <cell r="AP151">
            <v>9347877.8699999992</v>
          </cell>
          <cell r="AQ151">
            <v>7338384.1799999997</v>
          </cell>
          <cell r="AR151">
            <v>6758536.7399999993</v>
          </cell>
          <cell r="AS151">
            <v>6722508.1899999995</v>
          </cell>
          <cell r="AT151">
            <v>6515328.0999999996</v>
          </cell>
          <cell r="AU151">
            <v>6250879.4800000004</v>
          </cell>
          <cell r="AV151">
            <v>5166106.24</v>
          </cell>
          <cell r="AW151">
            <v>4342215.1900000004</v>
          </cell>
          <cell r="AX151">
            <v>3370480.97</v>
          </cell>
          <cell r="AY151">
            <v>3062641.2100000004</v>
          </cell>
          <cell r="AZ151">
            <v>1439946.39</v>
          </cell>
          <cell r="BA151">
            <v>1046533.85</v>
          </cell>
          <cell r="BB151">
            <v>616593.06999999995</v>
          </cell>
          <cell r="BC151">
            <v>310103.82</v>
          </cell>
          <cell r="BD151">
            <v>239723.06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</row>
        <row r="156"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</row>
        <row r="157">
          <cell r="O157">
            <v>129021.2</v>
          </cell>
          <cell r="P157">
            <v>126139.43000000001</v>
          </cell>
          <cell r="Q157">
            <v>62107.67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</row>
        <row r="158"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</row>
        <row r="159">
          <cell r="O159">
            <v>64595</v>
          </cell>
          <cell r="P159">
            <v>64595</v>
          </cell>
          <cell r="Q159">
            <v>20186.2</v>
          </cell>
          <cell r="R159">
            <v>20186.2</v>
          </cell>
          <cell r="S159">
            <v>20186.2</v>
          </cell>
          <cell r="T159">
            <v>20186.2</v>
          </cell>
          <cell r="U159">
            <v>20186.2</v>
          </cell>
          <cell r="V159">
            <v>20186.2</v>
          </cell>
          <cell r="W159">
            <v>20186.2</v>
          </cell>
          <cell r="X159">
            <v>20186.2</v>
          </cell>
          <cell r="Y159">
            <v>20186.2</v>
          </cell>
          <cell r="Z159">
            <v>20186.2</v>
          </cell>
          <cell r="AA159">
            <v>7144.99</v>
          </cell>
          <cell r="AB159">
            <v>7144.99</v>
          </cell>
          <cell r="AC159">
            <v>7144.99</v>
          </cell>
          <cell r="AD159">
            <v>7144.99</v>
          </cell>
          <cell r="AE159">
            <v>7144.99</v>
          </cell>
          <cell r="AF159">
            <v>7144.99</v>
          </cell>
          <cell r="AG159">
            <v>7144.99</v>
          </cell>
          <cell r="AH159">
            <v>7144.99</v>
          </cell>
          <cell r="AI159">
            <v>7144.99</v>
          </cell>
          <cell r="AJ159">
            <v>7144.99</v>
          </cell>
          <cell r="AK159">
            <v>7144.99</v>
          </cell>
          <cell r="AL159">
            <v>7144.99</v>
          </cell>
          <cell r="AM159">
            <v>440.78</v>
          </cell>
          <cell r="AN159">
            <v>440.78</v>
          </cell>
          <cell r="AO159">
            <v>440.78</v>
          </cell>
          <cell r="AP159">
            <v>440.78</v>
          </cell>
          <cell r="AQ159">
            <v>440.78</v>
          </cell>
          <cell r="AR159">
            <v>440.78</v>
          </cell>
          <cell r="AS159">
            <v>440.78</v>
          </cell>
          <cell r="AT159">
            <v>440.78</v>
          </cell>
          <cell r="AU159">
            <v>440.78</v>
          </cell>
          <cell r="AV159">
            <v>440.78</v>
          </cell>
          <cell r="AW159">
            <v>440.78</v>
          </cell>
          <cell r="AX159">
            <v>440.78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</row>
        <row r="160">
          <cell r="O160">
            <v>193616.2</v>
          </cell>
          <cell r="P160">
            <v>190734.43</v>
          </cell>
          <cell r="Q160">
            <v>82293.87</v>
          </cell>
          <cell r="R160">
            <v>20186.2</v>
          </cell>
          <cell r="S160">
            <v>20186.2</v>
          </cell>
          <cell r="T160">
            <v>20186.2</v>
          </cell>
          <cell r="U160">
            <v>20186.2</v>
          </cell>
          <cell r="V160">
            <v>20186.2</v>
          </cell>
          <cell r="W160">
            <v>20186.2</v>
          </cell>
          <cell r="X160">
            <v>20186.2</v>
          </cell>
          <cell r="Y160">
            <v>20186.2</v>
          </cell>
          <cell r="Z160">
            <v>20186.2</v>
          </cell>
          <cell r="AA160">
            <v>7144.99</v>
          </cell>
          <cell r="AB160">
            <v>7144.99</v>
          </cell>
          <cell r="AC160">
            <v>7144.99</v>
          </cell>
          <cell r="AD160">
            <v>7144.99</v>
          </cell>
          <cell r="AE160">
            <v>7144.99</v>
          </cell>
          <cell r="AF160">
            <v>7144.99</v>
          </cell>
          <cell r="AG160">
            <v>7144.99</v>
          </cell>
          <cell r="AH160">
            <v>7144.99</v>
          </cell>
          <cell r="AI160">
            <v>7144.99</v>
          </cell>
          <cell r="AJ160">
            <v>7144.99</v>
          </cell>
          <cell r="AK160">
            <v>7144.99</v>
          </cell>
          <cell r="AL160">
            <v>7144.99</v>
          </cell>
          <cell r="AM160">
            <v>440.78</v>
          </cell>
          <cell r="AN160">
            <v>440.78</v>
          </cell>
          <cell r="AO160">
            <v>440.78</v>
          </cell>
          <cell r="AP160">
            <v>440.78</v>
          </cell>
          <cell r="AQ160">
            <v>440.78</v>
          </cell>
          <cell r="AR160">
            <v>440.78</v>
          </cell>
          <cell r="AS160">
            <v>440.78</v>
          </cell>
          <cell r="AT160">
            <v>440.78</v>
          </cell>
          <cell r="AU160">
            <v>440.78</v>
          </cell>
          <cell r="AV160">
            <v>440.78</v>
          </cell>
          <cell r="AW160">
            <v>440.78</v>
          </cell>
          <cell r="AX160">
            <v>440.78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</row>
        <row r="165">
          <cell r="O165">
            <v>93101175.629999995</v>
          </cell>
          <cell r="P165">
            <v>89807599.370000005</v>
          </cell>
          <cell r="Q165">
            <v>86083519.930000007</v>
          </cell>
          <cell r="R165">
            <v>80338856.760000005</v>
          </cell>
          <cell r="S165">
            <v>76537033.349999994</v>
          </cell>
          <cell r="T165">
            <v>70817410.409999996</v>
          </cell>
          <cell r="U165">
            <v>67021007.729999997</v>
          </cell>
          <cell r="V165">
            <v>63305594.029999994</v>
          </cell>
          <cell r="W165">
            <v>59951368.499999993</v>
          </cell>
          <cell r="X165">
            <v>54041312.049999997</v>
          </cell>
          <cell r="Y165">
            <v>49650737.149999999</v>
          </cell>
          <cell r="Z165">
            <v>46655058.210000001</v>
          </cell>
          <cell r="AA165">
            <v>44002739.890000001</v>
          </cell>
          <cell r="AB165">
            <v>42365586.899999999</v>
          </cell>
          <cell r="AC165">
            <v>37085782.100000001</v>
          </cell>
          <cell r="AD165">
            <v>31360379.030000001</v>
          </cell>
          <cell r="AE165">
            <v>26447799.649999999</v>
          </cell>
          <cell r="AF165">
            <v>23420482.129999999</v>
          </cell>
          <cell r="AG165">
            <v>20801914.799999997</v>
          </cell>
          <cell r="AH165">
            <v>19551518.379999999</v>
          </cell>
          <cell r="AI165">
            <v>16484315.449999999</v>
          </cell>
          <cell r="AJ165">
            <v>15217857.67</v>
          </cell>
          <cell r="AK165">
            <v>12426920.369999999</v>
          </cell>
          <cell r="AL165">
            <v>11864591.74</v>
          </cell>
          <cell r="AM165">
            <v>11207438.539999999</v>
          </cell>
          <cell r="AN165">
            <v>10436606.98</v>
          </cell>
          <cell r="AO165">
            <v>9803648.7100000009</v>
          </cell>
          <cell r="AP165">
            <v>9347877.8699999992</v>
          </cell>
          <cell r="AQ165">
            <v>7338384.1799999997</v>
          </cell>
          <cell r="AR165">
            <v>6758536.7399999993</v>
          </cell>
          <cell r="AS165">
            <v>6722508.1899999995</v>
          </cell>
          <cell r="AT165">
            <v>6515328.0999999996</v>
          </cell>
          <cell r="AU165">
            <v>6250879.4800000004</v>
          </cell>
          <cell r="AV165">
            <v>5166106.24</v>
          </cell>
          <cell r="AW165">
            <v>4342215.1900000004</v>
          </cell>
          <cell r="AX165">
            <v>3370480.97</v>
          </cell>
          <cell r="AY165">
            <v>3062641.2100000004</v>
          </cell>
          <cell r="AZ165">
            <v>1439946.39</v>
          </cell>
          <cell r="BA165">
            <v>1046533.85</v>
          </cell>
          <cell r="BB165">
            <v>616593.06999999995</v>
          </cell>
          <cell r="BC165">
            <v>310103.82</v>
          </cell>
          <cell r="BD165">
            <v>239723.06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</row>
        <row r="166">
          <cell r="O166">
            <v>67793339.459999993</v>
          </cell>
          <cell r="P166">
            <v>65684353.119999997</v>
          </cell>
          <cell r="Q166">
            <v>63491330.729999997</v>
          </cell>
          <cell r="R166">
            <v>61232111.810000002</v>
          </cell>
          <cell r="S166">
            <v>59109140.149999999</v>
          </cell>
          <cell r="T166">
            <v>56930653.5</v>
          </cell>
          <cell r="U166">
            <v>54946831.079999998</v>
          </cell>
          <cell r="V166">
            <v>52934468.310000002</v>
          </cell>
          <cell r="W166">
            <v>50860243.159999996</v>
          </cell>
          <cell r="X166">
            <v>48587461.829999998</v>
          </cell>
          <cell r="Y166">
            <v>46769511.75</v>
          </cell>
          <cell r="Z166">
            <v>45328899.049999997</v>
          </cell>
          <cell r="AA166">
            <v>24018255.899999999</v>
          </cell>
          <cell r="AB166">
            <v>22352882.23</v>
          </cell>
          <cell r="AC166">
            <v>20533545.440000001</v>
          </cell>
          <cell r="AD166">
            <v>18878321.780000001</v>
          </cell>
          <cell r="AE166">
            <v>17491426.530000001</v>
          </cell>
          <cell r="AF166">
            <v>16371879.890000001</v>
          </cell>
          <cell r="AG166">
            <v>15364936.710000001</v>
          </cell>
          <cell r="AH166">
            <v>14458773.689999999</v>
          </cell>
          <cell r="AI166">
            <v>13440224.75</v>
          </cell>
          <cell r="AJ166">
            <v>12679202.08</v>
          </cell>
          <cell r="AK166">
            <v>11832983.550000001</v>
          </cell>
          <cell r="AL166">
            <v>11536015.140000001</v>
          </cell>
          <cell r="AM166">
            <v>6947896.3399999999</v>
          </cell>
          <cell r="AN166">
            <v>6592934.4900000002</v>
          </cell>
          <cell r="AO166">
            <v>6243509.7199999997</v>
          </cell>
          <cell r="AP166">
            <v>5887495.8200000003</v>
          </cell>
          <cell r="AQ166">
            <v>5503008.9199999999</v>
          </cell>
          <cell r="AR166">
            <v>5273587.0199999996</v>
          </cell>
          <cell r="AS166">
            <v>5061451.34</v>
          </cell>
          <cell r="AT166">
            <v>4784608.53</v>
          </cell>
          <cell r="AU166">
            <v>4438464.62</v>
          </cell>
          <cell r="AV166">
            <v>3985360.9</v>
          </cell>
          <cell r="AW166">
            <v>3591779.12</v>
          </cell>
          <cell r="AX166">
            <v>3216561.09</v>
          </cell>
          <cell r="AY166">
            <v>959363.06</v>
          </cell>
          <cell r="AZ166">
            <v>608816.69999999995</v>
          </cell>
          <cell r="BA166">
            <v>442590.76</v>
          </cell>
          <cell r="BB166">
            <v>291604.99</v>
          </cell>
          <cell r="BC166">
            <v>183275.63</v>
          </cell>
          <cell r="BD166">
            <v>119861.53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</row>
        <row r="167">
          <cell r="O167">
            <v>67793339.459999993</v>
          </cell>
          <cell r="P167">
            <v>67793339.459999993</v>
          </cell>
          <cell r="Q167">
            <v>67793339.459999993</v>
          </cell>
          <cell r="R167">
            <v>67793339.459999993</v>
          </cell>
          <cell r="S167">
            <v>67793339.459999993</v>
          </cell>
          <cell r="T167">
            <v>67793339.459999993</v>
          </cell>
          <cell r="U167">
            <v>67793339.459999993</v>
          </cell>
          <cell r="V167">
            <v>67793339.459999993</v>
          </cell>
          <cell r="W167">
            <v>67793339.459999993</v>
          </cell>
          <cell r="X167">
            <v>67793339.459999993</v>
          </cell>
          <cell r="Y167">
            <v>67793339.459999993</v>
          </cell>
          <cell r="Z167">
            <v>67793339.459999993</v>
          </cell>
          <cell r="AA167">
            <v>24018255.899999999</v>
          </cell>
          <cell r="AB167">
            <v>24018255.899999999</v>
          </cell>
          <cell r="AC167">
            <v>24018255.899999999</v>
          </cell>
          <cell r="AD167">
            <v>24018255.899999999</v>
          </cell>
          <cell r="AE167">
            <v>24018255.899999999</v>
          </cell>
          <cell r="AF167">
            <v>24018255.899999999</v>
          </cell>
          <cell r="AG167">
            <v>24018255.899999999</v>
          </cell>
          <cell r="AH167">
            <v>24018255.899999999</v>
          </cell>
          <cell r="AI167">
            <v>24018255.899999999</v>
          </cell>
          <cell r="AJ167">
            <v>24018255.899999999</v>
          </cell>
          <cell r="AK167">
            <v>24018255.899999999</v>
          </cell>
          <cell r="AL167">
            <v>24018255.899999999</v>
          </cell>
          <cell r="AM167">
            <v>6947896.3399999999</v>
          </cell>
          <cell r="AN167">
            <v>6947896.3399999999</v>
          </cell>
          <cell r="AO167">
            <v>6947896.3399999999</v>
          </cell>
          <cell r="AP167">
            <v>6947896.3399999999</v>
          </cell>
          <cell r="AQ167">
            <v>6947896.3399999999</v>
          </cell>
          <cell r="AR167">
            <v>6947896.3399999999</v>
          </cell>
          <cell r="AS167">
            <v>6947896.3399999999</v>
          </cell>
          <cell r="AT167">
            <v>6947896.3399999999</v>
          </cell>
          <cell r="AU167">
            <v>6947896.3399999999</v>
          </cell>
          <cell r="AV167">
            <v>6947896.3399999999</v>
          </cell>
          <cell r="AW167">
            <v>6947896.3399999999</v>
          </cell>
          <cell r="AX167">
            <v>6947896.3399999999</v>
          </cell>
          <cell r="AY167">
            <v>959363.06</v>
          </cell>
          <cell r="AZ167">
            <v>959363.06</v>
          </cell>
          <cell r="BA167">
            <v>959363.06</v>
          </cell>
          <cell r="BB167">
            <v>959363.06</v>
          </cell>
          <cell r="BC167">
            <v>959363.06</v>
          </cell>
          <cell r="BD167">
            <v>959363.06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</row>
        <row r="168">
          <cell r="O168">
            <v>5649444.96</v>
          </cell>
          <cell r="P168">
            <v>5649444.96</v>
          </cell>
          <cell r="Q168">
            <v>5649444.96</v>
          </cell>
          <cell r="R168">
            <v>5649444.96</v>
          </cell>
          <cell r="S168">
            <v>5649444.96</v>
          </cell>
          <cell r="T168">
            <v>5649444.96</v>
          </cell>
          <cell r="U168">
            <v>5649444.96</v>
          </cell>
          <cell r="V168">
            <v>5649444.96</v>
          </cell>
          <cell r="W168">
            <v>5649444.96</v>
          </cell>
          <cell r="X168">
            <v>5649444.96</v>
          </cell>
          <cell r="Y168">
            <v>5649444.96</v>
          </cell>
          <cell r="Z168">
            <v>5649444.96</v>
          </cell>
          <cell r="AA168">
            <v>2001521.33</v>
          </cell>
          <cell r="AB168">
            <v>2001521.33</v>
          </cell>
          <cell r="AC168">
            <v>2001521.33</v>
          </cell>
          <cell r="AD168">
            <v>2001521.33</v>
          </cell>
          <cell r="AE168">
            <v>2001521.33</v>
          </cell>
          <cell r="AF168">
            <v>2001521.33</v>
          </cell>
          <cell r="AG168">
            <v>2001521.33</v>
          </cell>
          <cell r="AH168">
            <v>2001521.33</v>
          </cell>
          <cell r="AI168">
            <v>2001521.33</v>
          </cell>
          <cell r="AJ168">
            <v>2001521.33</v>
          </cell>
          <cell r="AK168">
            <v>2001521.33</v>
          </cell>
          <cell r="AL168">
            <v>2001521.33</v>
          </cell>
          <cell r="AM168">
            <v>578991.35999999999</v>
          </cell>
          <cell r="AN168">
            <v>578991.35999999999</v>
          </cell>
          <cell r="AO168">
            <v>578991.35999999999</v>
          </cell>
          <cell r="AP168">
            <v>578991.35999999999</v>
          </cell>
          <cell r="AQ168">
            <v>578991.35999999999</v>
          </cell>
          <cell r="AR168">
            <v>578991.35999999999</v>
          </cell>
          <cell r="AS168">
            <v>578991.35999999999</v>
          </cell>
          <cell r="AT168">
            <v>578991.35999999999</v>
          </cell>
          <cell r="AU168">
            <v>578991.35999999999</v>
          </cell>
          <cell r="AV168">
            <v>578991.35999999999</v>
          </cell>
          <cell r="AW168">
            <v>578991.35999999999</v>
          </cell>
          <cell r="AX168">
            <v>578991.35999999999</v>
          </cell>
          <cell r="AY168">
            <v>79946.92</v>
          </cell>
          <cell r="AZ168">
            <v>79946.92</v>
          </cell>
          <cell r="BA168">
            <v>79946.92</v>
          </cell>
          <cell r="BB168">
            <v>79946.92</v>
          </cell>
          <cell r="BC168">
            <v>79946.92</v>
          </cell>
          <cell r="BD168">
            <v>79946.92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</row>
        <row r="169">
          <cell r="O169">
            <v>8.9200000000000002E-2</v>
          </cell>
          <cell r="P169">
            <v>8.9200000000000002E-2</v>
          </cell>
          <cell r="Q169">
            <v>8.9200000000000002E-2</v>
          </cell>
          <cell r="R169">
            <v>8.9200000000000002E-2</v>
          </cell>
          <cell r="S169">
            <v>8.9200000000000002E-2</v>
          </cell>
          <cell r="T169">
            <v>8.9200000000000002E-2</v>
          </cell>
          <cell r="U169">
            <v>8.9200000000000002E-2</v>
          </cell>
          <cell r="V169">
            <v>8.9200000000000002E-2</v>
          </cell>
          <cell r="W169">
            <v>8.9200000000000002E-2</v>
          </cell>
          <cell r="X169">
            <v>8.9200000000000002E-2</v>
          </cell>
          <cell r="Y169">
            <v>8.9200000000000002E-2</v>
          </cell>
          <cell r="Z169">
            <v>8.9200000000000002E-2</v>
          </cell>
          <cell r="AA169">
            <v>8.9200000000000002E-2</v>
          </cell>
          <cell r="AB169">
            <v>8.9200000000000002E-2</v>
          </cell>
          <cell r="AC169">
            <v>8.9200000000000002E-2</v>
          </cell>
          <cell r="AD169">
            <v>8.9200000000000002E-2</v>
          </cell>
          <cell r="AE169">
            <v>8.9200000000000002E-2</v>
          </cell>
          <cell r="AF169">
            <v>8.9200000000000002E-2</v>
          </cell>
          <cell r="AG169">
            <v>8.9200000000000002E-2</v>
          </cell>
          <cell r="AH169">
            <v>8.9200000000000002E-2</v>
          </cell>
          <cell r="AI169">
            <v>8.6800000000000002E-2</v>
          </cell>
          <cell r="AJ169">
            <v>8.6800000000000002E-2</v>
          </cell>
          <cell r="AK169">
            <v>8.6800000000000002E-2</v>
          </cell>
          <cell r="AL169">
            <v>8.6800000000000002E-2</v>
          </cell>
          <cell r="AM169">
            <v>8.6800000000000002E-2</v>
          </cell>
          <cell r="AN169">
            <v>8.6800000000000002E-2</v>
          </cell>
          <cell r="AO169">
            <v>8.6800000000000002E-2</v>
          </cell>
          <cell r="AP169">
            <v>8.6800000000000002E-2</v>
          </cell>
          <cell r="AQ169">
            <v>8.6800000000000002E-2</v>
          </cell>
          <cell r="AR169">
            <v>8.6800000000000002E-2</v>
          </cell>
          <cell r="AS169">
            <v>8.6800000000000002E-2</v>
          </cell>
          <cell r="AT169">
            <v>8.6800000000000002E-2</v>
          </cell>
          <cell r="AU169">
            <v>8.6800000000000002E-2</v>
          </cell>
          <cell r="AV169">
            <v>8.6800000000000002E-2</v>
          </cell>
          <cell r="AW169">
            <v>8.6800000000000002E-2</v>
          </cell>
          <cell r="AX169">
            <v>8.6800000000000002E-2</v>
          </cell>
          <cell r="AY169">
            <v>0.10249999999999999</v>
          </cell>
          <cell r="AZ169">
            <v>0.10249999999999999</v>
          </cell>
          <cell r="BA169">
            <v>0.10249999999999999</v>
          </cell>
          <cell r="BB169">
            <v>0.10249999999999999</v>
          </cell>
          <cell r="BC169">
            <v>0.10249999999999999</v>
          </cell>
          <cell r="BD169">
            <v>0.10249999999999999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</row>
        <row r="170">
          <cell r="O170">
            <v>503930.49</v>
          </cell>
          <cell r="P170">
            <v>503930.49</v>
          </cell>
          <cell r="Q170">
            <v>503930.49</v>
          </cell>
          <cell r="R170">
            <v>503930.49</v>
          </cell>
          <cell r="S170">
            <v>503930.49</v>
          </cell>
          <cell r="T170">
            <v>503930.49</v>
          </cell>
          <cell r="U170">
            <v>503930.49</v>
          </cell>
          <cell r="V170">
            <v>503930.49</v>
          </cell>
          <cell r="W170">
            <v>503930.49</v>
          </cell>
          <cell r="X170">
            <v>503930.49</v>
          </cell>
          <cell r="Y170">
            <v>503930.49</v>
          </cell>
          <cell r="Z170">
            <v>503930.49</v>
          </cell>
          <cell r="AA170">
            <v>178535.7</v>
          </cell>
          <cell r="AB170">
            <v>178535.7</v>
          </cell>
          <cell r="AC170">
            <v>178535.7</v>
          </cell>
          <cell r="AD170">
            <v>178535.7</v>
          </cell>
          <cell r="AE170">
            <v>178535.7</v>
          </cell>
          <cell r="AF170">
            <v>178535.7</v>
          </cell>
          <cell r="AG170">
            <v>178535.7</v>
          </cell>
          <cell r="AH170">
            <v>178535.7</v>
          </cell>
          <cell r="AI170">
            <v>173732.05</v>
          </cell>
          <cell r="AJ170">
            <v>173732.05</v>
          </cell>
          <cell r="AK170">
            <v>173732.05</v>
          </cell>
          <cell r="AL170">
            <v>173732.05</v>
          </cell>
          <cell r="AM170">
            <v>50256.45</v>
          </cell>
          <cell r="AN170">
            <v>50256.45</v>
          </cell>
          <cell r="AO170">
            <v>50256.45</v>
          </cell>
          <cell r="AP170">
            <v>50256.45</v>
          </cell>
          <cell r="AQ170">
            <v>50256.45</v>
          </cell>
          <cell r="AR170">
            <v>50256.45</v>
          </cell>
          <cell r="AS170">
            <v>50256.45</v>
          </cell>
          <cell r="AT170">
            <v>50256.45</v>
          </cell>
          <cell r="AU170">
            <v>50256.45</v>
          </cell>
          <cell r="AV170">
            <v>50256.45</v>
          </cell>
          <cell r="AW170">
            <v>50256.45</v>
          </cell>
          <cell r="AX170">
            <v>50256.45</v>
          </cell>
          <cell r="AY170">
            <v>8194.56</v>
          </cell>
          <cell r="AZ170">
            <v>8194.56</v>
          </cell>
          <cell r="BA170">
            <v>8194.56</v>
          </cell>
          <cell r="BB170">
            <v>8194.56</v>
          </cell>
          <cell r="BC170">
            <v>8194.56</v>
          </cell>
          <cell r="BD170">
            <v>8194.56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</row>
        <row r="171">
          <cell r="O171">
            <v>193616.2</v>
          </cell>
          <cell r="P171">
            <v>190734.43</v>
          </cell>
          <cell r="Q171">
            <v>82293.87</v>
          </cell>
          <cell r="R171">
            <v>20186.2</v>
          </cell>
          <cell r="S171">
            <v>20186.2</v>
          </cell>
          <cell r="T171">
            <v>20186.2</v>
          </cell>
          <cell r="U171">
            <v>20186.2</v>
          </cell>
          <cell r="V171">
            <v>20186.2</v>
          </cell>
          <cell r="W171">
            <v>20186.2</v>
          </cell>
          <cell r="X171">
            <v>20186.2</v>
          </cell>
          <cell r="Y171">
            <v>20186.2</v>
          </cell>
          <cell r="Z171">
            <v>20186.2</v>
          </cell>
          <cell r="AA171">
            <v>7144.99</v>
          </cell>
          <cell r="AB171">
            <v>7144.99</v>
          </cell>
          <cell r="AC171">
            <v>7144.99</v>
          </cell>
          <cell r="AD171">
            <v>7144.99</v>
          </cell>
          <cell r="AE171">
            <v>7144.99</v>
          </cell>
          <cell r="AF171">
            <v>7144.99</v>
          </cell>
          <cell r="AG171">
            <v>7144.99</v>
          </cell>
          <cell r="AH171">
            <v>7144.99</v>
          </cell>
          <cell r="AI171">
            <v>7144.99</v>
          </cell>
          <cell r="AJ171">
            <v>7144.99</v>
          </cell>
          <cell r="AK171">
            <v>7144.99</v>
          </cell>
          <cell r="AL171">
            <v>7144.99</v>
          </cell>
          <cell r="AM171">
            <v>440.78</v>
          </cell>
          <cell r="AN171">
            <v>440.78</v>
          </cell>
          <cell r="AO171">
            <v>440.78</v>
          </cell>
          <cell r="AP171">
            <v>440.78</v>
          </cell>
          <cell r="AQ171">
            <v>440.78</v>
          </cell>
          <cell r="AR171">
            <v>440.78</v>
          </cell>
          <cell r="AS171">
            <v>440.78</v>
          </cell>
          <cell r="AT171">
            <v>440.78</v>
          </cell>
          <cell r="AU171">
            <v>440.78</v>
          </cell>
          <cell r="AV171">
            <v>440.78</v>
          </cell>
          <cell r="AW171">
            <v>440.78</v>
          </cell>
          <cell r="AX171">
            <v>440.78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</row>
        <row r="172">
          <cell r="O172">
            <v>697546.69</v>
          </cell>
          <cell r="P172">
            <v>694664.91999999993</v>
          </cell>
          <cell r="Q172">
            <v>586224.36</v>
          </cell>
          <cell r="R172">
            <v>524116.69</v>
          </cell>
          <cell r="S172">
            <v>524116.69</v>
          </cell>
          <cell r="T172">
            <v>524116.69</v>
          </cell>
          <cell r="U172">
            <v>524116.69</v>
          </cell>
          <cell r="V172">
            <v>524116.69</v>
          </cell>
          <cell r="W172">
            <v>524116.69</v>
          </cell>
          <cell r="X172">
            <v>524116.69</v>
          </cell>
          <cell r="Y172">
            <v>524116.69</v>
          </cell>
          <cell r="Z172">
            <v>524116.69</v>
          </cell>
          <cell r="AA172">
            <v>185680.69</v>
          </cell>
          <cell r="AB172">
            <v>185680.69</v>
          </cell>
          <cell r="AC172">
            <v>185680.69</v>
          </cell>
          <cell r="AD172">
            <v>185680.69</v>
          </cell>
          <cell r="AE172">
            <v>185680.69</v>
          </cell>
          <cell r="AF172">
            <v>185680.69</v>
          </cell>
          <cell r="AG172">
            <v>185680.69</v>
          </cell>
          <cell r="AH172">
            <v>185680.69</v>
          </cell>
          <cell r="AI172">
            <v>180877.03999999998</v>
          </cell>
          <cell r="AJ172">
            <v>180877.03999999998</v>
          </cell>
          <cell r="AK172">
            <v>180877.03999999998</v>
          </cell>
          <cell r="AL172">
            <v>180877.03999999998</v>
          </cell>
          <cell r="AM172">
            <v>50697.229999999996</v>
          </cell>
          <cell r="AN172">
            <v>50697.229999999996</v>
          </cell>
          <cell r="AO172">
            <v>50697.229999999996</v>
          </cell>
          <cell r="AP172">
            <v>50697.229999999996</v>
          </cell>
          <cell r="AQ172">
            <v>50697.229999999996</v>
          </cell>
          <cell r="AR172">
            <v>50697.229999999996</v>
          </cell>
          <cell r="AS172">
            <v>50697.229999999996</v>
          </cell>
          <cell r="AT172">
            <v>50697.229999999996</v>
          </cell>
          <cell r="AU172">
            <v>50697.229999999996</v>
          </cell>
          <cell r="AV172">
            <v>50697.229999999996</v>
          </cell>
          <cell r="AW172">
            <v>50697.229999999996</v>
          </cell>
          <cell r="AX172">
            <v>50697.229999999996</v>
          </cell>
          <cell r="AY172">
            <v>8194.56</v>
          </cell>
          <cell r="AZ172">
            <v>8194.56</v>
          </cell>
          <cell r="BA172">
            <v>8194.56</v>
          </cell>
          <cell r="BB172">
            <v>8194.56</v>
          </cell>
          <cell r="BC172">
            <v>8194.56</v>
          </cell>
          <cell r="BD172">
            <v>8194.56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</row>
        <row r="173">
          <cell r="O173">
            <v>4131.8500000000004</v>
          </cell>
          <cell r="P173">
            <v>4131.8500000000004</v>
          </cell>
          <cell r="Q173">
            <v>4131.8500000000004</v>
          </cell>
          <cell r="R173">
            <v>4131.8500000000004</v>
          </cell>
          <cell r="S173">
            <v>4131.8500000000004</v>
          </cell>
          <cell r="T173">
            <v>4131.8500000000004</v>
          </cell>
          <cell r="U173">
            <v>4131.8500000000004</v>
          </cell>
          <cell r="V173">
            <v>-9275.58</v>
          </cell>
          <cell r="W173">
            <v>-22683.14</v>
          </cell>
          <cell r="X173">
            <v>-22683.14</v>
          </cell>
          <cell r="Y173">
            <v>-22683.14</v>
          </cell>
          <cell r="Z173">
            <v>-22683.14</v>
          </cell>
          <cell r="AA173">
            <v>-22683.14</v>
          </cell>
          <cell r="AB173">
            <v>-22683.14</v>
          </cell>
          <cell r="AC173">
            <v>-22683.14</v>
          </cell>
          <cell r="AD173">
            <v>-22683.14</v>
          </cell>
          <cell r="AE173">
            <v>-22683.14</v>
          </cell>
          <cell r="AF173">
            <v>-22683.14</v>
          </cell>
          <cell r="AG173">
            <v>-22683.14</v>
          </cell>
          <cell r="AH173">
            <v>-12425.76</v>
          </cell>
          <cell r="AI173">
            <v>-2168.41</v>
          </cell>
          <cell r="AJ173">
            <v>-2168.41</v>
          </cell>
          <cell r="AK173">
            <v>-2168.41</v>
          </cell>
          <cell r="AL173">
            <v>-2168.41</v>
          </cell>
          <cell r="AM173">
            <v>-2168.41</v>
          </cell>
          <cell r="AN173">
            <v>-2168.41</v>
          </cell>
          <cell r="AO173">
            <v>-2168.41</v>
          </cell>
          <cell r="AP173">
            <v>-2168.41</v>
          </cell>
          <cell r="AQ173">
            <v>-2168.41</v>
          </cell>
          <cell r="AR173">
            <v>-2168.41</v>
          </cell>
          <cell r="AS173">
            <v>-2168.41</v>
          </cell>
          <cell r="AT173">
            <v>-1084.2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</row>
        <row r="174">
          <cell r="O174">
            <v>701678.53999999992</v>
          </cell>
          <cell r="P174">
            <v>698796.7699999999</v>
          </cell>
          <cell r="Q174">
            <v>590356.21</v>
          </cell>
          <cell r="R174">
            <v>528248.54</v>
          </cell>
          <cell r="S174">
            <v>528248.54</v>
          </cell>
          <cell r="T174">
            <v>528248.54</v>
          </cell>
          <cell r="U174">
            <v>528248.54</v>
          </cell>
          <cell r="V174">
            <v>514841.11</v>
          </cell>
          <cell r="W174">
            <v>501433.55</v>
          </cell>
          <cell r="X174">
            <v>501433.55</v>
          </cell>
          <cell r="Y174">
            <v>501433.55</v>
          </cell>
          <cell r="Z174">
            <v>501433.55</v>
          </cell>
          <cell r="AA174">
            <v>162997.54999999999</v>
          </cell>
          <cell r="AB174">
            <v>162997.54999999999</v>
          </cell>
          <cell r="AC174">
            <v>162997.54999999999</v>
          </cell>
          <cell r="AD174">
            <v>162997.54999999999</v>
          </cell>
          <cell r="AE174">
            <v>162997.54999999999</v>
          </cell>
          <cell r="AF174">
            <v>162997.54999999999</v>
          </cell>
          <cell r="AG174">
            <v>162997.54999999999</v>
          </cell>
          <cell r="AH174">
            <v>173254.93</v>
          </cell>
          <cell r="AI174">
            <v>178708.62999999998</v>
          </cell>
          <cell r="AJ174">
            <v>178708.62999999998</v>
          </cell>
          <cell r="AK174">
            <v>178708.62999999998</v>
          </cell>
          <cell r="AL174">
            <v>178708.62999999998</v>
          </cell>
          <cell r="AM174">
            <v>48528.819999999992</v>
          </cell>
          <cell r="AN174">
            <v>48528.819999999992</v>
          </cell>
          <cell r="AO174">
            <v>48528.819999999992</v>
          </cell>
          <cell r="AP174">
            <v>48528.819999999992</v>
          </cell>
          <cell r="AQ174">
            <v>48528.819999999992</v>
          </cell>
          <cell r="AR174">
            <v>48528.819999999992</v>
          </cell>
          <cell r="AS174">
            <v>48528.819999999992</v>
          </cell>
          <cell r="AT174">
            <v>49613.03</v>
          </cell>
          <cell r="AU174">
            <v>50697.229999999996</v>
          </cell>
          <cell r="AV174">
            <v>50697.229999999996</v>
          </cell>
          <cell r="AW174">
            <v>50697.229999999996</v>
          </cell>
          <cell r="AX174">
            <v>50697.229999999996</v>
          </cell>
          <cell r="AY174">
            <v>8194.56</v>
          </cell>
          <cell r="AZ174">
            <v>8194.56</v>
          </cell>
          <cell r="BA174">
            <v>8194.56</v>
          </cell>
          <cell r="BB174">
            <v>8194.56</v>
          </cell>
          <cell r="BC174">
            <v>8194.56</v>
          </cell>
          <cell r="BD174">
            <v>8194.56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</row>
        <row r="179">
          <cell r="O179">
            <v>697546.69</v>
          </cell>
          <cell r="P179">
            <v>694664.91999999993</v>
          </cell>
          <cell r="Q179">
            <v>586224.36</v>
          </cell>
          <cell r="R179">
            <v>524116.69</v>
          </cell>
          <cell r="S179">
            <v>524116.69</v>
          </cell>
          <cell r="T179">
            <v>524116.69</v>
          </cell>
          <cell r="U179">
            <v>524116.69</v>
          </cell>
          <cell r="V179">
            <v>524116.69</v>
          </cell>
          <cell r="W179">
            <v>524116.69</v>
          </cell>
          <cell r="X179">
            <v>524116.69</v>
          </cell>
          <cell r="Y179">
            <v>524116.69</v>
          </cell>
          <cell r="Z179">
            <v>524116.69</v>
          </cell>
          <cell r="AA179">
            <v>185680.69</v>
          </cell>
          <cell r="AB179">
            <v>185680.69</v>
          </cell>
          <cell r="AC179">
            <v>185680.69</v>
          </cell>
          <cell r="AD179">
            <v>185680.69</v>
          </cell>
          <cell r="AE179">
            <v>185680.69</v>
          </cell>
          <cell r="AF179">
            <v>185680.69</v>
          </cell>
          <cell r="AG179">
            <v>185680.69</v>
          </cell>
          <cell r="AH179">
            <v>185680.69</v>
          </cell>
          <cell r="AI179">
            <v>180877.03999999998</v>
          </cell>
          <cell r="AJ179">
            <v>180877.03999999998</v>
          </cell>
          <cell r="AK179">
            <v>180877.03999999998</v>
          </cell>
          <cell r="AL179">
            <v>180877.03999999998</v>
          </cell>
          <cell r="AM179">
            <v>50697.229999999996</v>
          </cell>
          <cell r="AN179">
            <v>50697.229999999996</v>
          </cell>
          <cell r="AO179">
            <v>50697.229999999996</v>
          </cell>
          <cell r="AP179">
            <v>50697.229999999996</v>
          </cell>
          <cell r="AQ179">
            <v>50697.229999999996</v>
          </cell>
          <cell r="AR179">
            <v>50697.229999999996</v>
          </cell>
          <cell r="AS179">
            <v>50697.229999999996</v>
          </cell>
          <cell r="AT179">
            <v>50697.229999999996</v>
          </cell>
          <cell r="AU179">
            <v>50697.229999999996</v>
          </cell>
          <cell r="AV179">
            <v>50697.229999999996</v>
          </cell>
          <cell r="AW179">
            <v>50697.229999999996</v>
          </cell>
          <cell r="AX179">
            <v>50697.229999999996</v>
          </cell>
          <cell r="AY179">
            <v>8194.56</v>
          </cell>
          <cell r="AZ179">
            <v>8194.56</v>
          </cell>
          <cell r="BA179">
            <v>8194.56</v>
          </cell>
          <cell r="BB179">
            <v>8194.56</v>
          </cell>
          <cell r="BC179">
            <v>8194.56</v>
          </cell>
          <cell r="BD179">
            <v>8194.56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</row>
        <row r="180">
          <cell r="O180">
            <v>4131.8500000000004</v>
          </cell>
          <cell r="P180">
            <v>4131.8500000000004</v>
          </cell>
          <cell r="Q180">
            <v>4131.8500000000004</v>
          </cell>
          <cell r="R180">
            <v>4131.8500000000004</v>
          </cell>
          <cell r="S180">
            <v>4131.8500000000004</v>
          </cell>
          <cell r="T180">
            <v>4131.8500000000004</v>
          </cell>
          <cell r="U180">
            <v>4131.8500000000004</v>
          </cell>
          <cell r="V180">
            <v>-9275.58</v>
          </cell>
          <cell r="W180">
            <v>-22683.14</v>
          </cell>
          <cell r="X180">
            <v>-22683.14</v>
          </cell>
          <cell r="Y180">
            <v>-22683.14</v>
          </cell>
          <cell r="Z180">
            <v>-22683.14</v>
          </cell>
          <cell r="AA180">
            <v>-22683.14</v>
          </cell>
          <cell r="AB180">
            <v>-22683.14</v>
          </cell>
          <cell r="AC180">
            <v>-22683.14</v>
          </cell>
          <cell r="AD180">
            <v>-22683.14</v>
          </cell>
          <cell r="AE180">
            <v>-22683.14</v>
          </cell>
          <cell r="AF180">
            <v>-22683.14</v>
          </cell>
          <cell r="AG180">
            <v>-22683.14</v>
          </cell>
          <cell r="AH180">
            <v>-12425.76</v>
          </cell>
          <cell r="AI180">
            <v>-2168.41</v>
          </cell>
          <cell r="AJ180">
            <v>-2168.41</v>
          </cell>
          <cell r="AK180">
            <v>-2168.41</v>
          </cell>
          <cell r="AL180">
            <v>-2168.41</v>
          </cell>
          <cell r="AM180">
            <v>-2168.41</v>
          </cell>
          <cell r="AN180">
            <v>-2168.41</v>
          </cell>
          <cell r="AO180">
            <v>-2168.41</v>
          </cell>
          <cell r="AP180">
            <v>-2168.41</v>
          </cell>
          <cell r="AQ180">
            <v>-2168.41</v>
          </cell>
          <cell r="AR180">
            <v>-2168.41</v>
          </cell>
          <cell r="AS180">
            <v>-2168.41</v>
          </cell>
          <cell r="AT180">
            <v>-1084.2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</row>
        <row r="181"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</row>
        <row r="182">
          <cell r="O182">
            <v>701678.53999999992</v>
          </cell>
          <cell r="P182">
            <v>698796.7699999999</v>
          </cell>
          <cell r="Q182">
            <v>590356.21</v>
          </cell>
          <cell r="R182">
            <v>528248.54</v>
          </cell>
          <cell r="S182">
            <v>528248.54</v>
          </cell>
          <cell r="T182">
            <v>528248.54</v>
          </cell>
          <cell r="U182">
            <v>528248.54</v>
          </cell>
          <cell r="V182">
            <v>514841.11</v>
          </cell>
          <cell r="W182">
            <v>501433.55</v>
          </cell>
          <cell r="X182">
            <v>501433.55</v>
          </cell>
          <cell r="Y182">
            <v>501433.55</v>
          </cell>
          <cell r="Z182">
            <v>501433.55</v>
          </cell>
          <cell r="AA182">
            <v>162997.54999999999</v>
          </cell>
          <cell r="AB182">
            <v>162997.54999999999</v>
          </cell>
          <cell r="AC182">
            <v>162997.54999999999</v>
          </cell>
          <cell r="AD182">
            <v>162997.54999999999</v>
          </cell>
          <cell r="AE182">
            <v>162997.54999999999</v>
          </cell>
          <cell r="AF182">
            <v>162997.54999999999</v>
          </cell>
          <cell r="AG182">
            <v>162997.54999999999</v>
          </cell>
          <cell r="AH182">
            <v>173254.93</v>
          </cell>
          <cell r="AI182">
            <v>178708.62999999998</v>
          </cell>
          <cell r="AJ182">
            <v>178708.62999999998</v>
          </cell>
          <cell r="AK182">
            <v>178708.62999999998</v>
          </cell>
          <cell r="AL182">
            <v>178708.62999999998</v>
          </cell>
          <cell r="AM182">
            <v>48528.819999999992</v>
          </cell>
          <cell r="AN182">
            <v>48528.819999999992</v>
          </cell>
          <cell r="AO182">
            <v>48528.819999999992</v>
          </cell>
          <cell r="AP182">
            <v>48528.819999999992</v>
          </cell>
          <cell r="AQ182">
            <v>48528.819999999992</v>
          </cell>
          <cell r="AR182">
            <v>48528.819999999992</v>
          </cell>
          <cell r="AS182">
            <v>48528.819999999992</v>
          </cell>
          <cell r="AT182">
            <v>49613.03</v>
          </cell>
          <cell r="AU182">
            <v>50697.229999999996</v>
          </cell>
          <cell r="AV182">
            <v>50697.229999999996</v>
          </cell>
          <cell r="AW182">
            <v>50697.229999999996</v>
          </cell>
          <cell r="AX182">
            <v>50697.229999999996</v>
          </cell>
          <cell r="AY182">
            <v>8194.56</v>
          </cell>
          <cell r="AZ182">
            <v>8194.56</v>
          </cell>
          <cell r="BA182">
            <v>8194.56</v>
          </cell>
          <cell r="BB182">
            <v>8194.56</v>
          </cell>
          <cell r="BC182">
            <v>8194.56</v>
          </cell>
          <cell r="BD182">
            <v>8194.56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</row>
        <row r="183">
          <cell r="O183">
            <v>886245.7</v>
          </cell>
          <cell r="P183">
            <v>433856.73</v>
          </cell>
          <cell r="Q183">
            <v>213508.01</v>
          </cell>
          <cell r="R183">
            <v>152487.04999999999</v>
          </cell>
          <cell r="S183">
            <v>141232.91</v>
          </cell>
          <cell r="T183">
            <v>156046.72</v>
          </cell>
          <cell r="U183">
            <v>211717.39</v>
          </cell>
          <cell r="V183">
            <v>239424.18</v>
          </cell>
          <cell r="W183">
            <v>189260.68</v>
          </cell>
          <cell r="X183">
            <v>329405.12</v>
          </cell>
          <cell r="Y183">
            <v>387140.63</v>
          </cell>
          <cell r="Z183">
            <v>367512.91</v>
          </cell>
          <cell r="AA183">
            <v>387771.52</v>
          </cell>
          <cell r="AB183">
            <v>198430.59</v>
          </cell>
          <cell r="AC183">
            <v>66507.240000000005</v>
          </cell>
          <cell r="AD183">
            <v>53163.53</v>
          </cell>
          <cell r="AE183">
            <v>51313.49</v>
          </cell>
          <cell r="AF183">
            <v>56690.05</v>
          </cell>
          <cell r="AG183">
            <v>66586.100000000006</v>
          </cell>
          <cell r="AH183">
            <v>82521.47</v>
          </cell>
          <cell r="AI183">
            <v>141425.26999999999</v>
          </cell>
          <cell r="AJ183">
            <v>249416.33</v>
          </cell>
          <cell r="AK183">
            <v>300883.21000000002</v>
          </cell>
          <cell r="AL183">
            <v>267589.3</v>
          </cell>
          <cell r="AM183">
            <v>244463.1</v>
          </cell>
          <cell r="AN183">
            <v>141099.22</v>
          </cell>
          <cell r="AO183">
            <v>55248.75</v>
          </cell>
          <cell r="AP183">
            <v>36565.050000000003</v>
          </cell>
          <cell r="AQ183">
            <v>35257.42</v>
          </cell>
          <cell r="AR183">
            <v>36983.040000000001</v>
          </cell>
          <cell r="AS183">
            <v>41772.15</v>
          </cell>
          <cell r="AT183">
            <v>39586.54</v>
          </cell>
          <cell r="AU183">
            <v>21387.53</v>
          </cell>
          <cell r="AV183">
            <v>22240.87</v>
          </cell>
          <cell r="AW183">
            <v>32649.41</v>
          </cell>
          <cell r="AX183">
            <v>43434.23</v>
          </cell>
          <cell r="AY183">
            <v>25309.47</v>
          </cell>
          <cell r="AZ183">
            <v>13275.96</v>
          </cell>
          <cell r="BA183">
            <v>4774.3500000000004</v>
          </cell>
          <cell r="BB183">
            <v>4490.41</v>
          </cell>
          <cell r="BC183">
            <v>3692.55</v>
          </cell>
          <cell r="BD183">
            <v>2089.52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</row>
        <row r="184">
          <cell r="O184">
            <v>324932</v>
          </cell>
          <cell r="P184">
            <v>163837</v>
          </cell>
          <cell r="Q184">
            <v>122966</v>
          </cell>
          <cell r="R184">
            <v>12450</v>
          </cell>
          <cell r="S184">
            <v>11255</v>
          </cell>
          <cell r="T184">
            <v>-7541</v>
          </cell>
          <cell r="U184">
            <v>-45926.62</v>
          </cell>
          <cell r="V184">
            <v>45310.62</v>
          </cell>
          <cell r="W184">
            <v>-36603</v>
          </cell>
          <cell r="X184">
            <v>-110282</v>
          </cell>
          <cell r="Y184">
            <v>6982</v>
          </cell>
          <cell r="Z184">
            <v>33799</v>
          </cell>
          <cell r="AA184">
            <v>-14287</v>
          </cell>
          <cell r="AB184">
            <v>128637</v>
          </cell>
          <cell r="AC184">
            <v>44389</v>
          </cell>
          <cell r="AD184">
            <v>2955</v>
          </cell>
          <cell r="AE184">
            <v>3532</v>
          </cell>
          <cell r="AF184">
            <v>-3521</v>
          </cell>
          <cell r="AG184">
            <v>-5541</v>
          </cell>
          <cell r="AH184">
            <v>-7132</v>
          </cell>
          <cell r="AI184">
            <v>-60509</v>
          </cell>
          <cell r="AJ184">
            <v>-19698</v>
          </cell>
          <cell r="AK184">
            <v>-71983</v>
          </cell>
          <cell r="AL184">
            <v>60350</v>
          </cell>
          <cell r="AM184">
            <v>2715</v>
          </cell>
          <cell r="AN184">
            <v>76184</v>
          </cell>
          <cell r="AO184">
            <v>32129</v>
          </cell>
          <cell r="AP184">
            <v>7131</v>
          </cell>
          <cell r="AQ184">
            <v>1305</v>
          </cell>
          <cell r="AR184">
            <v>-2307</v>
          </cell>
          <cell r="AS184">
            <v>-4350</v>
          </cell>
          <cell r="AT184">
            <v>14908</v>
          </cell>
          <cell r="AU184">
            <v>-5069</v>
          </cell>
          <cell r="AV184">
            <v>3091</v>
          </cell>
          <cell r="AW184">
            <v>-10155</v>
          </cell>
          <cell r="AX184">
            <v>-1968</v>
          </cell>
          <cell r="AY184">
            <v>10038</v>
          </cell>
          <cell r="AZ184">
            <v>6138</v>
          </cell>
          <cell r="BA184">
            <v>3077</v>
          </cell>
          <cell r="BB184">
            <v>211</v>
          </cell>
          <cell r="BC184">
            <v>92</v>
          </cell>
          <cell r="BD184">
            <v>2000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</row>
        <row r="185">
          <cell r="O185">
            <v>-509499.16000000003</v>
          </cell>
          <cell r="P185">
            <v>101103.03999999992</v>
          </cell>
          <cell r="Q185">
            <v>253882.19999999995</v>
          </cell>
          <cell r="R185">
            <v>363311.49000000005</v>
          </cell>
          <cell r="S185">
            <v>375760.63</v>
          </cell>
          <cell r="T185">
            <v>379742.82000000007</v>
          </cell>
          <cell r="U185">
            <v>362457.77</v>
          </cell>
          <cell r="V185">
            <v>230106.31</v>
          </cell>
          <cell r="W185">
            <v>348775.87</v>
          </cell>
          <cell r="X185">
            <v>282310.43</v>
          </cell>
          <cell r="Y185">
            <v>107310.91999999998</v>
          </cell>
          <cell r="Z185">
            <v>100121.64000000001</v>
          </cell>
          <cell r="AA185">
            <v>-210486.97000000003</v>
          </cell>
          <cell r="AB185">
            <v>-164070.03999999998</v>
          </cell>
          <cell r="AC185">
            <v>52101.309999999983</v>
          </cell>
          <cell r="AD185">
            <v>106879.01999999999</v>
          </cell>
          <cell r="AE185">
            <v>108152.06</v>
          </cell>
          <cell r="AF185">
            <v>109828.49999999999</v>
          </cell>
          <cell r="AG185">
            <v>101952.44999999998</v>
          </cell>
          <cell r="AH185">
            <v>97865.459999999992</v>
          </cell>
          <cell r="AI185">
            <v>97792.359999999986</v>
          </cell>
          <cell r="AJ185">
            <v>-51009.700000000012</v>
          </cell>
          <cell r="AK185">
            <v>-50191.580000000045</v>
          </cell>
          <cell r="AL185">
            <v>-149230.67000000001</v>
          </cell>
          <cell r="AM185">
            <v>-198649.28000000003</v>
          </cell>
          <cell r="AN185">
            <v>-168754.40000000002</v>
          </cell>
          <cell r="AO185">
            <v>-38848.930000000008</v>
          </cell>
          <cell r="AP185">
            <v>4832.7699999999895</v>
          </cell>
          <cell r="AQ185">
            <v>11966.399999999994</v>
          </cell>
          <cell r="AR185">
            <v>13852.779999999992</v>
          </cell>
          <cell r="AS185">
            <v>11106.669999999991</v>
          </cell>
          <cell r="AT185">
            <v>-4881.510000000002</v>
          </cell>
          <cell r="AU185">
            <v>34378.699999999997</v>
          </cell>
          <cell r="AV185">
            <v>25365.359999999997</v>
          </cell>
          <cell r="AW185">
            <v>28202.819999999996</v>
          </cell>
          <cell r="AX185">
            <v>9230.9999999999927</v>
          </cell>
          <cell r="AY185">
            <v>-27152.910000000003</v>
          </cell>
          <cell r="AZ185">
            <v>-11219.4</v>
          </cell>
          <cell r="BA185">
            <v>343.20999999999913</v>
          </cell>
          <cell r="BB185">
            <v>3493.1499999999996</v>
          </cell>
          <cell r="BC185">
            <v>4410.0099999999993</v>
          </cell>
          <cell r="BD185">
            <v>4105.0399999999991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</row>
        <row r="186">
          <cell r="O186">
            <v>-4131.8500000000004</v>
          </cell>
          <cell r="P186">
            <v>-4131.8500000000004</v>
          </cell>
          <cell r="Q186">
            <v>-4131.8500000000004</v>
          </cell>
          <cell r="R186">
            <v>-4131.8500000000004</v>
          </cell>
          <cell r="S186">
            <v>-4131.8500000000004</v>
          </cell>
          <cell r="T186">
            <v>-4131.8500000000004</v>
          </cell>
          <cell r="U186">
            <v>-4131.8500000000004</v>
          </cell>
          <cell r="V186">
            <v>9275.58</v>
          </cell>
          <cell r="W186">
            <v>22683.14</v>
          </cell>
          <cell r="X186">
            <v>22683.14</v>
          </cell>
          <cell r="Y186">
            <v>22683.14</v>
          </cell>
          <cell r="Z186">
            <v>22683.14</v>
          </cell>
          <cell r="AA186">
            <v>22683.14</v>
          </cell>
          <cell r="AB186">
            <v>22683.14</v>
          </cell>
          <cell r="AC186">
            <v>22683.14</v>
          </cell>
          <cell r="AD186">
            <v>22683.14</v>
          </cell>
          <cell r="AE186">
            <v>22683.14</v>
          </cell>
          <cell r="AF186">
            <v>22683.14</v>
          </cell>
          <cell r="AG186">
            <v>22683.14</v>
          </cell>
          <cell r="AH186">
            <v>12425.76</v>
          </cell>
          <cell r="AI186">
            <v>2168.41</v>
          </cell>
          <cell r="AJ186">
            <v>2168.41</v>
          </cell>
          <cell r="AK186">
            <v>2168.41</v>
          </cell>
          <cell r="AL186">
            <v>2168.41</v>
          </cell>
          <cell r="AM186">
            <v>2168.41</v>
          </cell>
          <cell r="AN186">
            <v>2168.41</v>
          </cell>
          <cell r="AO186">
            <v>2168.41</v>
          </cell>
          <cell r="AP186">
            <v>2168.41</v>
          </cell>
          <cell r="AQ186">
            <v>2168.41</v>
          </cell>
          <cell r="AR186">
            <v>2168.41</v>
          </cell>
          <cell r="AS186">
            <v>2168.41</v>
          </cell>
          <cell r="AT186">
            <v>1084.2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</row>
        <row r="187">
          <cell r="O187" t="str">
            <v>2019</v>
          </cell>
          <cell r="P187" t="str">
            <v>2019</v>
          </cell>
          <cell r="Q187" t="str">
            <v>2019</v>
          </cell>
          <cell r="R187" t="str">
            <v>2019</v>
          </cell>
          <cell r="S187" t="str">
            <v>2019</v>
          </cell>
          <cell r="T187" t="str">
            <v>2019</v>
          </cell>
          <cell r="U187" t="str">
            <v>2019</v>
          </cell>
          <cell r="V187" t="str">
            <v>2019</v>
          </cell>
          <cell r="W187" t="str">
            <v>2018</v>
          </cell>
          <cell r="X187" t="str">
            <v>2018</v>
          </cell>
          <cell r="Y187" t="str">
            <v>2018</v>
          </cell>
          <cell r="Z187" t="str">
            <v>2018</v>
          </cell>
          <cell r="AA187" t="str">
            <v>2018</v>
          </cell>
          <cell r="AB187" t="str">
            <v>2018</v>
          </cell>
          <cell r="AC187" t="str">
            <v>2018</v>
          </cell>
          <cell r="AD187" t="str">
            <v>2018</v>
          </cell>
          <cell r="AE187" t="str">
            <v>2018</v>
          </cell>
          <cell r="AF187" t="str">
            <v>2018</v>
          </cell>
          <cell r="AG187" t="str">
            <v>2018</v>
          </cell>
          <cell r="AH187" t="str">
            <v>2018</v>
          </cell>
          <cell r="AI187" t="str">
            <v>2017</v>
          </cell>
          <cell r="AJ187" t="str">
            <v>2017</v>
          </cell>
          <cell r="AK187" t="str">
            <v>2017</v>
          </cell>
          <cell r="AL187" t="str">
            <v>2017</v>
          </cell>
          <cell r="AM187" t="str">
            <v>2017</v>
          </cell>
          <cell r="AN187" t="str">
            <v>2017</v>
          </cell>
          <cell r="AO187" t="str">
            <v>2017</v>
          </cell>
          <cell r="AP187" t="str">
            <v>2017</v>
          </cell>
          <cell r="AQ187" t="str">
            <v>2017</v>
          </cell>
          <cell r="AR187" t="str">
            <v>2017</v>
          </cell>
          <cell r="AS187" t="str">
            <v>2017</v>
          </cell>
          <cell r="AT187" t="str">
            <v>2017</v>
          </cell>
          <cell r="AU187" t="str">
            <v>0</v>
          </cell>
          <cell r="AV187" t="str">
            <v>0</v>
          </cell>
          <cell r="AW187" t="str">
            <v>0</v>
          </cell>
          <cell r="AX187" t="str">
            <v>0</v>
          </cell>
          <cell r="AY187" t="str">
            <v>0</v>
          </cell>
          <cell r="AZ187" t="str">
            <v>0</v>
          </cell>
          <cell r="BA187" t="str">
            <v>0</v>
          </cell>
          <cell r="BB187" t="str">
            <v>0</v>
          </cell>
          <cell r="BC187" t="str">
            <v>0</v>
          </cell>
          <cell r="BD187" t="str">
            <v>0</v>
          </cell>
          <cell r="BE187" t="str">
            <v>0</v>
          </cell>
          <cell r="BF187" t="str">
            <v>0</v>
          </cell>
          <cell r="BG187" t="str">
            <v>0</v>
          </cell>
          <cell r="BH187" t="str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</row>
        <row r="188">
          <cell r="O188">
            <v>-513631.00999999995</v>
          </cell>
          <cell r="P188">
            <v>96971.189999999988</v>
          </cell>
          <cell r="Q188">
            <v>249750.35</v>
          </cell>
          <cell r="R188">
            <v>359179.64</v>
          </cell>
          <cell r="S188">
            <v>371628.78</v>
          </cell>
          <cell r="T188">
            <v>375610.97000000003</v>
          </cell>
          <cell r="U188">
            <v>358325.92000000004</v>
          </cell>
          <cell r="V188">
            <v>239381.88999999998</v>
          </cell>
          <cell r="W188">
            <v>371459.01</v>
          </cell>
          <cell r="X188">
            <v>304993.57</v>
          </cell>
          <cell r="Y188">
            <v>129994.06</v>
          </cell>
          <cell r="Z188">
            <v>122804.78</v>
          </cell>
          <cell r="AA188">
            <v>-187803.83000000002</v>
          </cell>
          <cell r="AB188">
            <v>-141386.90000000002</v>
          </cell>
          <cell r="AC188">
            <v>74784.45</v>
          </cell>
          <cell r="AD188">
            <v>129562.16</v>
          </cell>
          <cell r="AE188">
            <v>130835.2</v>
          </cell>
          <cell r="AF188">
            <v>132511.64000000001</v>
          </cell>
          <cell r="AG188">
            <v>124635.59</v>
          </cell>
          <cell r="AH188">
            <v>110291.22</v>
          </cell>
          <cell r="AI188">
            <v>99960.77</v>
          </cell>
          <cell r="AJ188">
            <v>-48841.289999999994</v>
          </cell>
          <cell r="AK188">
            <v>-48023.17</v>
          </cell>
          <cell r="AL188">
            <v>-147062.26</v>
          </cell>
          <cell r="AM188">
            <v>-196480.87</v>
          </cell>
          <cell r="AN188">
            <v>-166585.99</v>
          </cell>
          <cell r="AO188">
            <v>-36680.520000000004</v>
          </cell>
          <cell r="AP188">
            <v>7001.18</v>
          </cell>
          <cell r="AQ188">
            <v>14134.81</v>
          </cell>
          <cell r="AR188">
            <v>16021.19</v>
          </cell>
          <cell r="AS188">
            <v>13275.08</v>
          </cell>
          <cell r="AT188">
            <v>-3797.3100000000004</v>
          </cell>
          <cell r="AU188">
            <v>34378.699999999997</v>
          </cell>
          <cell r="AV188">
            <v>25365.360000000001</v>
          </cell>
          <cell r="AW188">
            <v>28202.82</v>
          </cell>
          <cell r="AX188">
            <v>9231</v>
          </cell>
          <cell r="AY188">
            <v>-27152.91</v>
          </cell>
          <cell r="AZ188">
            <v>-11219.4</v>
          </cell>
          <cell r="BA188">
            <v>343.21</v>
          </cell>
          <cell r="BB188">
            <v>3493.15</v>
          </cell>
          <cell r="BC188">
            <v>4410.01</v>
          </cell>
          <cell r="BD188">
            <v>4105.04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</row>
        <row r="189">
          <cell r="O189">
            <v>2413977.2800000003</v>
          </cell>
          <cell r="P189">
            <v>2927608.29</v>
          </cell>
          <cell r="Q189">
            <v>2830637.1</v>
          </cell>
          <cell r="R189">
            <v>2580886.75</v>
          </cell>
          <cell r="S189">
            <v>2221707.11</v>
          </cell>
          <cell r="T189">
            <v>1850078.3299999998</v>
          </cell>
          <cell r="U189">
            <v>1474467.3599999999</v>
          </cell>
          <cell r="V189">
            <v>1116141.44</v>
          </cell>
          <cell r="W189">
            <v>876759.54999999993</v>
          </cell>
          <cell r="X189">
            <v>505300.53999999992</v>
          </cell>
          <cell r="Y189">
            <v>200306.96999999994</v>
          </cell>
          <cell r="Z189">
            <v>70312.909999999945</v>
          </cell>
          <cell r="AA189">
            <v>-52491.870000000054</v>
          </cell>
          <cell r="AB189">
            <v>135311.95999999996</v>
          </cell>
          <cell r="AC189">
            <v>276698.86</v>
          </cell>
          <cell r="AD189">
            <v>201914.40999999997</v>
          </cell>
          <cell r="AE189">
            <v>72352.249999999956</v>
          </cell>
          <cell r="AF189">
            <v>-58482.950000000041</v>
          </cell>
          <cell r="AG189">
            <v>-190994.59000000005</v>
          </cell>
          <cell r="AH189">
            <v>-315630.18000000005</v>
          </cell>
          <cell r="AI189">
            <v>-425921.4</v>
          </cell>
          <cell r="AJ189">
            <v>-525882.17000000004</v>
          </cell>
          <cell r="AK189">
            <v>-477040.88</v>
          </cell>
          <cell r="AL189">
            <v>-429017.71</v>
          </cell>
          <cell r="AM189">
            <v>-281955.45</v>
          </cell>
          <cell r="AN189">
            <v>-85474.58</v>
          </cell>
          <cell r="AO189">
            <v>81111.409999999989</v>
          </cell>
          <cell r="AP189">
            <v>117791.93</v>
          </cell>
          <cell r="AQ189">
            <v>110790.75</v>
          </cell>
          <cell r="AR189">
            <v>96655.94</v>
          </cell>
          <cell r="AS189">
            <v>80634.75</v>
          </cell>
          <cell r="AT189">
            <v>67359.67</v>
          </cell>
          <cell r="AU189">
            <v>71156.98</v>
          </cell>
          <cell r="AV189">
            <v>36778.28</v>
          </cell>
          <cell r="AW189">
            <v>11412.919999999998</v>
          </cell>
          <cell r="AX189">
            <v>-16789.900000000001</v>
          </cell>
          <cell r="AY189">
            <v>-26020.9</v>
          </cell>
          <cell r="AZ189">
            <v>1132.0099999999984</v>
          </cell>
          <cell r="BA189">
            <v>12351.409999999998</v>
          </cell>
          <cell r="BB189">
            <v>12008.199999999999</v>
          </cell>
          <cell r="BC189">
            <v>8515.0499999999993</v>
          </cell>
          <cell r="BD189">
            <v>4105.04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y Detail"/>
      <sheetName val="OU Collection"/>
      <sheetName val="ROR True-Up Adj"/>
      <sheetName val="Error Checks"/>
      <sheetName val="Input"/>
      <sheetName val="Data"/>
      <sheetName val="BS Recon"/>
      <sheetName val="Revenue Report"/>
      <sheetName val="Startup"/>
      <sheetName val="VersionHist"/>
    </sheetNames>
    <sheetDataSet>
      <sheetData sheetId="0"/>
      <sheetData sheetId="1"/>
      <sheetData sheetId="2"/>
      <sheetData sheetId="3"/>
      <sheetData sheetId="4"/>
      <sheetData sheetId="5">
        <row r="85">
          <cell r="O85">
            <v>201309</v>
          </cell>
          <cell r="P85">
            <v>201308</v>
          </cell>
          <cell r="Q85">
            <v>201307</v>
          </cell>
          <cell r="R85">
            <v>201306</v>
          </cell>
          <cell r="S85">
            <v>201305</v>
          </cell>
          <cell r="T85">
            <v>201304</v>
          </cell>
          <cell r="U85">
            <v>201303</v>
          </cell>
          <cell r="V85">
            <v>201302</v>
          </cell>
          <cell r="W85">
            <v>201301</v>
          </cell>
          <cell r="X85">
            <v>201212</v>
          </cell>
          <cell r="Y85">
            <v>201211</v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</row>
        <row r="86">
          <cell r="O86">
            <v>2013</v>
          </cell>
          <cell r="P86">
            <v>2013</v>
          </cell>
          <cell r="Q86">
            <v>2013</v>
          </cell>
          <cell r="R86">
            <v>2013</v>
          </cell>
          <cell r="S86">
            <v>2013</v>
          </cell>
          <cell r="T86">
            <v>2013</v>
          </cell>
          <cell r="U86">
            <v>2013</v>
          </cell>
          <cell r="V86">
            <v>2013</v>
          </cell>
          <cell r="W86">
            <v>2013</v>
          </cell>
          <cell r="X86">
            <v>2012</v>
          </cell>
          <cell r="Y86">
            <v>2012</v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</row>
        <row r="87">
          <cell r="O87">
            <v>9</v>
          </cell>
          <cell r="P87">
            <v>8</v>
          </cell>
          <cell r="Q87">
            <v>7</v>
          </cell>
          <cell r="R87">
            <v>6</v>
          </cell>
          <cell r="S87">
            <v>5</v>
          </cell>
          <cell r="T87">
            <v>4</v>
          </cell>
          <cell r="U87">
            <v>3</v>
          </cell>
          <cell r="V87">
            <v>2</v>
          </cell>
          <cell r="W87">
            <v>1</v>
          </cell>
          <cell r="X87">
            <v>12</v>
          </cell>
          <cell r="Y87">
            <v>11</v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</row>
        <row r="90">
          <cell r="O90">
            <v>43229342.950000003</v>
          </cell>
          <cell r="P90">
            <v>39503462.950000003</v>
          </cell>
          <cell r="Q90">
            <v>34231314.770000003</v>
          </cell>
          <cell r="R90">
            <v>29634770.5</v>
          </cell>
          <cell r="S90">
            <v>26798988.34</v>
          </cell>
          <cell r="T90">
            <v>23148314.719999999</v>
          </cell>
          <cell r="U90">
            <v>19685215.710000001</v>
          </cell>
          <cell r="V90">
            <v>18141793.66</v>
          </cell>
          <cell r="W90">
            <v>16266015.189999999</v>
          </cell>
          <cell r="X90">
            <v>15355903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O91">
            <v>-544594.73</v>
          </cell>
          <cell r="P91">
            <v>-454031.89</v>
          </cell>
          <cell r="Q91">
            <v>-375127.24</v>
          </cell>
          <cell r="R91">
            <v>-308196.38</v>
          </cell>
          <cell r="S91">
            <v>-250691.03</v>
          </cell>
          <cell r="T91">
            <v>-201627.21</v>
          </cell>
          <cell r="U91">
            <v>-160197.09</v>
          </cell>
          <cell r="V91">
            <v>-123394.65</v>
          </cell>
          <cell r="W91">
            <v>-90061.06</v>
          </cell>
          <cell r="X91">
            <v>-74306.5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O92">
            <v>1073931.06</v>
          </cell>
          <cell r="P92">
            <v>1008389.76</v>
          </cell>
          <cell r="Q92">
            <v>956524.42</v>
          </cell>
          <cell r="R92">
            <v>837901.1</v>
          </cell>
          <cell r="S92">
            <v>806659.83</v>
          </cell>
          <cell r="T92">
            <v>757994.64</v>
          </cell>
          <cell r="U92">
            <v>671359.75</v>
          </cell>
          <cell r="V92">
            <v>593604.97</v>
          </cell>
          <cell r="W92">
            <v>562993.46</v>
          </cell>
          <cell r="X92">
            <v>549445.43999999994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O93">
            <v>-5470324.8499999996</v>
          </cell>
          <cell r="P93">
            <v>-4499471</v>
          </cell>
          <cell r="Q93">
            <v>-3597164.69</v>
          </cell>
          <cell r="R93">
            <v>-2784611.12</v>
          </cell>
          <cell r="S93">
            <v>-2340945.09</v>
          </cell>
          <cell r="T93">
            <v>-1945663.31</v>
          </cell>
          <cell r="U93">
            <v>-1657444.61</v>
          </cell>
          <cell r="V93">
            <v>-1469947.28</v>
          </cell>
          <cell r="W93">
            <v>-1355034.62</v>
          </cell>
          <cell r="X93">
            <v>-1264419.3799999999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O94">
            <v>38288354.430000007</v>
          </cell>
          <cell r="P94">
            <v>35558349.82</v>
          </cell>
          <cell r="Q94">
            <v>31215547.260000002</v>
          </cell>
          <cell r="R94">
            <v>27379864.100000001</v>
          </cell>
          <cell r="S94">
            <v>25014012.049999997</v>
          </cell>
          <cell r="T94">
            <v>21759018.84</v>
          </cell>
          <cell r="U94">
            <v>18538933.760000002</v>
          </cell>
          <cell r="V94">
            <v>17142056.699999999</v>
          </cell>
          <cell r="W94">
            <v>15383912.969999999</v>
          </cell>
          <cell r="X94">
            <v>14566622.559999999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O95">
            <v>24484667.25</v>
          </cell>
          <cell r="P95">
            <v>22950924.23</v>
          </cell>
          <cell r="Q95">
            <v>21374996.030000001</v>
          </cell>
          <cell r="R95">
            <v>19969203</v>
          </cell>
          <cell r="S95">
            <v>18734092.809999999</v>
          </cell>
          <cell r="T95">
            <v>17478108.969999999</v>
          </cell>
          <cell r="U95">
            <v>16407881.5</v>
          </cell>
          <cell r="V95">
            <v>15697530.74</v>
          </cell>
          <cell r="W95">
            <v>14975267.77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O96">
            <v>24484667.25</v>
          </cell>
          <cell r="P96">
            <v>24484667.25</v>
          </cell>
          <cell r="Q96">
            <v>24484667.25</v>
          </cell>
          <cell r="R96">
            <v>24484667.25</v>
          </cell>
          <cell r="S96">
            <v>24484667.25</v>
          </cell>
          <cell r="T96">
            <v>24484667.25</v>
          </cell>
          <cell r="U96">
            <v>24484667.25</v>
          </cell>
          <cell r="V96">
            <v>24484667.25</v>
          </cell>
          <cell r="W96">
            <v>24484667.25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O97">
            <v>2040388.94</v>
          </cell>
          <cell r="P97">
            <v>2040388.94</v>
          </cell>
          <cell r="Q97">
            <v>2040388.94</v>
          </cell>
          <cell r="R97">
            <v>2040388.94</v>
          </cell>
          <cell r="S97">
            <v>2040388.94</v>
          </cell>
          <cell r="T97">
            <v>2040388.94</v>
          </cell>
          <cell r="U97">
            <v>2040388.94</v>
          </cell>
          <cell r="V97">
            <v>2040388.94</v>
          </cell>
          <cell r="W97">
            <v>2040388.94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O98">
            <v>211698.25</v>
          </cell>
          <cell r="P98">
            <v>165075.4</v>
          </cell>
          <cell r="Q98">
            <v>217986.22999999998</v>
          </cell>
          <cell r="R98">
            <v>80822.62</v>
          </cell>
          <cell r="S98">
            <v>71313.100000000006</v>
          </cell>
          <cell r="T98">
            <v>32190.82</v>
          </cell>
          <cell r="U98">
            <v>103210.19</v>
          </cell>
          <cell r="V98">
            <v>-46019.8</v>
          </cell>
          <cell r="W98">
            <v>79174.740000000005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O99">
            <v>0.1101</v>
          </cell>
          <cell r="P99">
            <v>0.1101</v>
          </cell>
          <cell r="Q99">
            <v>0.1101</v>
          </cell>
          <cell r="R99">
            <v>0.1101</v>
          </cell>
          <cell r="S99">
            <v>0.1101</v>
          </cell>
          <cell r="T99">
            <v>0.1101</v>
          </cell>
          <cell r="U99">
            <v>0.1101</v>
          </cell>
          <cell r="V99">
            <v>0.1101</v>
          </cell>
          <cell r="W99">
            <v>0.1101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O100">
            <v>0.1101</v>
          </cell>
          <cell r="P100">
            <v>0.1101</v>
          </cell>
          <cell r="Q100">
            <v>0.1101</v>
          </cell>
          <cell r="R100">
            <v>0.1101</v>
          </cell>
          <cell r="S100">
            <v>0.1101</v>
          </cell>
          <cell r="T100">
            <v>0.1101</v>
          </cell>
          <cell r="U100">
            <v>0.1101</v>
          </cell>
          <cell r="V100">
            <v>0.1101</v>
          </cell>
          <cell r="W100">
            <v>0.1101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O101">
            <v>436345.07</v>
          </cell>
          <cell r="P101">
            <v>389722.22</v>
          </cell>
          <cell r="Q101">
            <v>442633.05</v>
          </cell>
          <cell r="R101">
            <v>305469.44</v>
          </cell>
          <cell r="S101">
            <v>295959.92</v>
          </cell>
          <cell r="T101">
            <v>256837.64</v>
          </cell>
          <cell r="U101">
            <v>327857.01</v>
          </cell>
          <cell r="V101">
            <v>178627.02</v>
          </cell>
          <cell r="W101">
            <v>303821.56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O102">
            <v>436345.07</v>
          </cell>
          <cell r="P102">
            <v>389722.22</v>
          </cell>
          <cell r="Q102">
            <v>442633.05</v>
          </cell>
          <cell r="R102">
            <v>305469.44</v>
          </cell>
          <cell r="S102">
            <v>295959.92</v>
          </cell>
          <cell r="T102">
            <v>256837.64</v>
          </cell>
          <cell r="U102">
            <v>327857.01</v>
          </cell>
          <cell r="V102">
            <v>178627.02</v>
          </cell>
          <cell r="W102">
            <v>303821.56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12">
          <cell r="O112">
            <v>436345.07</v>
          </cell>
          <cell r="P112">
            <v>389722.22</v>
          </cell>
          <cell r="Q112">
            <v>442633.05</v>
          </cell>
          <cell r="R112">
            <v>305469.44</v>
          </cell>
          <cell r="S112">
            <v>295959.92</v>
          </cell>
          <cell r="T112">
            <v>256837.64</v>
          </cell>
          <cell r="U112">
            <v>327857.01</v>
          </cell>
          <cell r="V112">
            <v>178627.02</v>
          </cell>
          <cell r="W112">
            <v>303821.56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</row>
        <row r="113">
          <cell r="O113">
            <v>436345.07</v>
          </cell>
          <cell r="P113">
            <v>389722.22</v>
          </cell>
          <cell r="Q113">
            <v>442633.05</v>
          </cell>
          <cell r="R113">
            <v>305469.44</v>
          </cell>
          <cell r="S113">
            <v>295959.92</v>
          </cell>
          <cell r="T113">
            <v>256837.64</v>
          </cell>
          <cell r="U113">
            <v>327857.01</v>
          </cell>
          <cell r="V113">
            <v>178627.02</v>
          </cell>
          <cell r="W113">
            <v>303821.56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</row>
        <row r="114"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</row>
        <row r="116">
          <cell r="O116">
            <v>436345.07</v>
          </cell>
          <cell r="P116">
            <v>389722.22</v>
          </cell>
          <cell r="Q116">
            <v>442633.05</v>
          </cell>
          <cell r="R116">
            <v>305469.44</v>
          </cell>
          <cell r="S116">
            <v>295959.92</v>
          </cell>
          <cell r="T116">
            <v>256837.64</v>
          </cell>
          <cell r="U116">
            <v>327857.01</v>
          </cell>
          <cell r="V116">
            <v>178627.02</v>
          </cell>
          <cell r="W116">
            <v>303821.56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</row>
        <row r="117">
          <cell r="O117">
            <v>436345.07</v>
          </cell>
          <cell r="P117">
            <v>389722.22</v>
          </cell>
          <cell r="Q117">
            <v>442633.05</v>
          </cell>
          <cell r="R117">
            <v>305469.44</v>
          </cell>
          <cell r="S117">
            <v>295959.92</v>
          </cell>
          <cell r="T117">
            <v>256837.64</v>
          </cell>
          <cell r="U117">
            <v>327857.01</v>
          </cell>
          <cell r="V117">
            <v>178627.02</v>
          </cell>
          <cell r="W117">
            <v>303821.56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</row>
        <row r="118">
          <cell r="O118">
            <v>436345.07</v>
          </cell>
          <cell r="P118">
            <v>389722.22</v>
          </cell>
          <cell r="Q118">
            <v>442633.05</v>
          </cell>
          <cell r="R118">
            <v>305469.44</v>
          </cell>
          <cell r="S118">
            <v>295959.92</v>
          </cell>
          <cell r="T118">
            <v>256837.64</v>
          </cell>
          <cell r="U118">
            <v>327857.01</v>
          </cell>
          <cell r="V118">
            <v>178627.02</v>
          </cell>
          <cell r="W118">
            <v>303821.56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O119">
            <v>959875.17</v>
          </cell>
          <cell r="P119">
            <v>964058.08</v>
          </cell>
          <cell r="Q119">
            <v>964731.89</v>
          </cell>
          <cell r="R119">
            <v>967142.37</v>
          </cell>
          <cell r="S119">
            <v>972357.35</v>
          </cell>
          <cell r="T119">
            <v>977936.59</v>
          </cell>
          <cell r="U119">
            <v>971192.21</v>
          </cell>
          <cell r="V119">
            <v>971918.25</v>
          </cell>
          <cell r="W119">
            <v>442006.43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</row>
        <row r="120"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</row>
        <row r="121">
          <cell r="O121">
            <v>-523530.10000000003</v>
          </cell>
          <cell r="P121">
            <v>-574335.86</v>
          </cell>
          <cell r="Q121">
            <v>-522098.84</v>
          </cell>
          <cell r="R121">
            <v>-661672.92999999993</v>
          </cell>
          <cell r="S121">
            <v>-676397.42999999993</v>
          </cell>
          <cell r="T121">
            <v>-721098.95</v>
          </cell>
          <cell r="U121">
            <v>-643335.19999999995</v>
          </cell>
          <cell r="V121">
            <v>-793291.23</v>
          </cell>
          <cell r="W121">
            <v>-138184.87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</row>
        <row r="129">
          <cell r="O129">
            <v>-523530.1</v>
          </cell>
          <cell r="P129">
            <v>-574335.86</v>
          </cell>
          <cell r="Q129">
            <v>-522098.84</v>
          </cell>
          <cell r="R129">
            <v>-661672.93000000005</v>
          </cell>
          <cell r="S129">
            <v>-676397.43</v>
          </cell>
          <cell r="T129">
            <v>-721098.95</v>
          </cell>
          <cell r="U129">
            <v>-643335.19999999995</v>
          </cell>
          <cell r="V129">
            <v>-793291.23</v>
          </cell>
          <cell r="W129">
            <v>-138184.87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O131">
            <v>-523530.1</v>
          </cell>
          <cell r="P131">
            <v>-574335.86</v>
          </cell>
          <cell r="Q131">
            <v>-522098.84</v>
          </cell>
          <cell r="R131">
            <v>-661672.93000000005</v>
          </cell>
          <cell r="S131">
            <v>-676397.43</v>
          </cell>
          <cell r="T131">
            <v>-721098.95</v>
          </cell>
          <cell r="U131">
            <v>-643335.19999999995</v>
          </cell>
          <cell r="V131">
            <v>-793291.23</v>
          </cell>
          <cell r="W131">
            <v>-138184.87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O132">
            <v>-5253945.41</v>
          </cell>
          <cell r="P132">
            <v>-4730415.3099999996</v>
          </cell>
          <cell r="Q132">
            <v>-4156079.45</v>
          </cell>
          <cell r="R132">
            <v>-3633980.61</v>
          </cell>
          <cell r="S132">
            <v>-2972307.68</v>
          </cell>
          <cell r="T132">
            <v>-2295910.25</v>
          </cell>
          <cell r="U132">
            <v>-1574811.3</v>
          </cell>
          <cell r="V132">
            <v>-931476.1</v>
          </cell>
          <cell r="W132">
            <v>-138184.87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put"/>
      <sheetName val="Liability Detail"/>
      <sheetName val="OU Collection"/>
      <sheetName val="E(m) Bridge"/>
      <sheetName val="ROR True-Up Adj-Pre"/>
      <sheetName val="ROR True-Up Adj-Post"/>
      <sheetName val="Data"/>
      <sheetName val="Error Checks"/>
      <sheetName val="E(m) Recon"/>
      <sheetName val="CM BS Recon"/>
      <sheetName val="ECR in Base Rates"/>
      <sheetName val="Startup"/>
      <sheetName val="VersionHist"/>
      <sheetName val="Adjt Input"/>
    </sheetNames>
    <sheetDataSet>
      <sheetData sheetId="0"/>
      <sheetData sheetId="1">
        <row r="116">
          <cell r="H116" t="str">
            <v>second</v>
          </cell>
        </row>
      </sheetData>
      <sheetData sheetId="2"/>
      <sheetData sheetId="3">
        <row r="25">
          <cell r="Y25">
            <v>0</v>
          </cell>
        </row>
      </sheetData>
      <sheetData sheetId="4"/>
      <sheetData sheetId="5"/>
      <sheetData sheetId="6"/>
      <sheetData sheetId="7">
        <row r="128">
          <cell r="BK128" t="str">
            <v>NO</v>
          </cell>
        </row>
      </sheetData>
      <sheetData sheetId="8"/>
      <sheetData sheetId="9"/>
      <sheetData sheetId="10"/>
      <sheetData sheetId="11"/>
      <sheetData sheetId="12">
        <row r="5">
          <cell r="N5">
            <v>41030</v>
          </cell>
        </row>
        <row r="10">
          <cell r="N10">
            <v>0</v>
          </cell>
        </row>
      </sheetData>
      <sheetData sheetId="13"/>
      <sheetData sheetId="14">
        <row r="18">
          <cell r="O18">
            <v>201112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%5e@%2038.9%25" TargetMode="External"/><Relationship Id="rId1" Type="http://schemas.openxmlformats.org/officeDocument/2006/relationships/hyperlink" Target="mailto:%5e@%2038.9%25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%5e@%2038.9%25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mailto:%5e@%2038.9%25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4AE76-C56F-439C-8109-78A7FADA29AB}">
  <sheetPr>
    <tabColor rgb="FF7030A0"/>
  </sheetPr>
  <dimension ref="A1:D24"/>
  <sheetViews>
    <sheetView workbookViewId="0"/>
  </sheetViews>
  <sheetFormatPr defaultRowHeight="12.75"/>
  <cols>
    <col min="1" max="1" width="83.140625" bestFit="1" customWidth="1"/>
    <col min="2" max="2" width="12.5703125" style="28" bestFit="1" customWidth="1"/>
    <col min="3" max="3" width="32.85546875" bestFit="1" customWidth="1"/>
    <col min="4" max="4" width="61.7109375" bestFit="1" customWidth="1"/>
  </cols>
  <sheetData>
    <row r="1" spans="1:4">
      <c r="A1" s="660" t="s">
        <v>632</v>
      </c>
      <c r="B1" s="177" t="s">
        <v>109</v>
      </c>
      <c r="C1" s="660" t="s">
        <v>634</v>
      </c>
      <c r="D1" s="660" t="s">
        <v>773</v>
      </c>
    </row>
    <row r="2" spans="1:4">
      <c r="A2" t="s">
        <v>779</v>
      </c>
      <c r="B2" s="28" t="s">
        <v>192</v>
      </c>
      <c r="C2" t="s">
        <v>193</v>
      </c>
      <c r="D2" t="s">
        <v>774</v>
      </c>
    </row>
    <row r="3" spans="1:4">
      <c r="A3" t="s">
        <v>787</v>
      </c>
      <c r="B3" s="28" t="s">
        <v>114</v>
      </c>
      <c r="C3" t="s">
        <v>115</v>
      </c>
      <c r="D3" t="s">
        <v>775</v>
      </c>
    </row>
    <row r="4" spans="1:4">
      <c r="A4" t="s">
        <v>787</v>
      </c>
      <c r="B4" s="28" t="s">
        <v>116</v>
      </c>
      <c r="C4" t="s">
        <v>117</v>
      </c>
      <c r="D4" t="s">
        <v>775</v>
      </c>
    </row>
    <row r="5" spans="1:4">
      <c r="A5" t="s">
        <v>787</v>
      </c>
      <c r="B5" s="28" t="s">
        <v>118</v>
      </c>
      <c r="C5" t="s">
        <v>119</v>
      </c>
      <c r="D5" t="s">
        <v>775</v>
      </c>
    </row>
    <row r="6" spans="1:4">
      <c r="A6" t="s">
        <v>787</v>
      </c>
      <c r="B6" s="28" t="s">
        <v>120</v>
      </c>
      <c r="C6" t="s">
        <v>121</v>
      </c>
      <c r="D6" t="s">
        <v>775</v>
      </c>
    </row>
    <row r="7" spans="1:4">
      <c r="A7" t="s">
        <v>787</v>
      </c>
      <c r="B7" s="28" t="s">
        <v>122</v>
      </c>
      <c r="C7" t="s">
        <v>219</v>
      </c>
      <c r="D7" t="s">
        <v>775</v>
      </c>
    </row>
    <row r="8" spans="1:4">
      <c r="A8" t="s">
        <v>787</v>
      </c>
      <c r="B8" s="28" t="s">
        <v>294</v>
      </c>
      <c r="C8" t="s">
        <v>295</v>
      </c>
      <c r="D8" t="s">
        <v>775</v>
      </c>
    </row>
    <row r="9" spans="1:4">
      <c r="A9" s="28" t="s">
        <v>778</v>
      </c>
      <c r="B9" s="28" t="s">
        <v>125</v>
      </c>
      <c r="C9" t="s">
        <v>169</v>
      </c>
      <c r="D9" t="s">
        <v>774</v>
      </c>
    </row>
    <row r="10" spans="1:4">
      <c r="A10" t="s">
        <v>778</v>
      </c>
      <c r="B10" s="28" t="s">
        <v>308</v>
      </c>
      <c r="C10" t="s">
        <v>309</v>
      </c>
      <c r="D10" t="s">
        <v>774</v>
      </c>
    </row>
    <row r="11" spans="1:4">
      <c r="A11" t="s">
        <v>659</v>
      </c>
      <c r="B11" s="28" t="s">
        <v>123</v>
      </c>
      <c r="C11" t="s">
        <v>124</v>
      </c>
      <c r="D11" t="s">
        <v>774</v>
      </c>
    </row>
    <row r="12" spans="1:4">
      <c r="A12" t="s">
        <v>659</v>
      </c>
      <c r="B12" s="28" t="s">
        <v>126</v>
      </c>
      <c r="C12" t="s">
        <v>127</v>
      </c>
      <c r="D12" t="s">
        <v>774</v>
      </c>
    </row>
    <row r="13" spans="1:4">
      <c r="A13" t="s">
        <v>659</v>
      </c>
      <c r="B13" s="28" t="s">
        <v>128</v>
      </c>
      <c r="C13" t="s">
        <v>129</v>
      </c>
      <c r="D13" t="s">
        <v>774</v>
      </c>
    </row>
    <row r="14" spans="1:4">
      <c r="A14" t="s">
        <v>659</v>
      </c>
      <c r="B14" s="28" t="s">
        <v>130</v>
      </c>
      <c r="C14" t="s">
        <v>131</v>
      </c>
      <c r="D14" t="s">
        <v>777</v>
      </c>
    </row>
    <row r="15" spans="1:4">
      <c r="A15" t="s">
        <v>659</v>
      </c>
      <c r="B15" s="28" t="s">
        <v>132</v>
      </c>
      <c r="C15" t="s">
        <v>133</v>
      </c>
      <c r="D15" t="s">
        <v>775</v>
      </c>
    </row>
    <row r="16" spans="1:4">
      <c r="A16" t="s">
        <v>655</v>
      </c>
      <c r="B16" s="666" t="s">
        <v>481</v>
      </c>
      <c r="C16" t="s">
        <v>482</v>
      </c>
      <c r="D16" t="s">
        <v>774</v>
      </c>
    </row>
    <row r="17" spans="1:4">
      <c r="A17" t="s">
        <v>655</v>
      </c>
      <c r="B17" s="666" t="s">
        <v>776</v>
      </c>
      <c r="C17" t="s">
        <v>562</v>
      </c>
      <c r="D17" t="s">
        <v>774</v>
      </c>
    </row>
    <row r="18" spans="1:4">
      <c r="A18" t="s">
        <v>655</v>
      </c>
      <c r="B18" s="28" t="s">
        <v>692</v>
      </c>
      <c r="C18" t="s">
        <v>693</v>
      </c>
      <c r="D18" t="s">
        <v>774</v>
      </c>
    </row>
    <row r="19" spans="1:4">
      <c r="A19" t="s">
        <v>655</v>
      </c>
      <c r="B19" s="28" t="s">
        <v>223</v>
      </c>
      <c r="C19" t="s">
        <v>224</v>
      </c>
      <c r="D19" t="s">
        <v>774</v>
      </c>
    </row>
    <row r="20" spans="1:4">
      <c r="A20" t="s">
        <v>660</v>
      </c>
      <c r="B20" s="28" t="s">
        <v>316</v>
      </c>
      <c r="C20" t="s">
        <v>317</v>
      </c>
      <c r="D20" t="s">
        <v>774</v>
      </c>
    </row>
    <row r="21" spans="1:4">
      <c r="A21" t="s">
        <v>660</v>
      </c>
      <c r="B21" s="28" t="s">
        <v>318</v>
      </c>
      <c r="C21" t="s">
        <v>319</v>
      </c>
      <c r="D21" t="s">
        <v>774</v>
      </c>
    </row>
    <row r="22" spans="1:4">
      <c r="A22" t="s">
        <v>660</v>
      </c>
      <c r="B22" s="28" t="s">
        <v>322</v>
      </c>
      <c r="C22" t="s">
        <v>484</v>
      </c>
      <c r="D22" t="s">
        <v>774</v>
      </c>
    </row>
    <row r="23" spans="1:4">
      <c r="A23" t="s">
        <v>660</v>
      </c>
      <c r="B23" s="28" t="s">
        <v>483</v>
      </c>
      <c r="C23" t="s">
        <v>484</v>
      </c>
      <c r="D23" t="s">
        <v>774</v>
      </c>
    </row>
    <row r="24" spans="1:4">
      <c r="A24" t="s">
        <v>660</v>
      </c>
      <c r="B24" s="28" t="s">
        <v>320</v>
      </c>
      <c r="C24" t="s">
        <v>321</v>
      </c>
      <c r="D24" t="s">
        <v>774</v>
      </c>
    </row>
  </sheetData>
  <sortState xmlns:xlrd2="http://schemas.microsoft.com/office/spreadsheetml/2017/richdata2" ref="A2:D24">
    <sortCondition ref="A2:A24"/>
    <sortCondition ref="B2:B2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  <pageSetUpPr fitToPage="1"/>
  </sheetPr>
  <dimension ref="A1:K53"/>
  <sheetViews>
    <sheetView zoomScaleNormal="100" workbookViewId="0"/>
  </sheetViews>
  <sheetFormatPr defaultColWidth="9.140625" defaultRowHeight="15"/>
  <cols>
    <col min="1" max="1" width="20.85546875" style="343" customWidth="1"/>
    <col min="2" max="8" width="18.85546875" style="344" customWidth="1"/>
    <col min="9" max="9" width="24.85546875" style="344" customWidth="1"/>
    <col min="10" max="10" width="5.42578125" style="343" bestFit="1" customWidth="1"/>
    <col min="11" max="11" width="17.140625" style="343" bestFit="1" customWidth="1"/>
    <col min="12" max="16384" width="9.140625" style="343"/>
  </cols>
  <sheetData>
    <row r="1" spans="1:11" ht="15.75">
      <c r="A1" s="413" t="s">
        <v>67</v>
      </c>
      <c r="B1" s="414"/>
      <c r="C1" s="414"/>
      <c r="D1" s="414"/>
      <c r="E1" s="414"/>
      <c r="F1" s="414"/>
      <c r="G1" s="414"/>
      <c r="H1" s="414"/>
      <c r="I1" s="414"/>
    </row>
    <row r="2" spans="1:11" ht="15.75" customHeight="1">
      <c r="A2" s="303" t="s">
        <v>421</v>
      </c>
      <c r="B2" s="342"/>
      <c r="C2" s="303"/>
      <c r="D2" s="303"/>
      <c r="E2" s="303"/>
      <c r="F2" s="303"/>
      <c r="G2" s="303"/>
      <c r="H2" s="303"/>
      <c r="I2" s="303"/>
    </row>
    <row r="3" spans="1:11" ht="15.75" customHeight="1">
      <c r="A3" s="306" t="str">
        <f>'OU Collection'!A3</f>
        <v>As of December 2020</v>
      </c>
      <c r="B3" s="342"/>
      <c r="C3" s="306"/>
      <c r="D3" s="306"/>
      <c r="E3" s="306"/>
      <c r="F3" s="306"/>
      <c r="G3" s="306"/>
      <c r="H3" s="306"/>
      <c r="I3" s="306"/>
    </row>
    <row r="4" spans="1:11" ht="15.75" customHeight="1">
      <c r="C4" s="322"/>
    </row>
    <row r="5" spans="1:11" s="345" customFormat="1" ht="15.75" customHeight="1">
      <c r="B5" s="346"/>
      <c r="C5" s="322"/>
      <c r="D5" s="346"/>
      <c r="E5" s="346"/>
      <c r="F5" s="346"/>
      <c r="G5" s="346"/>
      <c r="H5" s="346"/>
      <c r="I5" s="346"/>
    </row>
    <row r="6" spans="1:11" s="312" customFormat="1" ht="15.75" customHeight="1">
      <c r="A6" s="308" t="s">
        <v>372</v>
      </c>
      <c r="B6" s="329" t="s">
        <v>373</v>
      </c>
      <c r="C6" s="329" t="s">
        <v>374</v>
      </c>
      <c r="D6" s="329" t="s">
        <v>375</v>
      </c>
      <c r="E6" s="329" t="s">
        <v>376</v>
      </c>
      <c r="F6" s="329" t="s">
        <v>377</v>
      </c>
      <c r="G6" s="329" t="s">
        <v>378</v>
      </c>
      <c r="H6" s="329" t="s">
        <v>388</v>
      </c>
      <c r="I6" s="329" t="s">
        <v>389</v>
      </c>
    </row>
    <row r="7" spans="1:11" s="330" customFormat="1" ht="15.75" customHeight="1">
      <c r="A7" s="347"/>
      <c r="B7" s="328" t="s">
        <v>422</v>
      </c>
      <c r="C7" s="328" t="s">
        <v>422</v>
      </c>
      <c r="D7" s="328" t="s">
        <v>422</v>
      </c>
      <c r="E7" s="328" t="s">
        <v>422</v>
      </c>
      <c r="F7" s="328" t="s">
        <v>422</v>
      </c>
      <c r="G7" s="328" t="s">
        <v>422</v>
      </c>
      <c r="H7" s="328" t="s">
        <v>422</v>
      </c>
      <c r="I7" s="328" t="s">
        <v>422</v>
      </c>
      <c r="J7" s="347"/>
    </row>
    <row r="8" spans="1:11" s="330" customFormat="1" ht="15.75" customHeight="1">
      <c r="A8" s="348" t="s">
        <v>423</v>
      </c>
      <c r="B8" s="328" t="s">
        <v>424</v>
      </c>
      <c r="C8" s="328" t="s">
        <v>425</v>
      </c>
      <c r="D8" s="328" t="s">
        <v>19</v>
      </c>
      <c r="E8" s="328" t="s">
        <v>426</v>
      </c>
      <c r="F8" s="328" t="s">
        <v>427</v>
      </c>
      <c r="G8" s="328" t="s">
        <v>425</v>
      </c>
      <c r="H8" s="328" t="s">
        <v>426</v>
      </c>
      <c r="I8" s="328" t="s">
        <v>428</v>
      </c>
      <c r="J8" s="347"/>
    </row>
    <row r="9" spans="1:11" s="330" customFormat="1" ht="15.75" customHeight="1">
      <c r="A9" s="349" t="s">
        <v>108</v>
      </c>
      <c r="B9" s="308" t="s">
        <v>429</v>
      </c>
      <c r="C9" s="308" t="s">
        <v>430</v>
      </c>
      <c r="D9" s="308" t="s">
        <v>431</v>
      </c>
      <c r="E9" s="308" t="s">
        <v>432</v>
      </c>
      <c r="F9" s="308" t="s">
        <v>433</v>
      </c>
      <c r="G9" s="308" t="s">
        <v>434</v>
      </c>
      <c r="H9" s="308" t="s">
        <v>12</v>
      </c>
      <c r="I9" s="308" t="s">
        <v>435</v>
      </c>
      <c r="J9" s="347"/>
    </row>
    <row r="10" spans="1:11" s="330" customFormat="1" ht="15.75" customHeight="1">
      <c r="A10" s="350"/>
      <c r="B10" s="329"/>
      <c r="C10" s="329"/>
      <c r="D10" s="329"/>
      <c r="E10" s="329"/>
      <c r="F10" s="329"/>
      <c r="G10" s="329"/>
      <c r="H10" s="329"/>
      <c r="I10" s="351" t="s">
        <v>436</v>
      </c>
    </row>
    <row r="11" spans="1:11" s="330" customFormat="1" ht="15.75" customHeight="1">
      <c r="A11" s="333" t="s">
        <v>630</v>
      </c>
      <c r="B11" s="312"/>
      <c r="C11" s="312"/>
      <c r="D11" s="312"/>
      <c r="E11" s="312"/>
      <c r="F11" s="312"/>
      <c r="G11" s="312"/>
      <c r="H11" s="312"/>
      <c r="I11" s="312"/>
    </row>
    <row r="12" spans="1:11" s="330" customFormat="1" ht="15.75" customHeight="1">
      <c r="A12" s="335">
        <v>43800</v>
      </c>
      <c r="B12" s="313">
        <v>55802661.969999999</v>
      </c>
      <c r="C12" s="313">
        <v>-2215132.89</v>
      </c>
      <c r="D12" s="313">
        <v>8089722.0599999996</v>
      </c>
      <c r="E12" s="598">
        <v>-8790723.3000000007</v>
      </c>
      <c r="F12" s="313">
        <v>0</v>
      </c>
      <c r="G12" s="313">
        <v>0</v>
      </c>
      <c r="H12" s="313">
        <v>0</v>
      </c>
      <c r="I12" s="313">
        <f t="shared" ref="I12:I25" si="0">B12+C12+D12+E12-F12-G12-H12</f>
        <v>52886527.840000004</v>
      </c>
      <c r="J12" s="312"/>
    </row>
    <row r="13" spans="1:11" s="330" customFormat="1" ht="15.75" customHeight="1">
      <c r="A13" s="335"/>
      <c r="B13" s="319"/>
      <c r="C13" s="319"/>
      <c r="D13" s="319"/>
      <c r="E13" s="319"/>
      <c r="F13" s="319"/>
      <c r="G13" s="319"/>
      <c r="H13" s="319"/>
      <c r="I13" s="319"/>
      <c r="J13" s="312"/>
    </row>
    <row r="14" spans="1:11" s="330" customFormat="1" ht="15.75" customHeight="1">
      <c r="A14" s="335">
        <f>DATE(YEAR(A12+45),MONTH(A12+45),1)</f>
        <v>43831</v>
      </c>
      <c r="B14" s="313">
        <v>56859607.689999998</v>
      </c>
      <c r="C14" s="313">
        <v>-2357143.9700000002</v>
      </c>
      <c r="D14" s="313">
        <v>8459892.2799999993</v>
      </c>
      <c r="E14" s="313">
        <v>-8910308.5500000007</v>
      </c>
      <c r="F14" s="313">
        <v>0</v>
      </c>
      <c r="G14" s="313">
        <v>0</v>
      </c>
      <c r="H14" s="313">
        <v>0</v>
      </c>
      <c r="I14" s="313">
        <f t="shared" si="0"/>
        <v>54052047.450000003</v>
      </c>
      <c r="J14" s="312"/>
      <c r="K14" s="603">
        <f>(B14-F14)-(B12-F12)</f>
        <v>1056945.7199999988</v>
      </c>
    </row>
    <row r="15" spans="1:11" s="330" customFormat="1" ht="15.75" customHeight="1">
      <c r="A15" s="335">
        <f t="shared" ref="A15:A25" si="1">DATE(YEAR(A14+45),MONTH(A14+45),1)</f>
        <v>43862</v>
      </c>
      <c r="B15" s="313">
        <v>57699012.600000001</v>
      </c>
      <c r="C15" s="313">
        <v>-2501682.02</v>
      </c>
      <c r="D15" s="313">
        <v>8988394.8800000008</v>
      </c>
      <c r="E15" s="313">
        <v>-9086334.0800000001</v>
      </c>
      <c r="F15" s="313">
        <v>0</v>
      </c>
      <c r="G15" s="313">
        <v>0</v>
      </c>
      <c r="H15" s="313">
        <v>0</v>
      </c>
      <c r="I15" s="313">
        <f t="shared" si="0"/>
        <v>55099391.380000003</v>
      </c>
      <c r="J15" s="312"/>
      <c r="K15" s="603">
        <f>(B15-F15)-(B14-F14)</f>
        <v>839404.91000000387</v>
      </c>
    </row>
    <row r="16" spans="1:11" s="330" customFormat="1" ht="15.75" customHeight="1">
      <c r="A16" s="335">
        <f t="shared" si="1"/>
        <v>43891</v>
      </c>
      <c r="B16" s="313">
        <v>60463359.100000001</v>
      </c>
      <c r="C16" s="313">
        <v>-2651056.66</v>
      </c>
      <c r="D16" s="313">
        <v>9654291.7100000009</v>
      </c>
      <c r="E16" s="313">
        <v>-9324146.7300000004</v>
      </c>
      <c r="F16" s="313">
        <v>0</v>
      </c>
      <c r="G16" s="313">
        <v>0</v>
      </c>
      <c r="H16" s="313">
        <v>0</v>
      </c>
      <c r="I16" s="313">
        <f t="shared" si="0"/>
        <v>58142447.420000002</v>
      </c>
      <c r="J16" s="312"/>
      <c r="K16" s="603">
        <f t="shared" ref="K16:K24" si="2">(B16-F16)-(B15-F15)</f>
        <v>2764346.5</v>
      </c>
    </row>
    <row r="17" spans="1:11" s="330" customFormat="1" ht="15.75" customHeight="1">
      <c r="A17" s="335">
        <f t="shared" si="1"/>
        <v>43922</v>
      </c>
      <c r="B17" s="313">
        <v>61689500.399999999</v>
      </c>
      <c r="C17" s="313">
        <v>-2805810.03</v>
      </c>
      <c r="D17" s="313">
        <v>10320675.199999999</v>
      </c>
      <c r="E17" s="313">
        <v>-9579443.4561665859</v>
      </c>
      <c r="F17" s="313">
        <v>0</v>
      </c>
      <c r="G17" s="313">
        <v>0</v>
      </c>
      <c r="H17" s="313">
        <v>0</v>
      </c>
      <c r="I17" s="313">
        <f t="shared" si="0"/>
        <v>59624922.113833405</v>
      </c>
      <c r="J17" s="312"/>
      <c r="K17" s="603">
        <f t="shared" si="2"/>
        <v>1226141.299999997</v>
      </c>
    </row>
    <row r="18" spans="1:11" s="330" customFormat="1" ht="15.75" customHeight="1">
      <c r="A18" s="335">
        <f t="shared" si="1"/>
        <v>43952</v>
      </c>
      <c r="B18" s="313">
        <v>63027762.460000008</v>
      </c>
      <c r="C18" s="313">
        <v>-2964054.83</v>
      </c>
      <c r="D18" s="313">
        <v>10849776.639999999</v>
      </c>
      <c r="E18" s="313">
        <v>-9817492.6600000001</v>
      </c>
      <c r="F18" s="313">
        <v>0</v>
      </c>
      <c r="G18" s="313">
        <v>0</v>
      </c>
      <c r="H18" s="313">
        <v>0</v>
      </c>
      <c r="I18" s="313">
        <f t="shared" si="0"/>
        <v>61095991.610000014</v>
      </c>
      <c r="J18" s="312"/>
      <c r="K18" s="603">
        <f t="shared" si="2"/>
        <v>1338262.0600000098</v>
      </c>
    </row>
    <row r="19" spans="1:11" s="330" customFormat="1" ht="15.75" customHeight="1">
      <c r="A19" s="335">
        <f t="shared" si="1"/>
        <v>43983</v>
      </c>
      <c r="B19" s="313">
        <v>64538573.909999996</v>
      </c>
      <c r="C19" s="313">
        <v>-3126177.67</v>
      </c>
      <c r="D19" s="313">
        <v>11223915.869999999</v>
      </c>
      <c r="E19" s="313">
        <v>-10034626.26</v>
      </c>
      <c r="F19" s="313">
        <v>0</v>
      </c>
      <c r="G19" s="313">
        <v>0</v>
      </c>
      <c r="H19" s="313">
        <v>0</v>
      </c>
      <c r="I19" s="313">
        <f t="shared" si="0"/>
        <v>62601685.850000001</v>
      </c>
      <c r="J19" s="312"/>
      <c r="K19" s="603">
        <f t="shared" si="2"/>
        <v>1510811.4499999881</v>
      </c>
    </row>
    <row r="20" spans="1:11" s="330" customFormat="1" ht="15.75" customHeight="1">
      <c r="A20" s="335">
        <f t="shared" si="1"/>
        <v>44013</v>
      </c>
      <c r="B20" s="313">
        <v>65863249.229999997</v>
      </c>
      <c r="C20" s="313">
        <v>-3292133.92</v>
      </c>
      <c r="D20" s="313">
        <v>11568487.279999999</v>
      </c>
      <c r="E20" s="313">
        <v>-10256274.970000001</v>
      </c>
      <c r="F20" s="621">
        <v>0</v>
      </c>
      <c r="G20" s="621">
        <v>0</v>
      </c>
      <c r="H20" s="313">
        <v>0</v>
      </c>
      <c r="I20" s="313">
        <f t="shared" si="0"/>
        <v>63883327.61999999</v>
      </c>
      <c r="J20" s="312"/>
      <c r="K20" s="603">
        <f t="shared" si="2"/>
        <v>1324675.3200000003</v>
      </c>
    </row>
    <row r="21" spans="1:11" s="330" customFormat="1" ht="15.75" customHeight="1">
      <c r="A21" s="335">
        <f t="shared" si="1"/>
        <v>44044</v>
      </c>
      <c r="B21" s="313">
        <v>67392926.540000007</v>
      </c>
      <c r="C21" s="313">
        <v>-3461948.48</v>
      </c>
      <c r="D21" s="313">
        <v>11959226.810000001</v>
      </c>
      <c r="E21" s="313">
        <v>-10504537.66</v>
      </c>
      <c r="F21" s="621">
        <v>150581.68</v>
      </c>
      <c r="G21" s="621">
        <f>-150581.68</f>
        <v>-150581.68</v>
      </c>
      <c r="H21" s="313">
        <v>0</v>
      </c>
      <c r="I21" s="313">
        <f>B21+C21+D21+E21-F21-G21-H21</f>
        <v>65385667.210000008</v>
      </c>
      <c r="J21" s="632"/>
      <c r="K21" s="603">
        <f t="shared" si="2"/>
        <v>1379095.6300000027</v>
      </c>
    </row>
    <row r="22" spans="1:11" s="330" customFormat="1" ht="15.75" customHeight="1">
      <c r="A22" s="335">
        <f t="shared" si="1"/>
        <v>44075</v>
      </c>
      <c r="B22" s="313">
        <v>68804885.280000001</v>
      </c>
      <c r="C22" s="313">
        <v>-3635733.28</v>
      </c>
      <c r="D22" s="313">
        <v>12318185.699999999</v>
      </c>
      <c r="E22" s="313">
        <v>-10780673.08</v>
      </c>
      <c r="F22" s="621">
        <v>150581.68</v>
      </c>
      <c r="G22" s="621">
        <f t="shared" ref="G22:G25" si="3">-150581.68</f>
        <v>-150581.68</v>
      </c>
      <c r="H22" s="313">
        <v>0</v>
      </c>
      <c r="I22" s="313">
        <f>B22+C22+D22+E22-F22-G22-H22</f>
        <v>66706664.620000005</v>
      </c>
      <c r="J22" s="600"/>
      <c r="K22" s="603">
        <f>(B22-F22)-(B21-F21)</f>
        <v>1411958.7399999946</v>
      </c>
    </row>
    <row r="23" spans="1:11" s="330" customFormat="1" ht="15.75" customHeight="1">
      <c r="A23" s="335">
        <f t="shared" si="1"/>
        <v>44105</v>
      </c>
      <c r="B23" s="313">
        <v>70384008.370000005</v>
      </c>
      <c r="C23" s="313">
        <v>-3813555.13</v>
      </c>
      <c r="D23" s="313">
        <v>12884725.17</v>
      </c>
      <c r="E23" s="313">
        <v>-11104205.609999999</v>
      </c>
      <c r="F23" s="621">
        <v>150581.68</v>
      </c>
      <c r="G23" s="621">
        <f t="shared" si="3"/>
        <v>-150581.68</v>
      </c>
      <c r="H23" s="313">
        <v>0</v>
      </c>
      <c r="I23" s="313">
        <f t="shared" si="0"/>
        <v>68350972.799999997</v>
      </c>
      <c r="J23" s="600"/>
      <c r="K23" s="603">
        <f t="shared" si="2"/>
        <v>1579123.0900000036</v>
      </c>
    </row>
    <row r="24" spans="1:11" s="330" customFormat="1" ht="15.75" customHeight="1">
      <c r="A24" s="335">
        <f t="shared" si="1"/>
        <v>44136</v>
      </c>
      <c r="B24" s="313">
        <v>71722046.950000003</v>
      </c>
      <c r="C24" s="313">
        <v>-3995314.32</v>
      </c>
      <c r="D24" s="313">
        <v>13275435.18</v>
      </c>
      <c r="E24" s="313">
        <v>-11414547.73</v>
      </c>
      <c r="F24" s="621">
        <v>150581.68</v>
      </c>
      <c r="G24" s="621">
        <f t="shared" si="3"/>
        <v>-150581.68</v>
      </c>
      <c r="H24" s="313">
        <v>0</v>
      </c>
      <c r="I24" s="313">
        <f t="shared" si="0"/>
        <v>69587620.079999998</v>
      </c>
      <c r="J24" s="600"/>
      <c r="K24" s="603">
        <f t="shared" si="2"/>
        <v>1338038.5799999982</v>
      </c>
    </row>
    <row r="25" spans="1:11" s="330" customFormat="1" ht="15.75" customHeight="1">
      <c r="A25" s="335">
        <f t="shared" si="1"/>
        <v>44166</v>
      </c>
      <c r="B25" s="313">
        <v>72692224.670000002</v>
      </c>
      <c r="C25" s="313">
        <v>-4180206.34</v>
      </c>
      <c r="D25" s="313">
        <v>13531042.09</v>
      </c>
      <c r="E25" s="313">
        <v>-11553913.109999999</v>
      </c>
      <c r="F25" s="621">
        <v>150581.68</v>
      </c>
      <c r="G25" s="621">
        <f t="shared" si="3"/>
        <v>-150581.68</v>
      </c>
      <c r="H25" s="313">
        <v>0</v>
      </c>
      <c r="I25" s="313">
        <f t="shared" si="0"/>
        <v>70489147.310000002</v>
      </c>
      <c r="J25" s="600"/>
      <c r="K25" s="603">
        <f>(B25-F25)-(B24-F24)</f>
        <v>970177.71999999881</v>
      </c>
    </row>
    <row r="26" spans="1:11" s="330" customFormat="1" ht="15.75" customHeight="1">
      <c r="A26" s="333" t="str">
        <f>+"TOTAL for Year, "&amp;TEXT(A14,"mm/yy")&amp;" - "&amp;TEXT(A25,"mm/yy")</f>
        <v>TOTAL for Year, 01/20 - 12/20</v>
      </c>
      <c r="B26" s="312"/>
      <c r="C26" s="312"/>
      <c r="D26" s="312"/>
      <c r="E26" s="312"/>
      <c r="F26" s="312"/>
      <c r="G26" s="312"/>
      <c r="H26" s="312"/>
      <c r="I26" s="312"/>
      <c r="J26" s="312"/>
    </row>
    <row r="27" spans="1:11" ht="15.75" customHeight="1"/>
    <row r="28" spans="1:11" ht="15.75" customHeight="1"/>
    <row r="29" spans="1:11" ht="15.75" customHeight="1"/>
    <row r="30" spans="1:11" ht="15.75">
      <c r="A30" s="308" t="s">
        <v>387</v>
      </c>
      <c r="B30" s="329" t="s">
        <v>390</v>
      </c>
      <c r="C30" s="329" t="s">
        <v>391</v>
      </c>
      <c r="D30" s="329" t="s">
        <v>392</v>
      </c>
      <c r="E30" s="329" t="s">
        <v>393</v>
      </c>
      <c r="F30" s="329" t="s">
        <v>409</v>
      </c>
      <c r="G30" s="329" t="s">
        <v>410</v>
      </c>
      <c r="H30" s="329" t="s">
        <v>411</v>
      </c>
      <c r="I30" s="329" t="s">
        <v>412</v>
      </c>
    </row>
    <row r="31" spans="1:11" ht="15.75">
      <c r="A31" s="347"/>
      <c r="B31" s="328" t="s">
        <v>422</v>
      </c>
      <c r="C31" s="328" t="s">
        <v>422</v>
      </c>
      <c r="D31" s="328" t="s">
        <v>422</v>
      </c>
      <c r="E31" s="328" t="s">
        <v>422</v>
      </c>
      <c r="F31" s="328" t="s">
        <v>422</v>
      </c>
      <c r="G31" s="328" t="s">
        <v>422</v>
      </c>
      <c r="H31" s="328" t="s">
        <v>422</v>
      </c>
      <c r="I31" s="328" t="s">
        <v>422</v>
      </c>
    </row>
    <row r="32" spans="1:11" ht="15.75">
      <c r="A32" s="348" t="s">
        <v>423</v>
      </c>
      <c r="B32" s="328" t="s">
        <v>424</v>
      </c>
      <c r="C32" s="328" t="s">
        <v>425</v>
      </c>
      <c r="D32" s="328" t="s">
        <v>19</v>
      </c>
      <c r="E32" s="328" t="s">
        <v>426</v>
      </c>
      <c r="F32" s="328" t="s">
        <v>427</v>
      </c>
      <c r="G32" s="328" t="s">
        <v>425</v>
      </c>
      <c r="H32" s="328" t="s">
        <v>426</v>
      </c>
      <c r="I32" s="328" t="s">
        <v>428</v>
      </c>
    </row>
    <row r="33" spans="1:10" ht="15.75">
      <c r="A33" s="349" t="s">
        <v>108</v>
      </c>
      <c r="B33" s="308" t="s">
        <v>429</v>
      </c>
      <c r="C33" s="308" t="s">
        <v>430</v>
      </c>
      <c r="D33" s="308" t="s">
        <v>431</v>
      </c>
      <c r="E33" s="308" t="s">
        <v>432</v>
      </c>
      <c r="F33" s="308" t="s">
        <v>433</v>
      </c>
      <c r="G33" s="308" t="s">
        <v>434</v>
      </c>
      <c r="H33" s="308" t="s">
        <v>12</v>
      </c>
      <c r="I33" s="308" t="s">
        <v>435</v>
      </c>
    </row>
    <row r="34" spans="1:10" ht="15.75">
      <c r="A34" s="350"/>
      <c r="B34" s="329"/>
      <c r="C34" s="329"/>
      <c r="D34" s="329"/>
      <c r="E34" s="329"/>
      <c r="F34" s="329"/>
      <c r="G34" s="329"/>
      <c r="H34" s="329"/>
      <c r="I34" s="351" t="s">
        <v>437</v>
      </c>
    </row>
    <row r="35" spans="1:10" ht="15.75">
      <c r="A35" s="333" t="str">
        <f>A11</f>
        <v>Start of Period Rate Base, 12/19</v>
      </c>
      <c r="B35" s="312"/>
      <c r="C35" s="312"/>
      <c r="D35" s="312"/>
      <c r="E35" s="312"/>
      <c r="F35" s="312"/>
      <c r="G35" s="312"/>
      <c r="H35" s="312"/>
      <c r="I35" s="312"/>
    </row>
    <row r="36" spans="1:10" ht="15.75">
      <c r="A36" s="335">
        <f>A12</f>
        <v>43800</v>
      </c>
      <c r="B36" s="313">
        <v>44002739.890000001</v>
      </c>
      <c r="C36" s="313">
        <v>0</v>
      </c>
      <c r="D36" s="313">
        <v>0</v>
      </c>
      <c r="E36" s="313">
        <v>0</v>
      </c>
      <c r="F36" s="313">
        <v>0</v>
      </c>
      <c r="G36" s="313">
        <v>0</v>
      </c>
      <c r="H36" s="313">
        <v>0</v>
      </c>
      <c r="I36" s="313">
        <f t="shared" ref="I36" si="4">B36+C36+D36+E36-F36-G36-H36</f>
        <v>44002739.890000001</v>
      </c>
    </row>
    <row r="37" spans="1:10" ht="15.75">
      <c r="A37" s="335"/>
      <c r="B37" s="319"/>
      <c r="C37" s="319"/>
      <c r="D37" s="319"/>
      <c r="E37" s="319"/>
      <c r="F37" s="319"/>
      <c r="G37" s="319"/>
      <c r="H37" s="319"/>
      <c r="I37" s="319"/>
    </row>
    <row r="38" spans="1:10" ht="15.75">
      <c r="A38" s="335">
        <f>A14</f>
        <v>43831</v>
      </c>
      <c r="B38" s="313">
        <v>46655058.210000001</v>
      </c>
      <c r="C38" s="313">
        <v>0</v>
      </c>
      <c r="D38" s="313">
        <v>0</v>
      </c>
      <c r="E38" s="313">
        <v>0</v>
      </c>
      <c r="F38" s="313">
        <v>0</v>
      </c>
      <c r="G38" s="313">
        <v>0</v>
      </c>
      <c r="H38" s="313">
        <v>0</v>
      </c>
      <c r="I38" s="313">
        <f t="shared" ref="I38:I46" si="5">B38+C38+D38+E38-F38-G38-H38</f>
        <v>46655058.210000001</v>
      </c>
    </row>
    <row r="39" spans="1:10" ht="15.75">
      <c r="A39" s="335">
        <f t="shared" ref="A39:A49" si="6">A15</f>
        <v>43862</v>
      </c>
      <c r="B39" s="313">
        <v>49650737.149999999</v>
      </c>
      <c r="C39" s="313">
        <v>0</v>
      </c>
      <c r="D39" s="313">
        <v>0</v>
      </c>
      <c r="E39" s="313">
        <v>0</v>
      </c>
      <c r="F39" s="313">
        <v>0</v>
      </c>
      <c r="G39" s="313">
        <v>0</v>
      </c>
      <c r="H39" s="313">
        <v>0</v>
      </c>
      <c r="I39" s="313">
        <f t="shared" si="5"/>
        <v>49650737.149999999</v>
      </c>
    </row>
    <row r="40" spans="1:10" ht="15.75">
      <c r="A40" s="335">
        <f t="shared" si="6"/>
        <v>43891</v>
      </c>
      <c r="B40" s="313">
        <v>54041312.049999997</v>
      </c>
      <c r="C40" s="313">
        <v>0</v>
      </c>
      <c r="D40" s="313">
        <v>0</v>
      </c>
      <c r="E40" s="313">
        <v>0</v>
      </c>
      <c r="F40" s="313">
        <v>0</v>
      </c>
      <c r="G40" s="313">
        <v>0</v>
      </c>
      <c r="H40" s="313">
        <v>0</v>
      </c>
      <c r="I40" s="313">
        <f t="shared" si="5"/>
        <v>54041312.049999997</v>
      </c>
    </row>
    <row r="41" spans="1:10" ht="15.75">
      <c r="A41" s="335">
        <f t="shared" si="6"/>
        <v>43922</v>
      </c>
      <c r="B41" s="313">
        <v>59951368.499999993</v>
      </c>
      <c r="C41" s="313">
        <v>0</v>
      </c>
      <c r="D41" s="313">
        <v>0</v>
      </c>
      <c r="E41" s="313">
        <v>0</v>
      </c>
      <c r="F41" s="313">
        <v>0</v>
      </c>
      <c r="G41" s="313">
        <v>0</v>
      </c>
      <c r="H41" s="313">
        <v>0</v>
      </c>
      <c r="I41" s="313">
        <f t="shared" si="5"/>
        <v>59951368.499999993</v>
      </c>
    </row>
    <row r="42" spans="1:10" ht="15.75">
      <c r="A42" s="335">
        <f t="shared" si="6"/>
        <v>43952</v>
      </c>
      <c r="B42" s="313">
        <v>63305594.029999994</v>
      </c>
      <c r="C42" s="313">
        <v>0</v>
      </c>
      <c r="D42" s="313">
        <v>0</v>
      </c>
      <c r="E42" s="313">
        <v>0</v>
      </c>
      <c r="F42" s="313">
        <v>0</v>
      </c>
      <c r="G42" s="313">
        <v>0</v>
      </c>
      <c r="H42" s="313">
        <v>0</v>
      </c>
      <c r="I42" s="313">
        <f t="shared" si="5"/>
        <v>63305594.029999994</v>
      </c>
    </row>
    <row r="43" spans="1:10" ht="15.75">
      <c r="A43" s="335">
        <f t="shared" si="6"/>
        <v>43983</v>
      </c>
      <c r="B43" s="313">
        <v>67021007.729999997</v>
      </c>
      <c r="C43" s="313">
        <v>0</v>
      </c>
      <c r="D43" s="313">
        <v>0</v>
      </c>
      <c r="E43" s="313">
        <v>0</v>
      </c>
      <c r="F43" s="313">
        <v>0</v>
      </c>
      <c r="G43" s="313">
        <v>0</v>
      </c>
      <c r="H43" s="313">
        <v>0</v>
      </c>
      <c r="I43" s="313">
        <f t="shared" si="5"/>
        <v>67021007.729999997</v>
      </c>
    </row>
    <row r="44" spans="1:10" ht="15.75">
      <c r="A44" s="335">
        <f t="shared" si="6"/>
        <v>44013</v>
      </c>
      <c r="B44" s="313">
        <v>70817410.409999996</v>
      </c>
      <c r="C44" s="313">
        <v>0</v>
      </c>
      <c r="D44" s="313">
        <v>0</v>
      </c>
      <c r="E44" s="313">
        <v>0</v>
      </c>
      <c r="F44" s="313">
        <v>0</v>
      </c>
      <c r="G44" s="313">
        <v>0</v>
      </c>
      <c r="H44" s="313">
        <v>0</v>
      </c>
      <c r="I44" s="313">
        <f t="shared" si="5"/>
        <v>70817410.409999996</v>
      </c>
    </row>
    <row r="45" spans="1:10" ht="15.75">
      <c r="A45" s="335">
        <f t="shared" si="6"/>
        <v>44044</v>
      </c>
      <c r="B45" s="313">
        <v>76537033.349999994</v>
      </c>
      <c r="C45" s="313">
        <v>0</v>
      </c>
      <c r="D45" s="313">
        <v>0</v>
      </c>
      <c r="E45" s="313">
        <v>0</v>
      </c>
      <c r="F45" s="313">
        <v>0</v>
      </c>
      <c r="G45" s="313">
        <v>0</v>
      </c>
      <c r="H45" s="313">
        <v>0</v>
      </c>
      <c r="I45" s="313">
        <f t="shared" si="5"/>
        <v>76537033.349999994</v>
      </c>
    </row>
    <row r="46" spans="1:10" ht="15.75">
      <c r="A46" s="335">
        <f t="shared" si="6"/>
        <v>44075</v>
      </c>
      <c r="B46" s="313">
        <v>80338856.760000005</v>
      </c>
      <c r="C46" s="313">
        <v>0</v>
      </c>
      <c r="D46" s="313">
        <v>0</v>
      </c>
      <c r="E46" s="313">
        <v>0</v>
      </c>
      <c r="F46" s="621">
        <v>0</v>
      </c>
      <c r="G46" s="621">
        <v>0</v>
      </c>
      <c r="H46" s="313">
        <v>0</v>
      </c>
      <c r="I46" s="313">
        <f t="shared" si="5"/>
        <v>80338856.760000005</v>
      </c>
    </row>
    <row r="47" spans="1:10" ht="15.75">
      <c r="A47" s="335">
        <f t="shared" si="6"/>
        <v>44105</v>
      </c>
      <c r="B47" s="313">
        <v>86855698</v>
      </c>
      <c r="C47" s="313">
        <v>-62107.67</v>
      </c>
      <c r="D47" s="313">
        <v>40412.29</v>
      </c>
      <c r="E47" s="313">
        <v>-750482.69</v>
      </c>
      <c r="F47" s="621">
        <v>215742.57</v>
      </c>
      <c r="G47" s="621">
        <v>-185304.93</v>
      </c>
      <c r="H47" s="313">
        <v>-7594.19</v>
      </c>
      <c r="I47" s="313">
        <f>B47+C47+D47+E47-F47-G47-H47</f>
        <v>86060676.480000019</v>
      </c>
      <c r="J47" s="633" t="s">
        <v>373</v>
      </c>
    </row>
    <row r="48" spans="1:10" ht="15.75">
      <c r="A48" s="335">
        <f t="shared" si="6"/>
        <v>44136</v>
      </c>
      <c r="B48" s="313">
        <v>90772307.310000002</v>
      </c>
      <c r="C48" s="313">
        <v>-188247.1</v>
      </c>
      <c r="D48" s="313">
        <v>45058.31</v>
      </c>
      <c r="E48" s="313">
        <v>-821519.15</v>
      </c>
      <c r="F48" s="621">
        <v>215742.57</v>
      </c>
      <c r="G48" s="621">
        <v>-185304.93</v>
      </c>
      <c r="H48" s="313">
        <v>-7594.19</v>
      </c>
      <c r="I48" s="313">
        <f>B48+C48+D48+E48-F48-G48-H48</f>
        <v>89784755.920000017</v>
      </c>
    </row>
    <row r="49" spans="1:9" ht="15.75">
      <c r="A49" s="335">
        <f t="shared" si="6"/>
        <v>44166</v>
      </c>
      <c r="B49" s="313">
        <v>94254632.129999995</v>
      </c>
      <c r="C49" s="313">
        <v>-317268.3</v>
      </c>
      <c r="D49" s="313">
        <v>45058.31</v>
      </c>
      <c r="E49" s="313">
        <v>-881246.51</v>
      </c>
      <c r="F49" s="621">
        <v>215742.57</v>
      </c>
      <c r="G49" s="621">
        <v>-185304.93</v>
      </c>
      <c r="H49" s="313">
        <v>-7594.19</v>
      </c>
      <c r="I49" s="313">
        <f>B49+C49+D49+E49-F49-G49-H49</f>
        <v>93078332.180000007</v>
      </c>
    </row>
    <row r="50" spans="1:9" ht="15.75">
      <c r="A50" s="333" t="str">
        <f>+"TOTAL for Year, "&amp;TEXT(A38,"mm/yy")&amp;" - "&amp;TEXT(A49,"mm/yy")</f>
        <v>TOTAL for Year, 01/20 - 12/20</v>
      </c>
      <c r="B50" s="312"/>
      <c r="C50" s="312"/>
      <c r="D50" s="312"/>
      <c r="E50" s="312"/>
      <c r="F50" s="634"/>
      <c r="G50" s="634"/>
      <c r="H50" s="312"/>
      <c r="I50" s="312"/>
    </row>
    <row r="51" spans="1:9">
      <c r="F51" s="635"/>
      <c r="G51" s="635"/>
    </row>
    <row r="52" spans="1:9">
      <c r="A52" s="343" t="s">
        <v>757</v>
      </c>
    </row>
    <row r="53" spans="1:9">
      <c r="A53" s="343" t="s">
        <v>759</v>
      </c>
    </row>
  </sheetData>
  <pageMargins left="0.49" right="0.48" top="1.1000000000000001" bottom="0.75" header="0.5" footer="0.1"/>
  <pageSetup scale="56" orientation="landscape" r:id="rId1"/>
  <headerFooter scaleWithDoc="0" alignWithMargins="0">
    <oddFooter xml:space="preserve">&amp;R&amp;"Times New Roman,Bold"Exhibit 3
Page 3 of 4
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9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215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4">
        <f>'201707 Bk Depr'!R13</f>
        <v>0</v>
      </c>
      <c r="H13" s="1">
        <f>1.62%/12</f>
        <v>1.3500000000000003E-3</v>
      </c>
      <c r="J13" s="364">
        <f>F13*H13</f>
        <v>0</v>
      </c>
      <c r="L13" s="364">
        <f>'Cap&amp;OpEx 2017'!D10</f>
        <v>0</v>
      </c>
      <c r="N13" s="602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4">
        <f>'201707 Bk Depr'!R14</f>
        <v>57016.729999999996</v>
      </c>
      <c r="H14" s="1">
        <f>3.24%/12</f>
        <v>2.7000000000000006E-3</v>
      </c>
      <c r="J14" s="364">
        <f t="shared" ref="J14" si="0">F14*H14</f>
        <v>153.94517100000002</v>
      </c>
      <c r="L14" s="364">
        <f>'Cap&amp;OpEx 2017'!D12</f>
        <v>285403.61000000004</v>
      </c>
      <c r="N14" s="602">
        <f>H14*L14*0.5</f>
        <v>385.29487350000016</v>
      </c>
      <c r="P14" s="364">
        <f t="shared" ref="P14:P15" si="1">J14+N14</f>
        <v>539.24004450000018</v>
      </c>
      <c r="R14" s="364">
        <f t="shared" ref="R14" si="2">L14+F14</f>
        <v>342420.34</v>
      </c>
    </row>
    <row r="15" spans="1:18">
      <c r="A15" s="6">
        <f t="shared" ref="A15:A17" si="3">A14+1</f>
        <v>3</v>
      </c>
      <c r="B15" s="4"/>
      <c r="C15" s="9" t="s">
        <v>63</v>
      </c>
      <c r="D15" s="6">
        <v>380</v>
      </c>
      <c r="F15" s="364">
        <f>'201707 Bk Depr'!R15</f>
        <v>0</v>
      </c>
      <c r="H15" s="1">
        <f t="shared" ref="H15:H16" si="4">3.24%/12</f>
        <v>2.7000000000000006E-3</v>
      </c>
      <c r="J15" s="364">
        <f>F15*H15</f>
        <v>0</v>
      </c>
      <c r="L15" s="364">
        <f>'Cap&amp;OpEx 2017'!D13</f>
        <v>0</v>
      </c>
      <c r="N15" s="364">
        <f>H15*L15*0.5</f>
        <v>0</v>
      </c>
      <c r="P15" s="364">
        <f t="shared" si="1"/>
        <v>0</v>
      </c>
      <c r="R15" s="364">
        <f>L15+F15</f>
        <v>0</v>
      </c>
    </row>
    <row r="16" spans="1:18">
      <c r="A16" s="6">
        <f t="shared" si="3"/>
        <v>4</v>
      </c>
      <c r="B16" s="4"/>
      <c r="C16" s="4" t="s">
        <v>163</v>
      </c>
      <c r="D16" s="6">
        <v>380</v>
      </c>
      <c r="F16" s="364">
        <f>'201707 Bk Depr'!R16</f>
        <v>511712.06000000006</v>
      </c>
      <c r="H16" s="1">
        <f t="shared" si="4"/>
        <v>2.7000000000000006E-3</v>
      </c>
      <c r="J16" s="364">
        <f>F16*H16</f>
        <v>1381.6225620000005</v>
      </c>
      <c r="L16" s="364">
        <f>'Cap&amp;OpEx 2017'!D14</f>
        <v>556624.30000000005</v>
      </c>
      <c r="N16" s="364">
        <f>H16*L16*0.5</f>
        <v>751.44280500000025</v>
      </c>
      <c r="P16" s="364">
        <f>J16+N16</f>
        <v>2133.0653670000006</v>
      </c>
      <c r="R16" s="364">
        <f>L16+F16</f>
        <v>1068336.3600000001</v>
      </c>
    </row>
    <row r="17" spans="1:18">
      <c r="A17" s="6">
        <f t="shared" si="3"/>
        <v>5</v>
      </c>
      <c r="B17" s="4"/>
      <c r="C17" s="4" t="s">
        <v>21</v>
      </c>
      <c r="F17" s="362">
        <f>SUM(F13:F16)</f>
        <v>568728.79</v>
      </c>
      <c r="J17" s="362">
        <f>SUM(J13:J16)</f>
        <v>1535.5677330000005</v>
      </c>
      <c r="L17" s="362">
        <f>SUM(L13:L16)</f>
        <v>842027.91000000015</v>
      </c>
      <c r="N17" s="362">
        <f>SUM(N13:N16)</f>
        <v>1136.7376785000004</v>
      </c>
      <c r="P17" s="362">
        <f>SUM(P13:P16)</f>
        <v>2672.3054115000009</v>
      </c>
      <c r="R17" s="362">
        <f>SUM(R13:R16)</f>
        <v>1410756.7000000002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4">
        <f>'201707 Bk Depr'!R20</f>
        <v>0</v>
      </c>
      <c r="H20" s="1">
        <f>1.62%/12</f>
        <v>1.3500000000000003E-3</v>
      </c>
      <c r="J20" s="364">
        <f>F20*H20</f>
        <v>0</v>
      </c>
      <c r="L20" s="364">
        <f>'Cap&amp;OpEx 2017'!D17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4">
        <f>'201707 Bk Depr'!R21</f>
        <v>0</v>
      </c>
      <c r="H21" s="1">
        <f>3.24%/12</f>
        <v>2.7000000000000006E-3</v>
      </c>
      <c r="J21" s="364">
        <f>F21*H21</f>
        <v>0</v>
      </c>
      <c r="L21" s="364">
        <f>'Cap&amp;OpEx 2017'!D18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5">A21+1</f>
        <v>8</v>
      </c>
      <c r="B22" s="4"/>
      <c r="C22" s="9" t="s">
        <v>63</v>
      </c>
      <c r="D22" s="6">
        <v>380</v>
      </c>
      <c r="F22" s="364">
        <f>'201707 Bk Depr'!R22</f>
        <v>0</v>
      </c>
      <c r="H22" s="1">
        <f>3.24%/12</f>
        <v>2.7000000000000006E-3</v>
      </c>
      <c r="J22" s="364">
        <f>F22*H22</f>
        <v>0</v>
      </c>
      <c r="L22" s="364">
        <f>'Cap&amp;OpEx 2017'!D19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5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568728.79</v>
      </c>
      <c r="J25" s="363">
        <f>J17+J23</f>
        <v>1535.5677330000005</v>
      </c>
      <c r="L25" s="363">
        <f>L17+L23</f>
        <v>842027.91000000015</v>
      </c>
      <c r="N25" s="363">
        <f>N17+N23</f>
        <v>1136.7376785000004</v>
      </c>
      <c r="P25" s="363">
        <f>P17+P23</f>
        <v>2672.3054115000009</v>
      </c>
      <c r="R25" s="363">
        <f>R17+R23</f>
        <v>1410756.7000000002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4">
        <f>'201707 Bk Depr'!R28</f>
        <v>0</v>
      </c>
      <c r="J28" s="364"/>
      <c r="L28" s="364">
        <f>'Cap&amp;OpEx 2017'!D24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4">
        <f>'201707 Bk Depr'!R29</f>
        <v>26417.16</v>
      </c>
      <c r="J29" s="364"/>
      <c r="L29" s="364">
        <f>'Cap&amp;OpEx 2017'!D25</f>
        <v>28945.41</v>
      </c>
      <c r="N29" s="364"/>
      <c r="P29" s="364"/>
      <c r="R29" s="364">
        <f>L29+F29</f>
        <v>55362.57</v>
      </c>
    </row>
    <row r="30" spans="1:18">
      <c r="A30" s="6">
        <f t="shared" ref="A30:A31" si="6">A29+1</f>
        <v>13</v>
      </c>
      <c r="B30" s="4"/>
      <c r="C30" s="9" t="s">
        <v>63</v>
      </c>
      <c r="D30" s="6">
        <v>380</v>
      </c>
      <c r="F30" s="364">
        <f>'201707 Bk Depr'!R30</f>
        <v>0</v>
      </c>
      <c r="J30" s="364"/>
      <c r="L30" s="364">
        <f>'Cap&amp;OpEx 2017'!D26</f>
        <v>0</v>
      </c>
      <c r="N30" s="364"/>
      <c r="P30" s="364"/>
      <c r="R30" s="364">
        <f>L30+F30</f>
        <v>0</v>
      </c>
    </row>
    <row r="31" spans="1:18">
      <c r="A31" s="6">
        <f t="shared" si="6"/>
        <v>14</v>
      </c>
      <c r="B31" s="4"/>
      <c r="C31" s="4" t="s">
        <v>23</v>
      </c>
      <c r="F31" s="362">
        <f>SUM(F28:F30)</f>
        <v>26417.16</v>
      </c>
      <c r="J31" s="362">
        <f>SUM(J28:J30)</f>
        <v>0</v>
      </c>
      <c r="L31" s="362">
        <f>SUM(L28:L30)</f>
        <v>28945.41</v>
      </c>
      <c r="N31" s="362">
        <f>SUM(N28:N30)</f>
        <v>0</v>
      </c>
      <c r="P31" s="362">
        <f>SUM(P28:P30)</f>
        <v>0</v>
      </c>
      <c r="R31" s="362">
        <f>SUM(R28:R30)</f>
        <v>55362.57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7 of 12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9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216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4">
        <f>'201708 Bk Depr'!R13</f>
        <v>0</v>
      </c>
      <c r="H13" s="1">
        <f>1.62%/12</f>
        <v>1.3500000000000003E-3</v>
      </c>
      <c r="J13" s="364">
        <f>F13*H13</f>
        <v>0</v>
      </c>
      <c r="L13" s="364">
        <f>'Cap&amp;OpEx 2017'!E10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4">
        <f>'201708 Bk Depr'!R14</f>
        <v>342420.34</v>
      </c>
      <c r="H14" s="1">
        <f>3.24%/12</f>
        <v>2.7000000000000006E-3</v>
      </c>
      <c r="J14" s="364">
        <f t="shared" ref="J14" si="0">F14*H14</f>
        <v>924.53491800000029</v>
      </c>
      <c r="L14" s="364">
        <f>'Cap&amp;OpEx 2017'!E12</f>
        <v>133246.21999999997</v>
      </c>
      <c r="N14" s="364">
        <f t="shared" ref="N14" si="1">H14*L14*0.5</f>
        <v>179.882397</v>
      </c>
      <c r="P14" s="364">
        <f t="shared" ref="P14" si="2">J14+N14</f>
        <v>1104.4173150000004</v>
      </c>
      <c r="R14" s="364">
        <f t="shared" ref="R14" si="3">L14+F14</f>
        <v>475666.56</v>
      </c>
    </row>
    <row r="15" spans="1:18">
      <c r="A15" s="6">
        <f t="shared" ref="A15:A17" si="4">A14+1</f>
        <v>3</v>
      </c>
      <c r="B15" s="4"/>
      <c r="C15" s="9" t="s">
        <v>63</v>
      </c>
      <c r="D15" s="6">
        <v>380</v>
      </c>
      <c r="F15" s="364">
        <f>'201708 Bk Depr'!R15</f>
        <v>0</v>
      </c>
      <c r="H15" s="1">
        <f t="shared" ref="H15:H16" si="5">3.24%/12</f>
        <v>2.7000000000000006E-3</v>
      </c>
      <c r="J15" s="364">
        <f>F15*H15</f>
        <v>0</v>
      </c>
      <c r="L15" s="364">
        <f>'Cap&amp;OpEx 2017'!E13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4"/>
        <v>4</v>
      </c>
      <c r="B16" s="4"/>
      <c r="C16" s="4" t="s">
        <v>163</v>
      </c>
      <c r="D16" s="6">
        <v>380</v>
      </c>
      <c r="F16" s="364">
        <f>'201708 Bk Depr'!R16</f>
        <v>1068336.3600000001</v>
      </c>
      <c r="H16" s="1">
        <f t="shared" si="5"/>
        <v>2.7000000000000006E-3</v>
      </c>
      <c r="J16" s="364">
        <f>F16*H16</f>
        <v>2884.5081720000007</v>
      </c>
      <c r="L16" s="364">
        <f>'Cap&amp;OpEx 2017'!E14</f>
        <v>581759.54999999993</v>
      </c>
      <c r="N16" s="364">
        <f>H16*L16*0.5</f>
        <v>785.37539250000009</v>
      </c>
      <c r="P16" s="364">
        <f>J16+N16</f>
        <v>3669.8835645000008</v>
      </c>
      <c r="R16" s="364">
        <f>L16+F16</f>
        <v>1650095.9100000001</v>
      </c>
    </row>
    <row r="17" spans="1:18">
      <c r="A17" s="6">
        <f t="shared" si="4"/>
        <v>5</v>
      </c>
      <c r="B17" s="4"/>
      <c r="C17" s="4" t="s">
        <v>21</v>
      </c>
      <c r="F17" s="362">
        <f>SUM(F13:F16)</f>
        <v>1410756.7000000002</v>
      </c>
      <c r="J17" s="362">
        <f>SUM(J13:J16)</f>
        <v>3809.043090000001</v>
      </c>
      <c r="L17" s="362">
        <f>SUM(L13:L16)</f>
        <v>715005.7699999999</v>
      </c>
      <c r="N17" s="362">
        <f>SUM(N13:N16)</f>
        <v>965.25778950000006</v>
      </c>
      <c r="P17" s="362">
        <f>SUM(P13:P16)</f>
        <v>4774.3008795000014</v>
      </c>
      <c r="R17" s="362">
        <f>SUM(R13:R16)</f>
        <v>2125762.4700000002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4">
        <f>'201708 Bk Depr'!R20</f>
        <v>0</v>
      </c>
      <c r="H20" s="1">
        <f>1.62%/12</f>
        <v>1.3500000000000003E-3</v>
      </c>
      <c r="J20" s="364">
        <f>F20*H20</f>
        <v>0</v>
      </c>
      <c r="L20" s="364">
        <f>'Cap&amp;OpEx 2017'!E17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4">
        <f>'201708 Bk Depr'!R21</f>
        <v>0</v>
      </c>
      <c r="H21" s="1">
        <f>3.24%/12</f>
        <v>2.7000000000000006E-3</v>
      </c>
      <c r="J21" s="364">
        <f t="shared" ref="J21" si="6">F21*H21</f>
        <v>0</v>
      </c>
      <c r="L21" s="364">
        <f>'Cap&amp;OpEx 2017'!E19</f>
        <v>0</v>
      </c>
      <c r="N21" s="364">
        <f t="shared" ref="N21" si="7">H21*L21*0.5</f>
        <v>0</v>
      </c>
      <c r="P21" s="364">
        <f t="shared" ref="P21" si="8">J21+N21</f>
        <v>0</v>
      </c>
      <c r="R21" s="364">
        <f t="shared" ref="R21" si="9">L21+F21</f>
        <v>0</v>
      </c>
    </row>
    <row r="22" spans="1:18">
      <c r="A22" s="6">
        <f t="shared" ref="A22:A23" si="10">A21+1</f>
        <v>8</v>
      </c>
      <c r="B22" s="4"/>
      <c r="C22" s="9" t="s">
        <v>63</v>
      </c>
      <c r="D22" s="6">
        <v>380</v>
      </c>
      <c r="F22" s="364">
        <f>'201708 Bk Depr'!R22</f>
        <v>0</v>
      </c>
      <c r="H22" s="1">
        <f>3.24%/12</f>
        <v>2.7000000000000006E-3</v>
      </c>
      <c r="J22" s="364">
        <f>F22*H22</f>
        <v>0</v>
      </c>
      <c r="L22" s="364">
        <f>'Cap&amp;OpEx 2017'!E19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10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1410756.7000000002</v>
      </c>
      <c r="J25" s="363">
        <f>J17+J23</f>
        <v>3809.043090000001</v>
      </c>
      <c r="L25" s="363">
        <f>L17+L23</f>
        <v>715005.7699999999</v>
      </c>
      <c r="N25" s="363">
        <f>N17+N23</f>
        <v>965.25778950000006</v>
      </c>
      <c r="P25" s="363">
        <f>P17+P23</f>
        <v>4774.3008795000014</v>
      </c>
      <c r="R25" s="363">
        <f>R17+R23</f>
        <v>2125762.4700000002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4">
        <f>'201708 Bk Depr'!R28</f>
        <v>0</v>
      </c>
      <c r="J28" s="364"/>
      <c r="L28" s="364">
        <f>'Cap&amp;OpEx 2017'!E24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4">
        <f>'201708 Bk Depr'!R29</f>
        <v>55362.57</v>
      </c>
      <c r="J29" s="364"/>
      <c r="L29" s="364">
        <f>'Cap&amp;OpEx 2017'!E25</f>
        <v>24037.84</v>
      </c>
      <c r="N29" s="364"/>
      <c r="P29" s="364"/>
      <c r="R29" s="364">
        <f>L29+F29</f>
        <v>79400.41</v>
      </c>
    </row>
    <row r="30" spans="1:18">
      <c r="A30" s="6">
        <f t="shared" ref="A30:A31" si="11">A29+1</f>
        <v>13</v>
      </c>
      <c r="B30" s="4"/>
      <c r="C30" s="9" t="s">
        <v>63</v>
      </c>
      <c r="D30" s="6">
        <v>380</v>
      </c>
      <c r="F30" s="364">
        <f>'201708 Bk Depr'!R30</f>
        <v>0</v>
      </c>
      <c r="J30" s="364"/>
      <c r="L30" s="364">
        <f>'Cap&amp;OpEx 2017'!E26</f>
        <v>0</v>
      </c>
      <c r="N30" s="364"/>
      <c r="P30" s="364"/>
      <c r="R30" s="364">
        <f>L30+F30</f>
        <v>0</v>
      </c>
    </row>
    <row r="31" spans="1:18">
      <c r="A31" s="6">
        <f t="shared" si="11"/>
        <v>14</v>
      </c>
      <c r="B31" s="4"/>
      <c r="C31" s="4" t="s">
        <v>23</v>
      </c>
      <c r="F31" s="362">
        <f>SUM(F28:F30)</f>
        <v>55362.57</v>
      </c>
      <c r="J31" s="362">
        <f>SUM(J28:J30)</f>
        <v>0</v>
      </c>
      <c r="L31" s="362">
        <f>SUM(L28:L30)</f>
        <v>24037.84</v>
      </c>
      <c r="N31" s="362">
        <f>SUM(N28:N30)</f>
        <v>0</v>
      </c>
      <c r="P31" s="362">
        <f>SUM(P28:P30)</f>
        <v>0</v>
      </c>
      <c r="R31" s="362">
        <f>SUM(R28:R30)</f>
        <v>79400.41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8 of 12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9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217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4">
        <f>'201709 Bk Depr'!R13</f>
        <v>0</v>
      </c>
      <c r="H13" s="1">
        <f>1.62%/12</f>
        <v>1.3500000000000003E-3</v>
      </c>
      <c r="J13" s="364">
        <f>F13*H13</f>
        <v>0</v>
      </c>
      <c r="L13" s="364">
        <f>'Cap&amp;OpEx 2017'!F10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4">
        <f>'201709 Bk Depr'!R14</f>
        <v>475666.56</v>
      </c>
      <c r="H14" s="1">
        <f>3.24%/12</f>
        <v>2.7000000000000006E-3</v>
      </c>
      <c r="J14" s="364">
        <f t="shared" ref="J14" si="0">F14*H14</f>
        <v>1284.2997120000002</v>
      </c>
      <c r="L14" s="364">
        <f>'Cap&amp;OpEx 2017'!F12</f>
        <v>196773.81</v>
      </c>
      <c r="N14" s="364">
        <f t="shared" ref="N14" si="1">H14*L14*0.5</f>
        <v>265.64464350000003</v>
      </c>
      <c r="P14" s="364">
        <f t="shared" ref="P14" si="2">J14+N14</f>
        <v>1549.9443555000003</v>
      </c>
      <c r="R14" s="364">
        <f t="shared" ref="R14" si="3">L14+F14</f>
        <v>672440.37</v>
      </c>
    </row>
    <row r="15" spans="1:18">
      <c r="A15" s="6">
        <f t="shared" ref="A15:A17" si="4">A14+1</f>
        <v>3</v>
      </c>
      <c r="B15" s="4"/>
      <c r="C15" s="9" t="s">
        <v>63</v>
      </c>
      <c r="D15" s="6">
        <v>380</v>
      </c>
      <c r="F15" s="364">
        <f>'201709 Bk Depr'!R15</f>
        <v>0</v>
      </c>
      <c r="H15" s="1">
        <f t="shared" ref="H15:H16" si="5">3.24%/12</f>
        <v>2.7000000000000006E-3</v>
      </c>
      <c r="J15" s="364">
        <f>F15*H15</f>
        <v>0</v>
      </c>
      <c r="L15" s="364">
        <f>'Cap&amp;OpEx 2017'!F13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4"/>
        <v>4</v>
      </c>
      <c r="B16" s="4"/>
      <c r="C16" s="4" t="s">
        <v>163</v>
      </c>
      <c r="D16" s="6">
        <v>380</v>
      </c>
      <c r="F16" s="364">
        <f>'201709 Bk Depr'!R16</f>
        <v>1650095.9100000001</v>
      </c>
      <c r="H16" s="1">
        <f t="shared" si="5"/>
        <v>2.7000000000000006E-3</v>
      </c>
      <c r="J16" s="364">
        <f>F16*H16</f>
        <v>4455.2589570000009</v>
      </c>
      <c r="L16" s="364">
        <f>'Cap&amp;OpEx 2017'!F14</f>
        <v>774089.49000000011</v>
      </c>
      <c r="N16" s="364">
        <f>H16*L16*0.5</f>
        <v>1045.0208115000003</v>
      </c>
      <c r="P16" s="364">
        <f>J16+N16</f>
        <v>5500.2797685000014</v>
      </c>
      <c r="R16" s="364">
        <f>L16+F16</f>
        <v>2424185.4000000004</v>
      </c>
    </row>
    <row r="17" spans="1:18">
      <c r="A17" s="6">
        <f t="shared" si="4"/>
        <v>5</v>
      </c>
      <c r="B17" s="4"/>
      <c r="C17" s="4" t="s">
        <v>21</v>
      </c>
      <c r="F17" s="362">
        <f>SUM(F13:F16)</f>
        <v>2125762.4700000002</v>
      </c>
      <c r="J17" s="362">
        <f>SUM(J13:J16)</f>
        <v>5739.5586690000009</v>
      </c>
      <c r="L17" s="362">
        <f>SUM(L13:L16)</f>
        <v>970863.3</v>
      </c>
      <c r="N17" s="362">
        <f>SUM(N13:N16)</f>
        <v>1310.6654550000003</v>
      </c>
      <c r="P17" s="362">
        <f>SUM(P13:P16)</f>
        <v>7050.2241240000021</v>
      </c>
      <c r="R17" s="362">
        <f>SUM(R13:R16)</f>
        <v>3096625.7700000005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4">
        <f>'201709 Bk Depr'!R20</f>
        <v>0</v>
      </c>
      <c r="H20" s="1">
        <f>1.62%/12</f>
        <v>1.3500000000000003E-3</v>
      </c>
      <c r="J20" s="364">
        <f>F20*H20</f>
        <v>0</v>
      </c>
      <c r="L20" s="364">
        <f>'Cap&amp;OpEx 2017'!F17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4">
        <f>'201709 Bk Depr'!R21</f>
        <v>0</v>
      </c>
      <c r="H21" s="1">
        <f>3.24%/12</f>
        <v>2.7000000000000006E-3</v>
      </c>
      <c r="J21" s="364">
        <f>F21*H21</f>
        <v>0</v>
      </c>
      <c r="L21" s="364">
        <f>'Cap&amp;OpEx 2017'!F18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6">A21+1</f>
        <v>8</v>
      </c>
      <c r="B22" s="4"/>
      <c r="C22" s="9" t="s">
        <v>63</v>
      </c>
      <c r="D22" s="6">
        <v>380</v>
      </c>
      <c r="F22" s="364">
        <f>'201709 Bk Depr'!R22</f>
        <v>0</v>
      </c>
      <c r="H22" s="1">
        <f>3.24%/12</f>
        <v>2.7000000000000006E-3</v>
      </c>
      <c r="J22" s="364">
        <f>F22*H22</f>
        <v>0</v>
      </c>
      <c r="L22" s="364">
        <f>'Cap&amp;OpEx 2017'!F19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6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2125762.4700000002</v>
      </c>
      <c r="J25" s="363">
        <f>J17+J23</f>
        <v>5739.5586690000009</v>
      </c>
      <c r="L25" s="363">
        <f>L17+L23</f>
        <v>970863.3</v>
      </c>
      <c r="N25" s="363">
        <f>N17+N23</f>
        <v>1310.6654550000003</v>
      </c>
      <c r="P25" s="363">
        <f>P17+P23</f>
        <v>7050.2241240000021</v>
      </c>
      <c r="R25" s="363">
        <f>R17+R23</f>
        <v>3096625.7700000005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4">
        <f>'201709 Bk Depr'!R28</f>
        <v>0</v>
      </c>
      <c r="J28" s="364"/>
      <c r="L28" s="364">
        <f>'Cap&amp;OpEx 2017'!F24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4">
        <f>'201709 Bk Depr'!R29</f>
        <v>79400.41</v>
      </c>
      <c r="J29" s="364"/>
      <c r="L29" s="364">
        <f>'Cap&amp;OpEx 2017'!F25</f>
        <v>31446.28</v>
      </c>
      <c r="N29" s="364"/>
      <c r="P29" s="364"/>
      <c r="R29" s="364">
        <f>L29+F29</f>
        <v>110846.69</v>
      </c>
    </row>
    <row r="30" spans="1:18">
      <c r="A30" s="6">
        <f t="shared" ref="A30:A31" si="7">A29+1</f>
        <v>13</v>
      </c>
      <c r="B30" s="4"/>
      <c r="C30" s="9" t="s">
        <v>63</v>
      </c>
      <c r="D30" s="6">
        <v>380</v>
      </c>
      <c r="F30" s="364">
        <f>'201709 Bk Depr'!R30</f>
        <v>0</v>
      </c>
      <c r="J30" s="364"/>
      <c r="L30" s="364">
        <f>'Cap&amp;OpEx 2017'!F26</f>
        <v>0</v>
      </c>
      <c r="N30" s="364"/>
      <c r="P30" s="364"/>
      <c r="R30" s="364">
        <f>L30+F30</f>
        <v>0</v>
      </c>
    </row>
    <row r="31" spans="1:18">
      <c r="A31" s="6">
        <f t="shared" si="7"/>
        <v>14</v>
      </c>
      <c r="B31" s="4"/>
      <c r="C31" s="4" t="s">
        <v>23</v>
      </c>
      <c r="F31" s="362">
        <f>SUM(F28:F30)</f>
        <v>79400.41</v>
      </c>
      <c r="J31" s="362">
        <f>SUM(J28:J30)</f>
        <v>0</v>
      </c>
      <c r="L31" s="362">
        <f>SUM(L28:L30)</f>
        <v>31446.28</v>
      </c>
      <c r="N31" s="362">
        <f>SUM(N28:N30)</f>
        <v>0</v>
      </c>
      <c r="P31" s="362">
        <f>SUM(P28:P30)</f>
        <v>0</v>
      </c>
      <c r="R31" s="362">
        <f>SUM(R28:R30)</f>
        <v>110846.69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9 of 12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9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4">
        <f>'201710 Bk Depr'!R13</f>
        <v>0</v>
      </c>
      <c r="H13" s="1">
        <f>1.62%/12</f>
        <v>1.3500000000000003E-3</v>
      </c>
      <c r="J13" s="364">
        <f>F13*H13</f>
        <v>0</v>
      </c>
      <c r="L13" s="364">
        <f>'Cap&amp;OpEx 2017'!G10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4">
        <f>'201710 Bk Depr'!R14</f>
        <v>672440.37</v>
      </c>
      <c r="H14" s="1">
        <f>3.24%/12</f>
        <v>2.7000000000000006E-3</v>
      </c>
      <c r="J14" s="364">
        <f t="shared" ref="J14" si="0">F14*H14</f>
        <v>1815.5889990000003</v>
      </c>
      <c r="L14" s="364">
        <f>'Cap&amp;OpEx 2017'!G12</f>
        <v>86670.760000000009</v>
      </c>
      <c r="N14" s="364">
        <f t="shared" ref="N14" si="1">H14*L14*0.5</f>
        <v>117.00552600000003</v>
      </c>
      <c r="P14" s="364">
        <f t="shared" ref="P14" si="2">J14+N14</f>
        <v>1932.5945250000004</v>
      </c>
      <c r="R14" s="364">
        <f t="shared" ref="R14" si="3">L14+F14</f>
        <v>759111.13</v>
      </c>
    </row>
    <row r="15" spans="1:18">
      <c r="A15" s="6">
        <f t="shared" ref="A15:A17" si="4">A14+1</f>
        <v>3</v>
      </c>
      <c r="B15" s="4"/>
      <c r="C15" s="9" t="s">
        <v>63</v>
      </c>
      <c r="D15" s="6">
        <v>380</v>
      </c>
      <c r="F15" s="364">
        <f>'201710 Bk Depr'!R15</f>
        <v>0</v>
      </c>
      <c r="H15" s="1">
        <f t="shared" ref="H15:H16" si="5">3.24%/12</f>
        <v>2.7000000000000006E-3</v>
      </c>
      <c r="J15" s="364">
        <f>F15*H15</f>
        <v>0</v>
      </c>
      <c r="L15" s="364">
        <f>'Cap&amp;OpEx 2017'!G13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4"/>
        <v>4</v>
      </c>
      <c r="B16" s="4"/>
      <c r="C16" s="4" t="s">
        <v>163</v>
      </c>
      <c r="D16" s="6">
        <v>380</v>
      </c>
      <c r="F16" s="364">
        <f>'201710 Bk Depr'!R16</f>
        <v>2424185.4000000004</v>
      </c>
      <c r="H16" s="1">
        <f t="shared" si="5"/>
        <v>2.7000000000000006E-3</v>
      </c>
      <c r="J16" s="364">
        <f>F16*H16</f>
        <v>6545.3005800000028</v>
      </c>
      <c r="L16" s="364">
        <f>'Cap&amp;OpEx 2017'!G14</f>
        <v>639392.29999999981</v>
      </c>
      <c r="N16" s="364">
        <f>H16*L16*0.5</f>
        <v>863.17960499999992</v>
      </c>
      <c r="P16" s="364">
        <f>J16+N16</f>
        <v>7408.4801850000031</v>
      </c>
      <c r="R16" s="364">
        <f>L16+F16</f>
        <v>3063577.7</v>
      </c>
    </row>
    <row r="17" spans="1:18">
      <c r="A17" s="6">
        <f t="shared" si="4"/>
        <v>5</v>
      </c>
      <c r="B17" s="4"/>
      <c r="C17" s="4" t="s">
        <v>21</v>
      </c>
      <c r="F17" s="362">
        <f>SUM(F13:F16)</f>
        <v>3096625.7700000005</v>
      </c>
      <c r="J17" s="362">
        <f>SUM(J13:J16)</f>
        <v>8360.8895790000024</v>
      </c>
      <c r="L17" s="362">
        <f>SUM(L13:L16)</f>
        <v>726063.05999999982</v>
      </c>
      <c r="N17" s="362">
        <f>SUM(N13:N16)</f>
        <v>980.18513099999996</v>
      </c>
      <c r="P17" s="362">
        <f>SUM(P13:P16)</f>
        <v>9341.0747100000044</v>
      </c>
      <c r="R17" s="362">
        <f>SUM(R13:R16)</f>
        <v>3822688.83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4">
        <f>'201710 Bk Depr'!R20</f>
        <v>0</v>
      </c>
      <c r="H20" s="1">
        <f>1.62%/12</f>
        <v>1.3500000000000003E-3</v>
      </c>
      <c r="J20" s="364">
        <f>F20*H20</f>
        <v>0</v>
      </c>
      <c r="L20" s="364">
        <f>'Cap&amp;OpEx 2017'!G17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4">
        <f>'201710 Bk Depr'!R21</f>
        <v>0</v>
      </c>
      <c r="H21" s="1">
        <f>3.24%/12</f>
        <v>2.7000000000000006E-3</v>
      </c>
      <c r="J21" s="364">
        <f t="shared" ref="J21" si="6">F21*H21</f>
        <v>0</v>
      </c>
      <c r="L21" s="364">
        <f>'Cap&amp;OpEx 2017'!G19</f>
        <v>0</v>
      </c>
      <c r="N21" s="364">
        <f t="shared" ref="N21" si="7">H21*L21*0.5</f>
        <v>0</v>
      </c>
      <c r="P21" s="364">
        <f t="shared" ref="P21" si="8">J21+N21</f>
        <v>0</v>
      </c>
      <c r="R21" s="364">
        <f t="shared" ref="R21" si="9">L21+F21</f>
        <v>0</v>
      </c>
    </row>
    <row r="22" spans="1:18">
      <c r="A22" s="6">
        <f t="shared" ref="A22:A23" si="10">A21+1</f>
        <v>8</v>
      </c>
      <c r="B22" s="4"/>
      <c r="C22" s="9" t="s">
        <v>63</v>
      </c>
      <c r="D22" s="6">
        <v>380</v>
      </c>
      <c r="F22" s="364">
        <f>'201710 Bk Depr'!R22</f>
        <v>0</v>
      </c>
      <c r="H22" s="1">
        <f>3.24%/12</f>
        <v>2.7000000000000006E-3</v>
      </c>
      <c r="J22" s="364">
        <f>F22*H22</f>
        <v>0</v>
      </c>
      <c r="L22" s="364">
        <f>'Cap&amp;OpEx 2017'!G19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10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3096625.7700000005</v>
      </c>
      <c r="J25" s="363">
        <f>J17+J23</f>
        <v>8360.8895790000024</v>
      </c>
      <c r="L25" s="363">
        <f>L17+L23</f>
        <v>726063.05999999982</v>
      </c>
      <c r="N25" s="363">
        <f>N17+N23</f>
        <v>980.18513099999996</v>
      </c>
      <c r="P25" s="363">
        <f>P17+P23</f>
        <v>9341.0747100000044</v>
      </c>
      <c r="R25" s="363">
        <f>R17+R23</f>
        <v>3822688.83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4">
        <f>'201710 Bk Depr'!R28</f>
        <v>0</v>
      </c>
      <c r="J28" s="364"/>
      <c r="L28" s="364">
        <f>'Cap&amp;OpEx 2017'!G24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4">
        <f>'201710 Bk Depr'!R29</f>
        <v>110846.69</v>
      </c>
      <c r="J29" s="364"/>
      <c r="L29" s="364">
        <f>'Cap&amp;OpEx 2017'!G25</f>
        <v>38800.33</v>
      </c>
      <c r="N29" s="364"/>
      <c r="P29" s="364"/>
      <c r="R29" s="364">
        <f>L29+F29</f>
        <v>149647.02000000002</v>
      </c>
    </row>
    <row r="30" spans="1:18">
      <c r="A30" s="6">
        <f t="shared" ref="A30:A31" si="11">A29+1</f>
        <v>13</v>
      </c>
      <c r="B30" s="4"/>
      <c r="C30" s="9" t="s">
        <v>63</v>
      </c>
      <c r="D30" s="6">
        <v>380</v>
      </c>
      <c r="F30" s="364">
        <f>'201710 Bk Depr'!R30</f>
        <v>0</v>
      </c>
      <c r="J30" s="364"/>
      <c r="L30" s="364">
        <f>'Cap&amp;OpEx 2017'!G26</f>
        <v>0</v>
      </c>
      <c r="N30" s="364"/>
      <c r="P30" s="364"/>
      <c r="R30" s="364">
        <f>L30+F30</f>
        <v>0</v>
      </c>
    </row>
    <row r="31" spans="1:18">
      <c r="A31" s="6">
        <f t="shared" si="11"/>
        <v>14</v>
      </c>
      <c r="B31" s="4"/>
      <c r="C31" s="4" t="s">
        <v>23</v>
      </c>
      <c r="F31" s="362">
        <f>SUM(F28:F30)</f>
        <v>110846.69</v>
      </c>
      <c r="J31" s="362">
        <f>SUM(J28:J30)</f>
        <v>0</v>
      </c>
      <c r="L31" s="362">
        <f>SUM(L28:L30)</f>
        <v>38800.33</v>
      </c>
      <c r="N31" s="362">
        <f>SUM(N28:N30)</f>
        <v>0</v>
      </c>
      <c r="P31" s="362">
        <f>SUM(P28:P30)</f>
        <v>0</v>
      </c>
      <c r="R31" s="362">
        <f>SUM(R28:R30)</f>
        <v>149647.02000000002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10 of 12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9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218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107</v>
      </c>
      <c r="G6" s="12"/>
      <c r="H6" s="12"/>
      <c r="I6" s="12"/>
      <c r="J6" s="12" t="s">
        <v>107</v>
      </c>
      <c r="K6" s="12"/>
      <c r="L6" s="12" t="s">
        <v>107</v>
      </c>
      <c r="M6" s="12"/>
      <c r="N6" s="12"/>
      <c r="O6" s="12"/>
      <c r="P6" s="12"/>
      <c r="Q6" s="12"/>
      <c r="R6" s="12" t="s">
        <v>107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4">
        <f>'201711 Bk Depr'!R13</f>
        <v>0</v>
      </c>
      <c r="H13" s="1">
        <f>1.62%/12</f>
        <v>1.3500000000000003E-3</v>
      </c>
      <c r="J13" s="364">
        <f>F13*H13</f>
        <v>0</v>
      </c>
      <c r="L13" s="364">
        <f>'Cap&amp;OpEx 2017'!H10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4">
        <f>'201711 Bk Depr'!R14</f>
        <v>759111.13</v>
      </c>
      <c r="H14" s="1">
        <f>3.24%/12</f>
        <v>2.7000000000000006E-3</v>
      </c>
      <c r="J14" s="364">
        <f>F14*H14</f>
        <v>2049.6000510000003</v>
      </c>
      <c r="L14" s="364">
        <f>'Cap&amp;OpEx 2017'!H12</f>
        <v>222390.31999999995</v>
      </c>
      <c r="N14" s="364">
        <f>H14*L14*0.5</f>
        <v>300.22693199999998</v>
      </c>
      <c r="P14" s="364">
        <f>J14+N14</f>
        <v>2349.8269830000004</v>
      </c>
      <c r="R14" s="364">
        <f>L14+F14</f>
        <v>981501.45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4">
        <f>'201711 Bk Depr'!R15</f>
        <v>0</v>
      </c>
      <c r="H15" s="1">
        <f t="shared" ref="H15:H16" si="1">3.24%/12</f>
        <v>2.7000000000000006E-3</v>
      </c>
      <c r="J15" s="364">
        <f>F15*H15</f>
        <v>0</v>
      </c>
      <c r="L15" s="364">
        <f>'Cap&amp;OpEx 2017'!H13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4">
        <f>'201711 Bk Depr'!R16</f>
        <v>3063577.7</v>
      </c>
      <c r="H16" s="1">
        <f t="shared" si="1"/>
        <v>2.7000000000000006E-3</v>
      </c>
      <c r="J16" s="364">
        <f>F16*H16</f>
        <v>8271.6597900000015</v>
      </c>
      <c r="L16" s="364">
        <f>'Cap&amp;OpEx 2017'!H14</f>
        <v>743965.23999999987</v>
      </c>
      <c r="N16" s="364">
        <f>H16*L16*0.5</f>
        <v>1004.353074</v>
      </c>
      <c r="P16" s="364">
        <f>J16+N16</f>
        <v>9276.0128640000021</v>
      </c>
      <c r="R16" s="364">
        <f>L16+F16</f>
        <v>3807542.94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3822688.83</v>
      </c>
      <c r="J17" s="362">
        <f>SUM(J13:J16)</f>
        <v>10321.259841000003</v>
      </c>
      <c r="L17" s="362">
        <f>SUM(L13:L16)</f>
        <v>966355.55999999982</v>
      </c>
      <c r="N17" s="362">
        <f>SUM(N13:N16)</f>
        <v>1304.5800059999999</v>
      </c>
      <c r="P17" s="362">
        <f>SUM(P13:P16)</f>
        <v>11625.839847000003</v>
      </c>
      <c r="R17" s="362">
        <f>SUM(R13:R16)</f>
        <v>4789044.3899999997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4">
        <f>'201711 Bk Depr'!R20</f>
        <v>0</v>
      </c>
      <c r="H20" s="1">
        <f>1.62%/12</f>
        <v>1.3500000000000003E-3</v>
      </c>
      <c r="J20" s="364">
        <f>F20*H20</f>
        <v>0</v>
      </c>
      <c r="L20" s="364">
        <f>'Cap&amp;OpEx 2017'!H17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4">
        <f>'201711 Bk Depr'!R21</f>
        <v>0</v>
      </c>
      <c r="H21" s="1">
        <f>3.24%/12</f>
        <v>2.7000000000000006E-3</v>
      </c>
      <c r="J21" s="364">
        <f>F21*H21</f>
        <v>0</v>
      </c>
      <c r="L21" s="364">
        <f>'Cap&amp;OpEx 2017'!H18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4">
        <f>'201711 Bk Depr'!R22</f>
        <v>0</v>
      </c>
      <c r="H22" s="1">
        <f>3.24%/12</f>
        <v>2.7000000000000006E-3</v>
      </c>
      <c r="J22" s="364">
        <f>F22*H22</f>
        <v>0</v>
      </c>
      <c r="L22" s="364">
        <f>'Cap&amp;OpEx 2017'!H19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3822688.83</v>
      </c>
      <c r="J25" s="363">
        <f>J17+J23</f>
        <v>10321.259841000003</v>
      </c>
      <c r="L25" s="363">
        <f>L17+L23</f>
        <v>966355.55999999982</v>
      </c>
      <c r="N25" s="363">
        <f>N17+N23</f>
        <v>1304.5800059999999</v>
      </c>
      <c r="P25" s="363">
        <f>P17+P23</f>
        <v>11625.839847000003</v>
      </c>
      <c r="R25" s="363">
        <f>R17+R23</f>
        <v>4789044.3899999997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4">
        <f>'201711 Bk Depr'!R28</f>
        <v>0</v>
      </c>
      <c r="J28" s="364"/>
      <c r="L28" s="364">
        <f>'Cap&amp;OpEx 2017'!H24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4">
        <f>'201711 Bk Depr'!R29</f>
        <v>149647.02000000002</v>
      </c>
      <c r="J29" s="364"/>
      <c r="L29" s="364">
        <f>'Cap&amp;OpEx 2017'!H25</f>
        <v>37449.410000000003</v>
      </c>
      <c r="N29" s="364"/>
      <c r="P29" s="364"/>
      <c r="R29" s="364">
        <f>L29+F29</f>
        <v>187096.43000000002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4">
        <f>'201711 Bk Depr'!R30</f>
        <v>0</v>
      </c>
      <c r="J30" s="364"/>
      <c r="L30" s="364">
        <f>'Cap&amp;OpEx 2017'!H26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149647.02000000002</v>
      </c>
      <c r="J31" s="362">
        <f>SUM(J28:J30)</f>
        <v>0</v>
      </c>
      <c r="L31" s="362">
        <f>SUM(L28:L30)</f>
        <v>37449.410000000003</v>
      </c>
      <c r="N31" s="362">
        <f>SUM(N28:N30)</f>
        <v>0</v>
      </c>
      <c r="P31" s="362">
        <f>SUM(P28:P30)</f>
        <v>0</v>
      </c>
      <c r="R31" s="362">
        <f>SUM(R28:R30)</f>
        <v>187096.43000000002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11 of 12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9" tint="0.39997558519241921"/>
    <pageSetUpPr fitToPage="1"/>
  </sheetPr>
  <dimension ref="A1:AC100"/>
  <sheetViews>
    <sheetView workbookViewId="0"/>
  </sheetViews>
  <sheetFormatPr defaultColWidth="9.140625" defaultRowHeight="12.75"/>
  <cols>
    <col min="1" max="1" width="5.140625" style="52" customWidth="1"/>
    <col min="2" max="2" width="3.140625" style="52" customWidth="1"/>
    <col min="3" max="3" width="11.85546875" style="52" customWidth="1"/>
    <col min="4" max="4" width="11.85546875" style="52" hidden="1" customWidth="1"/>
    <col min="5" max="5" width="1.140625" style="52" customWidth="1"/>
    <col min="6" max="6" width="6.140625" style="52" bestFit="1" customWidth="1"/>
    <col min="7" max="9" width="13.85546875" style="52" bestFit="1" customWidth="1"/>
    <col min="10" max="10" width="13.85546875" style="52" customWidth="1"/>
    <col min="11" max="11" width="12.140625" style="52" customWidth="1"/>
    <col min="12" max="12" width="14.140625" style="52" bestFit="1" customWidth="1"/>
    <col min="13" max="13" width="15" style="52" bestFit="1" customWidth="1"/>
    <col min="14" max="14" width="13.85546875" style="52" bestFit="1" customWidth="1"/>
    <col min="15" max="15" width="14.42578125" style="52" bestFit="1" customWidth="1"/>
    <col min="16" max="16" width="13.85546875" style="52" bestFit="1" customWidth="1"/>
    <col min="17" max="17" width="11.140625" style="52" customWidth="1"/>
    <col min="18" max="18" width="10.85546875" style="52" customWidth="1"/>
    <col min="19" max="19" width="11.42578125" style="52" customWidth="1"/>
    <col min="20" max="20" width="11.140625" style="52" customWidth="1"/>
    <col min="21" max="21" width="14.85546875" style="52" customWidth="1"/>
    <col min="22" max="22" width="12" style="52" customWidth="1"/>
    <col min="23" max="23" width="9.140625" style="52"/>
    <col min="24" max="24" width="13.85546875" style="52" customWidth="1"/>
    <col min="25" max="27" width="9.140625" style="52"/>
    <col min="28" max="28" width="11.85546875" style="52" customWidth="1"/>
    <col min="29" max="16384" width="9.140625" style="52"/>
  </cols>
  <sheetData>
    <row r="1" spans="1:29" ht="18.75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9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9" ht="18.75">
      <c r="A3" s="191" t="s">
        <v>76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1:29">
      <c r="A4" s="53"/>
    </row>
    <row r="6" spans="1:29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54"/>
      <c r="L6" s="54"/>
      <c r="M6" s="155"/>
      <c r="N6" s="54"/>
      <c r="O6" s="54"/>
      <c r="P6" s="54"/>
      <c r="Q6" s="54"/>
      <c r="R6" s="54"/>
      <c r="S6" s="54"/>
      <c r="T6" s="54"/>
      <c r="U6" s="54"/>
    </row>
    <row r="7" spans="1:29" ht="25.5">
      <c r="A7" s="54"/>
      <c r="B7" s="54"/>
      <c r="C7" s="55" t="s">
        <v>191</v>
      </c>
      <c r="D7" s="54" t="s">
        <v>25</v>
      </c>
      <c r="E7" s="54"/>
      <c r="F7" s="54"/>
      <c r="G7" s="54">
        <v>2012</v>
      </c>
      <c r="H7" s="54">
        <v>2013</v>
      </c>
      <c r="I7" s="54">
        <v>2014</v>
      </c>
      <c r="J7" s="54">
        <v>2015</v>
      </c>
      <c r="K7" s="54">
        <v>2016</v>
      </c>
      <c r="L7" s="54">
        <v>2017</v>
      </c>
      <c r="M7" s="54"/>
      <c r="N7" s="54" t="s">
        <v>35</v>
      </c>
      <c r="O7" s="54"/>
      <c r="P7" s="54"/>
      <c r="Q7" s="55" t="s">
        <v>181</v>
      </c>
      <c r="R7" s="55" t="s">
        <v>182</v>
      </c>
      <c r="S7" s="55" t="s">
        <v>187</v>
      </c>
      <c r="T7" s="55" t="s">
        <v>189</v>
      </c>
      <c r="U7" s="54" t="s">
        <v>41</v>
      </c>
      <c r="V7" s="55" t="s">
        <v>164</v>
      </c>
      <c r="W7" s="55"/>
      <c r="X7" s="55" t="s">
        <v>236</v>
      </c>
    </row>
    <row r="8" spans="1:29">
      <c r="A8" s="54" t="s">
        <v>4</v>
      </c>
      <c r="B8" s="54"/>
      <c r="C8" s="54" t="s">
        <v>26</v>
      </c>
      <c r="D8" s="54" t="s">
        <v>26</v>
      </c>
      <c r="E8" s="54"/>
      <c r="F8" s="54"/>
      <c r="G8" s="54" t="s">
        <v>28</v>
      </c>
      <c r="H8" s="54" t="s">
        <v>29</v>
      </c>
      <c r="I8" s="54" t="s">
        <v>30</v>
      </c>
      <c r="J8" s="54" t="s">
        <v>31</v>
      </c>
      <c r="K8" s="54" t="s">
        <v>32</v>
      </c>
      <c r="L8" s="54" t="s">
        <v>33</v>
      </c>
      <c r="M8" s="54" t="s">
        <v>34</v>
      </c>
      <c r="N8" s="54" t="s">
        <v>36</v>
      </c>
      <c r="O8" s="54" t="s">
        <v>38</v>
      </c>
      <c r="P8" s="54"/>
      <c r="Q8" s="54" t="s">
        <v>34</v>
      </c>
      <c r="R8" s="54" t="s">
        <v>34</v>
      </c>
      <c r="S8" s="54" t="s">
        <v>188</v>
      </c>
      <c r="T8" s="54" t="s">
        <v>190</v>
      </c>
      <c r="U8" s="54" t="s">
        <v>40</v>
      </c>
      <c r="V8" s="54" t="s">
        <v>237</v>
      </c>
      <c r="W8" s="54" t="s">
        <v>164</v>
      </c>
      <c r="X8" s="54" t="s">
        <v>40</v>
      </c>
    </row>
    <row r="9" spans="1:29">
      <c r="A9" s="85" t="s">
        <v>5</v>
      </c>
      <c r="B9" s="85"/>
      <c r="C9" s="85" t="s">
        <v>2</v>
      </c>
      <c r="D9" s="85" t="s">
        <v>2</v>
      </c>
      <c r="E9" s="85"/>
      <c r="F9" s="85" t="s">
        <v>108</v>
      </c>
      <c r="G9" s="85" t="s">
        <v>20</v>
      </c>
      <c r="H9" s="85" t="s">
        <v>20</v>
      </c>
      <c r="I9" s="85" t="s">
        <v>20</v>
      </c>
      <c r="J9" s="85" t="s">
        <v>20</v>
      </c>
      <c r="K9" s="85" t="s">
        <v>20</v>
      </c>
      <c r="L9" s="85" t="s">
        <v>20</v>
      </c>
      <c r="M9" s="85" t="s">
        <v>0</v>
      </c>
      <c r="N9" s="85" t="s">
        <v>37</v>
      </c>
      <c r="O9" s="85" t="s">
        <v>0</v>
      </c>
      <c r="P9" s="85" t="s">
        <v>39</v>
      </c>
      <c r="Q9" s="56" t="s">
        <v>183</v>
      </c>
      <c r="R9" s="56" t="s">
        <v>186</v>
      </c>
      <c r="S9" s="56" t="s">
        <v>183</v>
      </c>
      <c r="T9" s="56" t="s">
        <v>12</v>
      </c>
      <c r="U9" s="85" t="s">
        <v>42</v>
      </c>
      <c r="V9" s="56" t="s">
        <v>238</v>
      </c>
      <c r="W9" s="56" t="s">
        <v>239</v>
      </c>
      <c r="X9" s="89" t="s">
        <v>42</v>
      </c>
    </row>
    <row r="10" spans="1:29">
      <c r="C10" s="57"/>
      <c r="D10" s="57" t="s">
        <v>71</v>
      </c>
      <c r="E10" s="58"/>
      <c r="F10" s="58"/>
      <c r="G10" s="58"/>
      <c r="H10" s="58"/>
      <c r="I10" s="58"/>
      <c r="J10" s="58"/>
      <c r="K10" s="58"/>
      <c r="L10" s="58"/>
    </row>
    <row r="11" spans="1:29">
      <c r="A11" s="52">
        <v>1</v>
      </c>
      <c r="C11" s="57" t="s">
        <v>70</v>
      </c>
      <c r="D11" s="59"/>
      <c r="G11" s="27"/>
      <c r="H11" s="27"/>
      <c r="I11" s="27"/>
      <c r="J11" s="27"/>
      <c r="K11" s="27"/>
      <c r="L11" s="27">
        <f>SUM('Capital Budget 2017'!K20:P20)-L12-L13</f>
        <v>1255457.3250000002</v>
      </c>
    </row>
    <row r="12" spans="1:29">
      <c r="A12" s="52">
        <v>2</v>
      </c>
      <c r="C12" s="57" t="s">
        <v>74</v>
      </c>
      <c r="D12" s="59"/>
      <c r="G12" s="27"/>
      <c r="H12" s="27"/>
      <c r="I12" s="27"/>
      <c r="J12" s="27"/>
      <c r="K12" s="27"/>
      <c r="L12" s="27">
        <f>SUM('Capital Budget 2017'!K5:P10,'Capital Budget 2017'!K16:P19)</f>
        <v>2278129.7399999998</v>
      </c>
      <c r="M12" s="62">
        <f>4210527.95-L12</f>
        <v>1932398.2100000004</v>
      </c>
    </row>
    <row r="13" spans="1:29">
      <c r="A13" s="52">
        <v>3</v>
      </c>
      <c r="C13" s="57" t="s">
        <v>185</v>
      </c>
      <c r="D13" s="59"/>
      <c r="G13" s="27"/>
      <c r="H13" s="27"/>
      <c r="I13" s="27"/>
      <c r="J13" s="27"/>
      <c r="K13" s="27"/>
      <c r="L13" s="27">
        <f>SUM('Capital Budget 2017'!K11:P13,'Capital Budget 2017'!K15:P15)*0.5</f>
        <v>1255457.3249999997</v>
      </c>
    </row>
    <row r="14" spans="1:29">
      <c r="C14" s="59"/>
      <c r="G14" s="27"/>
      <c r="I14" s="27"/>
      <c r="Z14" s="50"/>
      <c r="AA14" s="50"/>
      <c r="AB14" s="50"/>
      <c r="AC14" s="50"/>
    </row>
    <row r="15" spans="1:29">
      <c r="G15" s="195" t="s">
        <v>43</v>
      </c>
      <c r="H15" s="195"/>
      <c r="I15" s="195"/>
      <c r="J15" s="195"/>
      <c r="K15" s="195"/>
      <c r="L15" s="195"/>
      <c r="M15" s="195"/>
      <c r="N15" s="195"/>
      <c r="Z15" s="50"/>
      <c r="AA15" s="50"/>
      <c r="AB15" s="50"/>
      <c r="AC15" s="50"/>
    </row>
    <row r="16" spans="1:29">
      <c r="T16" s="27"/>
      <c r="U16" s="27">
        <v>0</v>
      </c>
      <c r="X16" s="27">
        <f>U16</f>
        <v>0</v>
      </c>
      <c r="Z16" s="50"/>
      <c r="AA16" s="50"/>
      <c r="AB16" s="50"/>
      <c r="AC16" s="50"/>
    </row>
    <row r="17" spans="1:29">
      <c r="A17" s="52">
        <f>A13+1</f>
        <v>4</v>
      </c>
      <c r="C17" s="61">
        <v>3.7499999999999999E-2</v>
      </c>
      <c r="D17" s="61">
        <v>0.05</v>
      </c>
      <c r="F17" s="52">
        <v>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>
        <f>U17-U16</f>
        <v>0</v>
      </c>
      <c r="W17" s="91"/>
      <c r="X17" s="27">
        <f>X16+V17*335/365</f>
        <v>0</v>
      </c>
      <c r="Z17" s="50"/>
      <c r="AA17" s="50"/>
      <c r="AB17" s="51"/>
      <c r="AC17" s="50"/>
    </row>
    <row r="18" spans="1:29">
      <c r="A18" s="52">
        <f>A17+1</f>
        <v>5</v>
      </c>
      <c r="C18" s="61">
        <v>7.2190000000000004E-2</v>
      </c>
      <c r="D18" s="61">
        <v>9.5000000000000001E-2</v>
      </c>
      <c r="F18" s="52">
        <v>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>
        <f t="shared" ref="V18:V28" si="0">U18-U17</f>
        <v>0</v>
      </c>
      <c r="W18" s="91"/>
      <c r="X18" s="27">
        <f>X17+V18*307/365</f>
        <v>0</v>
      </c>
      <c r="Z18" s="50"/>
      <c r="AA18" s="50"/>
      <c r="AB18" s="51"/>
      <c r="AC18" s="50"/>
    </row>
    <row r="19" spans="1:29">
      <c r="A19" s="52">
        <f t="shared" ref="A19:A44" si="1">A18+1</f>
        <v>6</v>
      </c>
      <c r="C19" s="61">
        <v>6.6769999999999996E-2</v>
      </c>
      <c r="D19" s="61">
        <v>8.5500000000000007E-2</v>
      </c>
      <c r="F19" s="52">
        <v>3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>
        <f t="shared" si="0"/>
        <v>0</v>
      </c>
      <c r="W19" s="91"/>
      <c r="X19" s="27">
        <f>X18+V19*276/365</f>
        <v>0</v>
      </c>
      <c r="Z19" s="50"/>
      <c r="AA19" s="50"/>
      <c r="AB19" s="51"/>
      <c r="AC19" s="50"/>
    </row>
    <row r="20" spans="1:29">
      <c r="A20" s="52">
        <f t="shared" si="1"/>
        <v>7</v>
      </c>
      <c r="C20" s="61">
        <v>6.1769999999999999E-2</v>
      </c>
      <c r="D20" s="61">
        <v>7.6999999999999999E-2</v>
      </c>
      <c r="F20" s="52">
        <v>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>
        <f t="shared" si="0"/>
        <v>0</v>
      </c>
      <c r="W20" s="91"/>
      <c r="X20" s="27">
        <f>X19+V20*246/365</f>
        <v>0</v>
      </c>
      <c r="Z20" s="50"/>
      <c r="AA20" s="153"/>
      <c r="AB20" s="51"/>
      <c r="AC20" s="50"/>
    </row>
    <row r="21" spans="1:29">
      <c r="A21" s="52">
        <f t="shared" si="1"/>
        <v>8</v>
      </c>
      <c r="C21" s="61">
        <v>5.713E-2</v>
      </c>
      <c r="D21" s="61">
        <v>6.93E-2</v>
      </c>
      <c r="F21" s="52">
        <v>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>
        <f t="shared" si="0"/>
        <v>0</v>
      </c>
      <c r="W21" s="91"/>
      <c r="X21" s="27">
        <f>X20+V21*215/365</f>
        <v>0</v>
      </c>
      <c r="Z21" s="50"/>
      <c r="AA21" s="50"/>
      <c r="AB21" s="51"/>
      <c r="AC21" s="50"/>
    </row>
    <row r="22" spans="1:29">
      <c r="A22" s="52">
        <f t="shared" si="1"/>
        <v>9</v>
      </c>
      <c r="C22" s="61">
        <v>5.2850000000000001E-2</v>
      </c>
      <c r="D22" s="61">
        <v>6.2300000000000001E-2</v>
      </c>
      <c r="F22" s="52">
        <v>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>
        <f t="shared" si="0"/>
        <v>0</v>
      </c>
      <c r="W22" s="91"/>
      <c r="X22" s="27">
        <f>X21+V22*185/365</f>
        <v>0</v>
      </c>
      <c r="Z22" s="50"/>
      <c r="AA22" s="50"/>
      <c r="AB22" s="50"/>
      <c r="AC22" s="50"/>
    </row>
    <row r="23" spans="1:29">
      <c r="A23" s="52">
        <f t="shared" si="1"/>
        <v>10</v>
      </c>
      <c r="C23" s="61">
        <v>4.888E-2</v>
      </c>
      <c r="D23" s="61">
        <v>5.8999999999999997E-2</v>
      </c>
      <c r="F23" s="52">
        <v>7</v>
      </c>
      <c r="G23" s="27"/>
      <c r="H23" s="27"/>
      <c r="I23" s="27"/>
      <c r="J23" s="27"/>
      <c r="K23" s="27"/>
      <c r="L23" s="156">
        <f>(('201707 Bk Depr'!$L$17-SUM('Capital Budget 2017'!K$5:K$10,'Capital Budget 2017'!K$16:K$19)-(1/6*L13))*$C$17)+SUM('Capital Budget 2017'!K$5:K$10,'Capital Budget 2017'!K$16:K$19)+(1/6*L13)</f>
        <v>478541.84459374996</v>
      </c>
      <c r="M23" s="27">
        <f t="shared" ref="M23:M28" si="2">SUM(G23:L23)</f>
        <v>478541.84459374996</v>
      </c>
      <c r="N23" s="27">
        <f>'201707 Bk Depr'!L$31</f>
        <v>26417.16</v>
      </c>
      <c r="O23" s="27">
        <f>'201707 Bk Depr'!P$17</f>
        <v>767.78386650000027</v>
      </c>
      <c r="P23" s="27">
        <f t="shared" ref="P23:P28" si="3">M23+N23-O23</f>
        <v>504191.22072724992</v>
      </c>
      <c r="Q23" s="27">
        <f t="shared" ref="Q23:Q28" si="4">P23*0.35</f>
        <v>176466.92725453747</v>
      </c>
      <c r="R23" s="27">
        <f t="shared" ref="R23:R28" si="5">Q71</f>
        <v>18167.696490509996</v>
      </c>
      <c r="S23" s="27">
        <f t="shared" ref="S23:S28" si="6">-R23*0.35</f>
        <v>-6358.6937716784978</v>
      </c>
      <c r="T23" s="27"/>
      <c r="U23" s="27">
        <f t="shared" ref="U23:U28" si="7">U22+Q23+R23+S23+T23</f>
        <v>188275.92997336897</v>
      </c>
      <c r="V23" s="27">
        <f t="shared" si="0"/>
        <v>188275.92997336897</v>
      </c>
      <c r="W23" s="91" t="s">
        <v>249</v>
      </c>
      <c r="X23" s="27">
        <f>X22+V23*154/184</f>
        <v>157578.76747771099</v>
      </c>
      <c r="Z23" s="50"/>
      <c r="AA23" s="50"/>
      <c r="AB23" s="50"/>
      <c r="AC23" s="50"/>
    </row>
    <row r="24" spans="1:29">
      <c r="A24" s="52">
        <f t="shared" si="1"/>
        <v>11</v>
      </c>
      <c r="C24" s="61">
        <v>4.5220000000000003E-2</v>
      </c>
      <c r="D24" s="61">
        <v>5.8999999999999997E-2</v>
      </c>
      <c r="F24" s="52">
        <v>8</v>
      </c>
      <c r="G24" s="27"/>
      <c r="H24" s="27"/>
      <c r="I24" s="27"/>
      <c r="J24" s="27"/>
      <c r="K24" s="27"/>
      <c r="L24" s="156">
        <f>(('201708 Bk Depr'!$L$17-SUM('Capital Budget 2017'!L$5:L$10,'Capital Budget 2017'!L$16:L$19)-(1/6*L13))*$C$17)+SUM('Capital Budget 2017'!L$5:L$10,'Capital Budget 2017'!L$16:L$19)+(1/6*L13)</f>
        <v>738673.26196875004</v>
      </c>
      <c r="M24" s="27">
        <f t="shared" si="2"/>
        <v>738673.26196875004</v>
      </c>
      <c r="N24" s="27">
        <f>'201708 Bk Depr'!L$31</f>
        <v>28945.41</v>
      </c>
      <c r="O24" s="27">
        <f>'201708 Bk Depr'!P$17</f>
        <v>2672.3054115000009</v>
      </c>
      <c r="P24" s="27">
        <f t="shared" si="3"/>
        <v>764946.36655725003</v>
      </c>
      <c r="Q24" s="27">
        <f t="shared" si="4"/>
        <v>267731.22829503752</v>
      </c>
      <c r="R24" s="27">
        <f t="shared" si="5"/>
        <v>33813.005240310005</v>
      </c>
      <c r="S24" s="27">
        <f t="shared" si="6"/>
        <v>-11834.551834108501</v>
      </c>
      <c r="T24" s="27"/>
      <c r="U24" s="27">
        <f t="shared" si="7"/>
        <v>477985.61167460802</v>
      </c>
      <c r="V24" s="27">
        <f t="shared" si="0"/>
        <v>289709.68170123908</v>
      </c>
      <c r="W24" s="91" t="s">
        <v>248</v>
      </c>
      <c r="X24" s="27">
        <f>X23+V24*123/184</f>
        <v>351243.39165843063</v>
      </c>
      <c r="Z24" s="154"/>
      <c r="AA24" s="50"/>
      <c r="AB24" s="50"/>
      <c r="AC24" s="50"/>
    </row>
    <row r="25" spans="1:29">
      <c r="A25" s="52">
        <f t="shared" si="1"/>
        <v>12</v>
      </c>
      <c r="C25" s="61">
        <v>4.462E-2</v>
      </c>
      <c r="D25" s="61">
        <v>5.91E-2</v>
      </c>
      <c r="F25" s="52">
        <v>9</v>
      </c>
      <c r="G25" s="27"/>
      <c r="H25" s="27"/>
      <c r="I25" s="27"/>
      <c r="J25" s="27"/>
      <c r="K25" s="27"/>
      <c r="L25" s="156">
        <f>(('201709 Bk Depr'!$L$17-SUM('Capital Budget 2017'!M$5:M$10,'Capital Budget 2017'!M$16:M$19)-(1/6*L13))*$C$17)+SUM('Capital Budget 2017'!M$5:M$10,'Capital Budget 2017'!M$16:M$19)+(1/6*L13)</f>
        <v>588212.12946874998</v>
      </c>
      <c r="M25" s="27">
        <f t="shared" si="2"/>
        <v>588212.12946874998</v>
      </c>
      <c r="N25" s="27">
        <f>'201709 Bk Depr'!L$31</f>
        <v>24037.84</v>
      </c>
      <c r="O25" s="27">
        <f>'201709 Bk Depr'!P$17</f>
        <v>4774.3008795000014</v>
      </c>
      <c r="P25" s="27">
        <f t="shared" si="3"/>
        <v>607475.66858924995</v>
      </c>
      <c r="Q25" s="27">
        <f t="shared" si="4"/>
        <v>212616.48400623747</v>
      </c>
      <c r="R25" s="27">
        <f t="shared" si="5"/>
        <v>24364.763362229998</v>
      </c>
      <c r="S25" s="27">
        <f t="shared" si="6"/>
        <v>-8527.6671767804983</v>
      </c>
      <c r="T25" s="27"/>
      <c r="U25" s="27">
        <f t="shared" si="7"/>
        <v>706439.19186629495</v>
      </c>
      <c r="V25" s="27">
        <f t="shared" si="0"/>
        <v>228453.58019168692</v>
      </c>
      <c r="W25" s="91" t="s">
        <v>247</v>
      </c>
      <c r="X25" s="27">
        <f>X24+V25*93/184</f>
        <v>466711.77729879413</v>
      </c>
    </row>
    <row r="26" spans="1:29">
      <c r="A26" s="52">
        <f t="shared" si="1"/>
        <v>13</v>
      </c>
      <c r="C26" s="61">
        <v>4.4609999999999997E-2</v>
      </c>
      <c r="D26" s="61">
        <v>5.8999999999999997E-2</v>
      </c>
      <c r="F26" s="52">
        <v>10</v>
      </c>
      <c r="G26" s="27"/>
      <c r="H26" s="27"/>
      <c r="I26" s="27"/>
      <c r="J26" s="27"/>
      <c r="K26" s="27"/>
      <c r="L26" s="156">
        <f>(('201710 Bk Depr'!$L$17-SUM('Capital Budget 2017'!N$5:N$10,'Capital Budget 2017'!N$16:N$19)-(1/6*L13))*$C$17)+SUM('Capital Budget 2017'!N$5:N$10,'Capital Budget 2017'!N$16:N$19)+(1/6*L13)</f>
        <v>694244.29146874999</v>
      </c>
      <c r="M26" s="27">
        <f t="shared" si="2"/>
        <v>694244.29146874999</v>
      </c>
      <c r="N26" s="27">
        <f>'201710 Bk Depr'!L$31</f>
        <v>31446.28</v>
      </c>
      <c r="O26" s="27">
        <f>'201710 Bk Depr'!P$17</f>
        <v>7050.2241240000021</v>
      </c>
      <c r="P26" s="27">
        <f t="shared" si="3"/>
        <v>718640.34734474996</v>
      </c>
      <c r="Q26" s="27">
        <f t="shared" si="4"/>
        <v>251524.12157066248</v>
      </c>
      <c r="R26" s="27">
        <f t="shared" si="5"/>
        <v>31034.644087559995</v>
      </c>
      <c r="S26" s="27">
        <f t="shared" si="6"/>
        <v>-10862.125430645998</v>
      </c>
      <c r="T26" s="27"/>
      <c r="U26" s="27">
        <f t="shared" si="7"/>
        <v>978135.83209387143</v>
      </c>
      <c r="V26" s="27">
        <f t="shared" si="0"/>
        <v>271696.64022757648</v>
      </c>
      <c r="W26" s="91" t="s">
        <v>246</v>
      </c>
      <c r="X26" s="27">
        <f>X25+V26*62/184</f>
        <v>558261.73215808626</v>
      </c>
    </row>
    <row r="27" spans="1:29">
      <c r="A27" s="52">
        <f t="shared" si="1"/>
        <v>14</v>
      </c>
      <c r="C27" s="61">
        <v>4.462E-2</v>
      </c>
      <c r="D27" s="61">
        <v>5.91E-2</v>
      </c>
      <c r="F27" s="52">
        <v>11</v>
      </c>
      <c r="G27" s="27"/>
      <c r="H27" s="27"/>
      <c r="I27" s="27"/>
      <c r="J27" s="27"/>
      <c r="K27" s="27"/>
      <c r="L27" s="156">
        <f>(('201711 Bk Depr'!$L$17-SUM('Capital Budget 2017'!O$5:O$10,'Capital Budget 2017'!O$16:O$19)-(1/6*L13))*$C$17)+SUM('Capital Budget 2017'!O$5:O$10,'Capital Budget 2017'!O$16:O$19)+(1/6*L13)</f>
        <v>453795.93746874988</v>
      </c>
      <c r="M27" s="27">
        <f t="shared" si="2"/>
        <v>453795.93746874988</v>
      </c>
      <c r="N27" s="27">
        <f>'201711 Bk Depr'!L$31</f>
        <v>38800.33</v>
      </c>
      <c r="O27" s="27">
        <f>'201711 Bk Depr'!P$17</f>
        <v>9341.0747100000044</v>
      </c>
      <c r="P27" s="27">
        <f t="shared" si="3"/>
        <v>483255.19275874988</v>
      </c>
      <c r="Q27" s="27">
        <f t="shared" si="4"/>
        <v>169139.31746556246</v>
      </c>
      <c r="R27" s="27">
        <f t="shared" si="5"/>
        <v>16911.534812399994</v>
      </c>
      <c r="S27" s="27">
        <f t="shared" si="6"/>
        <v>-5919.0371843399971</v>
      </c>
      <c r="T27" s="27"/>
      <c r="U27" s="27">
        <f t="shared" si="7"/>
        <v>1158267.6471874937</v>
      </c>
      <c r="V27" s="27">
        <f t="shared" si="0"/>
        <v>180131.81509362231</v>
      </c>
      <c r="W27" s="91" t="s">
        <v>245</v>
      </c>
      <c r="X27" s="27">
        <f>X26+V27*32/184</f>
        <v>589589.00434828142</v>
      </c>
    </row>
    <row r="28" spans="1:29">
      <c r="A28" s="52">
        <f t="shared" si="1"/>
        <v>15</v>
      </c>
      <c r="C28" s="61">
        <v>4.4609999999999997E-2</v>
      </c>
      <c r="D28" s="61">
        <v>5.8999999999999997E-2</v>
      </c>
      <c r="F28" s="52">
        <v>12</v>
      </c>
      <c r="G28" s="27"/>
      <c r="H28" s="27"/>
      <c r="I28" s="27"/>
      <c r="J28" s="27"/>
      <c r="K28" s="27"/>
      <c r="L28" s="156">
        <f>(('201712 Bk Depr'!$L$17-SUM('Capital Budget 2017'!P$5:P$10,'Capital Budget 2017'!P$16:P$19)-(1/6*L13))*$C$17)+SUM('Capital Budget 2017'!P$5:P$10,'Capital Budget 2017'!P$16:P$19)+(1/6*L13)</f>
        <v>627199.2497187499</v>
      </c>
      <c r="M28" s="27">
        <f t="shared" si="2"/>
        <v>627199.2497187499</v>
      </c>
      <c r="N28" s="27">
        <f>'201712 Bk Depr'!L$31</f>
        <v>37449.410000000003</v>
      </c>
      <c r="O28" s="27">
        <f>'201712 Bk Depr'!P$17</f>
        <v>11625.839847000003</v>
      </c>
      <c r="P28" s="27">
        <f t="shared" si="3"/>
        <v>653022.81987174996</v>
      </c>
      <c r="Q28" s="27">
        <f t="shared" si="4"/>
        <v>228557.98695511249</v>
      </c>
      <c r="R28" s="27">
        <f t="shared" si="5"/>
        <v>27097.592439179996</v>
      </c>
      <c r="S28" s="27">
        <f t="shared" si="6"/>
        <v>-9484.1573537129989</v>
      </c>
      <c r="T28" s="27"/>
      <c r="U28" s="27">
        <f t="shared" si="7"/>
        <v>1404439.0692280733</v>
      </c>
      <c r="V28" s="27">
        <f t="shared" si="0"/>
        <v>246171.42204057961</v>
      </c>
      <c r="W28" s="91" t="s">
        <v>244</v>
      </c>
      <c r="X28" s="27">
        <f>X27+V28*1/184</f>
        <v>590926.89251154545</v>
      </c>
    </row>
    <row r="29" spans="1:29">
      <c r="A29" s="52">
        <f t="shared" si="1"/>
        <v>16</v>
      </c>
      <c r="C29" s="61">
        <v>4.462E-2</v>
      </c>
      <c r="D29" s="61">
        <v>5.91E-2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 t="str">
        <f t="shared" ref="T29:T43" si="8">IF(S29="","",S29*0.389)</f>
        <v/>
      </c>
      <c r="U29" s="62"/>
      <c r="X29" s="27"/>
    </row>
    <row r="30" spans="1:29">
      <c r="A30" s="52">
        <f t="shared" si="1"/>
        <v>17</v>
      </c>
      <c r="C30" s="61">
        <v>4.4609999999999997E-2</v>
      </c>
      <c r="D30" s="61">
        <v>5.8999999999999997E-2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 t="str">
        <f t="shared" si="8"/>
        <v/>
      </c>
      <c r="U30" s="27" t="str">
        <f t="shared" ref="U30:U43" si="9">IF(Q30="","",U29+Q30)</f>
        <v/>
      </c>
    </row>
    <row r="31" spans="1:29">
      <c r="A31" s="52">
        <f t="shared" si="1"/>
        <v>18</v>
      </c>
      <c r="C31" s="61">
        <v>4.462E-2</v>
      </c>
      <c r="D31" s="61">
        <v>5.91E-2</v>
      </c>
      <c r="G31" s="27"/>
      <c r="H31" s="62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 t="str">
        <f t="shared" si="8"/>
        <v/>
      </c>
      <c r="U31" s="27" t="str">
        <f t="shared" si="9"/>
        <v/>
      </c>
    </row>
    <row r="32" spans="1:29">
      <c r="A32" s="52">
        <f t="shared" si="1"/>
        <v>19</v>
      </c>
      <c r="C32" s="61">
        <v>4.4609999999999997E-2</v>
      </c>
      <c r="D32" s="61">
        <v>2.9499999999999998E-2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 t="str">
        <f t="shared" si="8"/>
        <v/>
      </c>
      <c r="U32" s="27" t="str">
        <f t="shared" si="9"/>
        <v/>
      </c>
    </row>
    <row r="33" spans="1:21">
      <c r="A33" s="52">
        <f t="shared" si="1"/>
        <v>20</v>
      </c>
      <c r="C33" s="61">
        <v>4.462E-2</v>
      </c>
      <c r="D33" s="61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 t="str">
        <f t="shared" si="8"/>
        <v/>
      </c>
      <c r="U33" s="27" t="str">
        <f t="shared" si="9"/>
        <v/>
      </c>
    </row>
    <row r="34" spans="1:21">
      <c r="A34" s="52">
        <f t="shared" si="1"/>
        <v>21</v>
      </c>
      <c r="C34" s="61">
        <v>4.4609999999999997E-2</v>
      </c>
      <c r="D34" s="61"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 t="str">
        <f t="shared" si="8"/>
        <v/>
      </c>
      <c r="U34" s="27" t="str">
        <f t="shared" si="9"/>
        <v/>
      </c>
    </row>
    <row r="35" spans="1:21">
      <c r="A35" s="52">
        <f t="shared" si="1"/>
        <v>22</v>
      </c>
      <c r="C35" s="61">
        <v>4.462E-2</v>
      </c>
      <c r="D35" s="61"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 t="str">
        <f t="shared" si="8"/>
        <v/>
      </c>
      <c r="U35" s="27" t="str">
        <f t="shared" si="9"/>
        <v/>
      </c>
    </row>
    <row r="36" spans="1:21">
      <c r="A36" s="52">
        <f t="shared" si="1"/>
        <v>23</v>
      </c>
      <c r="C36" s="61">
        <v>4.4609999999999997E-2</v>
      </c>
      <c r="D36" s="61"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 t="str">
        <f t="shared" si="8"/>
        <v/>
      </c>
      <c r="U36" s="27" t="str">
        <f t="shared" si="9"/>
        <v/>
      </c>
    </row>
    <row r="37" spans="1:21">
      <c r="A37" s="52">
        <f t="shared" si="1"/>
        <v>24</v>
      </c>
      <c r="C37" s="61">
        <v>2.231E-2</v>
      </c>
      <c r="D37" s="61"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 t="str">
        <f t="shared" si="8"/>
        <v/>
      </c>
      <c r="U37" s="27" t="str">
        <f t="shared" si="9"/>
        <v/>
      </c>
    </row>
    <row r="38" spans="1:21">
      <c r="A38" s="52">
        <f t="shared" si="1"/>
        <v>25</v>
      </c>
      <c r="C38" s="61">
        <v>0</v>
      </c>
      <c r="D38" s="61">
        <v>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 t="str">
        <f t="shared" si="8"/>
        <v/>
      </c>
      <c r="U38" s="27" t="str">
        <f t="shared" si="9"/>
        <v/>
      </c>
    </row>
    <row r="39" spans="1:21">
      <c r="A39" s="52">
        <f t="shared" si="1"/>
        <v>26</v>
      </c>
      <c r="C39" s="61">
        <v>0</v>
      </c>
      <c r="I39" s="27"/>
      <c r="J39" s="27"/>
      <c r="K39" s="27"/>
      <c r="L39" s="27"/>
      <c r="M39" s="27"/>
      <c r="P39" s="27"/>
      <c r="Q39" s="27"/>
      <c r="R39" s="27"/>
      <c r="S39" s="27"/>
      <c r="T39" s="27" t="str">
        <f t="shared" si="8"/>
        <v/>
      </c>
      <c r="U39" s="27" t="str">
        <f t="shared" si="9"/>
        <v/>
      </c>
    </row>
    <row r="40" spans="1:21">
      <c r="A40" s="52">
        <f t="shared" si="1"/>
        <v>27</v>
      </c>
      <c r="C40" s="61">
        <v>0</v>
      </c>
      <c r="J40" s="27"/>
      <c r="K40" s="27"/>
      <c r="L40" s="27"/>
      <c r="M40" s="27"/>
      <c r="P40" s="27"/>
      <c r="Q40" s="27"/>
      <c r="R40" s="27"/>
      <c r="S40" s="27"/>
      <c r="T40" s="27" t="str">
        <f t="shared" si="8"/>
        <v/>
      </c>
      <c r="U40" s="27" t="str">
        <f t="shared" si="9"/>
        <v/>
      </c>
    </row>
    <row r="41" spans="1:21">
      <c r="A41" s="52">
        <f t="shared" si="1"/>
        <v>28</v>
      </c>
      <c r="C41" s="61">
        <v>0</v>
      </c>
      <c r="K41" s="27"/>
      <c r="L41" s="27"/>
      <c r="M41" s="27"/>
      <c r="P41" s="27"/>
      <c r="Q41" s="27"/>
      <c r="R41" s="27"/>
      <c r="S41" s="27"/>
      <c r="T41" s="27" t="str">
        <f t="shared" si="8"/>
        <v/>
      </c>
      <c r="U41" s="27" t="str">
        <f t="shared" si="9"/>
        <v/>
      </c>
    </row>
    <row r="42" spans="1:21">
      <c r="A42" s="52">
        <f t="shared" si="1"/>
        <v>29</v>
      </c>
      <c r="C42" s="61">
        <v>0</v>
      </c>
      <c r="L42" s="27"/>
      <c r="M42" s="27"/>
      <c r="P42" s="27"/>
      <c r="Q42" s="27"/>
      <c r="R42" s="27"/>
      <c r="S42" s="27"/>
      <c r="T42" s="27" t="str">
        <f t="shared" si="8"/>
        <v/>
      </c>
      <c r="U42" s="27" t="str">
        <f t="shared" si="9"/>
        <v/>
      </c>
    </row>
    <row r="43" spans="1:21">
      <c r="A43" s="52">
        <f t="shared" si="1"/>
        <v>30</v>
      </c>
      <c r="C43" s="61">
        <v>0</v>
      </c>
      <c r="M43" s="27"/>
      <c r="P43" s="27"/>
      <c r="Q43" s="27"/>
      <c r="R43" s="27"/>
      <c r="S43" s="27"/>
      <c r="T43" s="27" t="str">
        <f t="shared" si="8"/>
        <v/>
      </c>
      <c r="U43" s="27" t="str">
        <f t="shared" si="9"/>
        <v/>
      </c>
    </row>
    <row r="44" spans="1:21">
      <c r="A44" s="52">
        <f t="shared" si="1"/>
        <v>31</v>
      </c>
      <c r="G44" s="27">
        <f t="shared" ref="G44:T44" si="10">SUM(G17:G43)</f>
        <v>0</v>
      </c>
      <c r="H44" s="27">
        <f t="shared" si="10"/>
        <v>0</v>
      </c>
      <c r="I44" s="27">
        <f t="shared" si="10"/>
        <v>0</v>
      </c>
      <c r="J44" s="27">
        <f t="shared" si="10"/>
        <v>0</v>
      </c>
      <c r="K44" s="27">
        <f t="shared" si="10"/>
        <v>0</v>
      </c>
      <c r="L44" s="27">
        <f t="shared" si="10"/>
        <v>3580666.7146874997</v>
      </c>
      <c r="M44" s="27">
        <f t="shared" si="10"/>
        <v>3580666.7146874997</v>
      </c>
      <c r="N44" s="27">
        <f t="shared" si="10"/>
        <v>187096.43000000002</v>
      </c>
      <c r="O44" s="27">
        <f t="shared" si="10"/>
        <v>36231.528838500009</v>
      </c>
      <c r="P44" s="27">
        <f t="shared" si="10"/>
        <v>3731531.6158489995</v>
      </c>
      <c r="Q44" s="27">
        <f t="shared" si="10"/>
        <v>1306036.0655471499</v>
      </c>
      <c r="R44" s="27">
        <f t="shared" si="10"/>
        <v>151389.23643218999</v>
      </c>
      <c r="S44" s="27">
        <f t="shared" si="10"/>
        <v>-52986.232751266492</v>
      </c>
      <c r="T44" s="27">
        <f t="shared" si="10"/>
        <v>0</v>
      </c>
      <c r="U44" s="27">
        <f>AVERAGE(U16:U28)</f>
        <v>701934.75457481574</v>
      </c>
    </row>
    <row r="45" spans="1:21">
      <c r="H45" s="27"/>
      <c r="I45" s="27"/>
      <c r="J45" s="27"/>
      <c r="K45" s="27"/>
      <c r="L45" s="27"/>
      <c r="M45" s="27"/>
      <c r="N45" s="27"/>
      <c r="O45" s="27"/>
      <c r="U45" s="27"/>
    </row>
    <row r="46" spans="1:21">
      <c r="I46" s="62"/>
      <c r="J46" s="27"/>
      <c r="R46" s="27"/>
      <c r="S46" s="27"/>
      <c r="T46" s="27"/>
    </row>
    <row r="47" spans="1:21">
      <c r="B47" s="60" t="s">
        <v>166</v>
      </c>
      <c r="C47" s="52" t="s">
        <v>229</v>
      </c>
    </row>
    <row r="48" spans="1:21">
      <c r="B48" s="60" t="s">
        <v>167</v>
      </c>
      <c r="C48" s="52" t="s">
        <v>230</v>
      </c>
    </row>
    <row r="49" spans="1:21">
      <c r="B49" s="60" t="s">
        <v>168</v>
      </c>
      <c r="C49" s="52" t="s">
        <v>231</v>
      </c>
    </row>
    <row r="50" spans="1:21">
      <c r="B50" s="60" t="s">
        <v>177</v>
      </c>
      <c r="C50" s="52" t="s">
        <v>232</v>
      </c>
      <c r="R50" s="54"/>
      <c r="S50" s="54"/>
      <c r="T50" s="54"/>
    </row>
    <row r="51" spans="1:21">
      <c r="B51" s="60" t="s">
        <v>213</v>
      </c>
      <c r="C51" s="52" t="s">
        <v>233</v>
      </c>
      <c r="R51" s="54"/>
      <c r="S51" s="54"/>
      <c r="T51" s="54"/>
    </row>
    <row r="52" spans="1:21">
      <c r="B52" s="60" t="s">
        <v>228</v>
      </c>
      <c r="C52" s="52" t="s">
        <v>234</v>
      </c>
      <c r="R52" s="54"/>
      <c r="S52" s="54"/>
      <c r="T52" s="54"/>
    </row>
    <row r="53" spans="1:21">
      <c r="R53" s="48"/>
      <c r="S53" s="48"/>
      <c r="T53" s="48"/>
    </row>
    <row r="54" spans="1:21">
      <c r="A54" s="54"/>
      <c r="B54" s="54"/>
      <c r="C54" s="54"/>
      <c r="D54" s="54" t="s">
        <v>24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9"/>
      <c r="S54" s="49"/>
      <c r="T54" s="49"/>
      <c r="U54" s="54"/>
    </row>
    <row r="55" spans="1:21" ht="25.5">
      <c r="A55" s="54"/>
      <c r="B55" s="54"/>
      <c r="C55" s="55" t="s">
        <v>191</v>
      </c>
      <c r="D55" s="54" t="s">
        <v>25</v>
      </c>
      <c r="E55" s="54"/>
      <c r="F55" s="54"/>
      <c r="G55" s="54">
        <v>2012</v>
      </c>
      <c r="H55" s="54">
        <v>2013</v>
      </c>
      <c r="I55" s="54">
        <v>2014</v>
      </c>
      <c r="J55" s="54">
        <v>2015</v>
      </c>
      <c r="K55" s="54">
        <v>2016</v>
      </c>
      <c r="L55" s="54">
        <v>2017</v>
      </c>
      <c r="M55" s="54"/>
      <c r="N55" s="54" t="s">
        <v>35</v>
      </c>
      <c r="O55" s="54"/>
      <c r="P55" s="54"/>
      <c r="Q55" s="55" t="s">
        <v>182</v>
      </c>
      <c r="U55" s="49"/>
    </row>
    <row r="56" spans="1:21">
      <c r="A56" s="54" t="s">
        <v>4</v>
      </c>
      <c r="B56" s="54"/>
      <c r="C56" s="54" t="s">
        <v>26</v>
      </c>
      <c r="D56" s="54" t="s">
        <v>26</v>
      </c>
      <c r="E56" s="54"/>
      <c r="F56" s="54"/>
      <c r="G56" s="54" t="s">
        <v>28</v>
      </c>
      <c r="H56" s="54" t="s">
        <v>29</v>
      </c>
      <c r="I56" s="54" t="s">
        <v>30</v>
      </c>
      <c r="J56" s="54" t="s">
        <v>31</v>
      </c>
      <c r="K56" s="54" t="s">
        <v>32</v>
      </c>
      <c r="L56" s="54" t="s">
        <v>33</v>
      </c>
      <c r="M56" s="54" t="s">
        <v>34</v>
      </c>
      <c r="N56" s="54" t="s">
        <v>36</v>
      </c>
      <c r="O56" s="54" t="s">
        <v>38</v>
      </c>
      <c r="P56" s="54"/>
      <c r="Q56" s="54" t="s">
        <v>34</v>
      </c>
      <c r="U56" s="49"/>
    </row>
    <row r="57" spans="1:21">
      <c r="A57" s="85" t="s">
        <v>5</v>
      </c>
      <c r="B57" s="85"/>
      <c r="C57" s="85" t="s">
        <v>2</v>
      </c>
      <c r="D57" s="85" t="s">
        <v>2</v>
      </c>
      <c r="E57" s="85"/>
      <c r="F57" s="85" t="s">
        <v>108</v>
      </c>
      <c r="G57" s="85" t="s">
        <v>20</v>
      </c>
      <c r="H57" s="85" t="s">
        <v>20</v>
      </c>
      <c r="I57" s="85" t="s">
        <v>20</v>
      </c>
      <c r="J57" s="85" t="s">
        <v>20</v>
      </c>
      <c r="K57" s="85" t="s">
        <v>20</v>
      </c>
      <c r="L57" s="85" t="s">
        <v>20</v>
      </c>
      <c r="M57" s="85" t="s">
        <v>0</v>
      </c>
      <c r="N57" s="85" t="s">
        <v>37</v>
      </c>
      <c r="O57" s="85" t="s">
        <v>0</v>
      </c>
      <c r="P57" s="85" t="s">
        <v>39</v>
      </c>
      <c r="Q57" s="56" t="s">
        <v>184</v>
      </c>
      <c r="U57" s="49"/>
    </row>
    <row r="58" spans="1:21">
      <c r="C58" s="57"/>
      <c r="D58" s="57" t="s">
        <v>71</v>
      </c>
      <c r="E58" s="58"/>
      <c r="F58" s="58"/>
      <c r="G58" s="58"/>
      <c r="H58" s="58"/>
      <c r="I58" s="58"/>
      <c r="J58" s="58"/>
      <c r="K58" s="58"/>
      <c r="L58" s="58"/>
      <c r="U58" s="50"/>
    </row>
    <row r="59" spans="1:21">
      <c r="A59" s="52">
        <v>1</v>
      </c>
      <c r="C59" s="57" t="s">
        <v>70</v>
      </c>
      <c r="D59" s="59"/>
      <c r="G59" s="27"/>
      <c r="H59" s="27"/>
      <c r="I59" s="27"/>
      <c r="J59" s="27"/>
      <c r="K59" s="27"/>
      <c r="L59" s="27">
        <f>L11+L13</f>
        <v>2510914.65</v>
      </c>
      <c r="M59" s="62"/>
      <c r="U59" s="50"/>
    </row>
    <row r="60" spans="1:21">
      <c r="A60" s="52">
        <v>2</v>
      </c>
      <c r="C60" s="57" t="s">
        <v>74</v>
      </c>
      <c r="D60" s="59"/>
      <c r="G60" s="27"/>
      <c r="H60" s="27"/>
      <c r="I60" s="27"/>
      <c r="J60" s="27"/>
      <c r="K60" s="27"/>
      <c r="L60" s="27">
        <f>L12</f>
        <v>2278129.7399999998</v>
      </c>
      <c r="U60" s="50"/>
    </row>
    <row r="61" spans="1:21">
      <c r="A61" s="52">
        <v>3</v>
      </c>
      <c r="C61" s="57" t="s">
        <v>185</v>
      </c>
      <c r="D61" s="59"/>
      <c r="G61" s="27"/>
      <c r="H61" s="27"/>
      <c r="I61" s="27"/>
      <c r="J61" s="27"/>
      <c r="K61" s="27"/>
      <c r="L61" s="27"/>
      <c r="U61" s="50"/>
    </row>
    <row r="62" spans="1:21">
      <c r="C62" s="59"/>
      <c r="G62" s="27"/>
      <c r="I62" s="27"/>
      <c r="U62" s="50"/>
    </row>
    <row r="63" spans="1:21">
      <c r="G63" s="693" t="s">
        <v>43</v>
      </c>
      <c r="H63" s="693"/>
      <c r="I63" s="693"/>
      <c r="J63" s="693"/>
      <c r="K63" s="693"/>
      <c r="L63" s="693"/>
      <c r="M63" s="693"/>
      <c r="N63" s="693"/>
      <c r="U63" s="50"/>
    </row>
    <row r="64" spans="1:21">
      <c r="U64" s="51"/>
    </row>
    <row r="65" spans="1:21">
      <c r="A65" s="52">
        <f>A61+1</f>
        <v>4</v>
      </c>
      <c r="C65" s="61">
        <v>3.7499999999999999E-2</v>
      </c>
      <c r="D65" s="61">
        <v>0.05</v>
      </c>
      <c r="F65" s="52">
        <v>1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U65" s="51"/>
    </row>
    <row r="66" spans="1:21">
      <c r="A66" s="52">
        <f>A65+1</f>
        <v>5</v>
      </c>
      <c r="C66" s="61">
        <v>7.2190000000000004E-2</v>
      </c>
      <c r="D66" s="61">
        <v>9.5000000000000001E-2</v>
      </c>
      <c r="F66" s="52">
        <v>2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U66" s="51"/>
    </row>
    <row r="67" spans="1:21">
      <c r="A67" s="52">
        <f t="shared" ref="A67:A92" si="11">A66+1</f>
        <v>6</v>
      </c>
      <c r="C67" s="61">
        <v>6.6769999999999996E-2</v>
      </c>
      <c r="D67" s="61">
        <v>8.5500000000000007E-2</v>
      </c>
      <c r="F67" s="52">
        <v>3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U67" s="51"/>
    </row>
    <row r="68" spans="1:21">
      <c r="A68" s="52">
        <f t="shared" si="11"/>
        <v>7</v>
      </c>
      <c r="C68" s="61">
        <v>6.1769999999999999E-2</v>
      </c>
      <c r="D68" s="61">
        <v>7.6999999999999999E-2</v>
      </c>
      <c r="F68" s="52">
        <v>4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U68" s="51"/>
    </row>
    <row r="69" spans="1:21">
      <c r="A69" s="52">
        <f t="shared" si="11"/>
        <v>8</v>
      </c>
      <c r="C69" s="61">
        <v>5.713E-2</v>
      </c>
      <c r="D69" s="61">
        <v>6.93E-2</v>
      </c>
      <c r="F69" s="52">
        <v>5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U69" s="51"/>
    </row>
    <row r="70" spans="1:21">
      <c r="A70" s="52">
        <f t="shared" si="11"/>
        <v>9</v>
      </c>
      <c r="C70" s="61">
        <v>5.2850000000000001E-2</v>
      </c>
      <c r="D70" s="61">
        <v>6.2300000000000001E-2</v>
      </c>
      <c r="F70" s="52">
        <v>6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U70" s="51"/>
    </row>
    <row r="71" spans="1:21">
      <c r="A71" s="52">
        <f t="shared" si="11"/>
        <v>10</v>
      </c>
      <c r="C71" s="61">
        <v>4.888E-2</v>
      </c>
      <c r="D71" s="61">
        <v>5.8999999999999997E-2</v>
      </c>
      <c r="F71" s="52">
        <v>7</v>
      </c>
      <c r="G71" s="27"/>
      <c r="H71" s="27"/>
      <c r="I71" s="27"/>
      <c r="J71" s="27"/>
      <c r="K71" s="27"/>
      <c r="L71" s="27">
        <f>(('201707 Bk Depr'!$L$17-SUM('Capital Budget 2017'!K$5:K$10,'Capital Budget 2017'!K$16:K$19))*'Tax Depr 2017'!$C$65)+SUM('Capital Budget 2017'!K$5:K$10,'Capital Budget 2017'!K$16:K$19)</f>
        <v>277145.56537500001</v>
      </c>
      <c r="M71" s="27">
        <f t="shared" ref="M71:M76" si="12">SUM(G71:L71)</f>
        <v>277145.56537500001</v>
      </c>
      <c r="N71" s="27">
        <f>N23</f>
        <v>26417.16</v>
      </c>
      <c r="O71" s="27">
        <f>O23</f>
        <v>767.78386650000027</v>
      </c>
      <c r="P71" s="27">
        <f t="shared" ref="P71:P76" si="13">M71+N71-O71</f>
        <v>302794.94150849996</v>
      </c>
      <c r="Q71" s="27">
        <f t="shared" ref="Q71:Q76" si="14">P71*0.06</f>
        <v>18167.696490509996</v>
      </c>
      <c r="U71" s="51"/>
    </row>
    <row r="72" spans="1:21">
      <c r="A72" s="52">
        <f t="shared" si="11"/>
        <v>11</v>
      </c>
      <c r="C72" s="61">
        <v>4.5220000000000003E-2</v>
      </c>
      <c r="D72" s="61">
        <v>5.8999999999999997E-2</v>
      </c>
      <c r="F72" s="52">
        <v>8</v>
      </c>
      <c r="G72" s="27"/>
      <c r="H72" s="27"/>
      <c r="I72" s="27"/>
      <c r="J72" s="27"/>
      <c r="K72" s="27"/>
      <c r="L72" s="27">
        <f>(('201708 Bk Depr'!$L$17-SUM('Capital Budget 2017'!L$5:L$10,'Capital Budget 2017'!L$16:L$19))*'Tax Depr 2017'!$C$65)+SUM('Capital Budget 2017'!L$5:L$10,'Capital Budget 2017'!L$16:L$19)</f>
        <v>537276.98275000008</v>
      </c>
      <c r="M72" s="27">
        <f t="shared" si="12"/>
        <v>537276.98275000008</v>
      </c>
      <c r="N72" s="27">
        <f t="shared" ref="N72:N76" si="15">N24</f>
        <v>28945.41</v>
      </c>
      <c r="O72" s="27">
        <f t="shared" ref="O72:O76" si="16">O24</f>
        <v>2672.3054115000009</v>
      </c>
      <c r="P72" s="27">
        <f t="shared" si="13"/>
        <v>563550.08733850007</v>
      </c>
      <c r="Q72" s="27">
        <f t="shared" si="14"/>
        <v>33813.005240310005</v>
      </c>
      <c r="U72" s="51"/>
    </row>
    <row r="73" spans="1:21">
      <c r="A73" s="52">
        <f t="shared" si="11"/>
        <v>12</v>
      </c>
      <c r="C73" s="61">
        <v>4.462E-2</v>
      </c>
      <c r="D73" s="61">
        <v>5.91E-2</v>
      </c>
      <c r="F73" s="52">
        <v>9</v>
      </c>
      <c r="G73" s="27"/>
      <c r="H73" s="27"/>
      <c r="I73" s="27"/>
      <c r="J73" s="27"/>
      <c r="K73" s="27"/>
      <c r="L73" s="27">
        <f>(('201709 Bk Depr'!$L$17-SUM('Capital Budget 2017'!M$5:M$10,'Capital Budget 2017'!M$16:M$19))*'Tax Depr 2017'!$C$65)+SUM('Capital Budget 2017'!M$5:M$10,'Capital Budget 2017'!M$16:M$19)</f>
        <v>386815.85024999996</v>
      </c>
      <c r="M73" s="27">
        <f t="shared" si="12"/>
        <v>386815.85024999996</v>
      </c>
      <c r="N73" s="27">
        <f t="shared" si="15"/>
        <v>24037.84</v>
      </c>
      <c r="O73" s="27">
        <f t="shared" si="16"/>
        <v>4774.3008795000014</v>
      </c>
      <c r="P73" s="27">
        <f t="shared" si="13"/>
        <v>406079.38937049999</v>
      </c>
      <c r="Q73" s="27">
        <f t="shared" si="14"/>
        <v>24364.763362229998</v>
      </c>
      <c r="U73" s="51"/>
    </row>
    <row r="74" spans="1:21">
      <c r="A74" s="52">
        <f t="shared" si="11"/>
        <v>13</v>
      </c>
      <c r="C74" s="61">
        <v>4.4609999999999997E-2</v>
      </c>
      <c r="D74" s="61">
        <v>5.8999999999999997E-2</v>
      </c>
      <c r="F74" s="52">
        <v>10</v>
      </c>
      <c r="G74" s="27"/>
      <c r="H74" s="27"/>
      <c r="I74" s="27"/>
      <c r="J74" s="27"/>
      <c r="K74" s="27"/>
      <c r="L74" s="27">
        <f>(('201710 Bk Depr'!$L$17-SUM('Capital Budget 2017'!N$5:N$10,'Capital Budget 2017'!N$16:N$19))*'Tax Depr 2017'!$C$65)+SUM('Capital Budget 2017'!N$5:N$10,'Capital Budget 2017'!N$16:N$19)</f>
        <v>492848.01224999997</v>
      </c>
      <c r="M74" s="27">
        <f t="shared" si="12"/>
        <v>492848.01224999997</v>
      </c>
      <c r="N74" s="27">
        <f t="shared" si="15"/>
        <v>31446.28</v>
      </c>
      <c r="O74" s="27">
        <f t="shared" si="16"/>
        <v>7050.2241240000021</v>
      </c>
      <c r="P74" s="27">
        <f t="shared" si="13"/>
        <v>517244.06812599994</v>
      </c>
      <c r="Q74" s="27">
        <f t="shared" si="14"/>
        <v>31034.644087559995</v>
      </c>
      <c r="U74" s="51"/>
    </row>
    <row r="75" spans="1:21">
      <c r="A75" s="52">
        <f t="shared" si="11"/>
        <v>14</v>
      </c>
      <c r="C75" s="61">
        <v>4.462E-2</v>
      </c>
      <c r="D75" s="61">
        <v>5.91E-2</v>
      </c>
      <c r="F75" s="52">
        <v>11</v>
      </c>
      <c r="G75" s="27"/>
      <c r="H75" s="27"/>
      <c r="I75" s="27"/>
      <c r="J75" s="27"/>
      <c r="K75" s="27"/>
      <c r="L75" s="27">
        <f>(('201711 Bk Depr'!$L$17-SUM('Capital Budget 2017'!O$5:O$10,'Capital Budget 2017'!O$16:O$19))*'Tax Depr 2017'!$C$65)+SUM('Capital Budget 2017'!O$5:O$10,'Capital Budget 2017'!O$16:O$19)</f>
        <v>252399.65824999992</v>
      </c>
      <c r="M75" s="27">
        <f t="shared" si="12"/>
        <v>252399.65824999992</v>
      </c>
      <c r="N75" s="27">
        <f t="shared" si="15"/>
        <v>38800.33</v>
      </c>
      <c r="O75" s="27">
        <f t="shared" si="16"/>
        <v>9341.0747100000044</v>
      </c>
      <c r="P75" s="27">
        <f t="shared" si="13"/>
        <v>281858.91353999992</v>
      </c>
      <c r="Q75" s="27">
        <f t="shared" si="14"/>
        <v>16911.534812399994</v>
      </c>
      <c r="U75" s="51"/>
    </row>
    <row r="76" spans="1:21">
      <c r="A76" s="52">
        <f t="shared" si="11"/>
        <v>15</v>
      </c>
      <c r="C76" s="61">
        <v>4.4609999999999997E-2</v>
      </c>
      <c r="D76" s="61">
        <v>5.8999999999999997E-2</v>
      </c>
      <c r="F76" s="52">
        <v>12</v>
      </c>
      <c r="G76" s="27"/>
      <c r="H76" s="27"/>
      <c r="I76" s="27"/>
      <c r="J76" s="27"/>
      <c r="K76" s="27"/>
      <c r="L76" s="27">
        <f>(('201712 Bk Depr'!$L$17-SUM('Capital Budget 2017'!P$5:P$10,'Capital Budget 2017'!P$16:P$19))*'Tax Depr 2017'!$C$65)+SUM('Capital Budget 2017'!P$5:P$10,'Capital Budget 2017'!P$16:P$19)</f>
        <v>425802.9705</v>
      </c>
      <c r="M76" s="27">
        <f t="shared" si="12"/>
        <v>425802.9705</v>
      </c>
      <c r="N76" s="27">
        <f t="shared" si="15"/>
        <v>37449.410000000003</v>
      </c>
      <c r="O76" s="27">
        <f t="shared" si="16"/>
        <v>11625.839847000003</v>
      </c>
      <c r="P76" s="27">
        <f t="shared" si="13"/>
        <v>451626.54065299995</v>
      </c>
      <c r="Q76" s="27">
        <f t="shared" si="14"/>
        <v>27097.592439179996</v>
      </c>
      <c r="U76" s="51"/>
    </row>
    <row r="77" spans="1:21">
      <c r="A77" s="52">
        <f t="shared" si="11"/>
        <v>16</v>
      </c>
      <c r="C77" s="61">
        <v>4.462E-2</v>
      </c>
      <c r="D77" s="61">
        <v>5.91E-2</v>
      </c>
      <c r="G77" s="27"/>
      <c r="H77" s="27"/>
      <c r="I77" s="27"/>
      <c r="J77" s="27"/>
      <c r="K77" s="27"/>
      <c r="L77" s="27"/>
      <c r="M77" s="27"/>
      <c r="N77" s="27"/>
      <c r="O77" s="27"/>
      <c r="P77" s="27" t="str">
        <f t="shared" ref="P77:P91" si="17">IF(O77=0,"",M77+N77-O77)</f>
        <v/>
      </c>
      <c r="Q77" s="27" t="str">
        <f t="shared" ref="Q77:Q91" si="18">IF(P77="","",P77*0.389)</f>
        <v/>
      </c>
      <c r="R77" s="51"/>
      <c r="S77" s="51"/>
      <c r="T77" s="51"/>
      <c r="U77" s="27" t="str">
        <f t="shared" ref="U77:U91" si="19">IF(Q77="","",U76+Q77)</f>
        <v/>
      </c>
    </row>
    <row r="78" spans="1:21">
      <c r="A78" s="52">
        <f t="shared" si="11"/>
        <v>17</v>
      </c>
      <c r="C78" s="61">
        <v>4.4609999999999997E-2</v>
      </c>
      <c r="D78" s="61">
        <v>5.8999999999999997E-2</v>
      </c>
      <c r="G78" s="27"/>
      <c r="H78" s="27"/>
      <c r="I78" s="27"/>
      <c r="J78" s="27"/>
      <c r="K78" s="27"/>
      <c r="L78" s="27"/>
      <c r="M78" s="27"/>
      <c r="N78" s="27"/>
      <c r="O78" s="27"/>
      <c r="P78" s="27" t="str">
        <f t="shared" si="17"/>
        <v/>
      </c>
      <c r="Q78" s="27" t="str">
        <f t="shared" si="18"/>
        <v/>
      </c>
      <c r="R78" s="51"/>
      <c r="S78" s="51"/>
      <c r="T78" s="51"/>
      <c r="U78" s="27" t="str">
        <f t="shared" si="19"/>
        <v/>
      </c>
    </row>
    <row r="79" spans="1:21">
      <c r="A79" s="52">
        <f t="shared" si="11"/>
        <v>18</v>
      </c>
      <c r="C79" s="61">
        <v>4.462E-2</v>
      </c>
      <c r="D79" s="61">
        <v>5.91E-2</v>
      </c>
      <c r="G79" s="27"/>
      <c r="H79" s="62"/>
      <c r="I79" s="27"/>
      <c r="J79" s="27"/>
      <c r="K79" s="27"/>
      <c r="L79" s="27"/>
      <c r="M79" s="27"/>
      <c r="N79" s="27"/>
      <c r="O79" s="27"/>
      <c r="P79" s="27" t="str">
        <f t="shared" si="17"/>
        <v/>
      </c>
      <c r="Q79" s="27" t="str">
        <f t="shared" si="18"/>
        <v/>
      </c>
      <c r="R79" s="51"/>
      <c r="S79" s="51"/>
      <c r="T79" s="51"/>
      <c r="U79" s="27" t="str">
        <f t="shared" si="19"/>
        <v/>
      </c>
    </row>
    <row r="80" spans="1:21">
      <c r="A80" s="52">
        <f t="shared" si="11"/>
        <v>19</v>
      </c>
      <c r="C80" s="61">
        <v>4.4609999999999997E-2</v>
      </c>
      <c r="D80" s="61">
        <v>2.9499999999999998E-2</v>
      </c>
      <c r="G80" s="27"/>
      <c r="H80" s="27"/>
      <c r="I80" s="27"/>
      <c r="J80" s="27"/>
      <c r="K80" s="27"/>
      <c r="L80" s="27"/>
      <c r="M80" s="27"/>
      <c r="N80" s="27"/>
      <c r="O80" s="27"/>
      <c r="P80" s="27" t="str">
        <f t="shared" si="17"/>
        <v/>
      </c>
      <c r="Q80" s="27" t="str">
        <f t="shared" si="18"/>
        <v/>
      </c>
      <c r="R80" s="51"/>
      <c r="S80" s="51"/>
      <c r="T80" s="51"/>
      <c r="U80" s="27" t="str">
        <f t="shared" si="19"/>
        <v/>
      </c>
    </row>
    <row r="81" spans="1:21">
      <c r="A81" s="52">
        <f t="shared" si="11"/>
        <v>20</v>
      </c>
      <c r="C81" s="61">
        <v>4.462E-2</v>
      </c>
      <c r="D81" s="61">
        <v>0</v>
      </c>
      <c r="G81" s="27"/>
      <c r="H81" s="27"/>
      <c r="I81" s="27"/>
      <c r="J81" s="27"/>
      <c r="K81" s="27"/>
      <c r="L81" s="27"/>
      <c r="M81" s="27"/>
      <c r="N81" s="27"/>
      <c r="O81" s="27"/>
      <c r="P81" s="27" t="str">
        <f t="shared" si="17"/>
        <v/>
      </c>
      <c r="Q81" s="27" t="str">
        <f t="shared" si="18"/>
        <v/>
      </c>
      <c r="R81" s="51"/>
      <c r="S81" s="51"/>
      <c r="T81" s="51"/>
      <c r="U81" s="27" t="str">
        <f t="shared" si="19"/>
        <v/>
      </c>
    </row>
    <row r="82" spans="1:21">
      <c r="A82" s="52">
        <f t="shared" si="11"/>
        <v>21</v>
      </c>
      <c r="C82" s="61">
        <v>4.4609999999999997E-2</v>
      </c>
      <c r="D82" s="61">
        <v>0</v>
      </c>
      <c r="G82" s="27"/>
      <c r="H82" s="27"/>
      <c r="I82" s="27"/>
      <c r="J82" s="27"/>
      <c r="K82" s="27"/>
      <c r="L82" s="27"/>
      <c r="M82" s="27"/>
      <c r="N82" s="27"/>
      <c r="O82" s="27"/>
      <c r="P82" s="27" t="str">
        <f t="shared" si="17"/>
        <v/>
      </c>
      <c r="Q82" s="27" t="str">
        <f t="shared" si="18"/>
        <v/>
      </c>
      <c r="R82" s="51"/>
      <c r="S82" s="51"/>
      <c r="T82" s="51"/>
      <c r="U82" s="27" t="str">
        <f t="shared" si="19"/>
        <v/>
      </c>
    </row>
    <row r="83" spans="1:21">
      <c r="A83" s="52">
        <f t="shared" si="11"/>
        <v>22</v>
      </c>
      <c r="C83" s="61">
        <v>4.462E-2</v>
      </c>
      <c r="D83" s="61">
        <v>0</v>
      </c>
      <c r="G83" s="27"/>
      <c r="H83" s="27"/>
      <c r="I83" s="27"/>
      <c r="J83" s="27"/>
      <c r="K83" s="27"/>
      <c r="L83" s="27"/>
      <c r="M83" s="27"/>
      <c r="N83" s="27"/>
      <c r="O83" s="27"/>
      <c r="P83" s="27" t="str">
        <f t="shared" si="17"/>
        <v/>
      </c>
      <c r="Q83" s="27" t="str">
        <f t="shared" si="18"/>
        <v/>
      </c>
      <c r="R83" s="51"/>
      <c r="S83" s="51"/>
      <c r="T83" s="51"/>
      <c r="U83" s="27" t="str">
        <f t="shared" si="19"/>
        <v/>
      </c>
    </row>
    <row r="84" spans="1:21">
      <c r="A84" s="52">
        <f t="shared" si="11"/>
        <v>23</v>
      </c>
      <c r="C84" s="61">
        <v>4.4609999999999997E-2</v>
      </c>
      <c r="D84" s="61">
        <v>0</v>
      </c>
      <c r="G84" s="27"/>
      <c r="H84" s="27"/>
      <c r="I84" s="27"/>
      <c r="J84" s="27"/>
      <c r="K84" s="27"/>
      <c r="L84" s="27"/>
      <c r="M84" s="27"/>
      <c r="N84" s="27"/>
      <c r="O84" s="27"/>
      <c r="P84" s="27" t="str">
        <f t="shared" si="17"/>
        <v/>
      </c>
      <c r="Q84" s="27" t="str">
        <f t="shared" si="18"/>
        <v/>
      </c>
      <c r="R84" s="51"/>
      <c r="S84" s="51"/>
      <c r="T84" s="51"/>
      <c r="U84" s="27" t="str">
        <f t="shared" si="19"/>
        <v/>
      </c>
    </row>
    <row r="85" spans="1:21">
      <c r="A85" s="52">
        <f t="shared" si="11"/>
        <v>24</v>
      </c>
      <c r="C85" s="61">
        <v>2.231E-2</v>
      </c>
      <c r="D85" s="61">
        <v>0</v>
      </c>
      <c r="G85" s="27"/>
      <c r="H85" s="27"/>
      <c r="I85" s="27"/>
      <c r="J85" s="27"/>
      <c r="K85" s="27"/>
      <c r="L85" s="27"/>
      <c r="M85" s="27"/>
      <c r="N85" s="27"/>
      <c r="O85" s="27"/>
      <c r="P85" s="27" t="str">
        <f t="shared" si="17"/>
        <v/>
      </c>
      <c r="Q85" s="27" t="str">
        <f t="shared" si="18"/>
        <v/>
      </c>
      <c r="R85" s="51"/>
      <c r="S85" s="51"/>
      <c r="T85" s="51"/>
      <c r="U85" s="27" t="str">
        <f t="shared" si="19"/>
        <v/>
      </c>
    </row>
    <row r="86" spans="1:21">
      <c r="A86" s="52">
        <f t="shared" si="11"/>
        <v>25</v>
      </c>
      <c r="C86" s="61">
        <v>0</v>
      </c>
      <c r="D86" s="61">
        <v>0</v>
      </c>
      <c r="H86" s="27"/>
      <c r="I86" s="27"/>
      <c r="J86" s="27"/>
      <c r="K86" s="27"/>
      <c r="L86" s="27"/>
      <c r="M86" s="27"/>
      <c r="N86" s="27"/>
      <c r="O86" s="27"/>
      <c r="P86" s="27" t="str">
        <f t="shared" si="17"/>
        <v/>
      </c>
      <c r="Q86" s="27" t="str">
        <f t="shared" si="18"/>
        <v/>
      </c>
      <c r="R86" s="51"/>
      <c r="S86" s="51"/>
      <c r="T86" s="51"/>
      <c r="U86" s="27" t="str">
        <f t="shared" si="19"/>
        <v/>
      </c>
    </row>
    <row r="87" spans="1:21">
      <c r="A87" s="52">
        <f t="shared" si="11"/>
        <v>26</v>
      </c>
      <c r="C87" s="61">
        <v>0</v>
      </c>
      <c r="I87" s="27"/>
      <c r="J87" s="27"/>
      <c r="K87" s="27"/>
      <c r="L87" s="27"/>
      <c r="M87" s="27"/>
      <c r="P87" s="27" t="str">
        <f t="shared" si="17"/>
        <v/>
      </c>
      <c r="Q87" s="27" t="str">
        <f t="shared" si="18"/>
        <v/>
      </c>
      <c r="R87" s="51"/>
      <c r="S87" s="51"/>
      <c r="T87" s="51"/>
      <c r="U87" s="27" t="str">
        <f t="shared" si="19"/>
        <v/>
      </c>
    </row>
    <row r="88" spans="1:21">
      <c r="A88" s="52">
        <f t="shared" si="11"/>
        <v>27</v>
      </c>
      <c r="C88" s="61">
        <v>0</v>
      </c>
      <c r="J88" s="27"/>
      <c r="K88" s="27"/>
      <c r="L88" s="27"/>
      <c r="M88" s="27"/>
      <c r="P88" s="27" t="str">
        <f t="shared" si="17"/>
        <v/>
      </c>
      <c r="Q88" s="27" t="str">
        <f t="shared" si="18"/>
        <v/>
      </c>
      <c r="R88" s="51"/>
      <c r="S88" s="51"/>
      <c r="T88" s="51"/>
      <c r="U88" s="27" t="str">
        <f t="shared" si="19"/>
        <v/>
      </c>
    </row>
    <row r="89" spans="1:21">
      <c r="A89" s="52">
        <f t="shared" si="11"/>
        <v>28</v>
      </c>
      <c r="C89" s="61">
        <v>0</v>
      </c>
      <c r="K89" s="27"/>
      <c r="L89" s="27"/>
      <c r="M89" s="27"/>
      <c r="P89" s="27" t="str">
        <f t="shared" si="17"/>
        <v/>
      </c>
      <c r="Q89" s="27" t="str">
        <f t="shared" si="18"/>
        <v/>
      </c>
      <c r="R89" s="51"/>
      <c r="S89" s="51"/>
      <c r="T89" s="51"/>
      <c r="U89" s="27" t="str">
        <f t="shared" si="19"/>
        <v/>
      </c>
    </row>
    <row r="90" spans="1:21">
      <c r="A90" s="52">
        <f t="shared" si="11"/>
        <v>29</v>
      </c>
      <c r="C90" s="61">
        <v>0</v>
      </c>
      <c r="L90" s="27"/>
      <c r="M90" s="27"/>
      <c r="P90" s="27" t="str">
        <f t="shared" si="17"/>
        <v/>
      </c>
      <c r="Q90" s="27" t="str">
        <f t="shared" si="18"/>
        <v/>
      </c>
      <c r="R90" s="51"/>
      <c r="S90" s="51"/>
      <c r="T90" s="51"/>
      <c r="U90" s="27" t="str">
        <f t="shared" si="19"/>
        <v/>
      </c>
    </row>
    <row r="91" spans="1:21">
      <c r="A91" s="52">
        <f t="shared" si="11"/>
        <v>30</v>
      </c>
      <c r="C91" s="61">
        <v>0</v>
      </c>
      <c r="M91" s="27"/>
      <c r="P91" s="27" t="str">
        <f t="shared" si="17"/>
        <v/>
      </c>
      <c r="Q91" s="27" t="str">
        <f t="shared" si="18"/>
        <v/>
      </c>
      <c r="U91" s="27" t="str">
        <f t="shared" si="19"/>
        <v/>
      </c>
    </row>
    <row r="92" spans="1:21">
      <c r="A92" s="52">
        <f t="shared" si="11"/>
        <v>31</v>
      </c>
      <c r="G92" s="27">
        <f t="shared" ref="G92:Q92" si="20">SUM(G65:G91)</f>
        <v>0</v>
      </c>
      <c r="H92" s="27">
        <f t="shared" si="20"/>
        <v>0</v>
      </c>
      <c r="I92" s="27">
        <f t="shared" si="20"/>
        <v>0</v>
      </c>
      <c r="J92" s="27">
        <f t="shared" si="20"/>
        <v>0</v>
      </c>
      <c r="K92" s="27">
        <f t="shared" si="20"/>
        <v>0</v>
      </c>
      <c r="L92" s="27">
        <f t="shared" si="20"/>
        <v>2372289.0393749997</v>
      </c>
      <c r="M92" s="27">
        <f t="shared" si="20"/>
        <v>2372289.0393749997</v>
      </c>
      <c r="N92" s="27">
        <f t="shared" si="20"/>
        <v>187096.43000000002</v>
      </c>
      <c r="O92" s="27">
        <f t="shared" si="20"/>
        <v>36231.528838500009</v>
      </c>
      <c r="P92" s="27">
        <f t="shared" si="20"/>
        <v>2523153.9405365</v>
      </c>
      <c r="Q92" s="27">
        <f t="shared" si="20"/>
        <v>151389.23643218999</v>
      </c>
      <c r="R92" s="27"/>
      <c r="S92" s="27"/>
      <c r="T92" s="27"/>
      <c r="U92" s="27"/>
    </row>
    <row r="93" spans="1:21">
      <c r="H93" s="27"/>
      <c r="I93" s="27"/>
      <c r="J93" s="27"/>
      <c r="K93" s="27"/>
      <c r="L93" s="27"/>
      <c r="M93" s="27"/>
      <c r="N93" s="27"/>
      <c r="O93" s="27"/>
      <c r="U93" s="27"/>
    </row>
    <row r="94" spans="1:21">
      <c r="I94" s="62"/>
      <c r="J94" s="27"/>
    </row>
    <row r="95" spans="1:21">
      <c r="B95" s="60" t="s">
        <v>166</v>
      </c>
      <c r="C95" s="52" t="s">
        <v>229</v>
      </c>
    </row>
    <row r="96" spans="1:21">
      <c r="B96" s="60" t="s">
        <v>167</v>
      </c>
      <c r="C96" s="52" t="s">
        <v>230</v>
      </c>
    </row>
    <row r="97" spans="2:3">
      <c r="B97" s="60" t="s">
        <v>168</v>
      </c>
      <c r="C97" s="52" t="s">
        <v>231</v>
      </c>
    </row>
    <row r="98" spans="2:3">
      <c r="B98" s="60" t="s">
        <v>177</v>
      </c>
      <c r="C98" s="52" t="s">
        <v>232</v>
      </c>
    </row>
    <row r="99" spans="2:3">
      <c r="B99" s="60" t="s">
        <v>213</v>
      </c>
      <c r="C99" s="52" t="s">
        <v>233</v>
      </c>
    </row>
    <row r="100" spans="2:3">
      <c r="B100" s="60" t="s">
        <v>228</v>
      </c>
      <c r="C100" s="52" t="s">
        <v>235</v>
      </c>
    </row>
  </sheetData>
  <mergeCells count="1">
    <mergeCell ref="G63:N63"/>
  </mergeCells>
  <pageMargins left="0.7" right="0.7" top="0.75" bottom="0.75" header="0.3" footer="0.3"/>
  <pageSetup scale="39" orientation="landscape" r:id="rId1"/>
  <headerFooter>
    <oddFooter>&amp;R&amp;"Times New Roman,Bold"&amp;12Exhibit CMG-5
Page 12 of 12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9" tint="0.39997558519241921"/>
  </sheetPr>
  <dimension ref="A1:X79"/>
  <sheetViews>
    <sheetView workbookViewId="0"/>
  </sheetViews>
  <sheetFormatPr defaultColWidth="9.140625" defaultRowHeight="12.75"/>
  <cols>
    <col min="1" max="1" width="10.85546875" style="28" bestFit="1" customWidth="1"/>
    <col min="2" max="2" width="11.85546875" style="28" bestFit="1" customWidth="1"/>
    <col min="3" max="3" width="32.85546875" style="28" bestFit="1" customWidth="1"/>
    <col min="4" max="4" width="5.5703125" style="28" bestFit="1" customWidth="1"/>
    <col min="5" max="16" width="11.85546875" style="28" bestFit="1" customWidth="1"/>
    <col min="17" max="17" width="12.85546875" style="28" bestFit="1" customWidth="1"/>
    <col min="18" max="18" width="9.140625" style="28"/>
    <col min="19" max="19" width="17.5703125" style="28" bestFit="1" customWidth="1"/>
    <col min="20" max="20" width="14" style="28" customWidth="1"/>
    <col min="21" max="21" width="12.85546875" style="28" customWidth="1"/>
    <col min="22" max="22" width="13.140625" style="28" customWidth="1"/>
    <col min="23" max="16384" width="9.140625" style="28"/>
  </cols>
  <sheetData>
    <row r="1" spans="1:21" s="177" customFormat="1">
      <c r="A1" s="175" t="s">
        <v>7</v>
      </c>
      <c r="B1" s="175" t="s">
        <v>109</v>
      </c>
      <c r="C1" s="175" t="s">
        <v>110</v>
      </c>
      <c r="D1" s="175" t="s">
        <v>27</v>
      </c>
      <c r="E1" s="176" t="s">
        <v>86</v>
      </c>
      <c r="F1" s="176" t="s">
        <v>87</v>
      </c>
      <c r="G1" s="176" t="s">
        <v>99</v>
      </c>
      <c r="H1" s="176" t="s">
        <v>100</v>
      </c>
      <c r="I1" s="176" t="s">
        <v>88</v>
      </c>
      <c r="J1" s="176" t="s">
        <v>101</v>
      </c>
      <c r="K1" s="176" t="s">
        <v>102</v>
      </c>
      <c r="L1" s="176" t="s">
        <v>90</v>
      </c>
      <c r="M1" s="176" t="s">
        <v>111</v>
      </c>
      <c r="N1" s="176" t="s">
        <v>92</v>
      </c>
      <c r="O1" s="176" t="s">
        <v>93</v>
      </c>
      <c r="P1" s="176" t="s">
        <v>94</v>
      </c>
      <c r="Q1" s="176" t="s">
        <v>3</v>
      </c>
    </row>
    <row r="2" spans="1:21">
      <c r="A2" s="178" t="s">
        <v>112</v>
      </c>
      <c r="S2" s="28" t="s">
        <v>763</v>
      </c>
      <c r="U2" s="642" t="s">
        <v>762</v>
      </c>
    </row>
    <row r="3" spans="1:21">
      <c r="B3" s="233" t="s">
        <v>123</v>
      </c>
      <c r="C3" s="233" t="s">
        <v>124</v>
      </c>
      <c r="D3" s="28">
        <v>2017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179">
        <f t="shared" ref="Q3:Q18" si="0">SUM(E3:P3)</f>
        <v>0</v>
      </c>
      <c r="S3" s="179">
        <f>SUM(K3:P3)</f>
        <v>0</v>
      </c>
    </row>
    <row r="4" spans="1:21">
      <c r="B4" s="233" t="s">
        <v>126</v>
      </c>
      <c r="C4" s="233" t="s">
        <v>127</v>
      </c>
      <c r="D4" s="28">
        <v>2017</v>
      </c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179">
        <f t="shared" si="0"/>
        <v>0</v>
      </c>
      <c r="S4" s="179">
        <f t="shared" ref="S4:S19" si="1">SUM(K4:P4)</f>
        <v>0</v>
      </c>
    </row>
    <row r="5" spans="1:21">
      <c r="B5" s="233" t="s">
        <v>128</v>
      </c>
      <c r="C5" s="233" t="s">
        <v>129</v>
      </c>
      <c r="D5" s="28">
        <v>2017</v>
      </c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250">
        <f t="shared" si="0"/>
        <v>0</v>
      </c>
      <c r="R5" s="28" t="s">
        <v>455</v>
      </c>
      <c r="S5" s="179">
        <f t="shared" si="1"/>
        <v>0</v>
      </c>
      <c r="T5"/>
      <c r="U5"/>
    </row>
    <row r="6" spans="1:21">
      <c r="A6" s="28">
        <v>376</v>
      </c>
      <c r="B6" s="411" t="s">
        <v>130</v>
      </c>
      <c r="C6" s="411" t="s">
        <v>131</v>
      </c>
      <c r="D6" s="28">
        <v>2017</v>
      </c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250">
        <f t="shared" si="0"/>
        <v>0</v>
      </c>
      <c r="R6" s="28" t="s">
        <v>455</v>
      </c>
      <c r="S6" s="179">
        <f t="shared" si="1"/>
        <v>0</v>
      </c>
      <c r="T6"/>
      <c r="U6"/>
    </row>
    <row r="7" spans="1:21">
      <c r="B7" s="233" t="s">
        <v>192</v>
      </c>
      <c r="C7" s="233" t="s">
        <v>193</v>
      </c>
      <c r="D7" s="28">
        <v>2017</v>
      </c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250">
        <f t="shared" si="0"/>
        <v>0</v>
      </c>
      <c r="R7" s="28" t="s">
        <v>455</v>
      </c>
      <c r="S7" s="179">
        <f t="shared" si="1"/>
        <v>0</v>
      </c>
      <c r="T7"/>
      <c r="U7"/>
    </row>
    <row r="8" spans="1:21">
      <c r="B8" s="237" t="s">
        <v>114</v>
      </c>
      <c r="C8" s="237" t="s">
        <v>115</v>
      </c>
      <c r="D8" s="28">
        <v>2017</v>
      </c>
      <c r="E8" s="179">
        <v>228764</v>
      </c>
      <c r="F8" s="179">
        <v>113240.16000000015</v>
      </c>
      <c r="G8" s="179">
        <v>242232.45999999996</v>
      </c>
      <c r="H8" s="179">
        <v>270778.31000000052</v>
      </c>
      <c r="I8" s="179">
        <v>186266.41999999899</v>
      </c>
      <c r="J8" s="179">
        <v>164938.8200000003</v>
      </c>
      <c r="K8" s="179">
        <v>178208.03</v>
      </c>
      <c r="L8" s="179">
        <v>216686.65</v>
      </c>
      <c r="M8" s="179">
        <v>242194.71000000002</v>
      </c>
      <c r="N8" s="179">
        <v>274861.59999999998</v>
      </c>
      <c r="O8" s="179">
        <v>146568.65999999992</v>
      </c>
      <c r="P8" s="179">
        <v>171112.55000000005</v>
      </c>
      <c r="Q8" s="250">
        <f>SUM(E8:P8)</f>
        <v>2435852.3699999992</v>
      </c>
      <c r="R8" s="28" t="s">
        <v>455</v>
      </c>
      <c r="S8" s="179">
        <f t="shared" si="1"/>
        <v>1229632.2</v>
      </c>
      <c r="T8"/>
      <c r="U8"/>
    </row>
    <row r="9" spans="1:21">
      <c r="B9" s="237" t="s">
        <v>116</v>
      </c>
      <c r="C9" s="237" t="s">
        <v>117</v>
      </c>
      <c r="D9" s="28">
        <v>2017</v>
      </c>
      <c r="E9" s="179">
        <v>5789.1300000000047</v>
      </c>
      <c r="F9" s="179">
        <v>6097</v>
      </c>
      <c r="G9" s="179">
        <v>1717.2200000000012</v>
      </c>
      <c r="H9" s="179">
        <v>5594.9100000000035</v>
      </c>
      <c r="I9" s="179">
        <v>1216.3999999999942</v>
      </c>
      <c r="J9" s="179">
        <v>3702.070000000007</v>
      </c>
      <c r="K9" s="179">
        <v>-11129.050000000001</v>
      </c>
      <c r="L9" s="179">
        <v>18151.579999999998</v>
      </c>
      <c r="M9" s="179">
        <v>0</v>
      </c>
      <c r="N9" s="179">
        <v>2053.87</v>
      </c>
      <c r="O9" s="179">
        <v>2107.2100000000009</v>
      </c>
      <c r="P9" s="179">
        <v>2277.1800000000003</v>
      </c>
      <c r="Q9" s="250">
        <f t="shared" si="0"/>
        <v>37577.520000000011</v>
      </c>
      <c r="R9" s="28" t="s">
        <v>455</v>
      </c>
      <c r="S9" s="179">
        <f t="shared" si="1"/>
        <v>13460.789999999999</v>
      </c>
      <c r="T9"/>
      <c r="U9"/>
    </row>
    <row r="10" spans="1:21">
      <c r="B10" s="237" t="s">
        <v>118</v>
      </c>
      <c r="C10" s="237" t="s">
        <v>119</v>
      </c>
      <c r="D10" s="28">
        <v>2017</v>
      </c>
      <c r="E10" s="179">
        <v>581.79000000000815</v>
      </c>
      <c r="F10" s="179">
        <v>7402.1999999999825</v>
      </c>
      <c r="G10" s="179">
        <v>8468.9800000000105</v>
      </c>
      <c r="H10" s="179">
        <v>1043.9499999999825</v>
      </c>
      <c r="I10" s="179">
        <v>9023.570000000007</v>
      </c>
      <c r="J10" s="179">
        <v>0</v>
      </c>
      <c r="K10" s="179">
        <v>41689.47</v>
      </c>
      <c r="L10" s="179">
        <v>5161.7299999999959</v>
      </c>
      <c r="M10" s="179">
        <v>-1411.6999999999971</v>
      </c>
      <c r="N10" s="179">
        <v>534.76000000000204</v>
      </c>
      <c r="O10" s="179">
        <v>-1401.3899999999994</v>
      </c>
      <c r="P10" s="179">
        <v>8962.43</v>
      </c>
      <c r="Q10" s="250">
        <f t="shared" si="0"/>
        <v>80055.790000000008</v>
      </c>
      <c r="R10" s="28" t="s">
        <v>455</v>
      </c>
      <c r="S10" s="179">
        <f t="shared" si="1"/>
        <v>53535.3</v>
      </c>
      <c r="T10"/>
      <c r="U10"/>
    </row>
    <row r="11" spans="1:21">
      <c r="B11" s="237" t="s">
        <v>120</v>
      </c>
      <c r="C11" s="237" t="s">
        <v>121</v>
      </c>
      <c r="D11" s="28">
        <v>2017</v>
      </c>
      <c r="E11" s="179">
        <v>396106.8900000006</v>
      </c>
      <c r="F11" s="179">
        <v>462578.48000000045</v>
      </c>
      <c r="G11" s="179">
        <v>382900.55999999866</v>
      </c>
      <c r="H11" s="179">
        <v>352185.10000000149</v>
      </c>
      <c r="I11" s="179">
        <v>304538.59999999963</v>
      </c>
      <c r="J11" s="179">
        <v>307815.5700000003</v>
      </c>
      <c r="K11" s="179">
        <v>306901.28000000003</v>
      </c>
      <c r="L11" s="179">
        <v>308028.39</v>
      </c>
      <c r="M11" s="179">
        <v>337339.0199999999</v>
      </c>
      <c r="N11" s="179">
        <v>494973.42000000016</v>
      </c>
      <c r="O11" s="179">
        <v>479984.35999999987</v>
      </c>
      <c r="P11" s="179">
        <v>531075.55999999982</v>
      </c>
      <c r="Q11" s="249">
        <f t="shared" si="0"/>
        <v>4664427.2300000014</v>
      </c>
      <c r="R11" s="28" t="s">
        <v>454</v>
      </c>
      <c r="S11" s="179">
        <f t="shared" si="1"/>
        <v>2458302.0299999998</v>
      </c>
      <c r="T11"/>
      <c r="U11"/>
    </row>
    <row r="12" spans="1:21">
      <c r="B12" s="237" t="s">
        <v>122</v>
      </c>
      <c r="C12" s="237" t="s">
        <v>219</v>
      </c>
      <c r="D12" s="28">
        <v>2017</v>
      </c>
      <c r="E12" s="179">
        <v>1732.6600000000035</v>
      </c>
      <c r="F12" s="179">
        <v>590.23999999999069</v>
      </c>
      <c r="G12" s="179">
        <v>4634.1000000000058</v>
      </c>
      <c r="H12" s="179">
        <v>3289.3500000000058</v>
      </c>
      <c r="I12" s="179">
        <v>254.82000000000698</v>
      </c>
      <c r="J12" s="179">
        <v>1484.9400000000023</v>
      </c>
      <c r="K12" s="179">
        <v>-2920.12</v>
      </c>
      <c r="L12" s="179">
        <v>7558.4</v>
      </c>
      <c r="M12" s="179">
        <v>3637.5199999999995</v>
      </c>
      <c r="N12" s="179">
        <v>1665.8400000000001</v>
      </c>
      <c r="O12" s="179">
        <v>12133.46</v>
      </c>
      <c r="P12" s="179">
        <v>30537.520000000004</v>
      </c>
      <c r="Q12" s="249">
        <f t="shared" si="0"/>
        <v>64598.730000000018</v>
      </c>
      <c r="R12" s="28" t="s">
        <v>454</v>
      </c>
      <c r="S12" s="179">
        <f t="shared" si="1"/>
        <v>52612.62</v>
      </c>
      <c r="T12"/>
      <c r="U12"/>
    </row>
    <row r="13" spans="1:21">
      <c r="B13" s="237" t="s">
        <v>294</v>
      </c>
      <c r="C13" s="238" t="s">
        <v>350</v>
      </c>
      <c r="D13" s="28">
        <v>2017</v>
      </c>
      <c r="E13" s="179">
        <v>1481.4799999999959</v>
      </c>
      <c r="F13" s="179">
        <v>332.63000000000466</v>
      </c>
      <c r="G13" s="179">
        <v>517.33000000000175</v>
      </c>
      <c r="H13" s="179">
        <v>0</v>
      </c>
      <c r="I13" s="179">
        <v>0</v>
      </c>
      <c r="J13" s="179">
        <v>520.22000000000116</v>
      </c>
      <c r="K13" s="179">
        <v>-1037.55</v>
      </c>
      <c r="L13" s="179">
        <v>1037.55</v>
      </c>
      <c r="M13" s="179">
        <v>0</v>
      </c>
      <c r="N13" s="179">
        <v>0</v>
      </c>
      <c r="O13" s="179">
        <v>0</v>
      </c>
      <c r="P13" s="179">
        <v>0</v>
      </c>
      <c r="Q13" s="249">
        <f t="shared" si="0"/>
        <v>2851.6600000000035</v>
      </c>
      <c r="R13" s="28" t="s">
        <v>454</v>
      </c>
      <c r="S13" s="179">
        <f t="shared" si="1"/>
        <v>0</v>
      </c>
      <c r="T13"/>
      <c r="U13"/>
    </row>
    <row r="14" spans="1:21">
      <c r="B14" s="234" t="s">
        <v>123</v>
      </c>
      <c r="C14" s="234" t="s">
        <v>124</v>
      </c>
      <c r="D14" s="28">
        <v>2017</v>
      </c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179">
        <f t="shared" si="0"/>
        <v>0</v>
      </c>
      <c r="S14" s="179">
        <f t="shared" si="1"/>
        <v>0</v>
      </c>
      <c r="T14"/>
      <c r="U14"/>
    </row>
    <row r="15" spans="1:21">
      <c r="B15" s="240" t="s">
        <v>125</v>
      </c>
      <c r="C15" s="240" t="s">
        <v>169</v>
      </c>
      <c r="D15" s="28">
        <v>2017</v>
      </c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249">
        <f t="shared" si="0"/>
        <v>0</v>
      </c>
      <c r="R15" s="28" t="s">
        <v>454</v>
      </c>
      <c r="S15" s="179">
        <f t="shared" si="1"/>
        <v>0</v>
      </c>
      <c r="T15"/>
      <c r="U15"/>
    </row>
    <row r="16" spans="1:21">
      <c r="B16" s="234" t="s">
        <v>192</v>
      </c>
      <c r="C16" s="234" t="s">
        <v>193</v>
      </c>
      <c r="D16" s="28">
        <v>2017</v>
      </c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250">
        <f t="shared" si="0"/>
        <v>0</v>
      </c>
      <c r="R16" s="28" t="s">
        <v>455</v>
      </c>
      <c r="S16" s="179">
        <f t="shared" si="1"/>
        <v>0</v>
      </c>
      <c r="T16"/>
      <c r="U16"/>
    </row>
    <row r="17" spans="1:24">
      <c r="A17" s="28">
        <v>380</v>
      </c>
      <c r="B17" s="234" t="s">
        <v>130</v>
      </c>
      <c r="C17" s="234" t="s">
        <v>131</v>
      </c>
      <c r="D17" s="28">
        <v>2017</v>
      </c>
      <c r="E17" s="179">
        <v>56481.599999999627</v>
      </c>
      <c r="F17" s="179">
        <v>62456</v>
      </c>
      <c r="G17" s="179">
        <v>71724.320000000298</v>
      </c>
      <c r="H17" s="179">
        <v>61714.639999999665</v>
      </c>
      <c r="I17" s="179">
        <v>96177.680000000633</v>
      </c>
      <c r="J17" s="179">
        <v>56137.519999999553</v>
      </c>
      <c r="K17" s="179">
        <v>74386.399999999994</v>
      </c>
      <c r="L17" s="179">
        <v>268033.94000000006</v>
      </c>
      <c r="M17" s="179">
        <v>133246.21999999997</v>
      </c>
      <c r="N17" s="179">
        <v>196773.81</v>
      </c>
      <c r="O17" s="179">
        <v>86670.760000000009</v>
      </c>
      <c r="P17" s="179">
        <v>222390.31999999995</v>
      </c>
      <c r="Q17" s="250">
        <f t="shared" si="0"/>
        <v>1386193.21</v>
      </c>
      <c r="R17" s="28" t="s">
        <v>455</v>
      </c>
      <c r="S17" s="179">
        <f t="shared" si="1"/>
        <v>981501.45000000007</v>
      </c>
      <c r="T17"/>
      <c r="U17"/>
    </row>
    <row r="18" spans="1:24">
      <c r="B18" s="235" t="s">
        <v>132</v>
      </c>
      <c r="C18" s="234" t="s">
        <v>133</v>
      </c>
      <c r="D18" s="28">
        <v>2017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-17369.669999999998</v>
      </c>
      <c r="L18" s="179">
        <v>17369.669999999998</v>
      </c>
      <c r="M18" s="179">
        <v>0</v>
      </c>
      <c r="N18" s="179">
        <v>0</v>
      </c>
      <c r="O18" s="179">
        <v>0</v>
      </c>
      <c r="P18" s="179">
        <v>0</v>
      </c>
      <c r="Q18" s="250">
        <f t="shared" si="0"/>
        <v>0</v>
      </c>
      <c r="R18" s="28" t="s">
        <v>455</v>
      </c>
      <c r="S18" s="179">
        <f t="shared" si="1"/>
        <v>0</v>
      </c>
      <c r="T18"/>
      <c r="U18"/>
    </row>
    <row r="19" spans="1:24">
      <c r="B19" s="234" t="s">
        <v>348</v>
      </c>
      <c r="C19" s="236" t="s">
        <v>349</v>
      </c>
      <c r="D19" s="28">
        <v>2017</v>
      </c>
      <c r="E19" s="241">
        <v>0</v>
      </c>
      <c r="F19" s="241">
        <v>0</v>
      </c>
      <c r="G19" s="180">
        <v>615.03000000000247</v>
      </c>
      <c r="H19" s="180">
        <v>0</v>
      </c>
      <c r="I19" s="180">
        <v>67.099999999998545</v>
      </c>
      <c r="J19" s="180">
        <v>-0.33000000000174623</v>
      </c>
      <c r="K19" s="641"/>
      <c r="L19" s="641"/>
      <c r="M19" s="641"/>
      <c r="N19" s="641"/>
      <c r="O19" s="641"/>
      <c r="P19" s="641"/>
      <c r="Q19" s="251">
        <f>SUM(E19:P19)</f>
        <v>681.79999999999927</v>
      </c>
      <c r="R19" s="28" t="s">
        <v>455</v>
      </c>
      <c r="S19" s="179">
        <f t="shared" si="1"/>
        <v>0</v>
      </c>
    </row>
    <row r="20" spans="1:24">
      <c r="C20" s="29" t="s">
        <v>134</v>
      </c>
      <c r="E20" s="181">
        <f t="shared" ref="E20:P20" si="2">SUM(E3:E19)</f>
        <v>690937.55000000028</v>
      </c>
      <c r="F20" s="181">
        <f t="shared" si="2"/>
        <v>652696.71000000054</v>
      </c>
      <c r="G20" s="181">
        <f t="shared" si="2"/>
        <v>712809.99999999884</v>
      </c>
      <c r="H20" s="181">
        <f t="shared" si="2"/>
        <v>694606.26000000164</v>
      </c>
      <c r="I20" s="181">
        <f t="shared" si="2"/>
        <v>597544.58999999927</v>
      </c>
      <c r="J20" s="181">
        <f t="shared" si="2"/>
        <v>534598.81000000017</v>
      </c>
      <c r="K20" s="181">
        <f t="shared" si="2"/>
        <v>568728.79</v>
      </c>
      <c r="L20" s="181">
        <f t="shared" si="2"/>
        <v>842027.91000000015</v>
      </c>
      <c r="M20" s="181">
        <f t="shared" si="2"/>
        <v>715005.7699999999</v>
      </c>
      <c r="N20" s="181">
        <f t="shared" si="2"/>
        <v>970863.3</v>
      </c>
      <c r="O20" s="181">
        <f t="shared" si="2"/>
        <v>726063.05999999982</v>
      </c>
      <c r="P20" s="181">
        <f t="shared" si="2"/>
        <v>966355.55999999982</v>
      </c>
      <c r="Q20" s="181">
        <f>SUM(Q3:Q19)</f>
        <v>8672238.3100000024</v>
      </c>
    </row>
    <row r="21" spans="1:24">
      <c r="C21" s="29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24">
      <c r="C22" s="29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24">
      <c r="A23" s="182" t="s">
        <v>113</v>
      </c>
      <c r="B23" s="182" t="s">
        <v>322</v>
      </c>
      <c r="C23" s="182"/>
      <c r="D23" s="182">
        <v>2017</v>
      </c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179">
        <f>SUM(E23:P23)</f>
        <v>0</v>
      </c>
      <c r="R23" s="28" t="s">
        <v>222</v>
      </c>
      <c r="S23" s="179">
        <f>SUM(K23:P23)</f>
        <v>0</v>
      </c>
    </row>
    <row r="24" spans="1:24"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S24" s="179"/>
    </row>
    <row r="25" spans="1:24">
      <c r="A25" s="178" t="s">
        <v>37</v>
      </c>
      <c r="S25" s="179"/>
      <c r="T25"/>
      <c r="U25"/>
      <c r="V25"/>
      <c r="W25"/>
      <c r="X25"/>
    </row>
    <row r="26" spans="1:24">
      <c r="A26" s="28" t="s">
        <v>135</v>
      </c>
      <c r="B26" s="239" t="s">
        <v>123</v>
      </c>
      <c r="C26" s="239" t="s">
        <v>124</v>
      </c>
      <c r="D26" s="28">
        <v>2017</v>
      </c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179">
        <f t="shared" ref="Q26:Q31" si="3">SUM(E26:P26)</f>
        <v>0</v>
      </c>
      <c r="S26" s="179">
        <f t="shared" ref="S26:S31" si="4">SUM(K26:P26)</f>
        <v>0</v>
      </c>
      <c r="T26"/>
      <c r="U26"/>
      <c r="V26"/>
      <c r="W26"/>
      <c r="X26"/>
    </row>
    <row r="27" spans="1:24">
      <c r="A27" s="28" t="s">
        <v>135</v>
      </c>
      <c r="B27" s="239" t="s">
        <v>126</v>
      </c>
      <c r="C27" s="239" t="s">
        <v>127</v>
      </c>
      <c r="D27" s="28">
        <v>2017</v>
      </c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179">
        <f t="shared" si="3"/>
        <v>0</v>
      </c>
      <c r="S27" s="179">
        <f t="shared" si="4"/>
        <v>0</v>
      </c>
      <c r="T27"/>
      <c r="U27"/>
      <c r="V27"/>
      <c r="W27"/>
      <c r="X27"/>
    </row>
    <row r="28" spans="1:24">
      <c r="A28" s="28" t="s">
        <v>135</v>
      </c>
      <c r="B28" s="239" t="s">
        <v>128</v>
      </c>
      <c r="C28" s="239" t="s">
        <v>129</v>
      </c>
      <c r="D28" s="28">
        <v>2017</v>
      </c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179">
        <f t="shared" si="3"/>
        <v>0</v>
      </c>
      <c r="S28" s="179">
        <f t="shared" si="4"/>
        <v>0</v>
      </c>
      <c r="T28"/>
      <c r="U28"/>
      <c r="V28"/>
      <c r="W28"/>
      <c r="X28"/>
    </row>
    <row r="29" spans="1:24">
      <c r="A29" s="28" t="s">
        <v>135</v>
      </c>
      <c r="B29" s="242" t="s">
        <v>130</v>
      </c>
      <c r="C29" s="242" t="s">
        <v>131</v>
      </c>
      <c r="D29" s="28">
        <v>2017</v>
      </c>
      <c r="E29" s="179">
        <v>7714.94</v>
      </c>
      <c r="F29" s="179">
        <v>13634.23</v>
      </c>
      <c r="G29" s="179">
        <v>18500.919999999998</v>
      </c>
      <c r="H29" s="179">
        <v>10452.540000000001</v>
      </c>
      <c r="I29" s="179">
        <v>21963.52</v>
      </c>
      <c r="J29" s="179">
        <v>43551.3</v>
      </c>
      <c r="K29" s="179">
        <v>16158.76</v>
      </c>
      <c r="L29" s="179">
        <v>16083.48</v>
      </c>
      <c r="M29" s="179">
        <v>18536.05</v>
      </c>
      <c r="N29" s="179">
        <v>17341.64</v>
      </c>
      <c r="O29" s="179">
        <v>28010.400000000001</v>
      </c>
      <c r="P29" s="179">
        <v>24027.32</v>
      </c>
      <c r="Q29" s="179">
        <f t="shared" si="3"/>
        <v>235975.1</v>
      </c>
      <c r="S29" s="179">
        <f t="shared" si="4"/>
        <v>120157.65</v>
      </c>
      <c r="T29"/>
      <c r="U29"/>
      <c r="V29"/>
      <c r="W29"/>
      <c r="X29"/>
    </row>
    <row r="30" spans="1:24">
      <c r="A30" s="28" t="s">
        <v>135</v>
      </c>
      <c r="B30" s="242" t="s">
        <v>132</v>
      </c>
      <c r="C30" s="242" t="s">
        <v>133</v>
      </c>
      <c r="D30" s="28">
        <v>2017</v>
      </c>
      <c r="E30" s="179">
        <v>26251.599999999999</v>
      </c>
      <c r="F30" s="179">
        <v>29321.27</v>
      </c>
      <c r="G30" s="179">
        <v>30169.439999999999</v>
      </c>
      <c r="H30" s="179">
        <v>24981.24</v>
      </c>
      <c r="I30" s="179">
        <v>18663.61</v>
      </c>
      <c r="J30" s="179">
        <v>19225.32</v>
      </c>
      <c r="K30" s="179">
        <v>10258.4</v>
      </c>
      <c r="L30" s="179">
        <v>12861.93</v>
      </c>
      <c r="M30" s="179">
        <v>5501.79</v>
      </c>
      <c r="N30" s="179">
        <v>14104.64</v>
      </c>
      <c r="O30" s="179">
        <v>10789.93</v>
      </c>
      <c r="P30" s="179">
        <v>13422.09</v>
      </c>
      <c r="Q30" s="179">
        <f t="shared" si="3"/>
        <v>215551.25999999998</v>
      </c>
      <c r="S30" s="179">
        <f t="shared" si="4"/>
        <v>66938.78</v>
      </c>
      <c r="T30"/>
      <c r="U30"/>
      <c r="V30"/>
      <c r="W30"/>
      <c r="X30"/>
    </row>
    <row r="31" spans="1:24">
      <c r="A31" s="28" t="s">
        <v>135</v>
      </c>
      <c r="B31" s="239" t="s">
        <v>192</v>
      </c>
      <c r="C31" s="239" t="s">
        <v>193</v>
      </c>
      <c r="D31" s="28">
        <v>2017</v>
      </c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180">
        <f t="shared" si="3"/>
        <v>0</v>
      </c>
      <c r="S31" s="179">
        <f t="shared" si="4"/>
        <v>0</v>
      </c>
      <c r="T31"/>
      <c r="U31"/>
      <c r="V31"/>
      <c r="W31"/>
      <c r="X31"/>
    </row>
    <row r="32" spans="1:24">
      <c r="C32" s="29" t="s">
        <v>136</v>
      </c>
      <c r="E32" s="181">
        <f t="shared" ref="E32:Q32" si="5">SUM(E26:E31)</f>
        <v>33966.54</v>
      </c>
      <c r="F32" s="181">
        <f t="shared" si="5"/>
        <v>42955.5</v>
      </c>
      <c r="G32" s="181">
        <f t="shared" si="5"/>
        <v>48670.36</v>
      </c>
      <c r="H32" s="181">
        <f>SUM(H26:H31)</f>
        <v>35433.78</v>
      </c>
      <c r="I32" s="181">
        <f t="shared" si="5"/>
        <v>40627.130000000005</v>
      </c>
      <c r="J32" s="181">
        <f>SUM(J26:J31)</f>
        <v>62776.62</v>
      </c>
      <c r="K32" s="181">
        <f t="shared" si="5"/>
        <v>26417.16</v>
      </c>
      <c r="L32" s="181">
        <f t="shared" si="5"/>
        <v>28945.41</v>
      </c>
      <c r="M32" s="181">
        <f t="shared" si="5"/>
        <v>24037.84</v>
      </c>
      <c r="N32" s="181">
        <f t="shared" si="5"/>
        <v>31446.28</v>
      </c>
      <c r="O32" s="181">
        <f t="shared" si="5"/>
        <v>38800.33</v>
      </c>
      <c r="P32" s="181">
        <f t="shared" si="5"/>
        <v>37449.410000000003</v>
      </c>
      <c r="Q32" s="181">
        <f t="shared" si="5"/>
        <v>451526.36</v>
      </c>
      <c r="S32"/>
      <c r="T32"/>
      <c r="U32"/>
      <c r="V32"/>
      <c r="W32"/>
      <c r="X32"/>
    </row>
    <row r="33" spans="1:24">
      <c r="S33"/>
      <c r="T33"/>
      <c r="U33"/>
      <c r="V33"/>
      <c r="W33"/>
      <c r="X33"/>
    </row>
    <row r="34" spans="1:24">
      <c r="C34" s="29" t="s">
        <v>194</v>
      </c>
      <c r="E34" s="181">
        <f t="shared" ref="E34:O34" si="6">E20+E32+E23</f>
        <v>724904.09000000032</v>
      </c>
      <c r="F34" s="181">
        <f t="shared" si="6"/>
        <v>695652.21000000054</v>
      </c>
      <c r="G34" s="181">
        <f t="shared" si="6"/>
        <v>761480.35999999882</v>
      </c>
      <c r="H34" s="181">
        <f t="shared" si="6"/>
        <v>730040.04000000167</v>
      </c>
      <c r="I34" s="181">
        <f t="shared" si="6"/>
        <v>638171.71999999927</v>
      </c>
      <c r="J34" s="181">
        <f t="shared" si="6"/>
        <v>597375.43000000017</v>
      </c>
      <c r="K34" s="181">
        <f t="shared" si="6"/>
        <v>595145.95000000007</v>
      </c>
      <c r="L34" s="181">
        <f t="shared" si="6"/>
        <v>870973.32000000018</v>
      </c>
      <c r="M34" s="181">
        <f t="shared" si="6"/>
        <v>739043.60999999987</v>
      </c>
      <c r="N34" s="181">
        <f t="shared" si="6"/>
        <v>1002309.5800000001</v>
      </c>
      <c r="O34" s="181">
        <f t="shared" si="6"/>
        <v>764863.38999999978</v>
      </c>
      <c r="P34" s="181">
        <f>P20+P32+P23</f>
        <v>1003804.9699999999</v>
      </c>
      <c r="Q34" s="181">
        <f>Q20+Q32+Q23</f>
        <v>9123764.6700000018</v>
      </c>
      <c r="S34" s="179">
        <f>SUM(S3:S31)</f>
        <v>4976140.82</v>
      </c>
      <c r="T34" s="182"/>
      <c r="U34" s="182"/>
      <c r="V34" s="182"/>
    </row>
    <row r="35" spans="1:24">
      <c r="C35" s="29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24" hidden="1">
      <c r="A36" s="178" t="s">
        <v>112</v>
      </c>
    </row>
    <row r="37" spans="1:24" hidden="1">
      <c r="A37" s="28" t="s">
        <v>113</v>
      </c>
      <c r="B37" s="28" t="s">
        <v>114</v>
      </c>
      <c r="C37" s="28" t="s">
        <v>115</v>
      </c>
      <c r="D37" s="28">
        <v>2018</v>
      </c>
      <c r="E37" s="179">
        <v>186185.53</v>
      </c>
      <c r="F37" s="179">
        <v>160489.14000000001</v>
      </c>
      <c r="G37" s="179">
        <v>169260.06</v>
      </c>
      <c r="H37" s="179">
        <v>162592.25</v>
      </c>
      <c r="I37" s="179">
        <v>176374.84</v>
      </c>
      <c r="J37" s="179">
        <v>158518.10999999999</v>
      </c>
      <c r="K37" s="179">
        <v>159817.35999999999</v>
      </c>
      <c r="L37" s="179">
        <v>186878.72</v>
      </c>
      <c r="M37" s="179">
        <v>162215.48000000001</v>
      </c>
      <c r="N37" s="179">
        <v>180247.71</v>
      </c>
      <c r="O37" s="179">
        <v>167622.68</v>
      </c>
      <c r="P37" s="179">
        <v>157909.67000000001</v>
      </c>
      <c r="Q37" s="179">
        <f t="shared" ref="Q37:Q48" si="7">SUM(E37:P37)</f>
        <v>2028111.5499999998</v>
      </c>
    </row>
    <row r="38" spans="1:24" hidden="1">
      <c r="A38" s="28" t="s">
        <v>113</v>
      </c>
      <c r="B38" s="28" t="s">
        <v>116</v>
      </c>
      <c r="C38" s="28" t="s">
        <v>117</v>
      </c>
      <c r="D38" s="28">
        <v>2018</v>
      </c>
      <c r="E38" s="179">
        <v>12063.07</v>
      </c>
      <c r="F38" s="179">
        <v>8642.9699999999993</v>
      </c>
      <c r="G38" s="179">
        <v>9978.69</v>
      </c>
      <c r="H38" s="179">
        <v>14011.59</v>
      </c>
      <c r="I38" s="179">
        <v>22487.79</v>
      </c>
      <c r="J38" s="179">
        <v>7893.27</v>
      </c>
      <c r="K38" s="179">
        <v>11927.31</v>
      </c>
      <c r="L38" s="179">
        <v>10922.97</v>
      </c>
      <c r="M38" s="179">
        <v>8727.43</v>
      </c>
      <c r="N38" s="179">
        <v>16982.37</v>
      </c>
      <c r="O38" s="179">
        <v>12062.97</v>
      </c>
      <c r="P38" s="179">
        <v>4337.6099999999997</v>
      </c>
      <c r="Q38" s="179">
        <f t="shared" si="7"/>
        <v>140038.04</v>
      </c>
    </row>
    <row r="39" spans="1:24" hidden="1">
      <c r="A39" s="28" t="s">
        <v>113</v>
      </c>
      <c r="B39" s="28" t="s">
        <v>118</v>
      </c>
      <c r="C39" s="28" t="s">
        <v>119</v>
      </c>
      <c r="D39" s="28">
        <v>2018</v>
      </c>
      <c r="E39" s="179">
        <v>4186.8</v>
      </c>
      <c r="F39" s="179">
        <v>0</v>
      </c>
      <c r="G39" s="179">
        <v>8746.7999999999993</v>
      </c>
      <c r="H39" s="179">
        <v>0</v>
      </c>
      <c r="I39" s="179">
        <v>13306.8</v>
      </c>
      <c r="J39" s="179">
        <v>34200</v>
      </c>
      <c r="K39" s="179">
        <v>11400</v>
      </c>
      <c r="L39" s="179">
        <v>11026.8</v>
      </c>
      <c r="M39" s="179">
        <v>0</v>
      </c>
      <c r="N39" s="179">
        <v>4186.8</v>
      </c>
      <c r="O39" s="179">
        <v>4560</v>
      </c>
      <c r="P39" s="179">
        <v>7793.4</v>
      </c>
      <c r="Q39" s="179">
        <f t="shared" si="7"/>
        <v>99407.4</v>
      </c>
    </row>
    <row r="40" spans="1:24" hidden="1">
      <c r="A40" s="28" t="s">
        <v>113</v>
      </c>
      <c r="B40" s="28" t="s">
        <v>120</v>
      </c>
      <c r="C40" s="28" t="s">
        <v>121</v>
      </c>
      <c r="D40" s="28">
        <v>2018</v>
      </c>
      <c r="E40" s="179">
        <v>387527.36</v>
      </c>
      <c r="F40" s="179">
        <v>325903.34000000003</v>
      </c>
      <c r="G40" s="179">
        <v>356177.76</v>
      </c>
      <c r="H40" s="179">
        <v>340813.14</v>
      </c>
      <c r="I40" s="179">
        <v>373653.38</v>
      </c>
      <c r="J40" s="179">
        <v>336399.05</v>
      </c>
      <c r="K40" s="179">
        <v>341054.36</v>
      </c>
      <c r="L40" s="179">
        <v>397880.68</v>
      </c>
      <c r="M40" s="179">
        <v>338179.39</v>
      </c>
      <c r="N40" s="179">
        <v>381704.17</v>
      </c>
      <c r="O40" s="179">
        <v>348481.75</v>
      </c>
      <c r="P40" s="179">
        <v>312069.15999999997</v>
      </c>
      <c r="Q40" s="179">
        <f t="shared" si="7"/>
        <v>4239843.54</v>
      </c>
    </row>
    <row r="41" spans="1:24" hidden="1">
      <c r="A41" s="28" t="s">
        <v>113</v>
      </c>
      <c r="B41" s="28" t="s">
        <v>122</v>
      </c>
      <c r="C41" s="28" t="s">
        <v>219</v>
      </c>
      <c r="D41" s="28">
        <v>2018</v>
      </c>
      <c r="E41" s="179">
        <v>1140</v>
      </c>
      <c r="F41" s="179">
        <v>4373.3999999999996</v>
      </c>
      <c r="G41" s="179">
        <v>3224.28</v>
      </c>
      <c r="H41" s="179">
        <v>4560</v>
      </c>
      <c r="I41" s="179">
        <v>3224.28</v>
      </c>
      <c r="J41" s="179">
        <v>10636.5</v>
      </c>
      <c r="K41" s="179">
        <v>3224.28</v>
      </c>
      <c r="L41" s="179">
        <v>3224.28</v>
      </c>
      <c r="M41" s="179">
        <v>3224.28</v>
      </c>
      <c r="N41" s="179">
        <v>4364.28</v>
      </c>
      <c r="O41" s="179">
        <v>3224.28</v>
      </c>
      <c r="P41" s="179">
        <v>1140</v>
      </c>
      <c r="Q41" s="179">
        <f t="shared" si="7"/>
        <v>45559.859999999993</v>
      </c>
    </row>
    <row r="42" spans="1:24" hidden="1">
      <c r="A42" s="28" t="s">
        <v>113</v>
      </c>
      <c r="B42" s="28" t="s">
        <v>123</v>
      </c>
      <c r="C42" s="28" t="s">
        <v>124</v>
      </c>
      <c r="D42" s="28">
        <v>2018</v>
      </c>
      <c r="E42" s="179">
        <v>324961.05</v>
      </c>
      <c r="F42" s="179">
        <v>329947.18</v>
      </c>
      <c r="G42" s="179">
        <v>332498.55</v>
      </c>
      <c r="H42" s="179">
        <v>328543.65999999997</v>
      </c>
      <c r="I42" s="179">
        <v>333103.65999999997</v>
      </c>
      <c r="J42" s="179">
        <v>328901.58</v>
      </c>
      <c r="K42" s="179">
        <v>326977.52</v>
      </c>
      <c r="L42" s="179">
        <v>335120.13</v>
      </c>
      <c r="M42" s="179">
        <v>333103.65999999997</v>
      </c>
      <c r="N42" s="179">
        <v>330560.13</v>
      </c>
      <c r="O42" s="179">
        <v>333103.65999999997</v>
      </c>
      <c r="P42" s="179">
        <v>362743.66</v>
      </c>
      <c r="Q42" s="179">
        <f t="shared" si="7"/>
        <v>3999564.4400000004</v>
      </c>
    </row>
    <row r="43" spans="1:24" hidden="1">
      <c r="A43" s="28" t="s">
        <v>113</v>
      </c>
      <c r="B43" s="28" t="s">
        <v>126</v>
      </c>
      <c r="C43" s="28" t="s">
        <v>127</v>
      </c>
      <c r="D43" s="28">
        <v>2018</v>
      </c>
      <c r="E43" s="179">
        <v>386063.56</v>
      </c>
      <c r="F43" s="179">
        <v>377913.09</v>
      </c>
      <c r="G43" s="179">
        <v>393516.51</v>
      </c>
      <c r="H43" s="179">
        <v>382115.16</v>
      </c>
      <c r="I43" s="179">
        <v>387995.48</v>
      </c>
      <c r="J43" s="179">
        <v>383265</v>
      </c>
      <c r="K43" s="179">
        <v>377828.52</v>
      </c>
      <c r="L43" s="179">
        <v>389561.59999999998</v>
      </c>
      <c r="M43" s="179">
        <v>381502.2</v>
      </c>
      <c r="N43" s="179">
        <v>390181.07</v>
      </c>
      <c r="O43" s="179">
        <v>385528.65</v>
      </c>
      <c r="P43" s="179">
        <v>365805.73</v>
      </c>
      <c r="Q43" s="179">
        <f t="shared" si="7"/>
        <v>4601276.57</v>
      </c>
    </row>
    <row r="44" spans="1:24" hidden="1">
      <c r="A44" s="28" t="s">
        <v>113</v>
      </c>
      <c r="B44" s="28" t="s">
        <v>128</v>
      </c>
      <c r="C44" s="28" t="s">
        <v>129</v>
      </c>
      <c r="D44" s="28">
        <v>2018</v>
      </c>
      <c r="E44" s="179">
        <v>55664.67</v>
      </c>
      <c r="F44" s="179">
        <v>54524.67</v>
      </c>
      <c r="G44" s="179">
        <v>49606.74</v>
      </c>
      <c r="H44" s="179">
        <v>48466.74</v>
      </c>
      <c r="I44" s="179">
        <v>50746.74</v>
      </c>
      <c r="J44" s="179">
        <v>49606.74</v>
      </c>
      <c r="K44" s="179">
        <v>46365.71</v>
      </c>
      <c r="L44" s="179">
        <v>49606.74</v>
      </c>
      <c r="M44" s="179">
        <v>49606.74</v>
      </c>
      <c r="N44" s="179">
        <v>48466.74</v>
      </c>
      <c r="O44" s="179">
        <v>49606.74</v>
      </c>
      <c r="P44" s="179">
        <v>47505.71</v>
      </c>
      <c r="Q44" s="179">
        <f t="shared" si="7"/>
        <v>599774.67999999993</v>
      </c>
    </row>
    <row r="45" spans="1:24" hidden="1">
      <c r="A45" s="28" t="s">
        <v>113</v>
      </c>
      <c r="B45" s="28" t="s">
        <v>130</v>
      </c>
      <c r="C45" s="28" t="s">
        <v>131</v>
      </c>
      <c r="D45" s="28">
        <v>2018</v>
      </c>
      <c r="E45" s="179">
        <v>182995.97</v>
      </c>
      <c r="F45" s="179">
        <v>154533.23000000001</v>
      </c>
      <c r="G45" s="179">
        <v>169606.99</v>
      </c>
      <c r="H45" s="179">
        <v>161299.14000000001</v>
      </c>
      <c r="I45" s="179">
        <v>178027.04</v>
      </c>
      <c r="J45" s="179">
        <v>159554.56</v>
      </c>
      <c r="K45" s="179">
        <v>162594.53</v>
      </c>
      <c r="L45" s="179">
        <v>191476.63</v>
      </c>
      <c r="M45" s="179">
        <v>162282.1</v>
      </c>
      <c r="N45" s="179">
        <v>182293.42</v>
      </c>
      <c r="O45" s="179">
        <v>165401.94</v>
      </c>
      <c r="P45" s="179">
        <v>147852.20000000001</v>
      </c>
      <c r="Q45" s="179">
        <f t="shared" si="7"/>
        <v>2017917.7500000002</v>
      </c>
    </row>
    <row r="46" spans="1:24" hidden="1">
      <c r="A46" s="28" t="s">
        <v>113</v>
      </c>
      <c r="B46" s="28" t="s">
        <v>132</v>
      </c>
      <c r="C46" s="28" t="s">
        <v>133</v>
      </c>
      <c r="D46" s="28">
        <v>2018</v>
      </c>
      <c r="E46" s="179">
        <v>7704.19</v>
      </c>
      <c r="F46" s="179">
        <v>7704.33</v>
      </c>
      <c r="G46" s="179">
        <v>11601.57</v>
      </c>
      <c r="H46" s="179">
        <v>13550.19</v>
      </c>
      <c r="I46" s="179">
        <v>12741.57</v>
      </c>
      <c r="J46" s="179">
        <v>7704.33</v>
      </c>
      <c r="K46" s="179">
        <v>7704.33</v>
      </c>
      <c r="L46" s="179">
        <v>11601.57</v>
      </c>
      <c r="M46" s="179">
        <v>8844.33</v>
      </c>
      <c r="N46" s="179">
        <v>11601.57</v>
      </c>
      <c r="O46" s="179">
        <v>13550.19</v>
      </c>
      <c r="P46" s="179">
        <v>7704.33</v>
      </c>
      <c r="Q46" s="179">
        <f t="shared" si="7"/>
        <v>122012.49999999999</v>
      </c>
    </row>
    <row r="47" spans="1:24" hidden="1">
      <c r="A47" s="28" t="s">
        <v>113</v>
      </c>
      <c r="B47" s="28" t="s">
        <v>223</v>
      </c>
      <c r="C47" s="28" t="s">
        <v>224</v>
      </c>
      <c r="D47" s="28">
        <v>2018</v>
      </c>
      <c r="E47" s="179">
        <v>134055.41</v>
      </c>
      <c r="F47" s="179">
        <v>286749.19</v>
      </c>
      <c r="G47" s="179">
        <v>912267.63</v>
      </c>
      <c r="H47" s="179">
        <v>913749.19</v>
      </c>
      <c r="I47" s="179">
        <v>913749.19</v>
      </c>
      <c r="J47" s="179">
        <v>1022049.19</v>
      </c>
      <c r="K47" s="179">
        <v>942249.19</v>
      </c>
      <c r="L47" s="179">
        <v>942249.19</v>
      </c>
      <c r="M47" s="179">
        <v>942249.19</v>
      </c>
      <c r="N47" s="179">
        <v>942249.19</v>
      </c>
      <c r="O47" s="179">
        <v>776949.19</v>
      </c>
      <c r="P47" s="179">
        <v>686889.19</v>
      </c>
      <c r="Q47" s="179">
        <f t="shared" si="7"/>
        <v>9415454.9399999976</v>
      </c>
      <c r="R47" s="28" t="s">
        <v>222</v>
      </c>
    </row>
    <row r="48" spans="1:24" hidden="1">
      <c r="A48" s="28" t="s">
        <v>113</v>
      </c>
      <c r="B48" s="28" t="s">
        <v>220</v>
      </c>
      <c r="C48" s="28" t="s">
        <v>221</v>
      </c>
      <c r="D48" s="28">
        <v>2018</v>
      </c>
      <c r="E48" s="180">
        <v>1358103.19</v>
      </c>
      <c r="F48" s="180">
        <v>1373178.07</v>
      </c>
      <c r="G48" s="180">
        <v>1628357.32</v>
      </c>
      <c r="H48" s="180">
        <v>1643178.53</v>
      </c>
      <c r="I48" s="180">
        <v>1699518.61</v>
      </c>
      <c r="J48" s="180">
        <v>1729786</v>
      </c>
      <c r="K48" s="180">
        <v>1740449.26</v>
      </c>
      <c r="L48" s="180">
        <v>1889198.12</v>
      </c>
      <c r="M48" s="180">
        <v>1669762.17</v>
      </c>
      <c r="N48" s="180">
        <v>1666346.84</v>
      </c>
      <c r="O48" s="180">
        <v>1633930.6</v>
      </c>
      <c r="P48" s="180">
        <v>1567469.06</v>
      </c>
      <c r="Q48" s="180">
        <f t="shared" si="7"/>
        <v>19599277.77</v>
      </c>
      <c r="R48" s="28" t="s">
        <v>222</v>
      </c>
    </row>
    <row r="49" spans="1:18" hidden="1">
      <c r="C49" s="29" t="s">
        <v>134</v>
      </c>
      <c r="E49" s="181">
        <f t="shared" ref="E49:Q49" si="8">SUM(E37:E48)</f>
        <v>3040650.8</v>
      </c>
      <c r="F49" s="181">
        <f t="shared" si="8"/>
        <v>3083958.6100000003</v>
      </c>
      <c r="G49" s="181">
        <f t="shared" si="8"/>
        <v>4044842.9000000004</v>
      </c>
      <c r="H49" s="181">
        <f t="shared" si="8"/>
        <v>4012879.59</v>
      </c>
      <c r="I49" s="181">
        <f t="shared" si="8"/>
        <v>4164929.38</v>
      </c>
      <c r="J49" s="181">
        <f t="shared" si="8"/>
        <v>4228514.33</v>
      </c>
      <c r="K49" s="181">
        <f t="shared" si="8"/>
        <v>4131592.37</v>
      </c>
      <c r="L49" s="181">
        <f t="shared" si="8"/>
        <v>4418747.43</v>
      </c>
      <c r="M49" s="181">
        <f t="shared" si="8"/>
        <v>4059696.9699999997</v>
      </c>
      <c r="N49" s="181">
        <f t="shared" si="8"/>
        <v>4159184.29</v>
      </c>
      <c r="O49" s="181">
        <f t="shared" si="8"/>
        <v>3894022.65</v>
      </c>
      <c r="P49" s="181">
        <f t="shared" si="8"/>
        <v>3669219.72</v>
      </c>
      <c r="Q49" s="181">
        <f t="shared" si="8"/>
        <v>46908239.039999999</v>
      </c>
    </row>
    <row r="50" spans="1:18" hidden="1">
      <c r="A50" s="178" t="s">
        <v>37</v>
      </c>
    </row>
    <row r="51" spans="1:18" hidden="1">
      <c r="A51" s="28" t="s">
        <v>135</v>
      </c>
      <c r="B51" s="28" t="s">
        <v>130</v>
      </c>
      <c r="C51" s="28" t="s">
        <v>131</v>
      </c>
      <c r="D51" s="28">
        <v>2018</v>
      </c>
      <c r="E51" s="179">
        <v>33548.199999999997</v>
      </c>
      <c r="F51" s="179">
        <v>28399.08</v>
      </c>
      <c r="G51" s="179">
        <v>31287.51</v>
      </c>
      <c r="H51" s="179">
        <v>29694.04</v>
      </c>
      <c r="I51" s="179">
        <v>32777.99</v>
      </c>
      <c r="J51" s="179">
        <v>29274.59</v>
      </c>
      <c r="K51" s="179">
        <v>29837.88</v>
      </c>
      <c r="L51" s="179">
        <v>35167.31</v>
      </c>
      <c r="M51" s="179">
        <v>29381.99</v>
      </c>
      <c r="N51" s="179">
        <v>33618.82</v>
      </c>
      <c r="O51" s="179">
        <v>30303.37</v>
      </c>
      <c r="P51" s="179">
        <v>26844.63</v>
      </c>
      <c r="Q51" s="179">
        <f>SUM(E51:P51)</f>
        <v>370135.41</v>
      </c>
    </row>
    <row r="52" spans="1:18" hidden="1">
      <c r="A52" s="28" t="s">
        <v>135</v>
      </c>
      <c r="B52" s="28" t="s">
        <v>132</v>
      </c>
      <c r="C52" s="28" t="s">
        <v>133</v>
      </c>
      <c r="D52" s="28">
        <v>2018</v>
      </c>
      <c r="E52" s="179">
        <v>0</v>
      </c>
      <c r="F52" s="179">
        <v>4186.8</v>
      </c>
      <c r="G52" s="179">
        <v>0</v>
      </c>
      <c r="H52" s="179">
        <v>11980.2</v>
      </c>
      <c r="I52" s="179">
        <v>11400</v>
      </c>
      <c r="J52" s="179">
        <v>11980.2</v>
      </c>
      <c r="K52" s="179">
        <v>0</v>
      </c>
      <c r="L52" s="179">
        <v>1140</v>
      </c>
      <c r="M52" s="179">
        <v>0</v>
      </c>
      <c r="N52" s="179">
        <v>4186.8</v>
      </c>
      <c r="O52" s="179">
        <v>0</v>
      </c>
      <c r="P52" s="179">
        <v>2093.4</v>
      </c>
      <c r="Q52" s="179">
        <f>SUM(E52:P52)</f>
        <v>46967.4</v>
      </c>
    </row>
    <row r="53" spans="1:18" hidden="1">
      <c r="A53" s="28" t="s">
        <v>135</v>
      </c>
      <c r="B53" s="28" t="s">
        <v>220</v>
      </c>
      <c r="C53" s="28" t="s">
        <v>221</v>
      </c>
      <c r="D53" s="28">
        <v>2018</v>
      </c>
      <c r="E53" s="180">
        <v>27360</v>
      </c>
      <c r="F53" s="180">
        <v>30780</v>
      </c>
      <c r="G53" s="180">
        <v>30780</v>
      </c>
      <c r="H53" s="180">
        <v>27360</v>
      </c>
      <c r="I53" s="180">
        <v>38760</v>
      </c>
      <c r="J53" s="180">
        <v>38760</v>
      </c>
      <c r="K53" s="180">
        <v>34200</v>
      </c>
      <c r="L53" s="180">
        <v>38760</v>
      </c>
      <c r="M53" s="180">
        <v>38760</v>
      </c>
      <c r="N53" s="180">
        <v>30780</v>
      </c>
      <c r="O53" s="180">
        <v>31920</v>
      </c>
      <c r="P53" s="180">
        <v>31920</v>
      </c>
      <c r="Q53" s="180">
        <f>SUM(E53:P53)</f>
        <v>400140</v>
      </c>
      <c r="R53" s="28" t="s">
        <v>222</v>
      </c>
    </row>
    <row r="54" spans="1:18" hidden="1">
      <c r="C54" s="29" t="s">
        <v>136</v>
      </c>
      <c r="E54" s="181">
        <f t="shared" ref="E54:Q54" si="9">SUM(E51:E53)</f>
        <v>60908.2</v>
      </c>
      <c r="F54" s="181">
        <f t="shared" si="9"/>
        <v>63365.880000000005</v>
      </c>
      <c r="G54" s="181">
        <f t="shared" si="9"/>
        <v>62067.509999999995</v>
      </c>
      <c r="H54" s="181">
        <f t="shared" si="9"/>
        <v>69034.240000000005</v>
      </c>
      <c r="I54" s="181">
        <f t="shared" si="9"/>
        <v>82937.989999999991</v>
      </c>
      <c r="J54" s="181">
        <f t="shared" si="9"/>
        <v>80014.790000000008</v>
      </c>
      <c r="K54" s="181">
        <f t="shared" si="9"/>
        <v>64037.880000000005</v>
      </c>
      <c r="L54" s="181">
        <f t="shared" si="9"/>
        <v>75067.31</v>
      </c>
      <c r="M54" s="181">
        <f t="shared" si="9"/>
        <v>68141.990000000005</v>
      </c>
      <c r="N54" s="181">
        <f t="shared" si="9"/>
        <v>68585.62</v>
      </c>
      <c r="O54" s="181">
        <f t="shared" si="9"/>
        <v>62223.369999999995</v>
      </c>
      <c r="P54" s="181">
        <f t="shared" si="9"/>
        <v>60858.03</v>
      </c>
      <c r="Q54" s="181">
        <f t="shared" si="9"/>
        <v>817242.81</v>
      </c>
    </row>
    <row r="55" spans="1:18" hidden="1"/>
    <row r="56" spans="1:18" hidden="1">
      <c r="C56" s="29" t="s">
        <v>225</v>
      </c>
      <c r="E56" s="181">
        <f t="shared" ref="E56:Q56" si="10">E49+E54</f>
        <v>3101559</v>
      </c>
      <c r="F56" s="181">
        <f t="shared" si="10"/>
        <v>3147324.49</v>
      </c>
      <c r="G56" s="181">
        <f t="shared" si="10"/>
        <v>4106910.41</v>
      </c>
      <c r="H56" s="181">
        <f t="shared" si="10"/>
        <v>4081913.83</v>
      </c>
      <c r="I56" s="181">
        <f t="shared" si="10"/>
        <v>4247867.37</v>
      </c>
      <c r="J56" s="181">
        <f t="shared" si="10"/>
        <v>4308529.12</v>
      </c>
      <c r="K56" s="181">
        <f t="shared" si="10"/>
        <v>4195630.25</v>
      </c>
      <c r="L56" s="181">
        <f t="shared" si="10"/>
        <v>4493814.7399999993</v>
      </c>
      <c r="M56" s="181">
        <f t="shared" si="10"/>
        <v>4127838.96</v>
      </c>
      <c r="N56" s="181">
        <f t="shared" si="10"/>
        <v>4227769.91</v>
      </c>
      <c r="O56" s="181">
        <f t="shared" si="10"/>
        <v>3956246.02</v>
      </c>
      <c r="P56" s="181">
        <f t="shared" si="10"/>
        <v>3730077.75</v>
      </c>
      <c r="Q56" s="181">
        <f t="shared" si="10"/>
        <v>47725481.850000001</v>
      </c>
    </row>
    <row r="57" spans="1:18" hidden="1">
      <c r="C57" s="29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8" hidden="1">
      <c r="A58" s="178" t="s">
        <v>112</v>
      </c>
    </row>
    <row r="59" spans="1:18" hidden="1">
      <c r="A59" s="28" t="s">
        <v>113</v>
      </c>
      <c r="B59" s="28" t="s">
        <v>114</v>
      </c>
      <c r="C59" s="28" t="s">
        <v>115</v>
      </c>
      <c r="D59" s="28">
        <v>2019</v>
      </c>
      <c r="E59" s="179">
        <v>195835.63</v>
      </c>
      <c r="F59" s="179">
        <v>168740.26</v>
      </c>
      <c r="G59" s="179">
        <v>175998.34</v>
      </c>
      <c r="H59" s="179">
        <v>172442.62</v>
      </c>
      <c r="I59" s="179">
        <v>179189.87</v>
      </c>
      <c r="J59" s="179">
        <v>152409.91</v>
      </c>
      <c r="K59" s="179">
        <v>169535.82</v>
      </c>
      <c r="L59" s="179">
        <v>181298.9</v>
      </c>
      <c r="M59" s="179">
        <v>170278.1</v>
      </c>
      <c r="N59" s="179">
        <v>187083.61</v>
      </c>
      <c r="O59" s="179">
        <v>167346.92000000001</v>
      </c>
      <c r="P59" s="179">
        <v>166726.26999999999</v>
      </c>
      <c r="Q59" s="179">
        <f t="shared" ref="Q59:Q69" si="11">SUM(E59:P59)</f>
        <v>2086886.25</v>
      </c>
    </row>
    <row r="60" spans="1:18" hidden="1">
      <c r="A60" s="28" t="s">
        <v>113</v>
      </c>
      <c r="B60" s="28" t="s">
        <v>116</v>
      </c>
      <c r="C60" s="28" t="s">
        <v>117</v>
      </c>
      <c r="D60" s="28">
        <v>2019</v>
      </c>
      <c r="E60" s="179">
        <v>14095.13</v>
      </c>
      <c r="F60" s="179">
        <v>10675.03</v>
      </c>
      <c r="G60" s="179">
        <v>9961.69</v>
      </c>
      <c r="H60" s="179">
        <v>13957.09</v>
      </c>
      <c r="I60" s="179">
        <v>22361.71</v>
      </c>
      <c r="J60" s="179">
        <v>7895.02</v>
      </c>
      <c r="K60" s="179">
        <v>11890.42</v>
      </c>
      <c r="L60" s="179">
        <v>10888.36</v>
      </c>
      <c r="M60" s="179">
        <v>8721.23</v>
      </c>
      <c r="N60" s="179">
        <v>16875.04</v>
      </c>
      <c r="O60" s="179">
        <v>12028.36</v>
      </c>
      <c r="P60" s="179">
        <v>4337.08</v>
      </c>
      <c r="Q60" s="179">
        <f t="shared" si="11"/>
        <v>143686.16</v>
      </c>
    </row>
    <row r="61" spans="1:18" hidden="1">
      <c r="A61" s="28" t="s">
        <v>113</v>
      </c>
      <c r="B61" s="28" t="s">
        <v>118</v>
      </c>
      <c r="C61" s="28" t="s">
        <v>119</v>
      </c>
      <c r="D61" s="28">
        <v>2019</v>
      </c>
      <c r="E61" s="179">
        <v>4149.3</v>
      </c>
      <c r="F61" s="179">
        <v>0</v>
      </c>
      <c r="G61" s="179">
        <v>8709.2999999999993</v>
      </c>
      <c r="H61" s="179">
        <v>0</v>
      </c>
      <c r="I61" s="179">
        <v>13269.3</v>
      </c>
      <c r="J61" s="179">
        <v>34200</v>
      </c>
      <c r="K61" s="179">
        <v>11400</v>
      </c>
      <c r="L61" s="179">
        <v>10989.3</v>
      </c>
      <c r="M61" s="179">
        <v>0</v>
      </c>
      <c r="N61" s="179">
        <v>4149.3</v>
      </c>
      <c r="O61" s="179">
        <v>4560</v>
      </c>
      <c r="P61" s="179">
        <v>7774.65</v>
      </c>
      <c r="Q61" s="179">
        <f t="shared" si="11"/>
        <v>99201.15</v>
      </c>
    </row>
    <row r="62" spans="1:18" hidden="1">
      <c r="A62" s="28" t="s">
        <v>113</v>
      </c>
      <c r="B62" s="28" t="s">
        <v>120</v>
      </c>
      <c r="C62" s="28" t="s">
        <v>121</v>
      </c>
      <c r="D62" s="28">
        <v>2019</v>
      </c>
      <c r="E62" s="179">
        <v>403654.79</v>
      </c>
      <c r="F62" s="179">
        <v>342109.42</v>
      </c>
      <c r="G62" s="179">
        <v>358927.85</v>
      </c>
      <c r="H62" s="179">
        <v>364109.91</v>
      </c>
      <c r="I62" s="179">
        <v>380002.07</v>
      </c>
      <c r="J62" s="179">
        <v>322838.09999999998</v>
      </c>
      <c r="K62" s="179">
        <v>360761.99</v>
      </c>
      <c r="L62" s="179">
        <v>387203.54</v>
      </c>
      <c r="M62" s="179">
        <v>363651.3</v>
      </c>
      <c r="N62" s="179">
        <v>388404.63</v>
      </c>
      <c r="O62" s="179">
        <v>339180.79999999999</v>
      </c>
      <c r="P62" s="179">
        <v>335190.43</v>
      </c>
      <c r="Q62" s="179">
        <f t="shared" si="11"/>
        <v>4346034.8299999991</v>
      </c>
    </row>
    <row r="63" spans="1:18" hidden="1">
      <c r="A63" s="28" t="s">
        <v>113</v>
      </c>
      <c r="B63" s="28" t="s">
        <v>122</v>
      </c>
      <c r="C63" s="28" t="s">
        <v>219</v>
      </c>
      <c r="D63" s="28">
        <v>2019</v>
      </c>
      <c r="E63" s="179">
        <v>0</v>
      </c>
      <c r="F63" s="179">
        <v>3214.65</v>
      </c>
      <c r="G63" s="179">
        <v>2066.67</v>
      </c>
      <c r="H63" s="179">
        <v>3420</v>
      </c>
      <c r="I63" s="179">
        <v>2066.67</v>
      </c>
      <c r="J63" s="179">
        <v>21962.639999999999</v>
      </c>
      <c r="K63" s="179">
        <v>2066.67</v>
      </c>
      <c r="L63" s="179">
        <v>2066.67</v>
      </c>
      <c r="M63" s="179">
        <v>3206.67</v>
      </c>
      <c r="N63" s="179">
        <v>3206.67</v>
      </c>
      <c r="O63" s="179">
        <v>2066.67</v>
      </c>
      <c r="P63" s="179">
        <v>0</v>
      </c>
      <c r="Q63" s="179">
        <f t="shared" si="11"/>
        <v>45343.979999999989</v>
      </c>
    </row>
    <row r="64" spans="1:18" hidden="1">
      <c r="A64" s="28" t="s">
        <v>113</v>
      </c>
      <c r="B64" s="28" t="s">
        <v>123</v>
      </c>
      <c r="C64" s="28" t="s">
        <v>124</v>
      </c>
      <c r="D64" s="28">
        <v>2019</v>
      </c>
      <c r="E64" s="179">
        <v>250652.76</v>
      </c>
      <c r="F64" s="179">
        <v>252737.85</v>
      </c>
      <c r="G64" s="179">
        <v>252729.01</v>
      </c>
      <c r="H64" s="179">
        <v>252733.44</v>
      </c>
      <c r="I64" s="179">
        <v>252733.44</v>
      </c>
      <c r="J64" s="179">
        <v>248572.07</v>
      </c>
      <c r="K64" s="179">
        <v>252128.79</v>
      </c>
      <c r="L64" s="179">
        <v>252128.79</v>
      </c>
      <c r="M64" s="179">
        <v>252133.22</v>
      </c>
      <c r="N64" s="179">
        <v>252128.79</v>
      </c>
      <c r="O64" s="179">
        <v>252133.22</v>
      </c>
      <c r="P64" s="179">
        <v>228992.76</v>
      </c>
      <c r="Q64" s="179">
        <f t="shared" si="11"/>
        <v>2999804.1400000006</v>
      </c>
    </row>
    <row r="65" spans="1:18" hidden="1">
      <c r="A65" s="28" t="s">
        <v>113</v>
      </c>
      <c r="B65" s="28" t="s">
        <v>126</v>
      </c>
      <c r="C65" s="28" t="s">
        <v>127</v>
      </c>
      <c r="D65" s="28">
        <v>2019</v>
      </c>
      <c r="E65" s="179">
        <v>315010.81</v>
      </c>
      <c r="F65" s="179">
        <v>306938.03000000003</v>
      </c>
      <c r="G65" s="179">
        <v>319005.53999999998</v>
      </c>
      <c r="H65" s="179">
        <v>276899.40999999997</v>
      </c>
      <c r="I65" s="179">
        <v>282724.84000000003</v>
      </c>
      <c r="J65" s="179">
        <v>274652.08</v>
      </c>
      <c r="K65" s="179">
        <v>272054.49</v>
      </c>
      <c r="L65" s="179">
        <v>280210.59000000003</v>
      </c>
      <c r="M65" s="179">
        <v>270223.77</v>
      </c>
      <c r="N65" s="179">
        <v>282207.96999999997</v>
      </c>
      <c r="O65" s="179">
        <v>276215.87</v>
      </c>
      <c r="P65" s="179">
        <v>243945.93</v>
      </c>
      <c r="Q65" s="179">
        <f t="shared" si="11"/>
        <v>3400089.3300000005</v>
      </c>
    </row>
    <row r="66" spans="1:18" hidden="1">
      <c r="A66" s="28" t="s">
        <v>113</v>
      </c>
      <c r="B66" s="28" t="s">
        <v>130</v>
      </c>
      <c r="C66" s="28" t="s">
        <v>131</v>
      </c>
      <c r="D66" s="28">
        <v>2019</v>
      </c>
      <c r="E66" s="179">
        <v>191630.64</v>
      </c>
      <c r="F66" s="179">
        <v>160579.31</v>
      </c>
      <c r="G66" s="179">
        <v>168922.2</v>
      </c>
      <c r="H66" s="179">
        <v>174094.93</v>
      </c>
      <c r="I66" s="179">
        <v>182205.79</v>
      </c>
      <c r="J66" s="179">
        <v>154775.65</v>
      </c>
      <c r="K66" s="179">
        <v>175064.6</v>
      </c>
      <c r="L66" s="179">
        <v>188121.34</v>
      </c>
      <c r="M66" s="179">
        <v>175394.81</v>
      </c>
      <c r="N66" s="179">
        <v>183674.51</v>
      </c>
      <c r="O66" s="179">
        <v>158768.13</v>
      </c>
      <c r="P66" s="179">
        <v>156607.60999999999</v>
      </c>
      <c r="Q66" s="179">
        <f t="shared" si="11"/>
        <v>2069839.52</v>
      </c>
    </row>
    <row r="67" spans="1:18" hidden="1">
      <c r="A67" s="28" t="s">
        <v>113</v>
      </c>
      <c r="B67" s="28" t="s">
        <v>132</v>
      </c>
      <c r="C67" s="28" t="s">
        <v>133</v>
      </c>
      <c r="D67" s="28">
        <v>2019</v>
      </c>
      <c r="E67" s="179">
        <v>7742.02</v>
      </c>
      <c r="F67" s="179">
        <v>7742.06</v>
      </c>
      <c r="G67" s="179">
        <v>11599.52</v>
      </c>
      <c r="H67" s="179">
        <v>13528.25</v>
      </c>
      <c r="I67" s="179">
        <v>13528.25</v>
      </c>
      <c r="J67" s="179">
        <v>7742.06</v>
      </c>
      <c r="K67" s="179">
        <v>7742.06</v>
      </c>
      <c r="L67" s="179">
        <v>11599.52</v>
      </c>
      <c r="M67" s="179">
        <v>7742.06</v>
      </c>
      <c r="N67" s="179">
        <v>15456.98</v>
      </c>
      <c r="O67" s="179">
        <v>13528.25</v>
      </c>
      <c r="P67" s="179">
        <v>7742.06</v>
      </c>
      <c r="Q67" s="179">
        <f t="shared" si="11"/>
        <v>125693.09</v>
      </c>
    </row>
    <row r="68" spans="1:18" hidden="1">
      <c r="A68" s="28" t="s">
        <v>113</v>
      </c>
      <c r="B68" s="28" t="s">
        <v>223</v>
      </c>
      <c r="C68" s="28" t="s">
        <v>224</v>
      </c>
      <c r="D68" s="28">
        <v>2019</v>
      </c>
      <c r="E68" s="179">
        <v>591437.17000000004</v>
      </c>
      <c r="F68" s="179">
        <v>703356.47</v>
      </c>
      <c r="G68" s="179">
        <v>819437.17</v>
      </c>
      <c r="H68" s="179">
        <v>878517.85</v>
      </c>
      <c r="I68" s="179">
        <v>874356.47</v>
      </c>
      <c r="J68" s="179">
        <v>929275.79</v>
      </c>
      <c r="K68" s="179">
        <v>873156.03</v>
      </c>
      <c r="L68" s="179">
        <v>881478.79</v>
      </c>
      <c r="M68" s="179">
        <v>824478.79</v>
      </c>
      <c r="N68" s="179">
        <v>824478.79</v>
      </c>
      <c r="O68" s="179">
        <v>807378.79</v>
      </c>
      <c r="P68" s="179">
        <v>698397.85</v>
      </c>
      <c r="Q68" s="179">
        <f t="shared" si="11"/>
        <v>9705749.959999999</v>
      </c>
      <c r="R68" s="28" t="s">
        <v>222</v>
      </c>
    </row>
    <row r="69" spans="1:18" hidden="1">
      <c r="A69" s="28" t="s">
        <v>113</v>
      </c>
      <c r="B69" s="28" t="s">
        <v>220</v>
      </c>
      <c r="C69" s="28" t="s">
        <v>221</v>
      </c>
      <c r="D69" s="28">
        <v>2019</v>
      </c>
      <c r="E69" s="180">
        <v>2053387.02</v>
      </c>
      <c r="F69" s="180">
        <v>2916467.32</v>
      </c>
      <c r="G69" s="180">
        <v>3040800.54</v>
      </c>
      <c r="H69" s="180">
        <v>3323303.23</v>
      </c>
      <c r="I69" s="180">
        <v>3360715.49</v>
      </c>
      <c r="J69" s="180">
        <v>3315886.95</v>
      </c>
      <c r="K69" s="180">
        <v>3350032</v>
      </c>
      <c r="L69" s="180">
        <v>3190709.12</v>
      </c>
      <c r="M69" s="180">
        <v>3070230.17</v>
      </c>
      <c r="N69" s="180">
        <v>3210915.79</v>
      </c>
      <c r="O69" s="180">
        <v>3161759.22</v>
      </c>
      <c r="P69" s="180">
        <v>2787445.73</v>
      </c>
      <c r="Q69" s="180">
        <f t="shared" si="11"/>
        <v>36781652.579999998</v>
      </c>
      <c r="R69" s="28" t="s">
        <v>222</v>
      </c>
    </row>
    <row r="70" spans="1:18" hidden="1">
      <c r="C70" s="29" t="s">
        <v>134</v>
      </c>
      <c r="E70" s="181">
        <f t="shared" ref="E70:Q70" si="12">SUM(E59:E69)</f>
        <v>4027595.27</v>
      </c>
      <c r="F70" s="181">
        <f t="shared" si="12"/>
        <v>4872560.4000000004</v>
      </c>
      <c r="G70" s="181">
        <f t="shared" si="12"/>
        <v>5168157.83</v>
      </c>
      <c r="H70" s="181">
        <f t="shared" si="12"/>
        <v>5473006.7300000004</v>
      </c>
      <c r="I70" s="181">
        <f t="shared" si="12"/>
        <v>5563153.9000000004</v>
      </c>
      <c r="J70" s="181">
        <f t="shared" si="12"/>
        <v>5470210.2700000005</v>
      </c>
      <c r="K70" s="181">
        <f t="shared" si="12"/>
        <v>5485832.8700000001</v>
      </c>
      <c r="L70" s="181">
        <f t="shared" si="12"/>
        <v>5396694.9199999999</v>
      </c>
      <c r="M70" s="181">
        <f t="shared" si="12"/>
        <v>5146060.12</v>
      </c>
      <c r="N70" s="181">
        <f t="shared" si="12"/>
        <v>5368582.08</v>
      </c>
      <c r="O70" s="181">
        <f t="shared" si="12"/>
        <v>5194966.2300000004</v>
      </c>
      <c r="P70" s="181">
        <f t="shared" si="12"/>
        <v>4637160.37</v>
      </c>
      <c r="Q70" s="181">
        <f t="shared" si="12"/>
        <v>61803980.989999995</v>
      </c>
    </row>
    <row r="71" spans="1:18" hidden="1">
      <c r="A71" s="178" t="s">
        <v>37</v>
      </c>
    </row>
    <row r="72" spans="1:18" hidden="1">
      <c r="A72" s="28" t="s">
        <v>135</v>
      </c>
      <c r="B72" s="28" t="s">
        <v>130</v>
      </c>
      <c r="C72" s="28" t="s">
        <v>131</v>
      </c>
      <c r="D72" s="28">
        <v>2019</v>
      </c>
      <c r="E72" s="179">
        <v>35020.78</v>
      </c>
      <c r="F72" s="179">
        <v>29397.99</v>
      </c>
      <c r="G72" s="179">
        <v>31018.58</v>
      </c>
      <c r="H72" s="179">
        <v>32027.3</v>
      </c>
      <c r="I72" s="179">
        <v>33486.65</v>
      </c>
      <c r="J72" s="179">
        <v>28287.43</v>
      </c>
      <c r="K72" s="179">
        <v>32116.35</v>
      </c>
      <c r="L72" s="179">
        <v>34399.15</v>
      </c>
      <c r="M72" s="179">
        <v>31799.040000000001</v>
      </c>
      <c r="N72" s="179">
        <v>33823.980000000003</v>
      </c>
      <c r="O72" s="179">
        <v>28997.81</v>
      </c>
      <c r="P72" s="179">
        <v>28513.67</v>
      </c>
      <c r="Q72" s="179">
        <f>SUM(E72:P72)</f>
        <v>378888.73</v>
      </c>
    </row>
    <row r="73" spans="1:18" hidden="1">
      <c r="A73" s="28" t="s">
        <v>135</v>
      </c>
      <c r="B73" s="28" t="s">
        <v>132</v>
      </c>
      <c r="C73" s="28" t="s">
        <v>133</v>
      </c>
      <c r="D73" s="28">
        <v>2019</v>
      </c>
      <c r="E73" s="179">
        <v>0</v>
      </c>
      <c r="F73" s="179">
        <v>4149.3</v>
      </c>
      <c r="G73" s="179">
        <v>0</v>
      </c>
      <c r="H73" s="179">
        <v>11923.95</v>
      </c>
      <c r="I73" s="179">
        <v>11400</v>
      </c>
      <c r="J73" s="179">
        <v>11923.95</v>
      </c>
      <c r="K73" s="179">
        <v>0</v>
      </c>
      <c r="L73" s="179">
        <v>1140</v>
      </c>
      <c r="M73" s="179">
        <v>0</v>
      </c>
      <c r="N73" s="179">
        <v>3857.46</v>
      </c>
      <c r="O73" s="179">
        <v>1140</v>
      </c>
      <c r="P73" s="179">
        <v>1928.73</v>
      </c>
      <c r="Q73" s="179">
        <f>SUM(E73:P73)</f>
        <v>47463.39</v>
      </c>
    </row>
    <row r="74" spans="1:18" hidden="1">
      <c r="A74" s="28" t="s">
        <v>135</v>
      </c>
      <c r="B74" s="28" t="s">
        <v>220</v>
      </c>
      <c r="C74" s="28" t="s">
        <v>221</v>
      </c>
      <c r="D74" s="28">
        <v>2019</v>
      </c>
      <c r="E74" s="180">
        <v>57000</v>
      </c>
      <c r="F74" s="180">
        <v>60420</v>
      </c>
      <c r="G74" s="180">
        <v>60420</v>
      </c>
      <c r="H74" s="180">
        <v>57000</v>
      </c>
      <c r="I74" s="180">
        <v>61560</v>
      </c>
      <c r="J74" s="180">
        <v>61560</v>
      </c>
      <c r="K74" s="180">
        <v>57000</v>
      </c>
      <c r="L74" s="180">
        <v>61560</v>
      </c>
      <c r="M74" s="180">
        <v>61560</v>
      </c>
      <c r="N74" s="180">
        <v>57000</v>
      </c>
      <c r="O74" s="180">
        <v>61560</v>
      </c>
      <c r="P74" s="180">
        <v>61560</v>
      </c>
      <c r="Q74" s="180">
        <f>SUM(E74:P74)</f>
        <v>718200</v>
      </c>
      <c r="R74" s="28" t="s">
        <v>222</v>
      </c>
    </row>
    <row r="75" spans="1:18" hidden="1">
      <c r="C75" s="29" t="s">
        <v>136</v>
      </c>
      <c r="E75" s="181">
        <f t="shared" ref="E75:Q75" si="13">SUM(E72:E74)</f>
        <v>92020.78</v>
      </c>
      <c r="F75" s="181">
        <f t="shared" si="13"/>
        <v>93967.290000000008</v>
      </c>
      <c r="G75" s="181">
        <f t="shared" si="13"/>
        <v>91438.58</v>
      </c>
      <c r="H75" s="181">
        <f t="shared" si="13"/>
        <v>100951.25</v>
      </c>
      <c r="I75" s="181">
        <f t="shared" si="13"/>
        <v>106446.65</v>
      </c>
      <c r="J75" s="181">
        <f t="shared" si="13"/>
        <v>101771.38</v>
      </c>
      <c r="K75" s="181">
        <f t="shared" si="13"/>
        <v>89116.35</v>
      </c>
      <c r="L75" s="181">
        <f t="shared" si="13"/>
        <v>97099.15</v>
      </c>
      <c r="M75" s="181">
        <f t="shared" si="13"/>
        <v>93359.040000000008</v>
      </c>
      <c r="N75" s="181">
        <f t="shared" si="13"/>
        <v>94681.44</v>
      </c>
      <c r="O75" s="181">
        <f t="shared" si="13"/>
        <v>91697.81</v>
      </c>
      <c r="P75" s="181">
        <f t="shared" si="13"/>
        <v>92002.4</v>
      </c>
      <c r="Q75" s="181">
        <f t="shared" si="13"/>
        <v>1144552.1200000001</v>
      </c>
    </row>
    <row r="76" spans="1:18" hidden="1"/>
    <row r="77" spans="1:18" hidden="1">
      <c r="C77" s="29" t="s">
        <v>226</v>
      </c>
      <c r="E77" s="181">
        <f t="shared" ref="E77:Q77" si="14">E70+E75</f>
        <v>4119616.05</v>
      </c>
      <c r="F77" s="181">
        <f t="shared" si="14"/>
        <v>4966527.6900000004</v>
      </c>
      <c r="G77" s="181">
        <f t="shared" si="14"/>
        <v>5259596.41</v>
      </c>
      <c r="H77" s="181">
        <f t="shared" si="14"/>
        <v>5573957.9800000004</v>
      </c>
      <c r="I77" s="181">
        <f t="shared" si="14"/>
        <v>5669600.5500000007</v>
      </c>
      <c r="J77" s="181">
        <f t="shared" si="14"/>
        <v>5571981.6500000004</v>
      </c>
      <c r="K77" s="181">
        <f t="shared" si="14"/>
        <v>5574949.2199999997</v>
      </c>
      <c r="L77" s="181">
        <f t="shared" si="14"/>
        <v>5493794.0700000003</v>
      </c>
      <c r="M77" s="181">
        <f t="shared" si="14"/>
        <v>5239419.16</v>
      </c>
      <c r="N77" s="181">
        <f t="shared" si="14"/>
        <v>5463263.5200000005</v>
      </c>
      <c r="O77" s="181">
        <f t="shared" si="14"/>
        <v>5286664.04</v>
      </c>
      <c r="P77" s="181">
        <f t="shared" si="14"/>
        <v>4729162.7700000005</v>
      </c>
      <c r="Q77" s="181">
        <f t="shared" si="14"/>
        <v>62948533.109999992</v>
      </c>
    </row>
    <row r="79" spans="1:18" ht="26.25">
      <c r="B79" s="243" t="s">
        <v>351</v>
      </c>
    </row>
  </sheetData>
  <pageMargins left="0.7" right="0.7" top="0.75" bottom="0.75" header="0.3" footer="0.3"/>
  <pageSetup scale="52" orientation="landscape" r:id="rId1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7558519241921"/>
    <pageSetUpPr fitToPage="1"/>
  </sheetPr>
  <dimension ref="A1:G45"/>
  <sheetViews>
    <sheetView zoomScaleNormal="100" zoomScaleSheetLayoutView="85" workbookViewId="0"/>
  </sheetViews>
  <sheetFormatPr defaultColWidth="9.140625" defaultRowHeight="12.75"/>
  <cols>
    <col min="1" max="1" width="30.85546875" style="272" customWidth="1"/>
    <col min="2" max="4" width="15.85546875" style="307" customWidth="1"/>
    <col min="5" max="5" width="15.85546875" style="272" customWidth="1"/>
    <col min="6" max="6" width="15.85546875" style="307" customWidth="1"/>
    <col min="7" max="7" width="9.140625" style="272" customWidth="1"/>
    <col min="8" max="16384" width="9.140625" style="272"/>
  </cols>
  <sheetData>
    <row r="1" spans="1:7" ht="15.75">
      <c r="A1" s="413" t="s">
        <v>67</v>
      </c>
      <c r="B1" s="304"/>
      <c r="C1" s="304"/>
      <c r="D1" s="304"/>
      <c r="E1" s="305"/>
      <c r="F1" s="304"/>
    </row>
    <row r="2" spans="1:7" ht="15" customHeight="1">
      <c r="A2" s="352" t="s">
        <v>438</v>
      </c>
      <c r="B2" s="303"/>
      <c r="C2" s="303"/>
      <c r="D2" s="303"/>
      <c r="E2" s="303"/>
      <c r="F2" s="303"/>
    </row>
    <row r="3" spans="1:7" ht="15" customHeight="1">
      <c r="A3" s="352" t="str">
        <f>'OU Collection'!A3</f>
        <v>As of December 2020</v>
      </c>
      <c r="B3" s="306"/>
      <c r="C3" s="306"/>
      <c r="D3" s="306"/>
      <c r="E3" s="306"/>
      <c r="F3" s="306"/>
    </row>
    <row r="4" spans="1:7" ht="15" customHeight="1">
      <c r="C4" s="468"/>
      <c r="D4" s="468"/>
      <c r="E4" s="307"/>
    </row>
    <row r="5" spans="1:7" s="325" customFormat="1" ht="12.95" customHeight="1">
      <c r="B5" s="326"/>
      <c r="C5" s="468"/>
      <c r="D5" s="468"/>
      <c r="E5" s="326"/>
      <c r="F5" s="326"/>
    </row>
    <row r="6" spans="1:7" s="312" customFormat="1" ht="15.95" customHeight="1">
      <c r="A6" s="308" t="s">
        <v>372</v>
      </c>
      <c r="B6" s="329" t="s">
        <v>373</v>
      </c>
      <c r="C6" s="329" t="s">
        <v>374</v>
      </c>
      <c r="D6" s="329" t="s">
        <v>375</v>
      </c>
      <c r="E6" s="329" t="s">
        <v>376</v>
      </c>
      <c r="F6" s="329" t="s">
        <v>377</v>
      </c>
    </row>
    <row r="7" spans="1:7" s="330" customFormat="1" ht="15.95" customHeight="1">
      <c r="A7" s="347"/>
      <c r="B7" s="328" t="s">
        <v>439</v>
      </c>
      <c r="C7" s="328"/>
      <c r="D7" s="328" t="s">
        <v>0</v>
      </c>
      <c r="E7" s="328"/>
      <c r="F7" s="328" t="s">
        <v>440</v>
      </c>
    </row>
    <row r="8" spans="1:7" s="330" customFormat="1" ht="15.95" customHeight="1">
      <c r="A8" s="348" t="s">
        <v>423</v>
      </c>
      <c r="B8" s="328" t="s">
        <v>441</v>
      </c>
      <c r="C8" s="328" t="s">
        <v>0</v>
      </c>
      <c r="D8" s="328" t="s">
        <v>442</v>
      </c>
      <c r="E8" s="328" t="s">
        <v>443</v>
      </c>
      <c r="F8" s="328" t="s">
        <v>444</v>
      </c>
    </row>
    <row r="9" spans="1:7" s="330" customFormat="1" ht="15.95" customHeight="1">
      <c r="A9" s="349" t="s">
        <v>108</v>
      </c>
      <c r="B9" s="308" t="s">
        <v>423</v>
      </c>
      <c r="C9" s="308" t="s">
        <v>423</v>
      </c>
      <c r="D9" s="308" t="s">
        <v>12</v>
      </c>
      <c r="E9" s="308" t="s">
        <v>423</v>
      </c>
      <c r="F9" s="308" t="s">
        <v>445</v>
      </c>
    </row>
    <row r="10" spans="1:7" s="330" customFormat="1" ht="15.95" customHeight="1">
      <c r="A10" s="353"/>
      <c r="B10" s="311"/>
      <c r="C10" s="311"/>
      <c r="D10" s="311"/>
      <c r="E10" s="311"/>
      <c r="F10" s="331" t="s">
        <v>446</v>
      </c>
    </row>
    <row r="11" spans="1:7" s="330" customFormat="1" ht="15.95" customHeight="1">
      <c r="A11" s="335">
        <v>43831</v>
      </c>
      <c r="B11" s="313">
        <v>191850.95</v>
      </c>
      <c r="C11" s="313">
        <v>142011.07999999999</v>
      </c>
      <c r="D11" s="313">
        <v>0</v>
      </c>
      <c r="E11" s="319">
        <v>68347</v>
      </c>
      <c r="F11" s="313">
        <f>SUM(B11:E11)</f>
        <v>402209.03</v>
      </c>
      <c r="G11" s="312"/>
    </row>
    <row r="12" spans="1:7" s="330" customFormat="1" ht="15.95" customHeight="1">
      <c r="A12" s="335">
        <f t="shared" ref="A12:A22" si="0">DATE(YEAR(A11+45),MONTH(A11+45),1)</f>
        <v>43862</v>
      </c>
      <c r="B12" s="313">
        <v>109915.09</v>
      </c>
      <c r="C12" s="313">
        <v>144538.04999999999</v>
      </c>
      <c r="D12" s="313">
        <v>0</v>
      </c>
      <c r="E12" s="319">
        <v>68347</v>
      </c>
      <c r="F12" s="316">
        <f>SUM(B12:E12)</f>
        <v>322800.14</v>
      </c>
      <c r="G12" s="312"/>
    </row>
    <row r="13" spans="1:7" s="330" customFormat="1" ht="15.95" customHeight="1">
      <c r="A13" s="335">
        <f t="shared" si="0"/>
        <v>43891</v>
      </c>
      <c r="B13" s="313">
        <v>77236.679999999993</v>
      </c>
      <c r="C13" s="313">
        <v>149374.64000000001</v>
      </c>
      <c r="D13" s="313">
        <v>0</v>
      </c>
      <c r="E13" s="319">
        <v>68347</v>
      </c>
      <c r="F13" s="316">
        <f t="shared" ref="F13:F22" si="1">SUM(B13:E13)</f>
        <v>294958.32</v>
      </c>
      <c r="G13" s="312"/>
    </row>
    <row r="14" spans="1:7" s="330" customFormat="1" ht="15.95" customHeight="1">
      <c r="A14" s="335">
        <f t="shared" si="0"/>
        <v>43922</v>
      </c>
      <c r="B14" s="313">
        <v>89067.53</v>
      </c>
      <c r="C14" s="313">
        <v>154753.37</v>
      </c>
      <c r="D14" s="313">
        <v>0</v>
      </c>
      <c r="E14" s="319">
        <v>68347</v>
      </c>
      <c r="F14" s="316">
        <f t="shared" si="1"/>
        <v>312167.90000000002</v>
      </c>
      <c r="G14" s="312"/>
    </row>
    <row r="15" spans="1:7" s="330" customFormat="1" ht="15.95" customHeight="1">
      <c r="A15" s="335">
        <f t="shared" si="0"/>
        <v>43952</v>
      </c>
      <c r="B15" s="313">
        <v>200109.46</v>
      </c>
      <c r="C15" s="313">
        <v>158244.79999999999</v>
      </c>
      <c r="D15" s="313">
        <v>0</v>
      </c>
      <c r="E15" s="319">
        <v>68347</v>
      </c>
      <c r="F15" s="316">
        <f t="shared" si="1"/>
        <v>426701.26</v>
      </c>
      <c r="G15" s="312"/>
    </row>
    <row r="16" spans="1:7" s="330" customFormat="1" ht="15.95" customHeight="1">
      <c r="A16" s="335">
        <f t="shared" si="0"/>
        <v>43983</v>
      </c>
      <c r="B16" s="313">
        <v>82944.179999999993</v>
      </c>
      <c r="C16" s="313">
        <v>162122.84</v>
      </c>
      <c r="D16" s="313">
        <v>0</v>
      </c>
      <c r="E16" s="319">
        <v>68347</v>
      </c>
      <c r="F16" s="316">
        <f t="shared" si="1"/>
        <v>313414.02</v>
      </c>
      <c r="G16" s="312"/>
    </row>
    <row r="17" spans="1:7" s="330" customFormat="1" ht="15.95" customHeight="1">
      <c r="A17" s="335">
        <f t="shared" si="0"/>
        <v>44013</v>
      </c>
      <c r="B17" s="313">
        <v>127792.47</v>
      </c>
      <c r="C17" s="313">
        <v>165956.25</v>
      </c>
      <c r="D17" s="621">
        <v>0</v>
      </c>
      <c r="E17" s="319">
        <v>68347</v>
      </c>
      <c r="F17" s="316">
        <f t="shared" si="1"/>
        <v>362095.72</v>
      </c>
      <c r="G17" s="312"/>
    </row>
    <row r="18" spans="1:7" s="330" customFormat="1" ht="15.95" customHeight="1">
      <c r="A18" s="335">
        <f t="shared" si="0"/>
        <v>44044</v>
      </c>
      <c r="B18" s="313">
        <v>102549.29999999999</v>
      </c>
      <c r="C18" s="313">
        <v>169814.56</v>
      </c>
      <c r="D18" s="621">
        <f>-3464.16/12/2</f>
        <v>-144.34</v>
      </c>
      <c r="E18" s="319">
        <v>68347</v>
      </c>
      <c r="F18" s="316">
        <f>SUM(B18:E18)</f>
        <v>340566.51999999996</v>
      </c>
      <c r="G18" s="312"/>
    </row>
    <row r="19" spans="1:7" s="330" customFormat="1" ht="15.95" customHeight="1">
      <c r="A19" s="335">
        <f t="shared" si="0"/>
        <v>44075</v>
      </c>
      <c r="B19" s="313">
        <v>144152.28</v>
      </c>
      <c r="C19" s="313">
        <v>173784.8</v>
      </c>
      <c r="D19" s="621">
        <f t="shared" ref="D19:D22" si="2">-3464.16/12</f>
        <v>-288.68</v>
      </c>
      <c r="E19" s="319">
        <v>68347</v>
      </c>
      <c r="F19" s="316">
        <f t="shared" si="1"/>
        <v>385995.39999999997</v>
      </c>
      <c r="G19" s="312"/>
    </row>
    <row r="20" spans="1:7" s="330" customFormat="1" ht="15.95" customHeight="1">
      <c r="A20" s="335">
        <f t="shared" si="0"/>
        <v>44105</v>
      </c>
      <c r="B20" s="313">
        <v>128711.62</v>
      </c>
      <c r="C20" s="313">
        <v>177821.85</v>
      </c>
      <c r="D20" s="621">
        <f t="shared" si="2"/>
        <v>-288.68</v>
      </c>
      <c r="E20" s="319">
        <v>68347</v>
      </c>
      <c r="F20" s="316">
        <f t="shared" si="1"/>
        <v>374591.79</v>
      </c>
      <c r="G20" s="312"/>
    </row>
    <row r="21" spans="1:7" s="330" customFormat="1" ht="15.95" customHeight="1">
      <c r="A21" s="335">
        <f t="shared" si="0"/>
        <v>44136</v>
      </c>
      <c r="B21" s="313">
        <v>107195.41</v>
      </c>
      <c r="C21" s="313">
        <v>181759.19</v>
      </c>
      <c r="D21" s="621">
        <f t="shared" si="2"/>
        <v>-288.68</v>
      </c>
      <c r="E21" s="319">
        <v>68347</v>
      </c>
      <c r="F21" s="316">
        <f t="shared" si="1"/>
        <v>357012.92</v>
      </c>
      <c r="G21" s="312"/>
    </row>
    <row r="22" spans="1:7" s="330" customFormat="1" ht="15.95" customHeight="1">
      <c r="A22" s="335">
        <f t="shared" si="0"/>
        <v>44166</v>
      </c>
      <c r="B22" s="313">
        <v>99030.180000000008</v>
      </c>
      <c r="C22" s="313">
        <v>184892.02</v>
      </c>
      <c r="D22" s="621">
        <f t="shared" si="2"/>
        <v>-288.68</v>
      </c>
      <c r="E22" s="319">
        <v>68347</v>
      </c>
      <c r="F22" s="318">
        <f t="shared" si="1"/>
        <v>351980.52</v>
      </c>
      <c r="G22" s="312"/>
    </row>
    <row r="23" spans="1:7" s="330" customFormat="1" ht="18" customHeight="1" thickBot="1">
      <c r="A23" s="354" t="str">
        <f>+"TOTAL for Year, "&amp;TEXT(A11,"mm/yy")&amp;" - "&amp;TEXT(A22,"mm/yy")</f>
        <v>TOTAL for Year, 01/20 - 12/20</v>
      </c>
      <c r="B23" s="321">
        <f>SUM(B11:B22)</f>
        <v>1460555.15</v>
      </c>
      <c r="C23" s="321">
        <f>SUM(C11:C22)</f>
        <v>1965073.45</v>
      </c>
      <c r="D23" s="622">
        <f>SUM(D11:D22)</f>
        <v>-1299.0600000000002</v>
      </c>
      <c r="E23" s="321">
        <f>SUM(E11:E22)</f>
        <v>820164</v>
      </c>
      <c r="F23" s="321">
        <f>SUM(F11:F22)</f>
        <v>4244493.54</v>
      </c>
      <c r="G23" s="312"/>
    </row>
    <row r="24" spans="1:7" ht="15.75" customHeight="1" thickTop="1">
      <c r="A24" s="338"/>
      <c r="D24" s="623"/>
      <c r="E24" s="307"/>
      <c r="G24" s="307"/>
    </row>
    <row r="25" spans="1:7" s="471" customFormat="1" ht="15.75" customHeight="1">
      <c r="A25" s="470"/>
      <c r="B25" s="470"/>
      <c r="C25" s="470"/>
      <c r="D25" s="624"/>
      <c r="E25" s="470"/>
      <c r="F25" s="470"/>
      <c r="G25" s="470"/>
    </row>
    <row r="26" spans="1:7" s="471" customFormat="1" ht="15.75" customHeight="1">
      <c r="D26" s="625"/>
    </row>
    <row r="27" spans="1:7" s="471" customFormat="1" ht="15.75">
      <c r="A27" s="308" t="s">
        <v>387</v>
      </c>
      <c r="B27" s="329" t="s">
        <v>378</v>
      </c>
      <c r="C27" s="329" t="s">
        <v>388</v>
      </c>
      <c r="D27" s="626" t="s">
        <v>389</v>
      </c>
      <c r="E27" s="329" t="s">
        <v>390</v>
      </c>
      <c r="F27" s="329" t="s">
        <v>391</v>
      </c>
    </row>
    <row r="28" spans="1:7" s="471" customFormat="1" ht="15.75">
      <c r="A28" s="347"/>
      <c r="B28" s="328" t="s">
        <v>439</v>
      </c>
      <c r="C28" s="328"/>
      <c r="D28" s="627" t="s">
        <v>0</v>
      </c>
      <c r="E28" s="328"/>
      <c r="F28" s="328" t="s">
        <v>440</v>
      </c>
    </row>
    <row r="29" spans="1:7" s="471" customFormat="1" ht="15.75">
      <c r="A29" s="348" t="s">
        <v>423</v>
      </c>
      <c r="B29" s="328" t="s">
        <v>441</v>
      </c>
      <c r="C29" s="328" t="s">
        <v>0</v>
      </c>
      <c r="D29" s="627" t="s">
        <v>442</v>
      </c>
      <c r="E29" s="328" t="s">
        <v>443</v>
      </c>
      <c r="F29" s="328" t="s">
        <v>444</v>
      </c>
    </row>
    <row r="30" spans="1:7" s="471" customFormat="1" ht="15.75">
      <c r="A30" s="349" t="s">
        <v>108</v>
      </c>
      <c r="B30" s="308" t="s">
        <v>423</v>
      </c>
      <c r="C30" s="308" t="s">
        <v>423</v>
      </c>
      <c r="D30" s="628" t="s">
        <v>12</v>
      </c>
      <c r="E30" s="308" t="s">
        <v>423</v>
      </c>
      <c r="F30" s="308" t="s">
        <v>445</v>
      </c>
    </row>
    <row r="31" spans="1:7" s="471" customFormat="1" ht="15.75">
      <c r="A31" s="353"/>
      <c r="B31" s="311"/>
      <c r="C31" s="311"/>
      <c r="D31" s="629"/>
      <c r="E31" s="311"/>
      <c r="F31" s="331" t="s">
        <v>447</v>
      </c>
    </row>
    <row r="32" spans="1:7" ht="15.75">
      <c r="A32" s="335">
        <f>A11</f>
        <v>43831</v>
      </c>
      <c r="B32" s="313">
        <v>0</v>
      </c>
      <c r="C32" s="313">
        <v>0</v>
      </c>
      <c r="D32" s="621">
        <v>0</v>
      </c>
      <c r="E32" s="319">
        <v>20186.2</v>
      </c>
      <c r="F32" s="313">
        <f>SUM(B32:E32)</f>
        <v>20186.2</v>
      </c>
    </row>
    <row r="33" spans="1:6" ht="15.75">
      <c r="A33" s="335">
        <f t="shared" ref="A33:A43" si="3">A12</f>
        <v>43862</v>
      </c>
      <c r="B33" s="313">
        <v>0</v>
      </c>
      <c r="C33" s="313">
        <v>0</v>
      </c>
      <c r="D33" s="621">
        <v>0</v>
      </c>
      <c r="E33" s="319">
        <v>20186.2</v>
      </c>
      <c r="F33" s="316">
        <f>SUM(B33:E33)</f>
        <v>20186.2</v>
      </c>
    </row>
    <row r="34" spans="1:6" ht="15.75">
      <c r="A34" s="335">
        <f t="shared" si="3"/>
        <v>43891</v>
      </c>
      <c r="B34" s="313">
        <v>0</v>
      </c>
      <c r="C34" s="313">
        <v>0</v>
      </c>
      <c r="D34" s="621">
        <v>0</v>
      </c>
      <c r="E34" s="319">
        <v>20186.2</v>
      </c>
      <c r="F34" s="316">
        <f t="shared" ref="F34:F43" si="4">SUM(B34:E34)</f>
        <v>20186.2</v>
      </c>
    </row>
    <row r="35" spans="1:6" ht="15.75">
      <c r="A35" s="335">
        <f t="shared" si="3"/>
        <v>43922</v>
      </c>
      <c r="B35" s="313">
        <v>0</v>
      </c>
      <c r="C35" s="313">
        <v>0</v>
      </c>
      <c r="D35" s="621">
        <v>0</v>
      </c>
      <c r="E35" s="319">
        <v>20186.2</v>
      </c>
      <c r="F35" s="316">
        <f t="shared" si="4"/>
        <v>20186.2</v>
      </c>
    </row>
    <row r="36" spans="1:6" ht="15.75">
      <c r="A36" s="335">
        <f t="shared" si="3"/>
        <v>43952</v>
      </c>
      <c r="B36" s="313">
        <v>0</v>
      </c>
      <c r="C36" s="313">
        <v>0</v>
      </c>
      <c r="D36" s="621">
        <v>0</v>
      </c>
      <c r="E36" s="319">
        <v>20186.2</v>
      </c>
      <c r="F36" s="316">
        <f t="shared" si="4"/>
        <v>20186.2</v>
      </c>
    </row>
    <row r="37" spans="1:6" ht="15.75">
      <c r="A37" s="335">
        <f t="shared" si="3"/>
        <v>43983</v>
      </c>
      <c r="B37" s="313">
        <v>0</v>
      </c>
      <c r="C37" s="313">
        <v>0</v>
      </c>
      <c r="D37" s="621">
        <v>0</v>
      </c>
      <c r="E37" s="319">
        <v>20186.2</v>
      </c>
      <c r="F37" s="316">
        <f t="shared" si="4"/>
        <v>20186.2</v>
      </c>
    </row>
    <row r="38" spans="1:6" ht="15.75">
      <c r="A38" s="335">
        <f t="shared" si="3"/>
        <v>44013</v>
      </c>
      <c r="B38" s="313">
        <v>0</v>
      </c>
      <c r="C38" s="313">
        <v>0</v>
      </c>
      <c r="D38" s="621">
        <v>0</v>
      </c>
      <c r="E38" s="319">
        <v>20186.2</v>
      </c>
      <c r="F38" s="316">
        <f t="shared" si="4"/>
        <v>20186.2</v>
      </c>
    </row>
    <row r="39" spans="1:6" ht="15.75">
      <c r="A39" s="335">
        <f t="shared" si="3"/>
        <v>44044</v>
      </c>
      <c r="B39" s="313">
        <v>0</v>
      </c>
      <c r="C39" s="313">
        <v>0</v>
      </c>
      <c r="D39" s="621">
        <v>0</v>
      </c>
      <c r="E39" s="319">
        <v>20186.2</v>
      </c>
      <c r="F39" s="316">
        <f t="shared" si="4"/>
        <v>20186.2</v>
      </c>
    </row>
    <row r="40" spans="1:6" ht="15.75">
      <c r="A40" s="335">
        <f t="shared" si="3"/>
        <v>44075</v>
      </c>
      <c r="B40" s="313">
        <v>0</v>
      </c>
      <c r="C40" s="313">
        <v>0</v>
      </c>
      <c r="D40" s="621">
        <v>0</v>
      </c>
      <c r="E40" s="319">
        <v>20186.2</v>
      </c>
      <c r="F40" s="316">
        <f t="shared" si="4"/>
        <v>20186.2</v>
      </c>
    </row>
    <row r="41" spans="1:6" ht="15.75">
      <c r="A41" s="335">
        <f t="shared" si="3"/>
        <v>44105</v>
      </c>
      <c r="B41" s="313">
        <v>0</v>
      </c>
      <c r="C41" s="313">
        <v>62107.67</v>
      </c>
      <c r="D41" s="621">
        <f>-4422.72/12/2</f>
        <v>-184.28</v>
      </c>
      <c r="E41" s="319">
        <v>20186.2</v>
      </c>
      <c r="F41" s="316">
        <f>SUM(B41:E41)</f>
        <v>82109.59</v>
      </c>
    </row>
    <row r="42" spans="1:6" ht="15.75">
      <c r="A42" s="335">
        <f t="shared" si="3"/>
        <v>44136</v>
      </c>
      <c r="B42" s="313">
        <v>0</v>
      </c>
      <c r="C42" s="313">
        <v>126139.43000000001</v>
      </c>
      <c r="D42" s="621">
        <f>-4422.72/12</f>
        <v>-368.56</v>
      </c>
      <c r="E42" s="319">
        <v>64595</v>
      </c>
      <c r="F42" s="316">
        <f t="shared" si="4"/>
        <v>190365.87</v>
      </c>
    </row>
    <row r="43" spans="1:6" ht="15.75">
      <c r="A43" s="335">
        <f t="shared" si="3"/>
        <v>44166</v>
      </c>
      <c r="B43" s="313">
        <v>0</v>
      </c>
      <c r="C43" s="313">
        <v>129021.2</v>
      </c>
      <c r="D43" s="621">
        <f>-4422.72/12</f>
        <v>-368.56</v>
      </c>
      <c r="E43" s="319">
        <v>64595</v>
      </c>
      <c r="F43" s="318">
        <f t="shared" si="4"/>
        <v>193247.64</v>
      </c>
    </row>
    <row r="44" spans="1:6" ht="16.5" thickBot="1">
      <c r="A44" s="354" t="str">
        <f>+"TOTAL for Year, "&amp;TEXT(A32,"mm/yy")&amp;" - "&amp;TEXT(A43,"mm/yy")</f>
        <v>TOTAL for Year, 01/20 - 12/20</v>
      </c>
      <c r="B44" s="321">
        <f>SUM(B32:B43)</f>
        <v>0</v>
      </c>
      <c r="C44" s="321">
        <f>SUM(C32:C43)</f>
        <v>317268.3</v>
      </c>
      <c r="D44" s="622">
        <f>SUM(D32:D43)</f>
        <v>-921.40000000000009</v>
      </c>
      <c r="E44" s="321">
        <f>SUM(E32:E43)</f>
        <v>331052</v>
      </c>
      <c r="F44" s="321">
        <f>SUM(F32:F43)</f>
        <v>647398.9</v>
      </c>
    </row>
    <row r="45" spans="1:6" ht="13.5" thickTop="1">
      <c r="D45" s="630"/>
    </row>
  </sheetData>
  <pageMargins left="1" right="0.5" top="1.85" bottom="0.5" header="0.5" footer="0.1"/>
  <pageSetup scale="82" orientation="portrait" r:id="rId1"/>
  <headerFooter scaleWithDoc="0" alignWithMargins="0">
    <oddHeader>&amp;R&amp;"Times New Roman,Bold"Exhibit 3
Page 4 of 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"/>
  <sheetViews>
    <sheetView workbookViewId="0"/>
  </sheetViews>
  <sheetFormatPr defaultColWidth="9.140625" defaultRowHeight="12.75"/>
  <cols>
    <col min="1" max="16384" width="9.140625" style="253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C10:I32"/>
  <sheetViews>
    <sheetView zoomScaleNormal="100" workbookViewId="0"/>
  </sheetViews>
  <sheetFormatPr defaultRowHeight="12.75"/>
  <cols>
    <col min="1" max="1" width="9.140625" style="254"/>
    <col min="2" max="2" width="2.42578125" style="254" customWidth="1"/>
    <col min="3" max="9" width="12.140625" style="254" customWidth="1"/>
    <col min="10" max="10" width="2.140625" style="254" customWidth="1"/>
    <col min="11" max="257" width="9.140625" style="254"/>
    <col min="258" max="258" width="2.42578125" style="254" customWidth="1"/>
    <col min="259" max="265" width="12.140625" style="254" customWidth="1"/>
    <col min="266" max="266" width="2.140625" style="254" customWidth="1"/>
    <col min="267" max="513" width="9.140625" style="254"/>
    <col min="514" max="514" width="2.42578125" style="254" customWidth="1"/>
    <col min="515" max="521" width="12.140625" style="254" customWidth="1"/>
    <col min="522" max="522" width="2.140625" style="254" customWidth="1"/>
    <col min="523" max="769" width="9.140625" style="254"/>
    <col min="770" max="770" width="2.42578125" style="254" customWidth="1"/>
    <col min="771" max="777" width="12.140625" style="254" customWidth="1"/>
    <col min="778" max="778" width="2.140625" style="254" customWidth="1"/>
    <col min="779" max="1025" width="9.140625" style="254"/>
    <col min="1026" max="1026" width="2.42578125" style="254" customWidth="1"/>
    <col min="1027" max="1033" width="12.140625" style="254" customWidth="1"/>
    <col min="1034" max="1034" width="2.140625" style="254" customWidth="1"/>
    <col min="1035" max="1281" width="9.140625" style="254"/>
    <col min="1282" max="1282" width="2.42578125" style="254" customWidth="1"/>
    <col min="1283" max="1289" width="12.140625" style="254" customWidth="1"/>
    <col min="1290" max="1290" width="2.140625" style="254" customWidth="1"/>
    <col min="1291" max="1537" width="9.140625" style="254"/>
    <col min="1538" max="1538" width="2.42578125" style="254" customWidth="1"/>
    <col min="1539" max="1545" width="12.140625" style="254" customWidth="1"/>
    <col min="1546" max="1546" width="2.140625" style="254" customWidth="1"/>
    <col min="1547" max="1793" width="9.140625" style="254"/>
    <col min="1794" max="1794" width="2.42578125" style="254" customWidth="1"/>
    <col min="1795" max="1801" width="12.140625" style="254" customWidth="1"/>
    <col min="1802" max="1802" width="2.140625" style="254" customWidth="1"/>
    <col min="1803" max="2049" width="9.140625" style="254"/>
    <col min="2050" max="2050" width="2.42578125" style="254" customWidth="1"/>
    <col min="2051" max="2057" width="12.140625" style="254" customWidth="1"/>
    <col min="2058" max="2058" width="2.140625" style="254" customWidth="1"/>
    <col min="2059" max="2305" width="9.140625" style="254"/>
    <col min="2306" max="2306" width="2.42578125" style="254" customWidth="1"/>
    <col min="2307" max="2313" width="12.140625" style="254" customWidth="1"/>
    <col min="2314" max="2314" width="2.140625" style="254" customWidth="1"/>
    <col min="2315" max="2561" width="9.140625" style="254"/>
    <col min="2562" max="2562" width="2.42578125" style="254" customWidth="1"/>
    <col min="2563" max="2569" width="12.140625" style="254" customWidth="1"/>
    <col min="2570" max="2570" width="2.140625" style="254" customWidth="1"/>
    <col min="2571" max="2817" width="9.140625" style="254"/>
    <col min="2818" max="2818" width="2.42578125" style="254" customWidth="1"/>
    <col min="2819" max="2825" width="12.140625" style="254" customWidth="1"/>
    <col min="2826" max="2826" width="2.140625" style="254" customWidth="1"/>
    <col min="2827" max="3073" width="9.140625" style="254"/>
    <col min="3074" max="3074" width="2.42578125" style="254" customWidth="1"/>
    <col min="3075" max="3081" width="12.140625" style="254" customWidth="1"/>
    <col min="3082" max="3082" width="2.140625" style="254" customWidth="1"/>
    <col min="3083" max="3329" width="9.140625" style="254"/>
    <col min="3330" max="3330" width="2.42578125" style="254" customWidth="1"/>
    <col min="3331" max="3337" width="12.140625" style="254" customWidth="1"/>
    <col min="3338" max="3338" width="2.140625" style="254" customWidth="1"/>
    <col min="3339" max="3585" width="9.140625" style="254"/>
    <col min="3586" max="3586" width="2.42578125" style="254" customWidth="1"/>
    <col min="3587" max="3593" width="12.140625" style="254" customWidth="1"/>
    <col min="3594" max="3594" width="2.140625" style="254" customWidth="1"/>
    <col min="3595" max="3841" width="9.140625" style="254"/>
    <col min="3842" max="3842" width="2.42578125" style="254" customWidth="1"/>
    <col min="3843" max="3849" width="12.140625" style="254" customWidth="1"/>
    <col min="3850" max="3850" width="2.140625" style="254" customWidth="1"/>
    <col min="3851" max="4097" width="9.140625" style="254"/>
    <col min="4098" max="4098" width="2.42578125" style="254" customWidth="1"/>
    <col min="4099" max="4105" width="12.140625" style="254" customWidth="1"/>
    <col min="4106" max="4106" width="2.140625" style="254" customWidth="1"/>
    <col min="4107" max="4353" width="9.140625" style="254"/>
    <col min="4354" max="4354" width="2.42578125" style="254" customWidth="1"/>
    <col min="4355" max="4361" width="12.140625" style="254" customWidth="1"/>
    <col min="4362" max="4362" width="2.140625" style="254" customWidth="1"/>
    <col min="4363" max="4609" width="9.140625" style="254"/>
    <col min="4610" max="4610" width="2.42578125" style="254" customWidth="1"/>
    <col min="4611" max="4617" width="12.140625" style="254" customWidth="1"/>
    <col min="4618" max="4618" width="2.140625" style="254" customWidth="1"/>
    <col min="4619" max="4865" width="9.140625" style="254"/>
    <col min="4866" max="4866" width="2.42578125" style="254" customWidth="1"/>
    <col min="4867" max="4873" width="12.140625" style="254" customWidth="1"/>
    <col min="4874" max="4874" width="2.140625" style="254" customWidth="1"/>
    <col min="4875" max="5121" width="9.140625" style="254"/>
    <col min="5122" max="5122" width="2.42578125" style="254" customWidth="1"/>
    <col min="5123" max="5129" width="12.140625" style="254" customWidth="1"/>
    <col min="5130" max="5130" width="2.140625" style="254" customWidth="1"/>
    <col min="5131" max="5377" width="9.140625" style="254"/>
    <col min="5378" max="5378" width="2.42578125" style="254" customWidth="1"/>
    <col min="5379" max="5385" width="12.140625" style="254" customWidth="1"/>
    <col min="5386" max="5386" width="2.140625" style="254" customWidth="1"/>
    <col min="5387" max="5633" width="9.140625" style="254"/>
    <col min="5634" max="5634" width="2.42578125" style="254" customWidth="1"/>
    <col min="5635" max="5641" width="12.140625" style="254" customWidth="1"/>
    <col min="5642" max="5642" width="2.140625" style="254" customWidth="1"/>
    <col min="5643" max="5889" width="9.140625" style="254"/>
    <col min="5890" max="5890" width="2.42578125" style="254" customWidth="1"/>
    <col min="5891" max="5897" width="12.140625" style="254" customWidth="1"/>
    <col min="5898" max="5898" width="2.140625" style="254" customWidth="1"/>
    <col min="5899" max="6145" width="9.140625" style="254"/>
    <col min="6146" max="6146" width="2.42578125" style="254" customWidth="1"/>
    <col min="6147" max="6153" width="12.140625" style="254" customWidth="1"/>
    <col min="6154" max="6154" width="2.140625" style="254" customWidth="1"/>
    <col min="6155" max="6401" width="9.140625" style="254"/>
    <col min="6402" max="6402" width="2.42578125" style="254" customWidth="1"/>
    <col min="6403" max="6409" width="12.140625" style="254" customWidth="1"/>
    <col min="6410" max="6410" width="2.140625" style="254" customWidth="1"/>
    <col min="6411" max="6657" width="9.140625" style="254"/>
    <col min="6658" max="6658" width="2.42578125" style="254" customWidth="1"/>
    <col min="6659" max="6665" width="12.140625" style="254" customWidth="1"/>
    <col min="6666" max="6666" width="2.140625" style="254" customWidth="1"/>
    <col min="6667" max="6913" width="9.140625" style="254"/>
    <col min="6914" max="6914" width="2.42578125" style="254" customWidth="1"/>
    <col min="6915" max="6921" width="12.140625" style="254" customWidth="1"/>
    <col min="6922" max="6922" width="2.140625" style="254" customWidth="1"/>
    <col min="6923" max="7169" width="9.140625" style="254"/>
    <col min="7170" max="7170" width="2.42578125" style="254" customWidth="1"/>
    <col min="7171" max="7177" width="12.140625" style="254" customWidth="1"/>
    <col min="7178" max="7178" width="2.140625" style="254" customWidth="1"/>
    <col min="7179" max="7425" width="9.140625" style="254"/>
    <col min="7426" max="7426" width="2.42578125" style="254" customWidth="1"/>
    <col min="7427" max="7433" width="12.140625" style="254" customWidth="1"/>
    <col min="7434" max="7434" width="2.140625" style="254" customWidth="1"/>
    <col min="7435" max="7681" width="9.140625" style="254"/>
    <col min="7682" max="7682" width="2.42578125" style="254" customWidth="1"/>
    <col min="7683" max="7689" width="12.140625" style="254" customWidth="1"/>
    <col min="7690" max="7690" width="2.140625" style="254" customWidth="1"/>
    <col min="7691" max="7937" width="9.140625" style="254"/>
    <col min="7938" max="7938" width="2.42578125" style="254" customWidth="1"/>
    <col min="7939" max="7945" width="12.140625" style="254" customWidth="1"/>
    <col min="7946" max="7946" width="2.140625" style="254" customWidth="1"/>
    <col min="7947" max="8193" width="9.140625" style="254"/>
    <col min="8194" max="8194" width="2.42578125" style="254" customWidth="1"/>
    <col min="8195" max="8201" width="12.140625" style="254" customWidth="1"/>
    <col min="8202" max="8202" width="2.140625" style="254" customWidth="1"/>
    <col min="8203" max="8449" width="9.140625" style="254"/>
    <col min="8450" max="8450" width="2.42578125" style="254" customWidth="1"/>
    <col min="8451" max="8457" width="12.140625" style="254" customWidth="1"/>
    <col min="8458" max="8458" width="2.140625" style="254" customWidth="1"/>
    <col min="8459" max="8705" width="9.140625" style="254"/>
    <col min="8706" max="8706" width="2.42578125" style="254" customWidth="1"/>
    <col min="8707" max="8713" width="12.140625" style="254" customWidth="1"/>
    <col min="8714" max="8714" width="2.140625" style="254" customWidth="1"/>
    <col min="8715" max="8961" width="9.140625" style="254"/>
    <col min="8962" max="8962" width="2.42578125" style="254" customWidth="1"/>
    <col min="8963" max="8969" width="12.140625" style="254" customWidth="1"/>
    <col min="8970" max="8970" width="2.140625" style="254" customWidth="1"/>
    <col min="8971" max="9217" width="9.140625" style="254"/>
    <col min="9218" max="9218" width="2.42578125" style="254" customWidth="1"/>
    <col min="9219" max="9225" width="12.140625" style="254" customWidth="1"/>
    <col min="9226" max="9226" width="2.140625" style="254" customWidth="1"/>
    <col min="9227" max="9473" width="9.140625" style="254"/>
    <col min="9474" max="9474" width="2.42578125" style="254" customWidth="1"/>
    <col min="9475" max="9481" width="12.140625" style="254" customWidth="1"/>
    <col min="9482" max="9482" width="2.140625" style="254" customWidth="1"/>
    <col min="9483" max="9729" width="9.140625" style="254"/>
    <col min="9730" max="9730" width="2.42578125" style="254" customWidth="1"/>
    <col min="9731" max="9737" width="12.140625" style="254" customWidth="1"/>
    <col min="9738" max="9738" width="2.140625" style="254" customWidth="1"/>
    <col min="9739" max="9985" width="9.140625" style="254"/>
    <col min="9986" max="9986" width="2.42578125" style="254" customWidth="1"/>
    <col min="9987" max="9993" width="12.140625" style="254" customWidth="1"/>
    <col min="9994" max="9994" width="2.140625" style="254" customWidth="1"/>
    <col min="9995" max="10241" width="9.140625" style="254"/>
    <col min="10242" max="10242" width="2.42578125" style="254" customWidth="1"/>
    <col min="10243" max="10249" width="12.140625" style="254" customWidth="1"/>
    <col min="10250" max="10250" width="2.140625" style="254" customWidth="1"/>
    <col min="10251" max="10497" width="9.140625" style="254"/>
    <col min="10498" max="10498" width="2.42578125" style="254" customWidth="1"/>
    <col min="10499" max="10505" width="12.140625" style="254" customWidth="1"/>
    <col min="10506" max="10506" width="2.140625" style="254" customWidth="1"/>
    <col min="10507" max="10753" width="9.140625" style="254"/>
    <col min="10754" max="10754" width="2.42578125" style="254" customWidth="1"/>
    <col min="10755" max="10761" width="12.140625" style="254" customWidth="1"/>
    <col min="10762" max="10762" width="2.140625" style="254" customWidth="1"/>
    <col min="10763" max="11009" width="9.140625" style="254"/>
    <col min="11010" max="11010" width="2.42578125" style="254" customWidth="1"/>
    <col min="11011" max="11017" width="12.140625" style="254" customWidth="1"/>
    <col min="11018" max="11018" width="2.140625" style="254" customWidth="1"/>
    <col min="11019" max="11265" width="9.140625" style="254"/>
    <col min="11266" max="11266" width="2.42578125" style="254" customWidth="1"/>
    <col min="11267" max="11273" width="12.140625" style="254" customWidth="1"/>
    <col min="11274" max="11274" width="2.140625" style="254" customWidth="1"/>
    <col min="11275" max="11521" width="9.140625" style="254"/>
    <col min="11522" max="11522" width="2.42578125" style="254" customWidth="1"/>
    <col min="11523" max="11529" width="12.140625" style="254" customWidth="1"/>
    <col min="11530" max="11530" width="2.140625" style="254" customWidth="1"/>
    <col min="11531" max="11777" width="9.140625" style="254"/>
    <col min="11778" max="11778" width="2.42578125" style="254" customWidth="1"/>
    <col min="11779" max="11785" width="12.140625" style="254" customWidth="1"/>
    <col min="11786" max="11786" width="2.140625" style="254" customWidth="1"/>
    <col min="11787" max="12033" width="9.140625" style="254"/>
    <col min="12034" max="12034" width="2.42578125" style="254" customWidth="1"/>
    <col min="12035" max="12041" width="12.140625" style="254" customWidth="1"/>
    <col min="12042" max="12042" width="2.140625" style="254" customWidth="1"/>
    <col min="12043" max="12289" width="9.140625" style="254"/>
    <col min="12290" max="12290" width="2.42578125" style="254" customWidth="1"/>
    <col min="12291" max="12297" width="12.140625" style="254" customWidth="1"/>
    <col min="12298" max="12298" width="2.140625" style="254" customWidth="1"/>
    <col min="12299" max="12545" width="9.140625" style="254"/>
    <col min="12546" max="12546" width="2.42578125" style="254" customWidth="1"/>
    <col min="12547" max="12553" width="12.140625" style="254" customWidth="1"/>
    <col min="12554" max="12554" width="2.140625" style="254" customWidth="1"/>
    <col min="12555" max="12801" width="9.140625" style="254"/>
    <col min="12802" max="12802" width="2.42578125" style="254" customWidth="1"/>
    <col min="12803" max="12809" width="12.140625" style="254" customWidth="1"/>
    <col min="12810" max="12810" width="2.140625" style="254" customWidth="1"/>
    <col min="12811" max="13057" width="9.140625" style="254"/>
    <col min="13058" max="13058" width="2.42578125" style="254" customWidth="1"/>
    <col min="13059" max="13065" width="12.140625" style="254" customWidth="1"/>
    <col min="13066" max="13066" width="2.140625" style="254" customWidth="1"/>
    <col min="13067" max="13313" width="9.140625" style="254"/>
    <col min="13314" max="13314" width="2.42578125" style="254" customWidth="1"/>
    <col min="13315" max="13321" width="12.140625" style="254" customWidth="1"/>
    <col min="13322" max="13322" width="2.140625" style="254" customWidth="1"/>
    <col min="13323" max="13569" width="9.140625" style="254"/>
    <col min="13570" max="13570" width="2.42578125" style="254" customWidth="1"/>
    <col min="13571" max="13577" width="12.140625" style="254" customWidth="1"/>
    <col min="13578" max="13578" width="2.140625" style="254" customWidth="1"/>
    <col min="13579" max="13825" width="9.140625" style="254"/>
    <col min="13826" max="13826" width="2.42578125" style="254" customWidth="1"/>
    <col min="13827" max="13833" width="12.140625" style="254" customWidth="1"/>
    <col min="13834" max="13834" width="2.140625" style="254" customWidth="1"/>
    <col min="13835" max="14081" width="9.140625" style="254"/>
    <col min="14082" max="14082" width="2.42578125" style="254" customWidth="1"/>
    <col min="14083" max="14089" width="12.140625" style="254" customWidth="1"/>
    <col min="14090" max="14090" width="2.140625" style="254" customWidth="1"/>
    <col min="14091" max="14337" width="9.140625" style="254"/>
    <col min="14338" max="14338" width="2.42578125" style="254" customWidth="1"/>
    <col min="14339" max="14345" width="12.140625" style="254" customWidth="1"/>
    <col min="14346" max="14346" width="2.140625" style="254" customWidth="1"/>
    <col min="14347" max="14593" width="9.140625" style="254"/>
    <col min="14594" max="14594" width="2.42578125" style="254" customWidth="1"/>
    <col min="14595" max="14601" width="12.140625" style="254" customWidth="1"/>
    <col min="14602" max="14602" width="2.140625" style="254" customWidth="1"/>
    <col min="14603" max="14849" width="9.140625" style="254"/>
    <col min="14850" max="14850" width="2.42578125" style="254" customWidth="1"/>
    <col min="14851" max="14857" width="12.140625" style="254" customWidth="1"/>
    <col min="14858" max="14858" width="2.140625" style="254" customWidth="1"/>
    <col min="14859" max="15105" width="9.140625" style="254"/>
    <col min="15106" max="15106" width="2.42578125" style="254" customWidth="1"/>
    <col min="15107" max="15113" width="12.140625" style="254" customWidth="1"/>
    <col min="15114" max="15114" width="2.140625" style="254" customWidth="1"/>
    <col min="15115" max="15361" width="9.140625" style="254"/>
    <col min="15362" max="15362" width="2.42578125" style="254" customWidth="1"/>
    <col min="15363" max="15369" width="12.140625" style="254" customWidth="1"/>
    <col min="15370" max="15370" width="2.140625" style="254" customWidth="1"/>
    <col min="15371" max="15617" width="9.140625" style="254"/>
    <col min="15618" max="15618" width="2.42578125" style="254" customWidth="1"/>
    <col min="15619" max="15625" width="12.140625" style="254" customWidth="1"/>
    <col min="15626" max="15626" width="2.140625" style="254" customWidth="1"/>
    <col min="15627" max="15873" width="9.140625" style="254"/>
    <col min="15874" max="15874" width="2.42578125" style="254" customWidth="1"/>
    <col min="15875" max="15881" width="12.140625" style="254" customWidth="1"/>
    <col min="15882" max="15882" width="2.140625" style="254" customWidth="1"/>
    <col min="15883" max="16129" width="9.140625" style="254"/>
    <col min="16130" max="16130" width="2.42578125" style="254" customWidth="1"/>
    <col min="16131" max="16137" width="12.140625" style="254" customWidth="1"/>
    <col min="16138" max="16138" width="2.140625" style="254" customWidth="1"/>
    <col min="16139" max="16384" width="9.140625" style="254"/>
  </cols>
  <sheetData>
    <row r="10" spans="3:9" ht="12.75" customHeight="1"/>
    <row r="11" spans="3:9" ht="15.75">
      <c r="C11" s="417" t="s">
        <v>67</v>
      </c>
      <c r="D11" s="418"/>
      <c r="E11" s="417"/>
      <c r="F11" s="417"/>
      <c r="G11" s="417"/>
      <c r="H11" s="417"/>
      <c r="I11" s="418"/>
    </row>
    <row r="13" spans="3:9" ht="12.75" customHeight="1"/>
    <row r="14" spans="3:9" ht="12.75" customHeight="1"/>
    <row r="15" spans="3:9" ht="12.75" customHeight="1"/>
    <row r="16" spans="3:9" ht="12.75" customHeight="1">
      <c r="E16" s="416"/>
      <c r="F16" s="416"/>
      <c r="G16" s="416"/>
      <c r="H16" s="416"/>
    </row>
    <row r="17" spans="3:9" ht="12.75" customHeight="1">
      <c r="C17" s="255"/>
      <c r="F17" s="255"/>
      <c r="G17" s="255"/>
    </row>
    <row r="18" spans="3:9" ht="15.75">
      <c r="C18" s="417" t="s">
        <v>466</v>
      </c>
      <c r="D18" s="418"/>
      <c r="E18" s="417"/>
      <c r="F18" s="418"/>
      <c r="G18" s="417"/>
      <c r="H18" s="417"/>
      <c r="I18" s="418"/>
    </row>
    <row r="19" spans="3:9" ht="12.75" customHeight="1">
      <c r="E19" s="416"/>
      <c r="F19" s="416"/>
      <c r="G19" s="416"/>
      <c r="H19" s="416"/>
    </row>
    <row r="20" spans="3:9" ht="12.75" customHeight="1"/>
    <row r="21" spans="3:9" ht="12.75" customHeight="1">
      <c r="E21" s="416"/>
      <c r="F21" s="416"/>
      <c r="G21" s="416"/>
      <c r="H21" s="416"/>
    </row>
    <row r="22" spans="3:9" ht="15.75">
      <c r="C22" s="417" t="s">
        <v>368</v>
      </c>
      <c r="D22" s="418"/>
      <c r="E22" s="418"/>
      <c r="F22" s="418"/>
      <c r="G22" s="418"/>
      <c r="H22" s="418"/>
      <c r="I22" s="418"/>
    </row>
    <row r="23" spans="3:9" ht="12.75" customHeight="1"/>
    <row r="24" spans="3:9" ht="15.75">
      <c r="C24" s="417" t="s">
        <v>369</v>
      </c>
      <c r="D24" s="418"/>
      <c r="E24" s="418"/>
      <c r="F24" s="418"/>
      <c r="G24" s="418"/>
      <c r="H24" s="418"/>
      <c r="I24" s="418"/>
    </row>
    <row r="25" spans="3:9" ht="15.75">
      <c r="C25" s="417" t="s">
        <v>448</v>
      </c>
      <c r="D25" s="418"/>
      <c r="E25" s="418"/>
      <c r="F25" s="418"/>
      <c r="G25" s="418"/>
      <c r="H25" s="418"/>
      <c r="I25" s="418"/>
    </row>
    <row r="26" spans="3:9" ht="12.75" customHeight="1"/>
    <row r="27" spans="3:9" ht="12.75" customHeight="1"/>
    <row r="28" spans="3:9" ht="15.75">
      <c r="C28" s="417" t="s">
        <v>627</v>
      </c>
      <c r="D28" s="418"/>
      <c r="E28" s="417"/>
      <c r="F28" s="417"/>
      <c r="G28" s="417"/>
      <c r="H28" s="417"/>
      <c r="I28" s="418"/>
    </row>
    <row r="29" spans="3:9" ht="15.75">
      <c r="C29" s="417" t="s">
        <v>628</v>
      </c>
      <c r="D29" s="418"/>
      <c r="E29" s="417"/>
      <c r="F29" s="417"/>
      <c r="G29" s="417"/>
      <c r="H29" s="417"/>
      <c r="I29" s="418"/>
    </row>
    <row r="30" spans="3:9" ht="12.75" customHeight="1"/>
    <row r="31" spans="3:9" ht="12.75" customHeight="1"/>
    <row r="32" spans="3:9" ht="12.75" customHeight="1"/>
  </sheetData>
  <pageMargins left="0.75" right="0.75" top="1" bottom="1" header="0.5" footer="0.5"/>
  <pageSetup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4D6A-9955-4659-A38D-BDCDF281009E}">
  <sheetPr>
    <tabColor theme="5" tint="0.39997558519241921"/>
  </sheetPr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E8EC-0B35-40A0-85C9-7B2878A13875}">
  <sheetPr>
    <tabColor theme="5" tint="0.39997558519241921"/>
    <pageSetUpPr fitToPage="1"/>
  </sheetPr>
  <dimension ref="A1:AL1048576"/>
  <sheetViews>
    <sheetView zoomScale="60" zoomScaleNormal="60" zoomScaleSheetLayoutView="50" workbookViewId="0"/>
  </sheetViews>
  <sheetFormatPr defaultColWidth="9.140625" defaultRowHeight="20.25"/>
  <cols>
    <col min="1" max="1" width="9" style="72" customWidth="1"/>
    <col min="2" max="2" width="9.140625" style="72"/>
    <col min="3" max="3" width="60.85546875" style="72" customWidth="1"/>
    <col min="4" max="20" width="20.85546875" style="72" customWidth="1"/>
    <col min="21" max="21" width="5.140625" customWidth="1"/>
    <col min="22" max="22" width="18" style="72" customWidth="1"/>
    <col min="23" max="23" width="17" style="72" customWidth="1"/>
    <col min="24" max="24" width="14.85546875" style="72" bestFit="1" customWidth="1"/>
    <col min="25" max="25" width="14.5703125" style="72" bestFit="1" customWidth="1"/>
    <col min="26" max="26" width="13.140625" style="72" bestFit="1" customWidth="1"/>
    <col min="27" max="27" width="14" style="72" customWidth="1"/>
    <col min="28" max="28" width="15.5703125" style="72" customWidth="1"/>
    <col min="29" max="29" width="14.42578125" style="72" bestFit="1" customWidth="1"/>
    <col min="30" max="30" width="14.85546875" style="72" customWidth="1"/>
    <col min="31" max="31" width="15.85546875" style="72" customWidth="1"/>
    <col min="32" max="32" width="13.42578125" style="72" customWidth="1"/>
    <col min="33" max="33" width="12.140625" style="72" bestFit="1" customWidth="1"/>
    <col min="34" max="34" width="16.5703125" style="72" customWidth="1"/>
    <col min="35" max="35" width="14.42578125" style="72" customWidth="1"/>
    <col min="36" max="36" width="15.140625" style="72" customWidth="1"/>
    <col min="37" max="37" width="9.42578125" style="72" bestFit="1" customWidth="1"/>
    <col min="38" max="38" width="12.85546875" style="72" customWidth="1"/>
    <col min="39" max="16384" width="9.140625" style="72"/>
  </cols>
  <sheetData>
    <row r="1" spans="1:38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L1" s="193"/>
      <c r="M1" s="193"/>
      <c r="N1" s="193"/>
      <c r="O1" s="193"/>
      <c r="P1" s="193"/>
      <c r="Q1" s="193"/>
      <c r="R1" s="193"/>
      <c r="T1" s="193"/>
    </row>
    <row r="2" spans="1:38">
      <c r="A2" s="193" t="s">
        <v>255</v>
      </c>
      <c r="B2" s="193"/>
      <c r="C2" s="193"/>
      <c r="D2" s="193"/>
      <c r="E2" s="193"/>
      <c r="F2" s="193"/>
      <c r="G2" s="193"/>
      <c r="H2" s="193"/>
      <c r="I2" s="193"/>
      <c r="J2" s="193"/>
      <c r="L2" s="193"/>
      <c r="M2" s="193"/>
      <c r="N2" s="193"/>
      <c r="O2" s="193"/>
      <c r="P2" s="193"/>
      <c r="Q2" s="193"/>
      <c r="R2" s="193"/>
      <c r="T2" s="193"/>
    </row>
    <row r="3" spans="1:38">
      <c r="A3" s="193" t="s">
        <v>592</v>
      </c>
      <c r="B3" s="193"/>
      <c r="C3" s="193"/>
      <c r="D3" s="193"/>
      <c r="E3" s="193"/>
      <c r="F3" s="193"/>
      <c r="G3" s="193"/>
      <c r="H3" s="193"/>
      <c r="I3" s="193"/>
      <c r="J3" s="193"/>
      <c r="L3" s="193"/>
      <c r="M3" s="193"/>
      <c r="N3" s="193"/>
      <c r="O3" s="193"/>
      <c r="P3" s="193"/>
      <c r="Q3" s="193"/>
      <c r="R3" s="193"/>
      <c r="T3" s="193"/>
    </row>
    <row r="4" spans="1:38" s="31" customFormat="1">
      <c r="A4" s="73"/>
      <c r="D4" s="28"/>
      <c r="U4"/>
      <c r="W4" s="13"/>
      <c r="X4" s="13"/>
      <c r="Y4" s="13"/>
      <c r="Z4" s="13"/>
      <c r="AA4" s="13"/>
      <c r="AB4" s="13"/>
      <c r="AC4" s="13"/>
      <c r="AD4" s="13"/>
      <c r="AE4" s="14"/>
      <c r="AF4" s="13"/>
      <c r="AG4" s="13"/>
      <c r="AH4" s="13"/>
      <c r="AI4" s="13"/>
      <c r="AJ4" s="13"/>
      <c r="AK4" s="13"/>
      <c r="AL4" s="13"/>
    </row>
    <row r="5" spans="1:38" s="31" customFormat="1">
      <c r="D5" s="226" t="s">
        <v>613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9"/>
      <c r="U5"/>
      <c r="W5" s="15"/>
      <c r="X5" s="14"/>
      <c r="Y5" s="14"/>
      <c r="Z5" s="14"/>
      <c r="AA5" s="14"/>
      <c r="AB5" s="14"/>
      <c r="AC5" s="14"/>
      <c r="AD5" s="14"/>
      <c r="AE5" s="677"/>
      <c r="AF5" s="677"/>
      <c r="AG5" s="677"/>
      <c r="AH5" s="677"/>
      <c r="AI5" s="677"/>
      <c r="AJ5" s="677"/>
      <c r="AK5" s="677"/>
      <c r="AL5" s="677"/>
    </row>
    <row r="6" spans="1:38" s="31" customFormat="1">
      <c r="A6" s="224" t="s">
        <v>4</v>
      </c>
      <c r="B6" s="32"/>
      <c r="D6" s="115">
        <v>2020</v>
      </c>
      <c r="E6" s="95">
        <v>2021</v>
      </c>
      <c r="F6" s="95">
        <f>$E$6</f>
        <v>2021</v>
      </c>
      <c r="G6" s="95">
        <f>$E$6</f>
        <v>2021</v>
      </c>
      <c r="H6" s="95">
        <f>$E$6</f>
        <v>2021</v>
      </c>
      <c r="I6" s="95">
        <f>$E$6</f>
        <v>2021</v>
      </c>
      <c r="J6" s="95">
        <f>$E$6</f>
        <v>2021</v>
      </c>
      <c r="K6" s="95" t="s">
        <v>780</v>
      </c>
      <c r="L6" s="95" t="s">
        <v>769</v>
      </c>
      <c r="M6" s="95">
        <f t="shared" ref="M6:T6" si="0">$E$6</f>
        <v>2021</v>
      </c>
      <c r="N6" s="95">
        <f t="shared" si="0"/>
        <v>2021</v>
      </c>
      <c r="O6" s="95">
        <f t="shared" si="0"/>
        <v>2021</v>
      </c>
      <c r="P6" s="95">
        <f t="shared" si="0"/>
        <v>2021</v>
      </c>
      <c r="Q6" s="95">
        <f t="shared" si="0"/>
        <v>2021</v>
      </c>
      <c r="R6" s="95">
        <f t="shared" si="0"/>
        <v>2021</v>
      </c>
      <c r="S6" s="95" t="s">
        <v>784</v>
      </c>
      <c r="T6" s="133">
        <f t="shared" si="0"/>
        <v>2021</v>
      </c>
      <c r="U6"/>
      <c r="W6" s="95"/>
      <c r="X6" s="16"/>
      <c r="Y6" s="95"/>
      <c r="Z6" s="95"/>
      <c r="AA6" s="95"/>
      <c r="AB6" s="95"/>
      <c r="AC6" s="95"/>
      <c r="AD6" s="95"/>
      <c r="AE6" s="95"/>
      <c r="AF6" s="95"/>
      <c r="AG6" s="95"/>
      <c r="AH6" s="16"/>
      <c r="AI6" s="95"/>
      <c r="AJ6" s="95"/>
      <c r="AK6" s="95"/>
      <c r="AL6" s="95"/>
    </row>
    <row r="7" spans="1:38" s="31" customFormat="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16" t="s">
        <v>781</v>
      </c>
      <c r="L7" s="95" t="s">
        <v>785</v>
      </c>
      <c r="M7" s="75" t="s">
        <v>102</v>
      </c>
      <c r="N7" s="75" t="s">
        <v>103</v>
      </c>
      <c r="O7" s="75" t="s">
        <v>104</v>
      </c>
      <c r="P7" s="75" t="s">
        <v>105</v>
      </c>
      <c r="Q7" s="75" t="s">
        <v>106</v>
      </c>
      <c r="R7" s="75" t="s">
        <v>107</v>
      </c>
      <c r="S7" s="16" t="s">
        <v>783</v>
      </c>
      <c r="T7" s="118" t="s">
        <v>347</v>
      </c>
      <c r="U7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16"/>
      <c r="AI7" s="95"/>
      <c r="AJ7" s="95"/>
      <c r="AK7" s="95"/>
      <c r="AL7" s="95"/>
    </row>
    <row r="8" spans="1:38" s="31" customFormat="1" ht="20.45" customHeigh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75" t="s">
        <v>782</v>
      </c>
      <c r="L8" s="75" t="s">
        <v>786</v>
      </c>
      <c r="M8" s="120">
        <v>-9</v>
      </c>
      <c r="N8" s="120">
        <v>-10</v>
      </c>
      <c r="O8" s="120">
        <v>-11</v>
      </c>
      <c r="P8" s="120">
        <v>-12</v>
      </c>
      <c r="Q8" s="120">
        <v>-13</v>
      </c>
      <c r="R8" s="120">
        <v>-14</v>
      </c>
      <c r="S8" s="75" t="s">
        <v>782</v>
      </c>
      <c r="T8" s="121">
        <v>-15</v>
      </c>
      <c r="U8"/>
      <c r="W8" s="95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s="31" customFormat="1" ht="20.45" customHeight="1">
      <c r="A9" s="32"/>
      <c r="B9" s="32"/>
      <c r="D9" s="122"/>
      <c r="E9" s="13"/>
      <c r="F9" s="13"/>
      <c r="G9" s="13"/>
      <c r="H9" s="13"/>
      <c r="I9" s="13"/>
      <c r="J9" s="13"/>
      <c r="K9" s="652"/>
      <c r="L9" s="655"/>
      <c r="M9" s="13"/>
      <c r="N9" s="13"/>
      <c r="O9" s="13"/>
      <c r="P9" s="13"/>
      <c r="Q9" s="13"/>
      <c r="R9" s="13"/>
      <c r="T9" s="123"/>
      <c r="U9"/>
      <c r="W9" s="95"/>
      <c r="X9" s="17"/>
      <c r="Y9" s="17"/>
      <c r="Z9" s="17"/>
      <c r="AA9" s="17"/>
      <c r="AB9" s="17"/>
      <c r="AC9" s="17"/>
      <c r="AD9" s="18"/>
      <c r="AE9" s="17"/>
      <c r="AF9" s="18"/>
      <c r="AG9" s="18"/>
      <c r="AH9" s="18"/>
      <c r="AI9" s="17"/>
      <c r="AJ9" s="17"/>
      <c r="AK9" s="17"/>
      <c r="AL9" s="17"/>
    </row>
    <row r="10" spans="1:38" s="31" customFormat="1">
      <c r="A10" s="32"/>
      <c r="B10" s="77" t="s">
        <v>51</v>
      </c>
      <c r="D10" s="370"/>
      <c r="E10" s="371"/>
      <c r="F10" s="371"/>
      <c r="G10" s="371"/>
      <c r="H10" s="371"/>
      <c r="I10" s="371"/>
      <c r="J10" s="371"/>
      <c r="K10" s="652"/>
      <c r="L10" s="655"/>
      <c r="M10" s="13"/>
      <c r="N10" s="13"/>
      <c r="O10" s="13"/>
      <c r="P10" s="13"/>
      <c r="Q10" s="13"/>
      <c r="R10" s="367"/>
      <c r="S10" s="652"/>
      <c r="T10" s="123"/>
      <c r="U10"/>
      <c r="W10" s="95"/>
      <c r="X10" s="17"/>
      <c r="Y10" s="17"/>
      <c r="Z10" s="17"/>
      <c r="AA10" s="17"/>
      <c r="AB10" s="17"/>
      <c r="AC10" s="17"/>
      <c r="AD10" s="18"/>
      <c r="AE10" s="17"/>
      <c r="AF10" s="17"/>
      <c r="AG10" s="17"/>
      <c r="AH10" s="18"/>
      <c r="AI10" s="17"/>
      <c r="AJ10" s="17"/>
      <c r="AK10" s="17"/>
      <c r="AL10" s="17"/>
    </row>
    <row r="11" spans="1:38" s="31" customFormat="1">
      <c r="A11" s="32">
        <v>1</v>
      </c>
      <c r="B11" s="32"/>
      <c r="C11" s="78" t="s">
        <v>452</v>
      </c>
      <c r="D11" s="370">
        <v>72541642.989999995</v>
      </c>
      <c r="E11" s="371">
        <v>74050873.603333324</v>
      </c>
      <c r="F11" s="371">
        <v>75634261.216666654</v>
      </c>
      <c r="G11" s="371">
        <v>77217422.829999983</v>
      </c>
      <c r="H11" s="371">
        <v>78748551.443333313</v>
      </c>
      <c r="I11" s="371">
        <v>80354698.056666642</v>
      </c>
      <c r="J11" s="371">
        <v>81545912.669999972</v>
      </c>
      <c r="K11" s="372">
        <f>AVERAGE(D11:J11)</f>
        <v>77156194.687142834</v>
      </c>
      <c r="L11" s="371">
        <f>'Rev Req 2020-Distr'!P11+SUM('Cap&amp;OpEx 2021'!C10,'Cap&amp;OpEx 2021'!C12:C14,'Cap&amp;OpEx 2021'!C17,'Cap&amp;OpEx 2021'!C19:C21)+SUM('Cap&amp;OpEx 2021'!D10,'Cap&amp;OpEx 2021'!D12:D14,'Cap&amp;OpEx 2021'!D17,'Cap&amp;OpEx 2021'!D19:D21)+SUM('Cap&amp;OpEx 2021'!E10,'Cap&amp;OpEx 2021'!E12:E14,'Cap&amp;OpEx 2021'!E17,'Cap&amp;OpEx 2021'!E19:E21)+SUM('Cap&amp;OpEx 2021'!F10,'Cap&amp;OpEx 2021'!F12:F14,'Cap&amp;OpEx 2021'!F17,'Cap&amp;OpEx 2021'!F19:F21)+SUM('Cap&amp;OpEx 2021'!G10,'Cap&amp;OpEx 2021'!G12:G14,'Cap&amp;OpEx 2021'!G17,'Cap&amp;OpEx 2021'!G19:G21)+SUM('Cap&amp;OpEx 2021'!H10,'Cap&amp;OpEx 2021'!H12:H14,'Cap&amp;OpEx 2021'!H17,'Cap&amp;OpEx 2021'!H19:H21)</f>
        <v>41005750.949999996</v>
      </c>
      <c r="M11" s="371">
        <f>L11+SUM('Cap&amp;OpEx 2021'!I10,'Cap&amp;OpEx 2021'!I12:I14,'Cap&amp;OpEx 2021'!I17,'Cap&amp;OpEx 2021'!I19:I21)</f>
        <v>41893388.949999996</v>
      </c>
      <c r="N11" s="371">
        <f>M11+SUM('Cap&amp;OpEx 2021'!J10,'Cap&amp;OpEx 2021'!J12:J14,'Cap&amp;OpEx 2021'!J17,'Cap&amp;OpEx 2021'!J19:J21)</f>
        <v>42839653.949999996</v>
      </c>
      <c r="O11" s="371">
        <f>N11+SUM('Cap&amp;OpEx 2021'!K10,'Cap&amp;OpEx 2021'!K12:K14,'Cap&amp;OpEx 2021'!K17,'Cap&amp;OpEx 2021'!K19:K21)</f>
        <v>43763200.949999996</v>
      </c>
      <c r="P11" s="371">
        <f>O11+SUM('Cap&amp;OpEx 2021'!L10,'Cap&amp;OpEx 2021'!L12:L14,'Cap&amp;OpEx 2021'!L17,'Cap&amp;OpEx 2021'!L19:L21)</f>
        <v>44699940.949999996</v>
      </c>
      <c r="Q11" s="371">
        <f>P11+SUM('Cap&amp;OpEx 2021'!M10,'Cap&amp;OpEx 2021'!M12:M14,'Cap&amp;OpEx 2021'!M17,'Cap&amp;OpEx 2021'!M19:M21)</f>
        <v>45610826.949999996</v>
      </c>
      <c r="R11" s="371">
        <f>Q11+SUM('Cap&amp;OpEx 2021'!N10,'Cap&amp;OpEx 2021'!N12:N14,'Cap&amp;OpEx 2021'!N17,'Cap&amp;OpEx 2021'!N19:N21)</f>
        <v>46506906.949999996</v>
      </c>
      <c r="S11" s="372">
        <f>AVERAGE(L11:R11)</f>
        <v>43759952.807142854</v>
      </c>
      <c r="T11" s="372"/>
      <c r="U11"/>
      <c r="W11" s="95"/>
      <c r="X11" s="17"/>
      <c r="Y11" s="17"/>
      <c r="Z11" s="17"/>
      <c r="AA11" s="17"/>
      <c r="AB11" s="17"/>
      <c r="AC11" s="17"/>
      <c r="AD11" s="18"/>
      <c r="AE11" s="17"/>
      <c r="AF11" s="17"/>
      <c r="AG11" s="17"/>
      <c r="AH11" s="18"/>
      <c r="AI11" s="17"/>
      <c r="AJ11" s="17"/>
      <c r="AK11" s="17"/>
      <c r="AL11" s="17"/>
    </row>
    <row r="12" spans="1:38" s="31" customFormat="1">
      <c r="A12" s="32">
        <v>2</v>
      </c>
      <c r="B12" s="32"/>
      <c r="C12" s="31" t="s">
        <v>19</v>
      </c>
      <c r="D12" s="370">
        <v>13531042.09</v>
      </c>
      <c r="E12" s="371">
        <v>13770361.756666666</v>
      </c>
      <c r="F12" s="371">
        <v>14009681.423333332</v>
      </c>
      <c r="G12" s="371">
        <v>14249001.089999998</v>
      </c>
      <c r="H12" s="371">
        <v>14488320.756666664</v>
      </c>
      <c r="I12" s="371">
        <v>14727640.42333333</v>
      </c>
      <c r="J12" s="371">
        <v>14966960.089999996</v>
      </c>
      <c r="K12" s="372">
        <f>AVERAGE(D12:J12)</f>
        <v>14249001.09</v>
      </c>
      <c r="L12" s="371">
        <f>'Rev Req 2020-Distr'!P12+SUM('Cap&amp;OpEx 2021'!C24,'Cap&amp;OpEx 2021'!C26:C28)+SUM('Cap&amp;OpEx 2021'!D24,'Cap&amp;OpEx 2021'!D26:D28)+SUM('Cap&amp;OpEx 2021'!E24,'Cap&amp;OpEx 2021'!E26:E28)+SUM('Cap&amp;OpEx 2021'!F24,'Cap&amp;OpEx 2021'!F26:F28)+SUM('Cap&amp;OpEx 2021'!G24,'Cap&amp;OpEx 2021'!G26:G28)+SUM('Cap&amp;OpEx 2021'!H24,'Cap&amp;OpEx 2021'!H26:H28)</f>
        <v>2799082.1699999995</v>
      </c>
      <c r="M12" s="371">
        <f>L12+SUM('Cap&amp;OpEx 2021'!I24,'Cap&amp;OpEx 2021'!I26:I28)</f>
        <v>2809735.1699999995</v>
      </c>
      <c r="N12" s="371">
        <f>M12+SUM('Cap&amp;OpEx 2021'!J24,'Cap&amp;OpEx 2021'!J26:J28)</f>
        <v>2820388.1699999995</v>
      </c>
      <c r="O12" s="371">
        <f>N12+SUM('Cap&amp;OpEx 2021'!K24,'Cap&amp;OpEx 2021'!K26:K28)</f>
        <v>2831041.1699999995</v>
      </c>
      <c r="P12" s="371">
        <f>O12+SUM('Cap&amp;OpEx 2021'!L24,'Cap&amp;OpEx 2021'!L26:L28)</f>
        <v>2841694.1699999995</v>
      </c>
      <c r="Q12" s="371">
        <f>P12+SUM('Cap&amp;OpEx 2021'!M24,'Cap&amp;OpEx 2021'!M26:M28)</f>
        <v>2852347.1699999995</v>
      </c>
      <c r="R12" s="371">
        <f>Q12+SUM('Cap&amp;OpEx 2021'!N24,'Cap&amp;OpEx 2021'!N26:N28)</f>
        <v>2863000.1699999995</v>
      </c>
      <c r="S12" s="372">
        <f>AVERAGE(L12:R12)</f>
        <v>2831041.169999999</v>
      </c>
      <c r="T12" s="372"/>
      <c r="U12"/>
      <c r="W12" s="95"/>
      <c r="X12" s="17"/>
      <c r="Y12" s="17"/>
      <c r="Z12" s="17"/>
      <c r="AA12" s="17"/>
      <c r="AB12" s="17"/>
      <c r="AC12" s="17"/>
      <c r="AD12" s="18"/>
      <c r="AE12" s="17"/>
      <c r="AF12" s="17"/>
      <c r="AG12" s="17"/>
      <c r="AH12" s="18"/>
      <c r="AI12" s="17"/>
      <c r="AJ12" s="17"/>
      <c r="AK12" s="17"/>
      <c r="AL12" s="17"/>
    </row>
    <row r="13" spans="1:38" s="31" customFormat="1">
      <c r="A13" s="32">
        <v>3</v>
      </c>
      <c r="B13" s="32"/>
      <c r="C13" s="31" t="s">
        <v>52</v>
      </c>
      <c r="D13" s="378">
        <v>-4029625.8927162518</v>
      </c>
      <c r="E13" s="379">
        <v>-4217593.632838252</v>
      </c>
      <c r="F13" s="379">
        <v>-4409736.4075662522</v>
      </c>
      <c r="G13" s="379">
        <v>-4606154.0237502521</v>
      </c>
      <c r="H13" s="379">
        <v>-4806775.9317402523</v>
      </c>
      <c r="I13" s="379">
        <v>-5011633.1612862526</v>
      </c>
      <c r="J13" s="379">
        <v>-5220266.8284882531</v>
      </c>
      <c r="K13" s="377">
        <f>AVERAGE(D13:J13)</f>
        <v>-4614540.839769396</v>
      </c>
      <c r="L13" s="379">
        <f>'Rev Req 2020-Distr'!P13-SUM('202101 Bk Depr'!$P$13,'202101 Bk Depr'!$P$15:$P$18,'202101 Bk Depr'!$P$22,'202101 Bk Depr'!$P$24:$P$27)-SUM('202102 Bk Depr'!$P$13,'202102 Bk Depr'!$P$15:$P$18,'202102 Bk Depr'!$P$22,'202102 Bk Depr'!$P$24:$P$27)-SUM('202103 Bk Depr'!$P$13,'202103 Bk Depr'!$P$15:$P$18,'202103 Bk Depr'!$P$22,'202103 Bk Depr'!$P$24:$P$27)-SUM('202104 Bk Depr'!$P$13,'202104 Bk Depr'!$P$15:$P$18,'202104 Bk Depr'!$P$22,'202104 Bk Depr'!$P$24:$P$27)-SUM('202105 Bk Depr'!$P$13,'202105 Bk Depr'!$P$15:$P$18,'202105 Bk Depr'!$P$22,'202105 Bk Depr'!$P$24:$P$27)-SUM('202106 Bk Depr'!$P$13,'202106 Bk Depr'!$P$15:$P$18,'202106 Bk Depr'!$P$22,'202106 Bk Depr'!$P$24:$P$27)</f>
        <v>-2619513.0596835008</v>
      </c>
      <c r="M13" s="379">
        <f>L13-SUM('202107 Bk Depr'!$P$13,'202107 Bk Depr'!$P$15:$P$18,'202107 Bk Depr'!$P$22,'202107 Bk Depr'!$P$24:$P$27)</f>
        <v>-2731427.0659485008</v>
      </c>
      <c r="N13" s="379">
        <f>M13-SUM('202108 Bk Depr'!$P$13,'202108 Bk Depr'!$P$15:$P$18,'202108 Bk Depr'!$P$22,'202108 Bk Depr'!$P$24:$P$27)</f>
        <v>-2845816.841263501</v>
      </c>
      <c r="O13" s="379">
        <f>N13-SUM('202109 Bk Depr'!$P$13,'202109 Bk Depr'!$P$15:$P$18,'202109 Bk Depr'!$P$22,'202109 Bk Depr'!$P$24:$P$27)</f>
        <v>-2962730.8627785011</v>
      </c>
      <c r="P13" s="379">
        <f>O13-SUM('202110 Bk Depr'!$P$13,'202110 Bk Depr'!$P$15:$P$18,'202110 Bk Depr'!$P$22,'202110 Bk Depr'!$P$24:$P$27)</f>
        <v>-3082156.2717435011</v>
      </c>
      <c r="Q13" s="379">
        <f>P13-SUM('202111 Bk Depr'!$P$13,'202111 Bk Depr'!$P$15:$P$18,'202111 Bk Depr'!$P$22,'202111 Bk Depr'!$P$24:$P$27)</f>
        <v>-3204075.9758085012</v>
      </c>
      <c r="R13" s="379">
        <f>Q13-SUM('202112 Bk Depr'!$P$13,'202112 Bk Depr'!$P$15:$P$18,'202112 Bk Depr'!$P$22,'202112 Bk Depr'!$P$24:$P$27)</f>
        <v>-3328435.0839735013</v>
      </c>
      <c r="S13" s="377">
        <f>AVERAGE(L13:R13)</f>
        <v>-2967736.4515999295</v>
      </c>
      <c r="T13" s="377"/>
      <c r="U13"/>
      <c r="W13" s="95"/>
      <c r="X13" s="17"/>
      <c r="Y13" s="17"/>
      <c r="Z13" s="17"/>
      <c r="AA13" s="17"/>
      <c r="AB13" s="17"/>
      <c r="AC13" s="17"/>
      <c r="AD13" s="18"/>
      <c r="AE13" s="17"/>
      <c r="AF13" s="17"/>
      <c r="AG13" s="17"/>
      <c r="AH13" s="18"/>
      <c r="AI13" s="17"/>
      <c r="AJ13" s="17"/>
      <c r="AK13" s="17"/>
      <c r="AL13" s="17"/>
    </row>
    <row r="14" spans="1:38" s="31" customFormat="1">
      <c r="A14" s="32">
        <v>4</v>
      </c>
      <c r="B14" s="32"/>
      <c r="C14" s="31" t="s">
        <v>53</v>
      </c>
      <c r="D14" s="410">
        <f t="shared" ref="D14:R14" si="1">SUM(D11:D13)</f>
        <v>82043059.187283739</v>
      </c>
      <c r="E14" s="371">
        <f t="shared" si="1"/>
        <v>83603641.727161735</v>
      </c>
      <c r="F14" s="371">
        <f t="shared" si="1"/>
        <v>85234206.232433736</v>
      </c>
      <c r="G14" s="371">
        <f t="shared" si="1"/>
        <v>86860269.896249741</v>
      </c>
      <c r="H14" s="371">
        <f t="shared" si="1"/>
        <v>88430096.268259719</v>
      </c>
      <c r="I14" s="371">
        <f t="shared" si="1"/>
        <v>90070705.318713725</v>
      </c>
      <c r="J14" s="371">
        <f t="shared" si="1"/>
        <v>91292605.9315117</v>
      </c>
      <c r="K14" s="372">
        <f>SUM(K11:K13)</f>
        <v>86790654.937373444</v>
      </c>
      <c r="L14" s="371">
        <f t="shared" si="1"/>
        <v>41185320.060316496</v>
      </c>
      <c r="M14" s="371">
        <f t="shared" si="1"/>
        <v>41971697.054051496</v>
      </c>
      <c r="N14" s="371">
        <f t="shared" si="1"/>
        <v>42814225.278736494</v>
      </c>
      <c r="O14" s="371">
        <f t="shared" si="1"/>
        <v>43631511.257221498</v>
      </c>
      <c r="P14" s="371">
        <f t="shared" si="1"/>
        <v>44459478.848256499</v>
      </c>
      <c r="Q14" s="371">
        <f t="shared" si="1"/>
        <v>45259098.144191496</v>
      </c>
      <c r="R14" s="371">
        <f t="shared" si="1"/>
        <v>46041472.036026493</v>
      </c>
      <c r="S14" s="372">
        <f>SUM(S11:S13)</f>
        <v>43623257.52554293</v>
      </c>
      <c r="T14" s="372"/>
      <c r="U14"/>
      <c r="W14" s="95"/>
      <c r="X14" s="13"/>
      <c r="Y14" s="13"/>
      <c r="Z14" s="13"/>
      <c r="AA14" s="13"/>
      <c r="AB14" s="13"/>
      <c r="AC14" s="13"/>
      <c r="AD14" s="18"/>
      <c r="AE14" s="17"/>
      <c r="AF14" s="17"/>
      <c r="AG14" s="17"/>
      <c r="AH14" s="18"/>
      <c r="AI14" s="17"/>
      <c r="AJ14" s="17"/>
      <c r="AK14" s="17"/>
      <c r="AL14" s="17"/>
    </row>
    <row r="15" spans="1:38" s="31" customFormat="1">
      <c r="A15" s="32"/>
      <c r="B15" s="32"/>
      <c r="D15" s="124"/>
      <c r="E15" s="47"/>
      <c r="F15" s="47"/>
      <c r="G15" s="47"/>
      <c r="H15" s="47"/>
      <c r="I15" s="47"/>
      <c r="J15" s="47"/>
      <c r="K15" s="125"/>
      <c r="L15" s="47"/>
      <c r="M15" s="47"/>
      <c r="N15" s="47"/>
      <c r="O15" s="47"/>
      <c r="P15" s="47"/>
      <c r="Q15" s="47"/>
      <c r="R15" s="47"/>
      <c r="S15" s="125"/>
      <c r="T15" s="125"/>
      <c r="U15"/>
      <c r="V15" s="567" t="s">
        <v>680</v>
      </c>
      <c r="W15" s="95"/>
      <c r="X15" s="13"/>
      <c r="Y15" s="13"/>
      <c r="Z15" s="13"/>
      <c r="AA15" s="13"/>
      <c r="AB15" s="13"/>
      <c r="AC15" s="13"/>
      <c r="AD15" s="18"/>
      <c r="AE15" s="17"/>
      <c r="AF15" s="17"/>
      <c r="AG15" s="17"/>
      <c r="AH15" s="18"/>
      <c r="AI15" s="17"/>
      <c r="AJ15" s="17"/>
      <c r="AK15" s="17"/>
      <c r="AL15" s="17"/>
    </row>
    <row r="16" spans="1:38" s="31" customFormat="1">
      <c r="A16" s="32">
        <v>5</v>
      </c>
      <c r="B16" s="32"/>
      <c r="C16" s="31" t="s">
        <v>54</v>
      </c>
      <c r="D16" s="378">
        <v>-11553912.841375377</v>
      </c>
      <c r="E16" s="379">
        <v>-11746961.690258557</v>
      </c>
      <c r="F16" s="379">
        <v>-11930003.661058532</v>
      </c>
      <c r="G16" s="379">
        <v>-12092543.311204821</v>
      </c>
      <c r="H16" s="379">
        <v>-12231111.84147731</v>
      </c>
      <c r="I16" s="379">
        <v>-12359058.61298578</v>
      </c>
      <c r="J16" s="379">
        <v>-12463870.143072851</v>
      </c>
      <c r="K16" s="377">
        <f>J16</f>
        <v>-12463870.143072851</v>
      </c>
      <c r="L16" s="379">
        <f>-'Tax Depr 2021-Dist'!X22</f>
        <v>-6622306.4526935266</v>
      </c>
      <c r="M16" s="379">
        <f>-'Tax Depr 2021-Dist'!X23</f>
        <v>-6673914.6607840974</v>
      </c>
      <c r="N16" s="379">
        <f>-'Tax Depr 2021-Dist'!X24</f>
        <v>-6718033.9899022765</v>
      </c>
      <c r="O16" s="379">
        <f>-'Tax Depr 2021-Dist'!X25</f>
        <v>-6750690.6451122053</v>
      </c>
      <c r="P16" s="379">
        <f>-'Tax Depr 2021-Dist'!X26</f>
        <v>-6772469.5715575758</v>
      </c>
      <c r="Q16" s="379">
        <f>-'Tax Depr 2021-Dist'!X27</f>
        <v>-6783319.2821981888</v>
      </c>
      <c r="R16" s="379">
        <f>-'Tax Depr 2021-Dist'!X28</f>
        <v>-6783635.1105950801</v>
      </c>
      <c r="S16" s="377">
        <f>R16</f>
        <v>-6783635.1105950801</v>
      </c>
      <c r="T16" s="377"/>
      <c r="U16"/>
      <c r="V16" s="568">
        <f>'Tax Depr 2021-Dist'!X28+S16</f>
        <v>0</v>
      </c>
      <c r="W16" s="95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22" s="31" customFormat="1">
      <c r="A17" s="32"/>
      <c r="B17" s="32"/>
      <c r="D17" s="124"/>
      <c r="E17" s="47"/>
      <c r="F17" s="47"/>
      <c r="G17" s="47"/>
      <c r="H17" s="47"/>
      <c r="I17" s="47"/>
      <c r="J17" s="47"/>
      <c r="K17" s="125"/>
      <c r="L17" s="47"/>
      <c r="M17" s="47"/>
      <c r="N17" s="47"/>
      <c r="O17" s="47"/>
      <c r="P17" s="47"/>
      <c r="Q17" s="47"/>
      <c r="R17" s="47"/>
      <c r="S17" s="125"/>
      <c r="T17" s="125"/>
      <c r="U17"/>
    </row>
    <row r="18" spans="1:22" s="31" customFormat="1">
      <c r="A18" s="32">
        <v>6</v>
      </c>
      <c r="B18" s="32"/>
      <c r="C18" s="78" t="s">
        <v>55</v>
      </c>
      <c r="D18" s="370">
        <f>SUM(D14:D16)</f>
        <v>70489146.345908359</v>
      </c>
      <c r="E18" s="371">
        <f>SUM(E14:E16)</f>
        <v>71856680.036903173</v>
      </c>
      <c r="F18" s="371">
        <f t="shared" ref="F18:R18" si="2">SUM(F14:F16)</f>
        <v>73304202.571375206</v>
      </c>
      <c r="G18" s="371">
        <f t="shared" si="2"/>
        <v>74767726.58504492</v>
      </c>
      <c r="H18" s="371">
        <f t="shared" si="2"/>
        <v>76198984.426782414</v>
      </c>
      <c r="I18" s="371">
        <f t="shared" si="2"/>
        <v>77711646.70572795</v>
      </c>
      <c r="J18" s="371">
        <f t="shared" si="2"/>
        <v>78828735.788438857</v>
      </c>
      <c r="K18" s="372">
        <f>SUM(K14:K16)</f>
        <v>74326784.794300586</v>
      </c>
      <c r="L18" s="370">
        <f>SUM(L14:L16)</f>
        <v>34563013.607622966</v>
      </c>
      <c r="M18" s="371">
        <f t="shared" si="2"/>
        <v>35297782.393267401</v>
      </c>
      <c r="N18" s="371">
        <f t="shared" si="2"/>
        <v>36096191.288834214</v>
      </c>
      <c r="O18" s="371">
        <f t="shared" si="2"/>
        <v>36880820.612109289</v>
      </c>
      <c r="P18" s="371">
        <f t="shared" si="2"/>
        <v>37687009.276698925</v>
      </c>
      <c r="Q18" s="371">
        <f t="shared" si="2"/>
        <v>38475778.861993305</v>
      </c>
      <c r="R18" s="371">
        <f t="shared" si="2"/>
        <v>39257836.925431415</v>
      </c>
      <c r="S18" s="372">
        <f>SUM(S14:S16)</f>
        <v>36839622.414947852</v>
      </c>
      <c r="T18" s="372"/>
      <c r="U18"/>
    </row>
    <row r="19" spans="1:22" s="31" customFormat="1">
      <c r="A19" s="32"/>
      <c r="B19" s="32"/>
      <c r="D19" s="122"/>
      <c r="E19" s="13"/>
      <c r="F19" s="13"/>
      <c r="G19" s="13"/>
      <c r="H19" s="13"/>
      <c r="I19" s="13"/>
      <c r="J19" s="13"/>
      <c r="K19" s="123"/>
      <c r="L19" s="13"/>
      <c r="M19" s="13"/>
      <c r="N19" s="13"/>
      <c r="O19" s="13"/>
      <c r="P19" s="13"/>
      <c r="Q19" s="13"/>
      <c r="R19" s="13"/>
      <c r="S19" s="123"/>
      <c r="T19" s="123"/>
      <c r="U19"/>
    </row>
    <row r="20" spans="1:22" s="31" customFormat="1">
      <c r="A20" s="32">
        <v>7</v>
      </c>
      <c r="B20" s="32"/>
      <c r="C20" s="31" t="s">
        <v>56</v>
      </c>
      <c r="D20" s="126">
        <f>'ROR 2021'!$G$12/12</f>
        <v>7.4333333333333335E-3</v>
      </c>
      <c r="E20" s="37">
        <f>'ROR 2021'!$G$12/12</f>
        <v>7.4333333333333335E-3</v>
      </c>
      <c r="F20" s="37">
        <f>'ROR 2021'!$G$12/12</f>
        <v>7.4333333333333335E-3</v>
      </c>
      <c r="G20" s="37">
        <f>'ROR 2021'!$G$12/12</f>
        <v>7.4333333333333335E-3</v>
      </c>
      <c r="H20" s="37">
        <f>'ROR 2021'!$G$12/12</f>
        <v>7.4333333333333335E-3</v>
      </c>
      <c r="I20" s="37">
        <f>'ROR 2021'!$G$12/12</f>
        <v>7.4333333333333335E-3</v>
      </c>
      <c r="J20" s="37">
        <f>'ROR 2021'!$G$12/12</f>
        <v>7.4333333333333335E-3</v>
      </c>
      <c r="K20" s="127">
        <f>'ROR 2021'!G12/12*6</f>
        <v>4.4600000000000001E-2</v>
      </c>
      <c r="L20" s="37"/>
      <c r="M20" s="37">
        <f>'ROR Eff 07.2021'!$G$12/12</f>
        <v>7.0499999999999998E-3</v>
      </c>
      <c r="N20" s="37">
        <f>'ROR Eff 07.2021'!$G$12/12</f>
        <v>7.0499999999999998E-3</v>
      </c>
      <c r="O20" s="37">
        <f>'ROR Eff 07.2021'!$G$12/12</f>
        <v>7.0499999999999998E-3</v>
      </c>
      <c r="P20" s="37">
        <f>'ROR Eff 07.2021'!$G$12/12</f>
        <v>7.0499999999999998E-3</v>
      </c>
      <c r="Q20" s="37">
        <f>'ROR Eff 07.2021'!$G$12/12</f>
        <v>7.0499999999999998E-3</v>
      </c>
      <c r="R20" s="37">
        <f>'ROR Eff 07.2021'!$G$12/12</f>
        <v>7.0499999999999998E-3</v>
      </c>
      <c r="S20" s="127">
        <f>'ROR Eff 07.2021'!G12/12*6</f>
        <v>4.2299999999999997E-2</v>
      </c>
      <c r="T20" s="127"/>
      <c r="U20"/>
    </row>
    <row r="21" spans="1:22" s="31" customFormat="1">
      <c r="A21" s="32"/>
      <c r="B21" s="32"/>
      <c r="D21" s="230"/>
      <c r="E21" s="13"/>
      <c r="F21" s="13"/>
      <c r="G21" s="13"/>
      <c r="H21" s="13"/>
      <c r="I21" s="13"/>
      <c r="J21" s="13"/>
      <c r="K21" s="123"/>
      <c r="L21" s="13"/>
      <c r="M21" s="13"/>
      <c r="N21" s="13"/>
      <c r="O21" s="13"/>
      <c r="P21" s="13"/>
      <c r="Q21" s="13"/>
      <c r="R21" s="13"/>
      <c r="S21" s="123"/>
      <c r="T21" s="123"/>
      <c r="U21"/>
    </row>
    <row r="22" spans="1:22" s="31" customFormat="1">
      <c r="A22" s="32">
        <v>8</v>
      </c>
      <c r="B22" s="32"/>
      <c r="C22" s="31" t="s">
        <v>57</v>
      </c>
      <c r="D22" s="401">
        <f>D18*D20</f>
        <v>523969.32117125212</v>
      </c>
      <c r="E22" s="402">
        <f>E18*E20</f>
        <v>534134.65494098025</v>
      </c>
      <c r="F22" s="402">
        <f t="shared" ref="F22:R22" si="3">F18*F20</f>
        <v>544894.57244722242</v>
      </c>
      <c r="G22" s="402">
        <f t="shared" si="3"/>
        <v>555773.43428216723</v>
      </c>
      <c r="H22" s="402">
        <f t="shared" si="3"/>
        <v>566412.45090574934</v>
      </c>
      <c r="I22" s="402">
        <f t="shared" si="3"/>
        <v>577656.57384591107</v>
      </c>
      <c r="J22" s="402">
        <f t="shared" si="3"/>
        <v>585960.26936072879</v>
      </c>
      <c r="K22" s="403">
        <f>K18*K20</f>
        <v>3314974.6018258063</v>
      </c>
      <c r="L22" s="402"/>
      <c r="M22" s="402">
        <f t="shared" si="3"/>
        <v>248849.36587253516</v>
      </c>
      <c r="N22" s="402">
        <f t="shared" si="3"/>
        <v>254478.1485862812</v>
      </c>
      <c r="O22" s="402">
        <f t="shared" si="3"/>
        <v>260009.78531537048</v>
      </c>
      <c r="P22" s="402">
        <f t="shared" si="3"/>
        <v>265693.41540072742</v>
      </c>
      <c r="Q22" s="402">
        <f t="shared" si="3"/>
        <v>271254.24097705277</v>
      </c>
      <c r="R22" s="402">
        <f t="shared" si="3"/>
        <v>276767.75032429147</v>
      </c>
      <c r="S22" s="403">
        <f>S18*S20</f>
        <v>1558316.028152294</v>
      </c>
      <c r="T22" s="403">
        <f>K22+S22</f>
        <v>4873290.6299780998</v>
      </c>
      <c r="U22"/>
    </row>
    <row r="23" spans="1:22" s="31" customFormat="1">
      <c r="A23" s="32"/>
      <c r="B23" s="32"/>
      <c r="D23" s="230"/>
      <c r="E23" s="13"/>
      <c r="F23" s="13"/>
      <c r="G23" s="13"/>
      <c r="H23" s="13"/>
      <c r="I23" s="13"/>
      <c r="J23" s="13"/>
      <c r="K23" s="123"/>
      <c r="L23" s="13"/>
      <c r="M23" s="13"/>
      <c r="N23" s="13"/>
      <c r="O23" s="13"/>
      <c r="P23" s="13"/>
      <c r="Q23" s="13"/>
      <c r="R23" s="13"/>
      <c r="S23" s="123"/>
      <c r="T23" s="123"/>
      <c r="U23"/>
    </row>
    <row r="24" spans="1:22" s="31" customFormat="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23"/>
      <c r="L24" s="13"/>
      <c r="M24" s="13"/>
      <c r="N24" s="13"/>
      <c r="O24" s="13"/>
      <c r="P24" s="13"/>
      <c r="Q24" s="13"/>
      <c r="R24" s="13"/>
      <c r="S24" s="123"/>
      <c r="T24" s="123"/>
      <c r="U24"/>
    </row>
    <row r="25" spans="1:22" s="31" customFormat="1">
      <c r="A25" s="32">
        <v>9</v>
      </c>
      <c r="B25" s="32"/>
      <c r="C25" s="31" t="s">
        <v>0</v>
      </c>
      <c r="D25" s="370">
        <v>184603.42300500011</v>
      </c>
      <c r="E25" s="371">
        <v>187967.7401220001</v>
      </c>
      <c r="F25" s="371">
        <v>192142.77472800013</v>
      </c>
      <c r="G25" s="371">
        <v>196417.61618400013</v>
      </c>
      <c r="H25" s="371">
        <v>200621.90799000012</v>
      </c>
      <c r="I25" s="371">
        <v>204857.22954600016</v>
      </c>
      <c r="J25" s="371">
        <v>208633.66720200016</v>
      </c>
      <c r="K25" s="372"/>
      <c r="L25" s="371"/>
      <c r="M25" s="371">
        <f>SUM('202107 Bk Depr'!$P$13,'202107 Bk Depr'!$P$15:$P$18,'202107 Bk Depr'!$P$22,'202107 Bk Depr'!$P$24:$P$27)</f>
        <v>111914.00626500005</v>
      </c>
      <c r="N25" s="371">
        <f>SUM('202108 Bk Depr'!$P$13,'202108 Bk Depr'!$P$15:$P$18,'202108 Bk Depr'!$P$22,'202108 Bk Depr'!$P$24:$P$27)</f>
        <v>114389.77531500004</v>
      </c>
      <c r="O25" s="371">
        <f>SUM('202109 Bk Depr'!$P$13,'202109 Bk Depr'!$P$15:$P$18,'202109 Bk Depr'!$P$22,'202109 Bk Depr'!$P$24:$P$27)</f>
        <v>116914.02151500003</v>
      </c>
      <c r="P25" s="371">
        <f>SUM('202110 Bk Depr'!$P$13,'202110 Bk Depr'!$P$15:$P$18,'202110 Bk Depr'!$P$22,'202110 Bk Depr'!$P$24:$P$27)</f>
        <v>119425.40896500004</v>
      </c>
      <c r="Q25" s="371">
        <f>SUM('202111 Bk Depr'!$P$13,'202111 Bk Depr'!$P$15:$P$18,'202111 Bk Depr'!$P$22,'202111 Bk Depr'!$P$24:$P$27)</f>
        <v>121919.70406500003</v>
      </c>
      <c r="R25" s="371">
        <f>SUM('202112 Bk Depr'!$P$13,'202112 Bk Depr'!$P$15:$P$18,'202112 Bk Depr'!$P$22,'202112 Bk Depr'!$P$24:$P$27)</f>
        <v>124359.10816500004</v>
      </c>
      <c r="S25" s="372"/>
      <c r="T25" s="372">
        <f>SUM(E25:R25)</f>
        <v>1899562.9600620007</v>
      </c>
      <c r="U25"/>
      <c r="V25" s="653"/>
    </row>
    <row r="26" spans="1:22" s="31" customFormat="1">
      <c r="A26" s="32">
        <v>10</v>
      </c>
      <c r="B26" s="32"/>
      <c r="C26" s="13" t="s">
        <v>59</v>
      </c>
      <c r="D26" s="370">
        <v>99030.180000000008</v>
      </c>
      <c r="E26" s="371">
        <v>79997</v>
      </c>
      <c r="F26" s="371">
        <v>79750</v>
      </c>
      <c r="G26" s="371">
        <v>87717</v>
      </c>
      <c r="H26" s="371">
        <v>83064</v>
      </c>
      <c r="I26" s="371">
        <v>80065</v>
      </c>
      <c r="J26" s="371">
        <v>85208</v>
      </c>
      <c r="K26" s="372"/>
      <c r="L26" s="371"/>
      <c r="M26" s="371">
        <f>'Cap&amp;OpEx 2021'!I31</f>
        <v>82974</v>
      </c>
      <c r="N26" s="371">
        <f>'Cap&amp;OpEx 2021'!J31</f>
        <v>86219</v>
      </c>
      <c r="O26" s="371">
        <f>'Cap&amp;OpEx 2021'!K31</f>
        <v>86339</v>
      </c>
      <c r="P26" s="371">
        <f>'Cap&amp;OpEx 2021'!L31</f>
        <v>83030</v>
      </c>
      <c r="Q26" s="371">
        <f>'Cap&amp;OpEx 2021'!M31</f>
        <v>81763</v>
      </c>
      <c r="R26" s="371">
        <f>'Cap&amp;OpEx 2021'!N31</f>
        <v>82687</v>
      </c>
      <c r="S26" s="372"/>
      <c r="T26" s="372">
        <f>SUM(E26:R26)</f>
        <v>998813</v>
      </c>
      <c r="U26"/>
      <c r="V26" s="653"/>
    </row>
    <row r="27" spans="1:22" s="31" customFormat="1">
      <c r="A27" s="32">
        <v>11</v>
      </c>
      <c r="B27" s="32"/>
      <c r="C27" s="31" t="s">
        <v>178</v>
      </c>
      <c r="D27" s="370">
        <v>68347</v>
      </c>
      <c r="E27" s="371">
        <v>93842</v>
      </c>
      <c r="F27" s="371">
        <v>93842</v>
      </c>
      <c r="G27" s="371">
        <v>93842</v>
      </c>
      <c r="H27" s="371">
        <v>93842</v>
      </c>
      <c r="I27" s="371">
        <v>93842</v>
      </c>
      <c r="J27" s="371">
        <v>93842</v>
      </c>
      <c r="K27" s="372"/>
      <c r="L27" s="371"/>
      <c r="M27" s="371">
        <f>'Cap&amp;OpEx 2021'!I33</f>
        <v>40490.688166390406</v>
      </c>
      <c r="N27" s="371">
        <f>'Cap&amp;OpEx 2021'!J33</f>
        <v>40490.688166390406</v>
      </c>
      <c r="O27" s="371">
        <f>'Cap&amp;OpEx 2021'!K33</f>
        <v>40490.688166390406</v>
      </c>
      <c r="P27" s="371">
        <f>'Cap&amp;OpEx 2021'!L33</f>
        <v>40490.688166390406</v>
      </c>
      <c r="Q27" s="371">
        <f>'Cap&amp;OpEx 2021'!M33</f>
        <v>40490.688166390406</v>
      </c>
      <c r="R27" s="371">
        <f>'Cap&amp;OpEx 2021'!N33</f>
        <v>40490.688166390406</v>
      </c>
      <c r="S27" s="372"/>
      <c r="T27" s="372">
        <f>SUM(E27:R27)</f>
        <v>805996.12899834244</v>
      </c>
      <c r="U27"/>
      <c r="V27" s="653"/>
    </row>
    <row r="28" spans="1:22" s="31" customFormat="1">
      <c r="A28" s="32"/>
      <c r="B28" s="32"/>
      <c r="D28" s="124"/>
      <c r="E28" s="47"/>
      <c r="F28" s="47"/>
      <c r="G28" s="47"/>
      <c r="H28" s="47"/>
      <c r="I28" s="47"/>
      <c r="J28" s="47"/>
      <c r="K28" s="125"/>
      <c r="L28" s="47"/>
      <c r="M28" s="47"/>
      <c r="N28" s="47"/>
      <c r="O28" s="47"/>
      <c r="P28" s="47"/>
      <c r="Q28" s="47"/>
      <c r="R28" s="47"/>
      <c r="S28" s="125"/>
      <c r="T28" s="125"/>
      <c r="U28"/>
      <c r="V28" s="653"/>
    </row>
    <row r="29" spans="1:22" s="31" customFormat="1">
      <c r="A29" s="32">
        <v>12</v>
      </c>
      <c r="B29" s="32"/>
      <c r="C29" s="31" t="s">
        <v>60</v>
      </c>
      <c r="D29" s="370">
        <f t="shared" ref="D29:R29" si="4">SUM(D25:D28)</f>
        <v>351980.6030050001</v>
      </c>
      <c r="E29" s="371">
        <f t="shared" si="4"/>
        <v>361806.7401220001</v>
      </c>
      <c r="F29" s="371">
        <f t="shared" si="4"/>
        <v>365734.77472800016</v>
      </c>
      <c r="G29" s="371">
        <f t="shared" si="4"/>
        <v>377976.61618400016</v>
      </c>
      <c r="H29" s="371">
        <f t="shared" si="4"/>
        <v>377527.90799000009</v>
      </c>
      <c r="I29" s="371">
        <f t="shared" si="4"/>
        <v>378764.22954600013</v>
      </c>
      <c r="J29" s="371">
        <f t="shared" si="4"/>
        <v>387683.66720200016</v>
      </c>
      <c r="K29" s="372"/>
      <c r="L29" s="371"/>
      <c r="M29" s="371">
        <f t="shared" si="4"/>
        <v>235378.69443139044</v>
      </c>
      <c r="N29" s="371">
        <f t="shared" si="4"/>
        <v>241099.46348139044</v>
      </c>
      <c r="O29" s="371">
        <f t="shared" si="4"/>
        <v>243743.70968139044</v>
      </c>
      <c r="P29" s="371">
        <f t="shared" si="4"/>
        <v>242946.09713139044</v>
      </c>
      <c r="Q29" s="371">
        <f t="shared" si="4"/>
        <v>244173.39223139043</v>
      </c>
      <c r="R29" s="371">
        <f t="shared" si="4"/>
        <v>247536.79633139045</v>
      </c>
      <c r="S29" s="372"/>
      <c r="T29" s="372">
        <f>SUM(T25:T28)</f>
        <v>3704372.0890603433</v>
      </c>
      <c r="U29"/>
      <c r="V29" s="653"/>
    </row>
    <row r="30" spans="1:22" s="31" customFormat="1">
      <c r="A30" s="32"/>
      <c r="B30" s="32"/>
      <c r="D30" s="122"/>
      <c r="E30" s="13"/>
      <c r="F30" s="13"/>
      <c r="G30" s="13"/>
      <c r="H30" s="13"/>
      <c r="I30" s="13"/>
      <c r="J30" s="13"/>
      <c r="K30" s="123"/>
      <c r="L30" s="13"/>
      <c r="M30" s="13"/>
      <c r="N30" s="13"/>
      <c r="O30" s="13"/>
      <c r="P30" s="13"/>
      <c r="Q30" s="13"/>
      <c r="R30" s="13"/>
      <c r="S30" s="123"/>
      <c r="T30" s="123"/>
      <c r="U30"/>
      <c r="V30" s="653"/>
    </row>
    <row r="31" spans="1:22" s="31" customFormat="1">
      <c r="A31" s="32">
        <v>13</v>
      </c>
      <c r="B31" s="77" t="s">
        <v>165</v>
      </c>
      <c r="D31" s="407">
        <f t="shared" ref="D31:R31" si="5">D22+D29</f>
        <v>875949.92417625221</v>
      </c>
      <c r="E31" s="408">
        <f t="shared" si="5"/>
        <v>895941.39506298036</v>
      </c>
      <c r="F31" s="408">
        <f t="shared" si="5"/>
        <v>910629.34717522259</v>
      </c>
      <c r="G31" s="408">
        <f t="shared" si="5"/>
        <v>933750.05046616739</v>
      </c>
      <c r="H31" s="408">
        <f t="shared" si="5"/>
        <v>943940.35889574944</v>
      </c>
      <c r="I31" s="408">
        <f t="shared" si="5"/>
        <v>956420.80339191121</v>
      </c>
      <c r="J31" s="408">
        <f t="shared" si="5"/>
        <v>973643.93656272895</v>
      </c>
      <c r="K31" s="409"/>
      <c r="L31" s="408"/>
      <c r="M31" s="408">
        <f t="shared" si="5"/>
        <v>484228.06030392559</v>
      </c>
      <c r="N31" s="408">
        <f t="shared" si="5"/>
        <v>495577.61206767161</v>
      </c>
      <c r="O31" s="408">
        <f t="shared" si="5"/>
        <v>503753.49499676091</v>
      </c>
      <c r="P31" s="408">
        <f t="shared" si="5"/>
        <v>508639.51253211789</v>
      </c>
      <c r="Q31" s="408">
        <f t="shared" si="5"/>
        <v>515427.63320844318</v>
      </c>
      <c r="R31" s="408">
        <f t="shared" si="5"/>
        <v>524304.54665568192</v>
      </c>
      <c r="S31" s="409"/>
      <c r="T31" s="409">
        <f>T22+T29</f>
        <v>8577662.7190384436</v>
      </c>
      <c r="U31"/>
      <c r="V31" s="653"/>
    </row>
    <row r="32" spans="1:22" s="31" customFormat="1">
      <c r="D32" s="36"/>
      <c r="E32" s="81"/>
      <c r="F32" s="81"/>
      <c r="G32" s="81"/>
      <c r="H32" s="81"/>
      <c r="I32" s="81"/>
      <c r="J32" s="81"/>
      <c r="L32" s="81"/>
      <c r="M32" s="81"/>
      <c r="N32" s="81"/>
      <c r="O32" s="81"/>
      <c r="P32" s="81"/>
      <c r="Q32" s="81"/>
      <c r="U32"/>
    </row>
    <row r="33" spans="1:30" s="31" customFormat="1">
      <c r="D33" s="36"/>
      <c r="E33" s="81"/>
      <c r="F33" s="81"/>
      <c r="G33" s="81"/>
      <c r="H33" s="81"/>
      <c r="I33" s="81"/>
      <c r="J33" s="81"/>
      <c r="L33" s="81"/>
      <c r="M33" s="81"/>
      <c r="N33" s="81"/>
      <c r="O33" s="81"/>
      <c r="P33" s="81"/>
      <c r="Q33" s="81"/>
      <c r="U33"/>
    </row>
    <row r="34" spans="1:30" s="31" customFormat="1">
      <c r="B34" s="678" t="s">
        <v>789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81"/>
      <c r="P34" s="81"/>
      <c r="Q34" s="81"/>
      <c r="U34"/>
    </row>
    <row r="35" spans="1:30" s="31" customFormat="1" ht="20.25" customHeight="1">
      <c r="B35" s="678"/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52"/>
      <c r="P35" s="652"/>
      <c r="Q35" s="652"/>
      <c r="R35" s="652"/>
      <c r="S35" s="652"/>
      <c r="T35" s="652"/>
      <c r="U35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>
      <c r="A36" s="159"/>
      <c r="B36" s="652"/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23"/>
      <c r="L37" s="162"/>
      <c r="M37" s="162"/>
      <c r="N37" s="162"/>
      <c r="O37" s="162"/>
      <c r="P37" s="162"/>
      <c r="Q37" s="162"/>
      <c r="R37" s="162"/>
      <c r="S37" s="23"/>
      <c r="T37" s="162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23"/>
      <c r="L38" s="162"/>
      <c r="M38" s="162"/>
      <c r="N38" s="162"/>
      <c r="O38" s="162"/>
      <c r="P38" s="162"/>
      <c r="Q38" s="162"/>
      <c r="R38" s="162"/>
      <c r="S38" s="23"/>
      <c r="T38" s="162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23"/>
      <c r="L39" s="162"/>
      <c r="M39" s="162"/>
      <c r="N39" s="162"/>
      <c r="O39" s="162"/>
      <c r="P39" s="162"/>
      <c r="Q39" s="162"/>
      <c r="R39" s="162"/>
      <c r="S39" s="23"/>
      <c r="T39" s="162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>
      <c r="A40" s="159"/>
      <c r="B40" s="159"/>
      <c r="C40" s="161"/>
      <c r="D40" s="162"/>
      <c r="E40" s="162"/>
      <c r="F40" s="162"/>
      <c r="G40" s="162"/>
      <c r="H40" s="162"/>
      <c r="I40" s="162"/>
      <c r="J40" s="162"/>
      <c r="K40" s="23"/>
      <c r="L40" s="162"/>
      <c r="M40" s="162"/>
      <c r="N40" s="162"/>
      <c r="O40" s="162"/>
      <c r="P40" s="162"/>
      <c r="Q40" s="162"/>
      <c r="R40" s="162"/>
      <c r="S40" s="23"/>
      <c r="T40" s="162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>
      <c r="A41" s="23"/>
      <c r="B41" s="23"/>
      <c r="C41" s="16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>
      <c r="A43" s="23"/>
      <c r="B43" s="23"/>
      <c r="C43" s="16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23"/>
      <c r="L46" s="166"/>
      <c r="M46" s="166"/>
      <c r="N46" s="166"/>
      <c r="O46" s="166"/>
      <c r="P46" s="166"/>
      <c r="Q46" s="166"/>
      <c r="R46" s="23"/>
      <c r="S46" s="23"/>
      <c r="T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8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8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8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V51" s="23"/>
      <c r="W51" s="19"/>
      <c r="X51" s="20"/>
      <c r="Y51" s="20"/>
      <c r="Z51" s="20"/>
      <c r="AA51" s="20"/>
      <c r="AB51" s="20"/>
      <c r="AC51" s="20"/>
      <c r="AD51" s="20"/>
      <c r="AE51" s="94"/>
      <c r="AF51" s="94"/>
      <c r="AG51" s="94"/>
      <c r="AH51" s="94"/>
      <c r="AI51" s="94"/>
      <c r="AJ51" s="94"/>
      <c r="AK51" s="94"/>
      <c r="AL51" s="94"/>
    </row>
    <row r="52" spans="1:38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3"/>
      <c r="L52" s="21"/>
      <c r="M52" s="21"/>
      <c r="N52" s="21"/>
      <c r="O52" s="21"/>
      <c r="P52" s="21"/>
      <c r="Q52" s="21"/>
      <c r="R52" s="21"/>
      <c r="S52" s="23"/>
      <c r="T52" s="21"/>
      <c r="V52" s="23"/>
      <c r="W52" s="21"/>
      <c r="X52" s="22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1:38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23"/>
      <c r="L53" s="83"/>
      <c r="M53" s="83"/>
      <c r="N53" s="83"/>
      <c r="O53" s="83"/>
      <c r="P53" s="83"/>
      <c r="Q53" s="83"/>
      <c r="R53" s="83"/>
      <c r="S53" s="23"/>
      <c r="T53" s="83"/>
      <c r="V53" s="23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23"/>
      <c r="L54" s="168"/>
      <c r="M54" s="168"/>
      <c r="N54" s="168"/>
      <c r="O54" s="168"/>
      <c r="P54" s="168"/>
      <c r="Q54" s="168"/>
      <c r="R54" s="168"/>
      <c r="S54" s="23"/>
      <c r="T54" s="168"/>
      <c r="V54" s="23"/>
      <c r="W54" s="21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</row>
    <row r="55" spans="1:38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V55" s="23"/>
      <c r="W55" s="21"/>
      <c r="X55" s="24"/>
      <c r="Y55" s="24"/>
      <c r="Z55" s="24"/>
      <c r="AA55" s="24"/>
      <c r="AB55" s="24"/>
      <c r="AC55" s="24"/>
      <c r="AD55" s="25"/>
      <c r="AE55" s="24"/>
      <c r="AF55" s="25"/>
      <c r="AG55" s="25"/>
      <c r="AH55" s="25"/>
      <c r="AI55" s="24"/>
      <c r="AJ55" s="24"/>
      <c r="AK55" s="24"/>
      <c r="AL55" s="24"/>
    </row>
    <row r="56" spans="1:38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V56" s="23"/>
      <c r="W56" s="21"/>
      <c r="X56" s="24"/>
      <c r="Y56" s="24"/>
      <c r="Z56" s="24"/>
      <c r="AA56" s="24"/>
      <c r="AB56" s="24"/>
      <c r="AC56" s="24"/>
      <c r="AD56" s="25"/>
      <c r="AE56" s="24"/>
      <c r="AF56" s="24"/>
      <c r="AG56" s="24"/>
      <c r="AH56" s="25"/>
      <c r="AI56" s="24"/>
      <c r="AJ56" s="24"/>
      <c r="AK56" s="24"/>
      <c r="AL56" s="24"/>
    </row>
    <row r="57" spans="1:38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23"/>
      <c r="L57" s="170"/>
      <c r="M57" s="170"/>
      <c r="N57" s="170"/>
      <c r="O57" s="170"/>
      <c r="P57" s="170"/>
      <c r="Q57" s="170"/>
      <c r="R57" s="170"/>
      <c r="S57" s="23"/>
      <c r="T57" s="170"/>
      <c r="V57" s="23"/>
      <c r="W57" s="21"/>
      <c r="X57" s="24"/>
      <c r="Y57" s="24"/>
      <c r="Z57" s="24"/>
      <c r="AA57" s="24"/>
      <c r="AB57" s="24"/>
      <c r="AC57" s="24"/>
      <c r="AD57" s="25"/>
      <c r="AE57" s="24"/>
      <c r="AF57" s="24"/>
      <c r="AG57" s="24"/>
      <c r="AH57" s="25"/>
      <c r="AI57" s="24"/>
      <c r="AJ57" s="24"/>
      <c r="AK57" s="24"/>
      <c r="AL57" s="24"/>
    </row>
    <row r="58" spans="1:38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23"/>
      <c r="L58" s="170"/>
      <c r="M58" s="170"/>
      <c r="N58" s="170"/>
      <c r="O58" s="170"/>
      <c r="P58" s="170"/>
      <c r="Q58" s="170"/>
      <c r="R58" s="170"/>
      <c r="S58" s="23"/>
      <c r="T58" s="170"/>
      <c r="V58" s="23"/>
      <c r="W58" s="21"/>
      <c r="X58" s="24"/>
      <c r="Y58" s="24"/>
      <c r="Z58" s="24"/>
      <c r="AA58" s="24"/>
      <c r="AB58" s="24"/>
      <c r="AC58" s="24"/>
      <c r="AD58" s="25"/>
      <c r="AE58" s="24"/>
      <c r="AF58" s="24"/>
      <c r="AG58" s="24"/>
      <c r="AH58" s="25"/>
      <c r="AI58" s="24"/>
      <c r="AJ58" s="24"/>
      <c r="AK58" s="24"/>
      <c r="AL58" s="24"/>
    </row>
    <row r="59" spans="1:38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23"/>
      <c r="L59" s="170"/>
      <c r="M59" s="170"/>
      <c r="N59" s="170"/>
      <c r="O59" s="170"/>
      <c r="P59" s="170"/>
      <c r="Q59" s="170"/>
      <c r="R59" s="170"/>
      <c r="S59" s="23"/>
      <c r="T59" s="170"/>
      <c r="V59" s="23"/>
      <c r="W59" s="21"/>
      <c r="X59" s="24"/>
      <c r="Y59" s="24"/>
      <c r="Z59" s="24"/>
      <c r="AA59" s="24"/>
      <c r="AB59" s="24"/>
      <c r="AC59" s="24"/>
      <c r="AD59" s="25"/>
      <c r="AE59" s="24"/>
      <c r="AF59" s="24"/>
      <c r="AG59" s="24"/>
      <c r="AH59" s="25"/>
      <c r="AI59" s="24"/>
      <c r="AJ59" s="24"/>
      <c r="AK59" s="24"/>
      <c r="AL59" s="24"/>
    </row>
    <row r="60" spans="1:38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23"/>
      <c r="L60" s="170"/>
      <c r="M60" s="170"/>
      <c r="N60" s="170"/>
      <c r="O60" s="170"/>
      <c r="P60" s="170"/>
      <c r="Q60" s="170"/>
      <c r="R60" s="170"/>
      <c r="S60" s="23"/>
      <c r="T60" s="170"/>
      <c r="V60" s="23"/>
      <c r="W60" s="21"/>
      <c r="X60" s="23"/>
      <c r="Y60" s="23"/>
      <c r="Z60" s="23"/>
      <c r="AA60" s="23"/>
      <c r="AB60" s="23"/>
      <c r="AC60" s="23"/>
      <c r="AD60" s="25"/>
      <c r="AE60" s="24"/>
      <c r="AF60" s="24"/>
      <c r="AG60" s="24"/>
      <c r="AH60" s="25"/>
      <c r="AI60" s="24"/>
      <c r="AJ60" s="24"/>
      <c r="AK60" s="24"/>
      <c r="AL60" s="24"/>
    </row>
    <row r="61" spans="1:38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23"/>
      <c r="L61" s="170"/>
      <c r="M61" s="170"/>
      <c r="N61" s="170"/>
      <c r="O61" s="170"/>
      <c r="P61" s="170"/>
      <c r="Q61" s="170"/>
      <c r="R61" s="170"/>
      <c r="S61" s="23"/>
      <c r="T61" s="170"/>
      <c r="V61" s="23"/>
      <c r="W61" s="21"/>
      <c r="X61" s="23"/>
      <c r="Y61" s="23"/>
      <c r="Z61" s="23"/>
      <c r="AA61" s="23"/>
      <c r="AB61" s="23"/>
      <c r="AC61" s="23"/>
      <c r="AD61" s="25"/>
      <c r="AE61" s="24"/>
      <c r="AF61" s="24"/>
      <c r="AG61" s="24"/>
      <c r="AH61" s="25"/>
      <c r="AI61" s="24"/>
      <c r="AJ61" s="24"/>
      <c r="AK61" s="24"/>
      <c r="AL61" s="24"/>
    </row>
    <row r="62" spans="1:38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23"/>
      <c r="L62" s="170"/>
      <c r="M62" s="170"/>
      <c r="N62" s="170"/>
      <c r="O62" s="170"/>
      <c r="P62" s="170"/>
      <c r="Q62" s="170"/>
      <c r="R62" s="170"/>
      <c r="S62" s="23"/>
      <c r="T62" s="170"/>
      <c r="V62" s="23"/>
      <c r="W62" s="21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23"/>
      <c r="L63" s="170"/>
      <c r="M63" s="170"/>
      <c r="N63" s="170"/>
      <c r="O63" s="170"/>
      <c r="P63" s="170"/>
      <c r="Q63" s="170"/>
      <c r="R63" s="170"/>
      <c r="S63" s="23"/>
      <c r="T63" s="170"/>
      <c r="V63" s="23"/>
      <c r="W63" s="23"/>
      <c r="X63" s="23"/>
      <c r="Y63" s="23"/>
      <c r="Z63" s="23"/>
      <c r="AA63" s="23"/>
      <c r="AB63" s="23"/>
      <c r="AC63" s="23"/>
      <c r="AD63" s="23"/>
    </row>
    <row r="64" spans="1:38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23"/>
      <c r="L64" s="170"/>
      <c r="M64" s="170"/>
      <c r="N64" s="170"/>
      <c r="O64" s="170"/>
      <c r="P64" s="170"/>
      <c r="Q64" s="170"/>
      <c r="R64" s="170"/>
      <c r="S64" s="23"/>
      <c r="T64" s="170"/>
      <c r="V64" s="23"/>
      <c r="W64" s="23"/>
      <c r="X64" s="23"/>
      <c r="Y64" s="23"/>
      <c r="Z64" s="23"/>
      <c r="AA64" s="23"/>
      <c r="AB64" s="23"/>
      <c r="AC64" s="23"/>
      <c r="AD64" s="23"/>
    </row>
    <row r="65" spans="1:30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23"/>
      <c r="L66" s="171"/>
      <c r="M66" s="171"/>
      <c r="N66" s="171"/>
      <c r="O66" s="171"/>
      <c r="P66" s="171"/>
      <c r="Q66" s="171"/>
      <c r="R66" s="171"/>
      <c r="S66" s="23"/>
      <c r="T66" s="171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23"/>
      <c r="L68" s="163"/>
      <c r="M68" s="163"/>
      <c r="N68" s="163"/>
      <c r="O68" s="163"/>
      <c r="P68" s="163"/>
      <c r="Q68" s="163"/>
      <c r="R68" s="163"/>
      <c r="S68" s="23"/>
      <c r="T68" s="16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23"/>
      <c r="L71" s="170"/>
      <c r="M71" s="170"/>
      <c r="N71" s="170"/>
      <c r="O71" s="170"/>
      <c r="P71" s="170"/>
      <c r="Q71" s="170"/>
      <c r="R71" s="170"/>
      <c r="S71" s="23"/>
      <c r="T71" s="170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23"/>
      <c r="L72" s="170"/>
      <c r="M72" s="170"/>
      <c r="N72" s="170"/>
      <c r="O72" s="170"/>
      <c r="P72" s="170"/>
      <c r="Q72" s="170"/>
      <c r="R72" s="170"/>
      <c r="S72" s="23"/>
      <c r="T72" s="170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23"/>
      <c r="L73" s="170"/>
      <c r="M73" s="170"/>
      <c r="N73" s="170"/>
      <c r="O73" s="170"/>
      <c r="P73" s="170"/>
      <c r="Q73" s="170"/>
      <c r="R73" s="170"/>
      <c r="S73" s="23"/>
      <c r="T73" s="170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23"/>
      <c r="L74" s="170"/>
      <c r="M74" s="170"/>
      <c r="N74" s="170"/>
      <c r="O74" s="170"/>
      <c r="P74" s="170"/>
      <c r="Q74" s="170"/>
      <c r="R74" s="170"/>
      <c r="S74" s="23"/>
      <c r="T74" s="170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23"/>
      <c r="L76" s="163"/>
      <c r="M76" s="163"/>
      <c r="N76" s="163"/>
      <c r="O76" s="163"/>
      <c r="P76" s="163"/>
      <c r="Q76" s="163"/>
      <c r="R76" s="163"/>
      <c r="S76" s="23"/>
      <c r="T76" s="16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23"/>
      <c r="L78" s="172"/>
      <c r="M78" s="172"/>
      <c r="N78" s="172"/>
      <c r="O78" s="172"/>
      <c r="P78" s="172"/>
      <c r="Q78" s="172"/>
      <c r="R78" s="172"/>
      <c r="S78" s="23"/>
      <c r="T78" s="172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23"/>
      <c r="L79" s="172"/>
      <c r="M79" s="172"/>
      <c r="N79" s="172"/>
      <c r="O79" s="172"/>
      <c r="P79" s="172"/>
      <c r="Q79" s="172"/>
      <c r="R79" s="172"/>
      <c r="S79" s="23"/>
      <c r="T79" s="172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23"/>
      <c r="L82" s="162"/>
      <c r="M82" s="162"/>
      <c r="N82" s="162"/>
      <c r="O82" s="162"/>
      <c r="P82" s="162"/>
      <c r="Q82" s="162"/>
      <c r="R82" s="162"/>
      <c r="S82" s="23"/>
      <c r="T82" s="162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23"/>
      <c r="L83" s="162"/>
      <c r="M83" s="162"/>
      <c r="N83" s="162"/>
      <c r="O83" s="162"/>
      <c r="P83" s="162"/>
      <c r="Q83" s="162"/>
      <c r="R83" s="162"/>
      <c r="S83" s="23"/>
      <c r="T83" s="162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23"/>
      <c r="L84" s="162"/>
      <c r="M84" s="162"/>
      <c r="N84" s="162"/>
      <c r="O84" s="162"/>
      <c r="P84" s="162"/>
      <c r="Q84" s="162"/>
      <c r="R84" s="162"/>
      <c r="S84" s="23"/>
      <c r="T84" s="162"/>
      <c r="V84" s="23"/>
      <c r="W84" s="23"/>
      <c r="X84" s="23"/>
      <c r="Y84" s="23"/>
      <c r="Z84" s="23"/>
      <c r="AA84" s="23"/>
      <c r="AB84" s="23"/>
      <c r="AC84" s="23"/>
      <c r="AD84" s="23"/>
    </row>
    <row r="85" spans="1:30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23"/>
      <c r="L85" s="162"/>
      <c r="M85" s="162"/>
      <c r="N85" s="162"/>
      <c r="O85" s="162"/>
      <c r="P85" s="162"/>
      <c r="Q85" s="162"/>
      <c r="R85" s="162"/>
      <c r="S85" s="23"/>
      <c r="T85" s="162"/>
      <c r="V85" s="23"/>
      <c r="W85" s="23"/>
      <c r="X85" s="23"/>
      <c r="Y85" s="23"/>
      <c r="Z85" s="23"/>
      <c r="AA85" s="23"/>
      <c r="AB85" s="23"/>
      <c r="AC85" s="23"/>
      <c r="AD85" s="23"/>
    </row>
    <row r="86" spans="1:30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V86" s="23"/>
      <c r="W86" s="23"/>
      <c r="X86" s="23"/>
      <c r="Y86" s="23"/>
      <c r="Z86" s="23"/>
      <c r="AA86" s="23"/>
      <c r="AB86" s="23"/>
      <c r="AC86" s="23"/>
      <c r="AD86" s="23"/>
    </row>
    <row r="87" spans="1:30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V89" s="23"/>
      <c r="W89" s="23"/>
      <c r="X89" s="23"/>
      <c r="Y89" s="23"/>
      <c r="Z89" s="23"/>
      <c r="AA89" s="23"/>
      <c r="AB89" s="23"/>
      <c r="AC89" s="23"/>
      <c r="AD89" s="23"/>
    </row>
    <row r="90" spans="1:3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V91" s="23"/>
      <c r="W91" s="23"/>
      <c r="X91" s="23"/>
      <c r="Y91" s="23"/>
      <c r="Z91" s="23"/>
      <c r="AA91" s="23"/>
      <c r="AB91" s="23"/>
      <c r="AC91" s="23"/>
      <c r="AD91" s="23"/>
    </row>
    <row r="92" spans="1:30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V92" s="23"/>
      <c r="W92" s="23"/>
      <c r="X92" s="23"/>
      <c r="Y92" s="23"/>
      <c r="Z92" s="23"/>
      <c r="AA92" s="23"/>
      <c r="AB92" s="23"/>
      <c r="AC92" s="23"/>
      <c r="AD92" s="23"/>
    </row>
    <row r="93" spans="1:30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1:30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V95" s="23"/>
      <c r="W95" s="23"/>
      <c r="X95" s="23"/>
      <c r="Y95" s="23"/>
      <c r="Z95" s="23"/>
      <c r="AA95" s="23"/>
      <c r="AB95" s="23"/>
      <c r="AC95" s="23"/>
      <c r="AD95" s="23"/>
    </row>
    <row r="96" spans="1:30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V97" s="23"/>
      <c r="W97" s="23"/>
      <c r="X97" s="23"/>
      <c r="Y97" s="23"/>
      <c r="Z97" s="23"/>
      <c r="AA97" s="23"/>
      <c r="AB97" s="23"/>
      <c r="AC97" s="23"/>
      <c r="AD97" s="23"/>
    </row>
    <row r="98" spans="1:30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V98" s="23"/>
      <c r="W98" s="23"/>
      <c r="X98" s="23"/>
      <c r="Y98" s="23"/>
      <c r="Z98" s="23"/>
      <c r="AA98" s="23"/>
      <c r="AB98" s="23"/>
      <c r="AC98" s="23"/>
      <c r="AD98" s="23"/>
    </row>
    <row r="99" spans="1:30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11" spans="1:30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L111" s="130"/>
      <c r="M111" s="130"/>
      <c r="N111" s="130"/>
      <c r="O111" s="130"/>
      <c r="P111" s="130"/>
      <c r="Q111" s="82"/>
    </row>
    <row r="119" spans="11:20">
      <c r="K119"/>
      <c r="P119"/>
      <c r="Q119"/>
      <c r="R119"/>
      <c r="S119"/>
      <c r="T119"/>
    </row>
    <row r="120" spans="11:20">
      <c r="K120"/>
      <c r="P120"/>
      <c r="Q120"/>
      <c r="R120"/>
      <c r="S120"/>
      <c r="T120"/>
    </row>
    <row r="121" spans="11:20">
      <c r="K121"/>
      <c r="P121"/>
      <c r="Q121"/>
      <c r="R121"/>
      <c r="S121"/>
      <c r="T121"/>
    </row>
    <row r="122" spans="11:20">
      <c r="K122"/>
      <c r="P122"/>
      <c r="Q122"/>
      <c r="R122"/>
      <c r="S122"/>
      <c r="T122"/>
    </row>
    <row r="123" spans="11:20">
      <c r="K123"/>
      <c r="P123"/>
      <c r="Q123"/>
      <c r="R123"/>
      <c r="S123"/>
      <c r="T123"/>
    </row>
    <row r="124" spans="11:20">
      <c r="K124"/>
      <c r="P124"/>
      <c r="Q124"/>
      <c r="R124"/>
      <c r="S124"/>
      <c r="T124"/>
    </row>
    <row r="125" spans="11:20">
      <c r="K125"/>
      <c r="P125"/>
      <c r="Q125"/>
      <c r="R125"/>
      <c r="S125"/>
      <c r="T125"/>
    </row>
    <row r="126" spans="11:20">
      <c r="K126"/>
      <c r="P126"/>
      <c r="Q126"/>
      <c r="R126"/>
      <c r="S126"/>
      <c r="T126"/>
    </row>
    <row r="127" spans="11:20">
      <c r="K127"/>
      <c r="P127"/>
      <c r="Q127"/>
      <c r="R127"/>
      <c r="S127"/>
      <c r="T127"/>
    </row>
    <row r="128" spans="11:20">
      <c r="K128"/>
      <c r="P128"/>
      <c r="Q128"/>
      <c r="R128"/>
      <c r="S128"/>
      <c r="T128"/>
    </row>
    <row r="129" spans="11:20">
      <c r="K129"/>
      <c r="P129"/>
      <c r="Q129"/>
      <c r="R129"/>
      <c r="S129"/>
      <c r="T129"/>
    </row>
    <row r="130" spans="11:20">
      <c r="K130"/>
      <c r="P130"/>
      <c r="Q130"/>
      <c r="R130"/>
      <c r="S130"/>
      <c r="T130"/>
    </row>
    <row r="131" spans="11:20">
      <c r="K131"/>
      <c r="P131"/>
      <c r="Q131"/>
      <c r="R131"/>
      <c r="S131"/>
      <c r="T131"/>
    </row>
    <row r="132" spans="11:20">
      <c r="K132"/>
      <c r="P132"/>
      <c r="Q132"/>
      <c r="R132"/>
      <c r="S132"/>
      <c r="T132"/>
    </row>
    <row r="133" spans="11:20">
      <c r="K133"/>
      <c r="P133"/>
      <c r="Q133"/>
      <c r="R133"/>
      <c r="S133"/>
      <c r="T133"/>
    </row>
    <row r="134" spans="11:20">
      <c r="K134"/>
      <c r="P134"/>
      <c r="Q134"/>
      <c r="R134"/>
      <c r="S134"/>
      <c r="T134"/>
    </row>
    <row r="1048576" spans="11:19">
      <c r="K1048576" s="80"/>
      <c r="S1048576" s="80"/>
    </row>
  </sheetData>
  <mergeCells count="2">
    <mergeCell ref="AE5:AL5"/>
    <mergeCell ref="B34:N35"/>
  </mergeCells>
  <pageMargins left="0.7" right="0.7" top="0.75" bottom="0.75" header="0.3" footer="0.3"/>
  <pageSetup scale="29" orientation="landscape" r:id="rId1"/>
  <headerFooter scaleWithDoc="0">
    <oddFooter>&amp;R&amp;"Times New Roman,Bold"Exhibit 4
Page 1 of 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8FBE9-BFE3-422C-89AD-EBD98870EDF6}">
  <sheetPr>
    <tabColor theme="5" tint="0.39997558519241921"/>
    <pageSetUpPr fitToPage="1"/>
  </sheetPr>
  <dimension ref="A1:AM1048492"/>
  <sheetViews>
    <sheetView zoomScale="50" zoomScaleNormal="50" zoomScaleSheetLayoutView="40" workbookViewId="0"/>
  </sheetViews>
  <sheetFormatPr defaultColWidth="9.140625" defaultRowHeight="20.25"/>
  <cols>
    <col min="1" max="1" width="9" style="72" customWidth="1"/>
    <col min="2" max="2" width="9.140625" style="72"/>
    <col min="3" max="3" width="60.85546875" style="72" customWidth="1"/>
    <col min="4" max="5" width="20.85546875" style="72" customWidth="1"/>
    <col min="6" max="10" width="23.5703125" style="72" bestFit="1" customWidth="1"/>
    <col min="11" max="11" width="23.5703125" style="72" customWidth="1"/>
    <col min="12" max="12" width="27.5703125" style="72" hidden="1" customWidth="1"/>
    <col min="13" max="16" width="20.85546875" style="72" hidden="1" customWidth="1"/>
    <col min="17" max="17" width="23.5703125" style="72" hidden="1" customWidth="1"/>
    <col min="18" max="18" width="23.5703125" style="451" hidden="1" customWidth="1"/>
    <col min="19" max="19" width="23.5703125" style="72" hidden="1" customWidth="1"/>
    <col min="20" max="20" width="23.5703125" style="72" customWidth="1"/>
    <col min="21" max="21" width="17" style="72" customWidth="1"/>
    <col min="22" max="22" width="14.85546875" style="72" bestFit="1" customWidth="1"/>
    <col min="23" max="23" width="14.5703125" style="72" bestFit="1" customWidth="1"/>
    <col min="24" max="24" width="13.140625" style="72" bestFit="1" customWidth="1"/>
    <col min="25" max="25" width="14" style="72" customWidth="1"/>
    <col min="26" max="26" width="15.5703125" style="72" customWidth="1"/>
    <col min="27" max="27" width="14.42578125" style="72" bestFit="1" customWidth="1"/>
    <col min="28" max="28" width="14.85546875" style="72" customWidth="1"/>
    <col min="29" max="29" width="15.85546875" style="72" customWidth="1"/>
    <col min="30" max="30" width="13.42578125" style="72" customWidth="1"/>
    <col min="31" max="31" width="12.140625" style="72" bestFit="1" customWidth="1"/>
    <col min="32" max="32" width="16.5703125" style="72" customWidth="1"/>
    <col min="33" max="33" width="14.42578125" style="72" customWidth="1"/>
    <col min="34" max="34" width="15.140625" style="72" customWidth="1"/>
    <col min="35" max="35" width="9.42578125" style="72" bestFit="1" customWidth="1"/>
    <col min="36" max="36" width="12.85546875" style="72" customWidth="1"/>
    <col min="37" max="16384" width="9.140625" style="72"/>
  </cols>
  <sheetData>
    <row r="1" spans="1:39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9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9">
      <c r="A3" s="193" t="s">
        <v>591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9" s="31" customFormat="1">
      <c r="A4" s="73"/>
      <c r="D4" s="473"/>
      <c r="R4" s="451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9" s="31" customFormat="1">
      <c r="D5" s="226" t="s">
        <v>614</v>
      </c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8"/>
      <c r="Q5" s="228"/>
      <c r="R5" s="228"/>
      <c r="S5" s="228"/>
      <c r="T5" s="229"/>
      <c r="U5" s="15"/>
      <c r="V5" s="14"/>
      <c r="W5" s="14"/>
      <c r="X5" s="14"/>
      <c r="Y5" s="14"/>
      <c r="Z5" s="14"/>
      <c r="AA5" s="14"/>
      <c r="AB5" s="14"/>
      <c r="AC5" s="677"/>
      <c r="AD5" s="677"/>
      <c r="AE5" s="677"/>
      <c r="AF5" s="677"/>
      <c r="AG5" s="677"/>
      <c r="AH5" s="677"/>
      <c r="AI5" s="677"/>
      <c r="AJ5" s="677"/>
    </row>
    <row r="6" spans="1:39" s="31" customFormat="1">
      <c r="A6" s="224" t="s">
        <v>4</v>
      </c>
      <c r="B6" s="32"/>
      <c r="D6" s="131">
        <v>2020</v>
      </c>
      <c r="E6" s="132">
        <v>2021</v>
      </c>
      <c r="F6" s="132">
        <f>$E$6</f>
        <v>2021</v>
      </c>
      <c r="G6" s="132">
        <f>$E$6</f>
        <v>2021</v>
      </c>
      <c r="H6" s="132">
        <f>$E$6</f>
        <v>2021</v>
      </c>
      <c r="I6" s="132">
        <f>$E$6</f>
        <v>2021</v>
      </c>
      <c r="J6" s="132">
        <f>$E$6</f>
        <v>2021</v>
      </c>
      <c r="K6" s="95" t="s">
        <v>780</v>
      </c>
      <c r="L6" s="95" t="s">
        <v>769</v>
      </c>
      <c r="M6" s="132">
        <f t="shared" ref="M6:T6" si="0">$E$6</f>
        <v>2021</v>
      </c>
      <c r="N6" s="132">
        <f t="shared" si="0"/>
        <v>2021</v>
      </c>
      <c r="O6" s="132">
        <f t="shared" si="0"/>
        <v>2021</v>
      </c>
      <c r="P6" s="132">
        <f t="shared" si="0"/>
        <v>2021</v>
      </c>
      <c r="Q6" s="132">
        <f t="shared" si="0"/>
        <v>2021</v>
      </c>
      <c r="R6" s="132">
        <f t="shared" si="0"/>
        <v>2021</v>
      </c>
      <c r="S6" s="95" t="s">
        <v>788</v>
      </c>
      <c r="T6" s="133">
        <f t="shared" si="0"/>
        <v>2021</v>
      </c>
      <c r="U6" s="451"/>
      <c r="X6" s="95"/>
      <c r="Y6" s="16"/>
      <c r="Z6" s="95"/>
      <c r="AA6" s="95"/>
      <c r="AB6" s="95"/>
      <c r="AC6" s="95"/>
      <c r="AD6" s="95"/>
      <c r="AE6" s="95"/>
      <c r="AF6" s="95"/>
      <c r="AG6" s="95"/>
      <c r="AH6" s="95"/>
      <c r="AI6" s="16"/>
      <c r="AJ6" s="95"/>
      <c r="AK6" s="95"/>
      <c r="AL6" s="95"/>
      <c r="AM6" s="95"/>
    </row>
    <row r="7" spans="1:39" s="31" customFormat="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16" t="s">
        <v>781</v>
      </c>
      <c r="L7" s="16" t="s">
        <v>785</v>
      </c>
      <c r="M7" s="75" t="s">
        <v>102</v>
      </c>
      <c r="N7" s="75" t="s">
        <v>103</v>
      </c>
      <c r="O7" s="75" t="s">
        <v>104</v>
      </c>
      <c r="P7" s="75" t="s">
        <v>105</v>
      </c>
      <c r="Q7" s="75" t="s">
        <v>106</v>
      </c>
      <c r="R7" s="75" t="s">
        <v>107</v>
      </c>
      <c r="S7" s="667">
        <v>44531</v>
      </c>
      <c r="T7" s="118" t="s">
        <v>347</v>
      </c>
      <c r="U7" s="451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16"/>
      <c r="AJ7" s="95"/>
      <c r="AK7" s="95"/>
      <c r="AL7" s="95"/>
      <c r="AM7" s="95"/>
    </row>
    <row r="8" spans="1:39" s="31" customForma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75" t="s">
        <v>782</v>
      </c>
      <c r="L8" s="665" t="s">
        <v>786</v>
      </c>
      <c r="M8" s="120">
        <v>-9</v>
      </c>
      <c r="N8" s="120">
        <v>-10</v>
      </c>
      <c r="O8" s="120">
        <v>-11</v>
      </c>
      <c r="P8" s="120">
        <v>-12</v>
      </c>
      <c r="Q8" s="120">
        <v>-13</v>
      </c>
      <c r="R8" s="120">
        <v>-14</v>
      </c>
      <c r="S8" s="75" t="s">
        <v>782</v>
      </c>
      <c r="T8" s="121">
        <v>-15</v>
      </c>
      <c r="U8" s="451"/>
      <c r="X8" s="95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s="31" customFormat="1">
      <c r="A9" s="32"/>
      <c r="B9" s="32"/>
      <c r="D9" s="122"/>
      <c r="E9" s="13"/>
      <c r="F9" s="13"/>
      <c r="G9" s="13"/>
      <c r="H9" s="13"/>
      <c r="I9" s="13"/>
      <c r="J9" s="13"/>
      <c r="K9" s="652"/>
      <c r="L9" s="655"/>
      <c r="M9" s="13"/>
      <c r="N9" s="13"/>
      <c r="O9" s="13"/>
      <c r="P9" s="13"/>
      <c r="Q9" s="13"/>
      <c r="R9" s="13"/>
      <c r="S9" s="652"/>
      <c r="T9" s="123"/>
      <c r="U9" s="451"/>
      <c r="X9" s="95"/>
      <c r="Y9" s="17"/>
      <c r="Z9" s="17"/>
      <c r="AA9" s="17"/>
      <c r="AB9" s="17"/>
      <c r="AC9" s="17"/>
      <c r="AD9" s="17"/>
      <c r="AE9" s="18"/>
      <c r="AF9" s="17"/>
      <c r="AG9" s="18"/>
      <c r="AH9" s="18"/>
      <c r="AI9" s="18"/>
      <c r="AJ9" s="17"/>
      <c r="AK9" s="17"/>
      <c r="AL9" s="17"/>
      <c r="AM9" s="17"/>
    </row>
    <row r="10" spans="1:39" s="31" customFormat="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652"/>
      <c r="L10" s="655"/>
      <c r="M10" s="13"/>
      <c r="N10" s="13"/>
      <c r="O10" s="13"/>
      <c r="P10" s="13"/>
      <c r="Q10" s="13"/>
      <c r="R10" s="367"/>
      <c r="S10" s="367"/>
      <c r="T10" s="123"/>
      <c r="U10" s="451"/>
      <c r="X10" s="95"/>
      <c r="Y10" s="17"/>
      <c r="Z10" s="17"/>
      <c r="AA10" s="17"/>
      <c r="AB10" s="17"/>
      <c r="AC10" s="17"/>
      <c r="AD10" s="17"/>
      <c r="AE10" s="18"/>
      <c r="AF10" s="17"/>
      <c r="AG10" s="17"/>
      <c r="AH10" s="17"/>
      <c r="AI10" s="18"/>
      <c r="AJ10" s="17"/>
      <c r="AK10" s="17"/>
      <c r="AL10" s="17"/>
      <c r="AM10" s="17"/>
    </row>
    <row r="11" spans="1:39" s="31" customFormat="1">
      <c r="A11" s="32">
        <v>1</v>
      </c>
      <c r="B11" s="32"/>
      <c r="C11" s="78" t="s">
        <v>590</v>
      </c>
      <c r="D11" s="370">
        <v>94038889.559999987</v>
      </c>
      <c r="E11" s="371">
        <v>97474231.559999987</v>
      </c>
      <c r="F11" s="371">
        <v>100909573.55999999</v>
      </c>
      <c r="G11" s="371">
        <v>104355980.55999999</v>
      </c>
      <c r="H11" s="371">
        <v>107802385.55999999</v>
      </c>
      <c r="I11" s="371">
        <v>111241406.65999998</v>
      </c>
      <c r="J11" s="371">
        <v>114426765.66999999</v>
      </c>
      <c r="K11" s="372">
        <f>AVERAGE(D11:J11)</f>
        <v>104321319.01857141</v>
      </c>
      <c r="L11" s="371">
        <f>'Rev Req 2020-Trans'!P11+ SUM('Cap&amp;OpEx 2021'!C11,'Cap&amp;OpEx 2021'!C18)+SUM('Cap&amp;OpEx 2021'!D11,'Cap&amp;OpEx 2021'!D18)+SUM('Cap&amp;OpEx 2021'!E11,'Cap&amp;OpEx 2021'!E18)+SUM('Cap&amp;OpEx 2021'!F11,'Cap&amp;OpEx 2021'!F18)+SUM('Cap&amp;OpEx 2021'!G11,'Cap&amp;OpEx 2021'!G18)+SUM('Cap&amp;OpEx 2021'!H11,'Cap&amp;OpEx 2021'!H18)</f>
        <v>0</v>
      </c>
      <c r="M11" s="371">
        <f>L11+'Cap&amp;OpEx 2021'!I11+'Cap&amp;OpEx 2021'!I18</f>
        <v>0</v>
      </c>
      <c r="N11" s="371">
        <f>'Cap&amp;OpEx 2021'!J11+'Cap&amp;OpEx 2021'!J18+M11</f>
        <v>0</v>
      </c>
      <c r="O11" s="371">
        <f>'Cap&amp;OpEx 2021'!K11+'Cap&amp;OpEx 2021'!K18+N11</f>
        <v>0</v>
      </c>
      <c r="P11" s="371">
        <f>'Cap&amp;OpEx 2021'!L11+'Cap&amp;OpEx 2021'!L18+O11</f>
        <v>0</v>
      </c>
      <c r="Q11" s="371">
        <f>'Cap&amp;OpEx 2021'!M11+'Cap&amp;OpEx 2021'!M18+P11</f>
        <v>0</v>
      </c>
      <c r="R11" s="371">
        <f>'Cap&amp;OpEx 2021'!N11+'Cap&amp;OpEx 2021'!N18+Q11</f>
        <v>0</v>
      </c>
      <c r="S11" s="372">
        <f>AVERAGE(L11:R11)</f>
        <v>0</v>
      </c>
      <c r="T11" s="372">
        <f>K11</f>
        <v>104321319.01857141</v>
      </c>
      <c r="U11" s="508"/>
      <c r="X11" s="95"/>
      <c r="Y11" s="17"/>
      <c r="Z11" s="17"/>
      <c r="AA11" s="17"/>
      <c r="AB11" s="17"/>
      <c r="AC11" s="17"/>
      <c r="AD11" s="17"/>
      <c r="AE11" s="18"/>
      <c r="AF11" s="17"/>
      <c r="AG11" s="17"/>
      <c r="AH11" s="17"/>
      <c r="AI11" s="18"/>
      <c r="AJ11" s="17"/>
      <c r="AK11" s="17"/>
      <c r="AL11" s="17"/>
      <c r="AM11" s="17"/>
    </row>
    <row r="12" spans="1:39" s="31" customFormat="1">
      <c r="A12" s="32">
        <v>2</v>
      </c>
      <c r="B12" s="32"/>
      <c r="C12" s="31" t="s">
        <v>19</v>
      </c>
      <c r="D12" s="370">
        <v>45058.31</v>
      </c>
      <c r="E12" s="371">
        <v>56120.31</v>
      </c>
      <c r="F12" s="371">
        <v>67182.31</v>
      </c>
      <c r="G12" s="371">
        <v>67182.31</v>
      </c>
      <c r="H12" s="371">
        <v>67182.31</v>
      </c>
      <c r="I12" s="371">
        <v>67182.31</v>
      </c>
      <c r="J12" s="371">
        <v>79027.31</v>
      </c>
      <c r="K12" s="372">
        <f>AVERAGE(D12:J12)</f>
        <v>64133.595714285715</v>
      </c>
      <c r="L12" s="371">
        <f>'Rev Req 2020-Trans'!P12+'Cap&amp;OpEx 2021'!C25+'Cap&amp;OpEx 2021'!D25+'Cap&amp;OpEx 2021'!E25+'Cap&amp;OpEx 2021'!F25+'Cap&amp;OpEx 2021'!G25+'Cap&amp;OpEx 2021'!H25</f>
        <v>0</v>
      </c>
      <c r="M12" s="371">
        <f>L12+'Cap&amp;OpEx 2021'!I25</f>
        <v>0</v>
      </c>
      <c r="N12" s="371">
        <f>'Cap&amp;OpEx 2021'!J25+M12</f>
        <v>0</v>
      </c>
      <c r="O12" s="371">
        <f>'Cap&amp;OpEx 2021'!K25+N12</f>
        <v>0</v>
      </c>
      <c r="P12" s="371">
        <f>'Cap&amp;OpEx 2021'!L25+O12</f>
        <v>0</v>
      </c>
      <c r="Q12" s="371">
        <f>'Cap&amp;OpEx 2021'!M25+P12</f>
        <v>0</v>
      </c>
      <c r="R12" s="371">
        <f>'Cap&amp;OpEx 2021'!N25+Q12</f>
        <v>0</v>
      </c>
      <c r="S12" s="372">
        <f>AVERAGE(L12:R12)</f>
        <v>0</v>
      </c>
      <c r="T12" s="372">
        <f>K12</f>
        <v>64133.595714285715</v>
      </c>
      <c r="U12" s="451"/>
      <c r="X12" s="95"/>
      <c r="Y12" s="17"/>
      <c r="Z12" s="17"/>
      <c r="AA12" s="17"/>
      <c r="AB12" s="17"/>
      <c r="AC12" s="17"/>
      <c r="AD12" s="17"/>
      <c r="AE12" s="18"/>
      <c r="AF12" s="17"/>
      <c r="AG12" s="17"/>
      <c r="AH12" s="17"/>
      <c r="AI12" s="18"/>
      <c r="AJ12" s="17"/>
      <c r="AK12" s="17"/>
      <c r="AL12" s="17"/>
      <c r="AM12" s="17"/>
    </row>
    <row r="13" spans="1:39" s="31" customFormat="1">
      <c r="A13" s="32">
        <v>3</v>
      </c>
      <c r="B13" s="32"/>
      <c r="C13" s="31" t="s">
        <v>52</v>
      </c>
      <c r="D13" s="378">
        <v>-131963.36337458331</v>
      </c>
      <c r="E13" s="379">
        <v>-263317.6328275</v>
      </c>
      <c r="F13" s="379">
        <v>-398159.78680124995</v>
      </c>
      <c r="G13" s="379">
        <v>-536489.82614999986</v>
      </c>
      <c r="H13" s="379">
        <v>-678307.75001958315</v>
      </c>
      <c r="I13" s="379">
        <v>-823607.25218291651</v>
      </c>
      <c r="J13" s="379">
        <v>-972168.84085687483</v>
      </c>
      <c r="K13" s="377">
        <f>AVERAGE(D13:J13)</f>
        <v>-543430.63603038678</v>
      </c>
      <c r="L13" s="379">
        <f>'Rev Req 2020-Trans'!P13-SUM('202101 Bk Depr'!P14,'202101 Bk Depr'!P23)-SUM('202102 Bk Depr'!P14,'202102 Bk Depr'!P23)-SUM('202103 Bk Depr'!P14,'202103 Bk Depr'!P23)-SUM('202104 Bk Depr'!P14,'202104 Bk Depr'!P23)-SUM('202105 Bk Depr'!P14,'202105 Bk Depr'!P23)-SUM('202106 Bk Depr'!P14,'202106 Bk Depr'!P23)</f>
        <v>0</v>
      </c>
      <c r="M13" s="379">
        <f>L13-SUM('202107 Bk Depr'!P14,'202107 Bk Depr'!P23)</f>
        <v>0</v>
      </c>
      <c r="N13" s="379">
        <f>-SUM('202108 Bk Depr'!P14,'202108 Bk Depr'!P23)+M13</f>
        <v>0</v>
      </c>
      <c r="O13" s="379">
        <f>-SUM('202109 Bk Depr'!P14,'202109 Bk Depr'!P23)+N13</f>
        <v>0</v>
      </c>
      <c r="P13" s="379">
        <f>-SUM('202110 Bk Depr'!P14,'202110 Bk Depr'!P23)+O13</f>
        <v>0</v>
      </c>
      <c r="Q13" s="379">
        <f>-SUM('202111 Bk Depr'!P14,'202111 Bk Depr'!P23)+P13</f>
        <v>0</v>
      </c>
      <c r="R13" s="379">
        <f>-SUM('202112 Bk Depr'!P14,'202112 Bk Depr'!P23)+Q13</f>
        <v>0</v>
      </c>
      <c r="S13" s="377">
        <f>AVERAGE(L13:R13)</f>
        <v>0</v>
      </c>
      <c r="T13" s="662">
        <f>K13</f>
        <v>-543430.63603038678</v>
      </c>
      <c r="U13" s="451"/>
      <c r="X13" s="95"/>
      <c r="Y13" s="17"/>
      <c r="Z13" s="17"/>
      <c r="AA13" s="17"/>
      <c r="AB13" s="17"/>
      <c r="AC13" s="17"/>
      <c r="AD13" s="17"/>
      <c r="AE13" s="18"/>
      <c r="AF13" s="17"/>
      <c r="AG13" s="17"/>
      <c r="AH13" s="17"/>
      <c r="AI13" s="18"/>
      <c r="AJ13" s="17"/>
      <c r="AK13" s="17"/>
      <c r="AL13" s="17"/>
      <c r="AM13" s="17"/>
    </row>
    <row r="14" spans="1:39" s="31" customFormat="1">
      <c r="A14" s="32">
        <v>4</v>
      </c>
      <c r="B14" s="32"/>
      <c r="C14" s="31" t="s">
        <v>53</v>
      </c>
      <c r="D14" s="410">
        <f t="shared" ref="D14:R14" si="1">SUM(D11:D13)</f>
        <v>93951984.506625414</v>
      </c>
      <c r="E14" s="371">
        <f t="shared" si="1"/>
        <v>97267034.237172484</v>
      </c>
      <c r="F14" s="371">
        <f t="shared" si="1"/>
        <v>100578596.08319874</v>
      </c>
      <c r="G14" s="371">
        <f t="shared" si="1"/>
        <v>103886673.04384999</v>
      </c>
      <c r="H14" s="371">
        <f t="shared" si="1"/>
        <v>107191260.11998041</v>
      </c>
      <c r="I14" s="371">
        <f t="shared" si="1"/>
        <v>110484981.71781707</v>
      </c>
      <c r="J14" s="371">
        <f t="shared" si="1"/>
        <v>113533624.13914311</v>
      </c>
      <c r="K14" s="372">
        <f>SUM(K11:K13)</f>
        <v>103842021.9782553</v>
      </c>
      <c r="L14" s="371">
        <f t="shared" ref="L14" si="2">SUM(L11:L13)</f>
        <v>0</v>
      </c>
      <c r="M14" s="371">
        <f t="shared" si="1"/>
        <v>0</v>
      </c>
      <c r="N14" s="371">
        <f t="shared" si="1"/>
        <v>0</v>
      </c>
      <c r="O14" s="371">
        <f t="shared" si="1"/>
        <v>0</v>
      </c>
      <c r="P14" s="371">
        <f t="shared" si="1"/>
        <v>0</v>
      </c>
      <c r="Q14" s="371">
        <f t="shared" si="1"/>
        <v>0</v>
      </c>
      <c r="R14" s="371">
        <f t="shared" si="1"/>
        <v>0</v>
      </c>
      <c r="S14" s="372">
        <f>SUM(S11:S13)</f>
        <v>0</v>
      </c>
      <c r="T14" s="372">
        <f>SUM(T11:T13)</f>
        <v>103842021.9782553</v>
      </c>
      <c r="U14" s="451"/>
      <c r="X14" s="95"/>
      <c r="Y14" s="13"/>
      <c r="Z14" s="13"/>
      <c r="AA14" s="13"/>
      <c r="AB14" s="13"/>
      <c r="AC14" s="13"/>
      <c r="AD14" s="13"/>
      <c r="AE14" s="18"/>
      <c r="AF14" s="17"/>
      <c r="AG14" s="17"/>
      <c r="AH14" s="17"/>
      <c r="AI14" s="18"/>
      <c r="AJ14" s="17"/>
      <c r="AK14" s="17"/>
      <c r="AL14" s="17"/>
      <c r="AM14" s="17"/>
    </row>
    <row r="15" spans="1:39" s="31" customFormat="1">
      <c r="A15" s="32"/>
      <c r="B15" s="32"/>
      <c r="D15" s="124"/>
      <c r="E15" s="47"/>
      <c r="F15" s="47"/>
      <c r="G15" s="47"/>
      <c r="H15" s="47"/>
      <c r="I15" s="47"/>
      <c r="J15" s="47"/>
      <c r="K15" s="125"/>
      <c r="L15" s="47"/>
      <c r="M15" s="47"/>
      <c r="N15" s="47"/>
      <c r="O15" s="47"/>
      <c r="P15" s="47"/>
      <c r="Q15" s="47"/>
      <c r="R15" s="47"/>
      <c r="S15" s="125"/>
      <c r="T15" s="125"/>
      <c r="U15" s="451"/>
      <c r="W15" s="567" t="s">
        <v>680</v>
      </c>
      <c r="X15" s="95"/>
      <c r="Y15" s="13"/>
      <c r="Z15" s="13"/>
      <c r="AA15" s="13"/>
      <c r="AB15" s="13"/>
      <c r="AC15" s="13"/>
      <c r="AD15" s="13"/>
      <c r="AE15" s="18"/>
      <c r="AF15" s="17"/>
      <c r="AG15" s="17"/>
      <c r="AH15" s="17"/>
      <c r="AI15" s="18"/>
      <c r="AJ15" s="17"/>
      <c r="AK15" s="17"/>
      <c r="AL15" s="17"/>
      <c r="AM15" s="17"/>
    </row>
    <row r="16" spans="1:39" s="31" customFormat="1">
      <c r="A16" s="32">
        <v>5</v>
      </c>
      <c r="B16" s="32"/>
      <c r="C16" s="31" t="s">
        <v>54</v>
      </c>
      <c r="D16" s="378">
        <v>-873652.32208204153</v>
      </c>
      <c r="E16" s="379">
        <v>-1004797.3310172223</v>
      </c>
      <c r="F16" s="379">
        <v>-1124249.032052418</v>
      </c>
      <c r="G16" s="379">
        <v>-1230980.7999711968</v>
      </c>
      <c r="H16" s="379">
        <v>-1325524.7710777251</v>
      </c>
      <c r="I16" s="379">
        <v>-1407642.0650735584</v>
      </c>
      <c r="J16" s="379">
        <v>-1478793.8665558496</v>
      </c>
      <c r="K16" s="377">
        <f>J16</f>
        <v>-1478793.8665558496</v>
      </c>
      <c r="L16" s="379"/>
      <c r="M16" s="379">
        <f>-'Tax Depr 2021-Trans'!U23</f>
        <v>0</v>
      </c>
      <c r="N16" s="379">
        <f>-'Tax Depr 2021-Trans'!U24</f>
        <v>0</v>
      </c>
      <c r="O16" s="379">
        <f>-'Tax Depr 2021-Trans'!U25</f>
        <v>0</v>
      </c>
      <c r="P16" s="379">
        <f>-'Tax Depr 2021-Trans'!U26</f>
        <v>0</v>
      </c>
      <c r="Q16" s="379">
        <f>-'Tax Depr 2021-Trans'!U27</f>
        <v>0</v>
      </c>
      <c r="R16" s="379">
        <f>-'Tax Depr 2021-Trans'!U28</f>
        <v>0</v>
      </c>
      <c r="S16" s="377">
        <f>R16</f>
        <v>0</v>
      </c>
      <c r="T16" s="377">
        <f>K16</f>
        <v>-1478793.8665558496</v>
      </c>
      <c r="U16" s="451"/>
      <c r="W16" s="568">
        <f>'Tax Depr 2021-Trans'!U28+R16</f>
        <v>0</v>
      </c>
      <c r="X16" s="9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23" s="31" customFormat="1" ht="21" customHeight="1">
      <c r="A17" s="32"/>
      <c r="B17" s="32"/>
      <c r="D17" s="645"/>
      <c r="E17" s="47"/>
      <c r="F17" s="47"/>
      <c r="G17" s="47"/>
      <c r="H17" s="47"/>
      <c r="I17" s="47"/>
      <c r="J17" s="47"/>
      <c r="K17" s="125"/>
      <c r="L17" s="47"/>
      <c r="M17" s="47"/>
      <c r="N17" s="47"/>
      <c r="O17" s="47"/>
      <c r="P17" s="47"/>
      <c r="Q17" s="47"/>
      <c r="R17" s="47"/>
      <c r="S17" s="125"/>
      <c r="T17" s="125"/>
      <c r="U17" s="451"/>
    </row>
    <row r="18" spans="1:23" s="31" customFormat="1">
      <c r="A18" s="32">
        <v>6</v>
      </c>
      <c r="B18" s="32"/>
      <c r="C18" s="78" t="s">
        <v>55</v>
      </c>
      <c r="D18" s="370">
        <f t="shared" ref="D18:Q18" si="3">SUM(D14:D16)</f>
        <v>93078332.184543371</v>
      </c>
      <c r="E18" s="371">
        <f t="shared" si="3"/>
        <v>96262236.906155258</v>
      </c>
      <c r="F18" s="371">
        <f t="shared" si="3"/>
        <v>99454347.051146328</v>
      </c>
      <c r="G18" s="371">
        <f t="shared" si="3"/>
        <v>102655692.2438788</v>
      </c>
      <c r="H18" s="371">
        <f t="shared" si="3"/>
        <v>105865735.34890269</v>
      </c>
      <c r="I18" s="371">
        <f t="shared" si="3"/>
        <v>109077339.6527435</v>
      </c>
      <c r="J18" s="371">
        <f t="shared" si="3"/>
        <v>112054830.27258725</v>
      </c>
      <c r="K18" s="372">
        <f>SUM(K14:K16)</f>
        <v>102363228.11169945</v>
      </c>
      <c r="L18" s="370">
        <f>SUM(L14:L16)</f>
        <v>0</v>
      </c>
      <c r="M18" s="371">
        <f t="shared" si="3"/>
        <v>0</v>
      </c>
      <c r="N18" s="371">
        <f t="shared" si="3"/>
        <v>0</v>
      </c>
      <c r="O18" s="371">
        <f t="shared" si="3"/>
        <v>0</v>
      </c>
      <c r="P18" s="371">
        <f t="shared" si="3"/>
        <v>0</v>
      </c>
      <c r="Q18" s="371">
        <f t="shared" si="3"/>
        <v>0</v>
      </c>
      <c r="R18" s="371">
        <f>SUM(R14:R16)</f>
        <v>0</v>
      </c>
      <c r="S18" s="372">
        <f>SUM(S14:S16)</f>
        <v>0</v>
      </c>
      <c r="T18" s="372">
        <f>SUM(T14:T16)</f>
        <v>102363228.11169945</v>
      </c>
      <c r="U18" s="451"/>
      <c r="V18" s="80"/>
    </row>
    <row r="19" spans="1:23" s="31" customFormat="1">
      <c r="A19" s="32"/>
      <c r="B19" s="32"/>
      <c r="D19" s="122"/>
      <c r="E19" s="13"/>
      <c r="F19" s="13"/>
      <c r="G19" s="13"/>
      <c r="H19" s="13"/>
      <c r="I19" s="13"/>
      <c r="J19" s="13"/>
      <c r="K19" s="123"/>
      <c r="L19" s="13"/>
      <c r="M19" s="13"/>
      <c r="N19" s="13"/>
      <c r="O19" s="13"/>
      <c r="P19" s="13"/>
      <c r="Q19" s="13"/>
      <c r="R19" s="13"/>
      <c r="S19" s="123"/>
      <c r="T19" s="123"/>
      <c r="U19" s="451"/>
      <c r="W19" s="567" t="s">
        <v>768</v>
      </c>
    </row>
    <row r="20" spans="1:23" s="31" customFormat="1">
      <c r="A20" s="32">
        <v>7</v>
      </c>
      <c r="B20" s="32"/>
      <c r="C20" s="31" t="s">
        <v>56</v>
      </c>
      <c r="D20" s="126">
        <f>'ROR 2021'!$G$12/12</f>
        <v>7.4333333333333335E-3</v>
      </c>
      <c r="E20" s="37">
        <f>'ROR 2021'!$G$12/12</f>
        <v>7.4333333333333335E-3</v>
      </c>
      <c r="F20" s="37">
        <f>'ROR 2021'!$G$12/12</f>
        <v>7.4333333333333335E-3</v>
      </c>
      <c r="G20" s="37">
        <f>'ROR 2021'!$G$12/12</f>
        <v>7.4333333333333335E-3</v>
      </c>
      <c r="H20" s="37">
        <f>'ROR 2021'!$G$12/12</f>
        <v>7.4333333333333335E-3</v>
      </c>
      <c r="I20" s="37">
        <f>'ROR 2021'!$G$12/12</f>
        <v>7.4333333333333335E-3</v>
      </c>
      <c r="J20" s="37">
        <f>'ROR 2021'!$G$12/12</f>
        <v>7.4333333333333335E-3</v>
      </c>
      <c r="K20" s="127">
        <f>'ROR 2021'!G12/12*6</f>
        <v>4.4600000000000001E-2</v>
      </c>
      <c r="L20" s="37"/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127">
        <v>0</v>
      </c>
      <c r="T20" s="127">
        <f>K20</f>
        <v>4.4600000000000001E-2</v>
      </c>
      <c r="U20" s="451"/>
      <c r="W20" s="654">
        <f>T20-('ROR 2021'!G12/12*6)</f>
        <v>0</v>
      </c>
    </row>
    <row r="21" spans="1:23" s="31" customFormat="1">
      <c r="A21" s="32"/>
      <c r="B21" s="32"/>
      <c r="D21" s="230"/>
      <c r="E21" s="13"/>
      <c r="F21" s="13"/>
      <c r="G21" s="13"/>
      <c r="H21" s="13"/>
      <c r="I21" s="13"/>
      <c r="J21" s="13"/>
      <c r="K21" s="123"/>
      <c r="L21" s="13"/>
      <c r="M21" s="13"/>
      <c r="N21" s="13"/>
      <c r="O21" s="13"/>
      <c r="P21" s="13"/>
      <c r="Q21" s="13"/>
      <c r="R21" s="13"/>
      <c r="S21" s="123"/>
      <c r="T21" s="123"/>
      <c r="U21" s="451"/>
    </row>
    <row r="22" spans="1:23" s="31" customFormat="1">
      <c r="A22" s="32">
        <v>8</v>
      </c>
      <c r="B22" s="32"/>
      <c r="C22" s="31" t="s">
        <v>57</v>
      </c>
      <c r="D22" s="401">
        <f>D18*D20</f>
        <v>691882.26923843904</v>
      </c>
      <c r="E22" s="402">
        <f>E18*E20</f>
        <v>715549.29433575412</v>
      </c>
      <c r="F22" s="402">
        <f t="shared" ref="F22:Q22" si="4">F18*F20</f>
        <v>739277.31308018777</v>
      </c>
      <c r="G22" s="402">
        <f t="shared" si="4"/>
        <v>763073.97901283239</v>
      </c>
      <c r="H22" s="402">
        <f t="shared" si="4"/>
        <v>786935.2994268433</v>
      </c>
      <c r="I22" s="402">
        <f t="shared" si="4"/>
        <v>810808.22475206002</v>
      </c>
      <c r="J22" s="402">
        <f t="shared" si="4"/>
        <v>832940.90502623189</v>
      </c>
      <c r="K22" s="403">
        <f>K18*K20</f>
        <v>4565399.9737817952</v>
      </c>
      <c r="L22" s="402"/>
      <c r="M22" s="402">
        <f t="shared" si="4"/>
        <v>0</v>
      </c>
      <c r="N22" s="402">
        <f t="shared" si="4"/>
        <v>0</v>
      </c>
      <c r="O22" s="402">
        <f t="shared" si="4"/>
        <v>0</v>
      </c>
      <c r="P22" s="402">
        <f t="shared" si="4"/>
        <v>0</v>
      </c>
      <c r="Q22" s="402">
        <f t="shared" si="4"/>
        <v>0</v>
      </c>
      <c r="R22" s="402">
        <f>R18*R20</f>
        <v>0</v>
      </c>
      <c r="S22" s="403">
        <f>S18*S20</f>
        <v>0</v>
      </c>
      <c r="T22" s="403">
        <f>T18*T20</f>
        <v>4565399.9737817952</v>
      </c>
      <c r="U22" s="451"/>
    </row>
    <row r="23" spans="1:23" s="31" customFormat="1">
      <c r="A23" s="32"/>
      <c r="B23" s="32"/>
      <c r="D23" s="230"/>
      <c r="E23" s="13"/>
      <c r="F23" s="13"/>
      <c r="G23" s="13"/>
      <c r="H23" s="13"/>
      <c r="I23" s="13"/>
      <c r="J23" s="13"/>
      <c r="K23" s="123"/>
      <c r="L23" s="13"/>
      <c r="M23" s="13"/>
      <c r="N23" s="13"/>
      <c r="O23" s="13"/>
      <c r="P23" s="13"/>
      <c r="Q23" s="13"/>
      <c r="R23" s="13"/>
      <c r="S23" s="661"/>
      <c r="T23" s="123"/>
      <c r="U23" s="451"/>
    </row>
    <row r="24" spans="1:23" s="31" customFormat="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23"/>
      <c r="L24" s="13"/>
      <c r="M24" s="13"/>
      <c r="N24" s="13"/>
      <c r="O24" s="13"/>
      <c r="P24" s="13"/>
      <c r="Q24" s="13"/>
      <c r="R24" s="13"/>
      <c r="S24" s="123"/>
      <c r="T24" s="123"/>
      <c r="U24" s="451"/>
    </row>
    <row r="25" spans="1:23" s="31" customFormat="1">
      <c r="A25" s="32">
        <v>9</v>
      </c>
      <c r="B25" s="32"/>
      <c r="C25" s="31" t="s">
        <v>0</v>
      </c>
      <c r="D25" s="370">
        <v>128652.64663854166</v>
      </c>
      <c r="E25" s="371">
        <v>131354.26945291666</v>
      </c>
      <c r="F25" s="371">
        <v>134842.15397374998</v>
      </c>
      <c r="G25" s="371">
        <v>138330.03934874997</v>
      </c>
      <c r="H25" s="371">
        <v>141817.92386958332</v>
      </c>
      <c r="I25" s="371">
        <v>145299.50216333332</v>
      </c>
      <c r="J25" s="371">
        <v>148561.58867395832</v>
      </c>
      <c r="K25" s="372"/>
      <c r="L25" s="371"/>
      <c r="M25" s="371">
        <f>'202107 Bk Depr'!P14+'202107 Bk Depr'!P23</f>
        <v>0</v>
      </c>
      <c r="N25" s="371">
        <f>'202108 Bk Depr'!P14+'202108 Bk Depr'!P23</f>
        <v>0</v>
      </c>
      <c r="O25" s="371">
        <f>'202109 Bk Depr'!P14+'202109 Bk Depr'!P23</f>
        <v>0</v>
      </c>
      <c r="P25" s="371">
        <f>'202110 Bk Depr'!P14+'202110 Bk Depr'!P23</f>
        <v>0</v>
      </c>
      <c r="Q25" s="371">
        <f>'202111 Bk Depr'!P14+'202111 Bk Depr'!P23</f>
        <v>0</v>
      </c>
      <c r="R25" s="371">
        <f>'202112 Bk Depr'!P14+'202112 Bk Depr'!P23</f>
        <v>0</v>
      </c>
      <c r="S25" s="372"/>
      <c r="T25" s="372">
        <f>SUM(E25:J25)</f>
        <v>840205.47748229164</v>
      </c>
      <c r="U25" s="451"/>
      <c r="V25" s="80"/>
    </row>
    <row r="26" spans="1:23" s="31" customFormat="1">
      <c r="A26" s="32">
        <v>10</v>
      </c>
      <c r="B26" s="32"/>
      <c r="C26" s="13" t="s">
        <v>59</v>
      </c>
      <c r="D26" s="370">
        <v>0</v>
      </c>
      <c r="E26" s="371">
        <v>0</v>
      </c>
      <c r="F26" s="371">
        <v>0</v>
      </c>
      <c r="G26" s="371">
        <v>0</v>
      </c>
      <c r="H26" s="371">
        <v>0</v>
      </c>
      <c r="I26" s="371">
        <v>0</v>
      </c>
      <c r="J26" s="371">
        <v>0</v>
      </c>
      <c r="K26" s="372"/>
      <c r="L26" s="371"/>
      <c r="M26" s="371">
        <f>'Cap&amp;OpEx 2021'!I32</f>
        <v>0</v>
      </c>
      <c r="N26" s="371">
        <f>'Cap&amp;OpEx 2021'!J32</f>
        <v>0</v>
      </c>
      <c r="O26" s="371">
        <f>'Cap&amp;OpEx 2021'!K32</f>
        <v>0</v>
      </c>
      <c r="P26" s="371">
        <f>'Cap&amp;OpEx 2021'!L32</f>
        <v>0</v>
      </c>
      <c r="Q26" s="371">
        <f>'Cap&amp;OpEx 2021'!M32</f>
        <v>0</v>
      </c>
      <c r="R26" s="371">
        <f>'Cap&amp;OpEx 2021'!N32</f>
        <v>0</v>
      </c>
      <c r="S26" s="372"/>
      <c r="T26" s="372">
        <f>SUM(E26:J26)</f>
        <v>0</v>
      </c>
      <c r="U26" s="451"/>
      <c r="V26" s="80"/>
    </row>
    <row r="27" spans="1:23" s="31" customFormat="1">
      <c r="A27" s="32">
        <v>11</v>
      </c>
      <c r="B27" s="32"/>
      <c r="C27" s="31" t="s">
        <v>178</v>
      </c>
      <c r="D27" s="370">
        <v>64595</v>
      </c>
      <c r="E27" s="371">
        <v>139934</v>
      </c>
      <c r="F27" s="371">
        <v>139934</v>
      </c>
      <c r="G27" s="371">
        <v>139934</v>
      </c>
      <c r="H27" s="371">
        <v>139934</v>
      </c>
      <c r="I27" s="371">
        <v>139934</v>
      </c>
      <c r="J27" s="371">
        <v>139934</v>
      </c>
      <c r="K27" s="372"/>
      <c r="L27" s="371"/>
      <c r="M27" s="371">
        <f>'Cap&amp;OpEx 2021'!I34</f>
        <v>0</v>
      </c>
      <c r="N27" s="371">
        <f>'Cap&amp;OpEx 2021'!J34</f>
        <v>0</v>
      </c>
      <c r="O27" s="371">
        <f>'Cap&amp;OpEx 2021'!K34</f>
        <v>0</v>
      </c>
      <c r="P27" s="371">
        <f>'Cap&amp;OpEx 2021'!L34</f>
        <v>0</v>
      </c>
      <c r="Q27" s="371">
        <f>'Cap&amp;OpEx 2021'!M34</f>
        <v>0</v>
      </c>
      <c r="R27" s="371">
        <f>'Cap&amp;OpEx 2021'!N34</f>
        <v>0</v>
      </c>
      <c r="S27" s="372"/>
      <c r="T27" s="372">
        <f>SUM(E27:J27)</f>
        <v>839604</v>
      </c>
      <c r="U27" s="451"/>
      <c r="V27" s="80"/>
    </row>
    <row r="28" spans="1:23" s="31" customFormat="1">
      <c r="A28" s="32"/>
      <c r="B28" s="32"/>
      <c r="D28" s="124"/>
      <c r="E28" s="47"/>
      <c r="F28" s="47"/>
      <c r="G28" s="47"/>
      <c r="H28" s="47"/>
      <c r="I28" s="47"/>
      <c r="J28" s="47"/>
      <c r="K28" s="125"/>
      <c r="L28" s="47"/>
      <c r="M28" s="47"/>
      <c r="N28" s="47"/>
      <c r="O28" s="47"/>
      <c r="P28" s="47"/>
      <c r="Q28" s="47"/>
      <c r="R28" s="47"/>
      <c r="S28" s="125"/>
      <c r="T28" s="125"/>
      <c r="U28" s="451"/>
    </row>
    <row r="29" spans="1:23" s="31" customFormat="1">
      <c r="A29" s="32">
        <v>12</v>
      </c>
      <c r="B29" s="32"/>
      <c r="C29" s="31" t="s">
        <v>60</v>
      </c>
      <c r="D29" s="370">
        <f t="shared" ref="D29:T29" si="5">SUM(D25:D28)</f>
        <v>193247.64663854166</v>
      </c>
      <c r="E29" s="371">
        <f t="shared" si="5"/>
        <v>271288.26945291669</v>
      </c>
      <c r="F29" s="371">
        <f t="shared" si="5"/>
        <v>274776.15397374996</v>
      </c>
      <c r="G29" s="371">
        <f t="shared" si="5"/>
        <v>278264.03934874997</v>
      </c>
      <c r="H29" s="371">
        <f t="shared" si="5"/>
        <v>281751.92386958329</v>
      </c>
      <c r="I29" s="371">
        <f t="shared" si="5"/>
        <v>285233.50216333335</v>
      </c>
      <c r="J29" s="371">
        <f t="shared" si="5"/>
        <v>288495.58867395832</v>
      </c>
      <c r="K29" s="372"/>
      <c r="L29" s="371"/>
      <c r="M29" s="371">
        <f t="shared" si="5"/>
        <v>0</v>
      </c>
      <c r="N29" s="371">
        <f t="shared" si="5"/>
        <v>0</v>
      </c>
      <c r="O29" s="371">
        <f t="shared" si="5"/>
        <v>0</v>
      </c>
      <c r="P29" s="371">
        <f t="shared" si="5"/>
        <v>0</v>
      </c>
      <c r="Q29" s="371">
        <f t="shared" si="5"/>
        <v>0</v>
      </c>
      <c r="R29" s="371">
        <f t="shared" si="5"/>
        <v>0</v>
      </c>
      <c r="S29" s="372"/>
      <c r="T29" s="372">
        <f t="shared" si="5"/>
        <v>1679809.4774822916</v>
      </c>
      <c r="U29" s="451"/>
    </row>
    <row r="30" spans="1:23" s="31" customFormat="1">
      <c r="A30" s="32"/>
      <c r="B30" s="32"/>
      <c r="D30" s="122"/>
      <c r="E30" s="13"/>
      <c r="F30" s="13"/>
      <c r="G30" s="13"/>
      <c r="H30" s="13"/>
      <c r="I30" s="13"/>
      <c r="J30" s="13"/>
      <c r="K30" s="123"/>
      <c r="L30" s="13"/>
      <c r="M30" s="13"/>
      <c r="N30" s="13"/>
      <c r="O30" s="13"/>
      <c r="P30" s="13"/>
      <c r="Q30" s="13"/>
      <c r="R30" s="13"/>
      <c r="S30" s="123"/>
      <c r="T30" s="123"/>
      <c r="U30" s="451"/>
    </row>
    <row r="31" spans="1:23" s="31" customFormat="1">
      <c r="A31" s="32">
        <v>13</v>
      </c>
      <c r="B31" s="77" t="s">
        <v>165</v>
      </c>
      <c r="D31" s="407">
        <f>D22+D29</f>
        <v>885129.91587698064</v>
      </c>
      <c r="E31" s="408">
        <f>E22+E29</f>
        <v>986837.56378867081</v>
      </c>
      <c r="F31" s="408">
        <f t="shared" ref="F31:T31" si="6">F22+F29</f>
        <v>1014053.4670539377</v>
      </c>
      <c r="G31" s="408">
        <f t="shared" si="6"/>
        <v>1041338.0183615824</v>
      </c>
      <c r="H31" s="408">
        <f t="shared" si="6"/>
        <v>1068687.2232964267</v>
      </c>
      <c r="I31" s="408">
        <f t="shared" si="6"/>
        <v>1096041.7269153935</v>
      </c>
      <c r="J31" s="408">
        <f t="shared" si="6"/>
        <v>1121436.4937001902</v>
      </c>
      <c r="K31" s="409"/>
      <c r="L31" s="408"/>
      <c r="M31" s="408">
        <f t="shared" si="6"/>
        <v>0</v>
      </c>
      <c r="N31" s="408">
        <f t="shared" si="6"/>
        <v>0</v>
      </c>
      <c r="O31" s="408">
        <f t="shared" si="6"/>
        <v>0</v>
      </c>
      <c r="P31" s="408">
        <f t="shared" si="6"/>
        <v>0</v>
      </c>
      <c r="Q31" s="408">
        <f t="shared" si="6"/>
        <v>0</v>
      </c>
      <c r="R31" s="408">
        <f>R22+R29</f>
        <v>0</v>
      </c>
      <c r="S31" s="409"/>
      <c r="T31" s="409">
        <f t="shared" si="6"/>
        <v>6245209.4512640871</v>
      </c>
      <c r="U31" s="451"/>
    </row>
    <row r="32" spans="1:23" s="31" customFormat="1">
      <c r="A32" s="32"/>
      <c r="B32" s="32"/>
      <c r="D32" s="80"/>
      <c r="R32" s="80"/>
      <c r="S32" s="80"/>
      <c r="U32" s="451"/>
    </row>
    <row r="33" spans="1:21" s="451" customFormat="1" ht="21" customHeight="1"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</row>
    <row r="34" spans="1:21" s="31" customFormat="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36"/>
      <c r="S34" s="36"/>
      <c r="T34" s="36"/>
      <c r="U34" s="451"/>
    </row>
    <row r="35" spans="1:21" s="31" customFormat="1">
      <c r="A35" s="79"/>
      <c r="B35" s="30" t="s">
        <v>767</v>
      </c>
      <c r="T35" s="80"/>
      <c r="U35" s="451"/>
    </row>
    <row r="36" spans="1:21">
      <c r="R36" s="72"/>
      <c r="U36" s="451"/>
    </row>
    <row r="37" spans="1:21">
      <c r="R37" s="72"/>
      <c r="U37" s="451" t="s">
        <v>705</v>
      </c>
    </row>
    <row r="38" spans="1:21">
      <c r="D38" s="72" t="s">
        <v>705</v>
      </c>
      <c r="E38" s="587">
        <f>E13-D13</f>
        <v>-131354.26945291669</v>
      </c>
      <c r="F38" s="587">
        <f t="shared" ref="F38:R38" si="7">F13-E13</f>
        <v>-134842.15397374996</v>
      </c>
      <c r="G38" s="587">
        <f t="shared" si="7"/>
        <v>-138330.03934874991</v>
      </c>
      <c r="H38" s="587">
        <f t="shared" si="7"/>
        <v>-141817.92386958329</v>
      </c>
      <c r="I38" s="587">
        <f t="shared" si="7"/>
        <v>-145299.50216333335</v>
      </c>
      <c r="J38" s="587">
        <f t="shared" si="7"/>
        <v>-148561.58867395832</v>
      </c>
      <c r="K38" s="587"/>
      <c r="L38" s="587"/>
      <c r="M38" s="587">
        <f>M13-J13</f>
        <v>972168.84085687483</v>
      </c>
      <c r="N38" s="587">
        <f t="shared" si="7"/>
        <v>0</v>
      </c>
      <c r="O38" s="587">
        <f t="shared" si="7"/>
        <v>0</v>
      </c>
      <c r="P38" s="587">
        <f t="shared" si="7"/>
        <v>0</v>
      </c>
      <c r="Q38" s="587">
        <f t="shared" si="7"/>
        <v>0</v>
      </c>
      <c r="R38" s="587">
        <f t="shared" si="7"/>
        <v>0</v>
      </c>
      <c r="S38" s="587"/>
      <c r="T38" s="587">
        <f>SUM(E38:R38)</f>
        <v>131963.36337458331</v>
      </c>
      <c r="U38" s="508">
        <f>T38+T25</f>
        <v>972168.84085687494</v>
      </c>
    </row>
    <row r="39" spans="1:21">
      <c r="S39" s="72" t="s">
        <v>705</v>
      </c>
      <c r="T39" s="588">
        <f>T38+SUM('202101 Bk Depr'!P43,'202102 Bk Depr'!P43,'202103 Bk Depr'!P43,'202104 Bk Depr'!P43,'202105 Bk Depr'!P43,'202106 Bk Depr'!P43,'202107 Bk Depr'!P43,'202108 Bk Depr'!P43,'202109 Bk Depr'!P43,'202110 Bk Depr'!P43,'202111 Bk Depr'!P43,'202112 Bk Depr'!P43)</f>
        <v>131963.36337458331</v>
      </c>
    </row>
    <row r="1048492" spans="19:19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42" orientation="landscape" r:id="rId1"/>
  <headerFooter scaleWithDoc="0">
    <oddFooter>&amp;R&amp;"Times New Roman,Bold"Exhibit 4
Page 2 of 18</oddFooter>
  </headerFooter>
  <rowBreaks count="1" manualBreakCount="1">
    <brk id="3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1C8D2-91CB-4689-B5BD-EE13EB929494}">
  <sheetPr>
    <tabColor theme="5" tint="0.39997558519241921"/>
    <pageSetUpPr fitToPage="1"/>
  </sheetPr>
  <dimension ref="A1:V27"/>
  <sheetViews>
    <sheetView zoomScaleNormal="100" workbookViewId="0"/>
  </sheetViews>
  <sheetFormatPr defaultColWidth="9.140625" defaultRowHeight="12.75"/>
  <cols>
    <col min="1" max="1" width="5.85546875" style="479" customWidth="1"/>
    <col min="2" max="2" width="22.85546875" style="473" customWidth="1"/>
    <col min="3" max="3" width="12.85546875" style="473" customWidth="1"/>
    <col min="4" max="4" width="9.85546875" style="473" customWidth="1"/>
    <col min="5" max="5" width="11.85546875" style="473" customWidth="1"/>
    <col min="6" max="6" width="14.85546875" style="473" customWidth="1"/>
    <col min="7" max="7" width="15.85546875" style="473" customWidth="1"/>
    <col min="8" max="14" width="9.140625" style="473" customWidth="1"/>
    <col min="15" max="16384" width="9.140625" style="473"/>
  </cols>
  <sheetData>
    <row r="1" spans="1:22" ht="18.75">
      <c r="A1" s="191" t="s">
        <v>67</v>
      </c>
      <c r="B1" s="191"/>
      <c r="C1" s="191"/>
      <c r="D1" s="191"/>
      <c r="E1" s="191"/>
      <c r="F1" s="191"/>
      <c r="G1" s="191"/>
      <c r="H1" s="41"/>
      <c r="I1" s="41"/>
      <c r="J1" s="41"/>
    </row>
    <row r="2" spans="1:22" ht="20.25">
      <c r="A2" s="191" t="s">
        <v>255</v>
      </c>
      <c r="B2" s="191"/>
      <c r="C2" s="191"/>
      <c r="D2" s="191"/>
      <c r="E2" s="191"/>
      <c r="F2" s="191"/>
      <c r="G2" s="191"/>
      <c r="H2" s="39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8.75">
      <c r="A3" s="191" t="s">
        <v>68</v>
      </c>
      <c r="B3" s="191"/>
      <c r="C3" s="191"/>
      <c r="D3" s="191"/>
      <c r="E3" s="191"/>
      <c r="F3" s="191"/>
      <c r="G3" s="191"/>
      <c r="H3" s="41"/>
      <c r="I3" s="41"/>
      <c r="J3" s="41"/>
    </row>
    <row r="4" spans="1:22" ht="15.75">
      <c r="A4" s="66"/>
      <c r="B4" s="26"/>
      <c r="C4" s="26"/>
      <c r="D4" s="26"/>
      <c r="E4" s="26"/>
      <c r="F4" s="26"/>
      <c r="G4" s="26"/>
    </row>
    <row r="5" spans="1:22" ht="15.75">
      <c r="A5" s="66"/>
      <c r="B5" s="26"/>
      <c r="C5" s="26"/>
      <c r="D5" s="26"/>
      <c r="E5" s="26"/>
      <c r="F5" s="26"/>
      <c r="G5" s="43" t="s">
        <v>56</v>
      </c>
    </row>
    <row r="6" spans="1:22" ht="15.75">
      <c r="A6" s="43" t="s">
        <v>4</v>
      </c>
      <c r="B6" s="26"/>
      <c r="C6" s="26"/>
      <c r="D6" s="26"/>
      <c r="E6" s="43" t="s">
        <v>46</v>
      </c>
      <c r="F6" s="43" t="s">
        <v>47</v>
      </c>
      <c r="G6" s="67" t="s">
        <v>77</v>
      </c>
    </row>
    <row r="7" spans="1:22" ht="15.75">
      <c r="A7" s="189" t="s">
        <v>5</v>
      </c>
      <c r="B7" s="189" t="s">
        <v>44</v>
      </c>
      <c r="C7" s="189" t="s">
        <v>45</v>
      </c>
      <c r="D7" s="189" t="s">
        <v>35</v>
      </c>
      <c r="E7" s="189" t="s">
        <v>35</v>
      </c>
      <c r="F7" s="432" t="s">
        <v>498</v>
      </c>
      <c r="G7" s="189" t="s">
        <v>78</v>
      </c>
    </row>
    <row r="8" spans="1:22" ht="15.75">
      <c r="A8" s="66"/>
      <c r="B8" s="26"/>
      <c r="C8" s="26"/>
      <c r="D8" s="26"/>
      <c r="E8" s="26"/>
      <c r="F8" s="26"/>
      <c r="G8" s="26"/>
      <c r="K8" s="68"/>
    </row>
    <row r="9" spans="1:22" ht="15.75">
      <c r="A9" s="66">
        <v>1</v>
      </c>
      <c r="B9" s="26" t="s">
        <v>48</v>
      </c>
      <c r="C9" s="69">
        <v>1.4005040758411292E-2</v>
      </c>
      <c r="D9" s="70">
        <v>3.3598855017064826E-2</v>
      </c>
      <c r="E9" s="70">
        <f>C9*D9</f>
        <v>4.7055333394994459E-4</v>
      </c>
      <c r="F9" s="69"/>
      <c r="G9" s="69">
        <f>E9</f>
        <v>4.7055333394994459E-4</v>
      </c>
      <c r="K9" s="474"/>
      <c r="L9" s="475"/>
      <c r="M9" s="476"/>
    </row>
    <row r="10" spans="1:22" ht="15.75">
      <c r="A10" s="66">
        <v>2</v>
      </c>
      <c r="B10" s="71" t="s">
        <v>50</v>
      </c>
      <c r="C10" s="69">
        <v>0.45497001497241335</v>
      </c>
      <c r="D10" s="70">
        <v>4.3744370689708191E-2</v>
      </c>
      <c r="E10" s="70">
        <f>C10*D10</f>
        <v>1.9902376987655335E-2</v>
      </c>
      <c r="F10" s="69"/>
      <c r="G10" s="69">
        <f>E10</f>
        <v>1.9902376987655335E-2</v>
      </c>
      <c r="K10" s="474"/>
      <c r="L10" s="475"/>
      <c r="M10" s="476"/>
    </row>
    <row r="11" spans="1:22" ht="15.75">
      <c r="A11" s="188">
        <v>3</v>
      </c>
      <c r="B11" s="185" t="s">
        <v>49</v>
      </c>
      <c r="C11" s="187">
        <v>0.53102494426917535</v>
      </c>
      <c r="D11" s="477">
        <v>9.7250000000000003E-2</v>
      </c>
      <c r="E11" s="186">
        <f>C11*D11</f>
        <v>5.1642175830177307E-2</v>
      </c>
      <c r="F11" s="187">
        <f>E11*(0.2495/(1-0.2495))</f>
        <v>1.7168185036148219E-2</v>
      </c>
      <c r="G11" s="187">
        <f>E11/(1-0.2495)</f>
        <v>6.8810360866325526E-2</v>
      </c>
      <c r="K11" s="474"/>
      <c r="L11" s="475"/>
      <c r="M11" s="476"/>
    </row>
    <row r="12" spans="1:22" ht="15.75">
      <c r="A12" s="66">
        <v>4</v>
      </c>
      <c r="B12" s="26" t="s">
        <v>3</v>
      </c>
      <c r="C12" s="69">
        <f>SUM(C9:C11)</f>
        <v>1</v>
      </c>
      <c r="D12" s="26"/>
      <c r="E12" s="69">
        <f>SUM(E9:E11)</f>
        <v>7.2015106151782582E-2</v>
      </c>
      <c r="F12" s="69">
        <f>SUM(F9:F11)</f>
        <v>1.7168185036148219E-2</v>
      </c>
      <c r="G12" s="69">
        <f>ROUND(SUM(G9:G11),4)</f>
        <v>8.9200000000000002E-2</v>
      </c>
      <c r="K12" s="478"/>
      <c r="L12" s="475"/>
      <c r="M12" s="475"/>
    </row>
    <row r="13" spans="1:22" ht="15.75">
      <c r="A13" s="66"/>
      <c r="B13" s="26"/>
      <c r="C13" s="69"/>
      <c r="D13" s="26"/>
      <c r="E13" s="69"/>
      <c r="F13" s="69"/>
      <c r="G13" s="69"/>
      <c r="K13" s="478"/>
      <c r="L13" s="475"/>
      <c r="M13" s="475"/>
    </row>
    <row r="14" spans="1:22" ht="15.75">
      <c r="A14" s="66"/>
      <c r="B14" s="26"/>
      <c r="C14" s="26"/>
      <c r="D14" s="26"/>
      <c r="E14" s="26"/>
      <c r="F14" s="26"/>
      <c r="G14" s="26"/>
    </row>
    <row r="15" spans="1:22" ht="15.75">
      <c r="A15" s="190" t="s">
        <v>790</v>
      </c>
      <c r="B15" s="26"/>
      <c r="C15" s="26"/>
      <c r="D15" s="26"/>
      <c r="E15" s="26"/>
      <c r="F15" s="26"/>
      <c r="G15" s="26"/>
    </row>
    <row r="16" spans="1:22" ht="15.75">
      <c r="C16" s="26"/>
      <c r="D16" s="26"/>
      <c r="E16" s="26"/>
      <c r="F16" s="26"/>
      <c r="G16" s="26"/>
    </row>
    <row r="17" spans="1:7" ht="15.75">
      <c r="A17" s="66"/>
      <c r="B17" s="26"/>
      <c r="C17" s="26"/>
      <c r="D17" s="26"/>
      <c r="E17" s="26"/>
      <c r="F17" s="26"/>
      <c r="G17" s="43" t="s">
        <v>56</v>
      </c>
    </row>
    <row r="18" spans="1:7" ht="15.75">
      <c r="A18" s="43" t="s">
        <v>4</v>
      </c>
      <c r="B18" s="26"/>
      <c r="C18" s="26"/>
      <c r="D18" s="26"/>
      <c r="E18" s="43" t="s">
        <v>46</v>
      </c>
      <c r="F18" s="43" t="s">
        <v>47</v>
      </c>
      <c r="G18" s="67" t="s">
        <v>77</v>
      </c>
    </row>
    <row r="19" spans="1:7" ht="15.75">
      <c r="A19" s="189" t="s">
        <v>5</v>
      </c>
      <c r="B19" s="189" t="s">
        <v>44</v>
      </c>
      <c r="C19" s="189" t="s">
        <v>45</v>
      </c>
      <c r="D19" s="189" t="s">
        <v>35</v>
      </c>
      <c r="E19" s="189" t="s">
        <v>35</v>
      </c>
      <c r="F19" s="432" t="s">
        <v>498</v>
      </c>
      <c r="G19" s="189" t="s">
        <v>78</v>
      </c>
    </row>
    <row r="20" spans="1:7" ht="15.75">
      <c r="A20" s="66"/>
      <c r="B20" s="26"/>
      <c r="C20" s="26"/>
      <c r="D20" s="26"/>
      <c r="E20" s="26"/>
      <c r="F20" s="26"/>
      <c r="G20" s="26"/>
    </row>
    <row r="21" spans="1:7" ht="15.75">
      <c r="A21" s="66">
        <v>1</v>
      </c>
      <c r="B21" s="26" t="s">
        <v>48</v>
      </c>
      <c r="C21" s="69">
        <f>'ROR Eff 07.2021'!C9</f>
        <v>1.2622813021079897E-2</v>
      </c>
      <c r="D21" s="69">
        <f>'ROR Eff 07.2021'!D9</f>
        <v>4.6002316569744824E-3</v>
      </c>
      <c r="E21" s="70">
        <f>C21*D21</f>
        <v>5.8067864059641441E-5</v>
      </c>
      <c r="F21" s="69"/>
      <c r="G21" s="69">
        <f>E21</f>
        <v>5.8067864059641441E-5</v>
      </c>
    </row>
    <row r="22" spans="1:7" ht="15.75">
      <c r="A22" s="66">
        <v>2</v>
      </c>
      <c r="B22" s="71" t="s">
        <v>50</v>
      </c>
      <c r="C22" s="69">
        <f>'ROR Eff 07.2021'!C10</f>
        <v>0.45547230700144359</v>
      </c>
      <c r="D22" s="69">
        <f>'ROR Eff 07.2021'!D10</f>
        <v>4.0023828792907258E-2</v>
      </c>
      <c r="E22" s="70">
        <f>C22*D22</f>
        <v>1.8229745635336272E-2</v>
      </c>
      <c r="F22" s="69"/>
      <c r="G22" s="69">
        <f>E22</f>
        <v>1.8229745635336272E-2</v>
      </c>
    </row>
    <row r="23" spans="1:7" ht="15.75">
      <c r="A23" s="188">
        <v>3</v>
      </c>
      <c r="B23" s="185" t="s">
        <v>49</v>
      </c>
      <c r="C23" s="187">
        <f>'ROR Eff 07.2021'!C11</f>
        <v>0.53190487997747649</v>
      </c>
      <c r="D23" s="187">
        <f>'ROR Eff 07.2021'!D11</f>
        <v>9.35E-2</v>
      </c>
      <c r="E23" s="186">
        <f>C23*D23</f>
        <v>4.9733106277894054E-2</v>
      </c>
      <c r="F23" s="187">
        <f>E23*(0.2495/(1-0.2495))</f>
        <v>1.6533524338886833E-2</v>
      </c>
      <c r="G23" s="187">
        <f>E23/(1-0.2495)</f>
        <v>6.6266630616780883E-2</v>
      </c>
    </row>
    <row r="24" spans="1:7" ht="15.75">
      <c r="A24" s="66">
        <v>4</v>
      </c>
      <c r="B24" s="26" t="s">
        <v>3</v>
      </c>
      <c r="C24" s="69">
        <f>SUM(C21:C23)</f>
        <v>1</v>
      </c>
      <c r="D24" s="26"/>
      <c r="E24" s="69">
        <f>SUM(E21:E23)</f>
        <v>6.8020919777289968E-2</v>
      </c>
      <c r="F24" s="69">
        <f>SUM(F21:F23)</f>
        <v>1.6533524338886833E-2</v>
      </c>
      <c r="G24" s="69">
        <f>ROUND(SUM(G21:G23),4)</f>
        <v>8.4599999999999995E-2</v>
      </c>
    </row>
    <row r="25" spans="1:7" ht="15.75">
      <c r="A25" s="66"/>
      <c r="B25" s="26"/>
      <c r="C25" s="69"/>
      <c r="D25" s="26"/>
      <c r="E25" s="69"/>
      <c r="F25" s="69"/>
      <c r="G25" s="69"/>
    </row>
    <row r="26" spans="1:7" ht="15.75">
      <c r="A26" s="66"/>
      <c r="B26" s="26"/>
      <c r="C26" s="26"/>
      <c r="D26" s="26"/>
      <c r="E26" s="26"/>
      <c r="F26" s="26"/>
      <c r="G26" s="26"/>
    </row>
    <row r="27" spans="1:7" ht="15.75">
      <c r="A27" s="190" t="s">
        <v>791</v>
      </c>
      <c r="B27" s="26"/>
      <c r="C27" s="26"/>
      <c r="D27" s="26"/>
      <c r="E27" s="26"/>
      <c r="F27" s="26"/>
      <c r="G27" s="26"/>
    </row>
  </sheetData>
  <hyperlinks>
    <hyperlink ref="G7" r:id="rId1" display="^@ 38.9%" xr:uid="{6089D2BD-9E64-47C5-89C1-8ABB4627E77F}"/>
    <hyperlink ref="G19" r:id="rId2" display="^@ 38.9%" xr:uid="{B3FFEFED-7652-498B-89A5-469418135A27}"/>
  </hyperlinks>
  <printOptions horizontalCentered="1"/>
  <pageMargins left="0.5" right="0.62187499999999996" top="1" bottom="0.75" header="0.3" footer="0.3"/>
  <pageSetup orientation="landscape" r:id="rId3"/>
  <headerFooter>
    <oddFooter>&amp;R&amp;"Times New Roman,Bold"Exhibit 4
Page 3 of 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A264-10B8-4BE5-A65B-56F46EE131B7}">
  <sheetPr>
    <tabColor theme="5" tint="0.39997558519241921"/>
    <pageSetUpPr fitToPage="1"/>
  </sheetPr>
  <dimension ref="A1:AD51"/>
  <sheetViews>
    <sheetView zoomScale="60" zoomScaleNormal="60" zoomScaleSheetLayoutView="50" workbookViewId="0"/>
  </sheetViews>
  <sheetFormatPr defaultColWidth="9.140625" defaultRowHeight="15.75"/>
  <cols>
    <col min="1" max="1" width="9.140625" style="473"/>
    <col min="2" max="2" width="38.85546875" style="26" bestFit="1" customWidth="1"/>
    <col min="3" max="15" width="15.85546875" style="26" customWidth="1"/>
    <col min="16" max="16" width="12.140625" style="473" bestFit="1" customWidth="1"/>
    <col min="17" max="17" width="16.140625" style="473" bestFit="1" customWidth="1"/>
    <col min="18" max="30" width="14.85546875" style="473" customWidth="1"/>
    <col min="31" max="31" width="9.140625" style="473"/>
    <col min="32" max="32" width="10.5703125" style="473" bestFit="1" customWidth="1"/>
    <col min="33" max="16384" width="9.140625" style="473"/>
  </cols>
  <sheetData>
    <row r="1" spans="1:30" ht="18.75">
      <c r="A1" s="191" t="s">
        <v>67</v>
      </c>
      <c r="B1" s="197"/>
      <c r="C1" s="197"/>
      <c r="D1" s="197"/>
      <c r="E1" s="197"/>
      <c r="F1" s="197"/>
      <c r="G1" s="197"/>
      <c r="H1" s="197"/>
      <c r="I1" s="191"/>
      <c r="J1" s="191"/>
      <c r="K1" s="191"/>
      <c r="L1" s="191"/>
      <c r="M1" s="191"/>
      <c r="N1" s="191"/>
      <c r="O1" s="191"/>
      <c r="Q1" s="39"/>
      <c r="R1" s="39"/>
      <c r="S1" s="39"/>
      <c r="T1" s="39"/>
      <c r="U1" s="39"/>
      <c r="V1" s="39"/>
      <c r="W1" s="39"/>
      <c r="X1" s="480"/>
      <c r="Y1" s="480"/>
      <c r="Z1" s="480"/>
      <c r="AA1" s="480"/>
      <c r="AB1" s="480"/>
      <c r="AC1" s="480"/>
      <c r="AD1" s="480"/>
    </row>
    <row r="2" spans="1:30" ht="18.75">
      <c r="A2" s="191" t="s">
        <v>255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"/>
      <c r="Q2" s="39"/>
      <c r="R2" s="39"/>
      <c r="S2" s="39"/>
      <c r="T2" s="39"/>
      <c r="U2" s="39"/>
      <c r="V2" s="39"/>
      <c r="W2" s="39"/>
      <c r="X2" s="480"/>
      <c r="Y2" s="480"/>
      <c r="Z2" s="480"/>
      <c r="AA2" s="480"/>
      <c r="AB2" s="480"/>
      <c r="AC2" s="480"/>
      <c r="AD2" s="480"/>
    </row>
    <row r="3" spans="1:30" ht="18.75">
      <c r="A3" s="191" t="s">
        <v>161</v>
      </c>
      <c r="B3" s="197"/>
      <c r="C3" s="197"/>
      <c r="D3" s="197"/>
      <c r="E3" s="197"/>
      <c r="F3" s="197"/>
      <c r="G3" s="197"/>
      <c r="H3" s="197"/>
      <c r="I3" s="191"/>
      <c r="J3" s="191"/>
      <c r="K3" s="191"/>
      <c r="L3" s="191"/>
      <c r="M3" s="191"/>
      <c r="N3" s="191"/>
      <c r="O3" s="191"/>
      <c r="Q3" s="39"/>
      <c r="R3" s="39"/>
      <c r="S3" s="39"/>
      <c r="T3" s="39"/>
      <c r="U3" s="39"/>
      <c r="V3" s="39"/>
      <c r="W3" s="39"/>
      <c r="X3" s="480"/>
      <c r="Y3" s="480"/>
      <c r="Z3" s="480"/>
      <c r="AA3" s="480"/>
      <c r="AB3" s="480"/>
      <c r="AC3" s="480"/>
      <c r="AD3" s="480"/>
    </row>
    <row r="4" spans="1:30">
      <c r="Q4" s="480"/>
      <c r="R4" s="480"/>
      <c r="S4" s="480"/>
      <c r="T4" s="480"/>
      <c r="U4" s="480"/>
      <c r="V4" s="480"/>
      <c r="X4" s="480"/>
      <c r="Y4" s="480"/>
      <c r="Z4" s="480"/>
      <c r="AA4" s="480"/>
      <c r="AB4" s="480"/>
      <c r="AC4" s="480"/>
      <c r="AD4" s="480"/>
    </row>
    <row r="5" spans="1:30">
      <c r="Q5" s="480"/>
      <c r="R5" s="480"/>
      <c r="S5" s="480"/>
      <c r="T5" s="480"/>
      <c r="U5" s="480"/>
      <c r="V5" s="480"/>
      <c r="X5" s="480"/>
      <c r="Y5" s="480"/>
      <c r="Z5" s="480"/>
      <c r="AA5" s="480"/>
      <c r="AB5" s="480"/>
      <c r="AC5" s="480"/>
      <c r="AD5" s="480"/>
    </row>
    <row r="6" spans="1:30" s="29" customFormat="1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69</v>
      </c>
      <c r="Q6" s="473"/>
      <c r="R6" s="473"/>
      <c r="S6" s="473"/>
      <c r="T6" s="473"/>
      <c r="U6" s="473"/>
      <c r="V6" s="473"/>
      <c r="W6" s="473"/>
    </row>
    <row r="7" spans="1:30" ht="16.5" thickBot="1">
      <c r="A7" s="44" t="s">
        <v>5</v>
      </c>
      <c r="B7" s="44" t="s">
        <v>6</v>
      </c>
      <c r="C7" s="44" t="s">
        <v>86</v>
      </c>
      <c r="D7" s="44" t="s">
        <v>87</v>
      </c>
      <c r="E7" s="44" t="s">
        <v>259</v>
      </c>
      <c r="F7" s="44" t="s">
        <v>260</v>
      </c>
      <c r="G7" s="44" t="s">
        <v>88</v>
      </c>
      <c r="H7" s="44" t="s">
        <v>261</v>
      </c>
      <c r="I7" s="44" t="s">
        <v>89</v>
      </c>
      <c r="J7" s="44" t="s">
        <v>90</v>
      </c>
      <c r="K7" s="44" t="s">
        <v>91</v>
      </c>
      <c r="L7" s="44" t="s">
        <v>92</v>
      </c>
      <c r="M7" s="44" t="s">
        <v>93</v>
      </c>
      <c r="N7" s="44" t="s">
        <v>94</v>
      </c>
      <c r="O7" s="44">
        <v>2021</v>
      </c>
    </row>
    <row r="8" spans="1:3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479">
        <v>1</v>
      </c>
      <c r="B10" s="26" t="s">
        <v>250</v>
      </c>
      <c r="C10" s="456">
        <v>0</v>
      </c>
      <c r="D10" s="456">
        <v>0</v>
      </c>
      <c r="E10" s="456">
        <v>0</v>
      </c>
      <c r="F10" s="456">
        <v>0</v>
      </c>
      <c r="G10" s="456">
        <v>0</v>
      </c>
      <c r="H10" s="456">
        <v>0</v>
      </c>
      <c r="I10" s="456">
        <v>0</v>
      </c>
      <c r="J10" s="456">
        <v>0</v>
      </c>
      <c r="K10" s="456">
        <v>0</v>
      </c>
      <c r="L10" s="456">
        <v>0</v>
      </c>
      <c r="M10" s="456">
        <v>0</v>
      </c>
      <c r="N10" s="456">
        <v>0</v>
      </c>
      <c r="O10" s="456">
        <f>SUM(C10:N10)</f>
        <v>0</v>
      </c>
      <c r="P10" s="481"/>
      <c r="T10" s="591">
        <f>SUM('2021 Capital Budget'!E8:P19)</f>
        <v>10965115</v>
      </c>
      <c r="U10" s="473" t="s">
        <v>725</v>
      </c>
    </row>
    <row r="11" spans="1:30">
      <c r="A11" s="479">
        <f>A10+1</f>
        <v>2</v>
      </c>
      <c r="B11" s="26" t="s">
        <v>251</v>
      </c>
      <c r="C11" s="456">
        <f>SUM('2021 Capital Budget'!E17:E19)</f>
        <v>0</v>
      </c>
      <c r="D11" s="456">
        <f>SUM('2021 Capital Budget'!F17:F19)</f>
        <v>0</v>
      </c>
      <c r="E11" s="456">
        <f>SUM('2021 Capital Budget'!G17:G19)</f>
        <v>0</v>
      </c>
      <c r="F11" s="456">
        <f>SUM('2021 Capital Budget'!H17:H19)</f>
        <v>0</v>
      </c>
      <c r="G11" s="456">
        <f>SUM('2021 Capital Budget'!I17:I19)</f>
        <v>0</v>
      </c>
      <c r="H11" s="456">
        <f>SUM('2021 Capital Budget'!J17:J19)</f>
        <v>0</v>
      </c>
      <c r="I11" s="456">
        <f>SUM('2021 Capital Budget'!K17:K19)</f>
        <v>0</v>
      </c>
      <c r="J11" s="456">
        <f>SUM('2021 Capital Budget'!L17:L19)</f>
        <v>0</v>
      </c>
      <c r="K11" s="456">
        <f>SUM('2021 Capital Budget'!M17:M19)</f>
        <v>0</v>
      </c>
      <c r="L11" s="456">
        <f>SUM('2021 Capital Budget'!N17:N19)</f>
        <v>0</v>
      </c>
      <c r="M11" s="456">
        <f>SUM('2021 Capital Budget'!O17:O19)</f>
        <v>0</v>
      </c>
      <c r="N11" s="456">
        <f>SUM('2021 Capital Budget'!P17:P19)</f>
        <v>0</v>
      </c>
      <c r="O11" s="456">
        <f t="shared" ref="O11:O14" si="0">SUM(C11:N11)</f>
        <v>0</v>
      </c>
      <c r="P11" s="481"/>
      <c r="T11" s="593">
        <f>'Base Rate Retirements 2021'!O11</f>
        <v>0</v>
      </c>
      <c r="U11" s="473" t="s">
        <v>726</v>
      </c>
    </row>
    <row r="12" spans="1:30">
      <c r="A12" s="479">
        <f>A11+1</f>
        <v>3</v>
      </c>
      <c r="B12" s="26" t="s">
        <v>80</v>
      </c>
      <c r="C12" s="456">
        <f>SUM('2021 Capital Budget'!E15:E16,'2021 Capital Budget'!E29)</f>
        <v>270963</v>
      </c>
      <c r="D12" s="456">
        <f>SUM('2021 Capital Budget'!F15:F16,'2021 Capital Budget'!F29)</f>
        <v>291008</v>
      </c>
      <c r="E12" s="456">
        <f>SUM('2021 Capital Budget'!G15:G16,'2021 Capital Budget'!G29)</f>
        <v>287417</v>
      </c>
      <c r="F12" s="456">
        <f>SUM('2021 Capital Budget'!H15:H16,'2021 Capital Budget'!H29)</f>
        <v>263109</v>
      </c>
      <c r="G12" s="456">
        <f>SUM('2021 Capital Budget'!I15:I16,'2021 Capital Budget'!I29)</f>
        <v>287065</v>
      </c>
      <c r="H12" s="456">
        <f>SUM('2021 Capital Budget'!J15:J16,'2021 Capital Budget'!J29)</f>
        <v>272774</v>
      </c>
      <c r="I12" s="456">
        <f>SUM('2021 Capital Budget'!K15:K16,'2021 Capital Budget'!K29)</f>
        <v>272780</v>
      </c>
      <c r="J12" s="456">
        <f>SUM('2021 Capital Budget'!L15:L16,'2021 Capital Budget'!L29)</f>
        <v>277631</v>
      </c>
      <c r="K12" s="456">
        <f>SUM('2021 Capital Budget'!M15:M16,'2021 Capital Budget'!M29)</f>
        <v>270565</v>
      </c>
      <c r="L12" s="456">
        <f>SUM('2021 Capital Budget'!N15:N16,'2021 Capital Budget'!N29)</f>
        <v>273477</v>
      </c>
      <c r="M12" s="456">
        <f>SUM('2021 Capital Budget'!O15:O16,'2021 Capital Budget'!O29)</f>
        <v>278280</v>
      </c>
      <c r="N12" s="456">
        <f>SUM('2021 Capital Budget'!P15:P16,'2021 Capital Budget'!P29)</f>
        <v>267563</v>
      </c>
      <c r="O12" s="456">
        <f t="shared" si="0"/>
        <v>3312632</v>
      </c>
      <c r="P12" s="481"/>
      <c r="T12" s="591">
        <f>T10-T11</f>
        <v>10965115</v>
      </c>
      <c r="U12" s="473" t="s">
        <v>727</v>
      </c>
    </row>
    <row r="13" spans="1:30">
      <c r="A13" s="479">
        <f>A12+1</f>
        <v>4</v>
      </c>
      <c r="B13" s="26" t="s">
        <v>81</v>
      </c>
      <c r="C13" s="456">
        <v>0</v>
      </c>
      <c r="D13" s="456">
        <v>0</v>
      </c>
      <c r="E13" s="456">
        <v>0</v>
      </c>
      <c r="F13" s="456">
        <v>0</v>
      </c>
      <c r="G13" s="456">
        <v>0</v>
      </c>
      <c r="H13" s="456">
        <v>0</v>
      </c>
      <c r="I13" s="456">
        <v>0</v>
      </c>
      <c r="J13" s="456">
        <v>0</v>
      </c>
      <c r="K13" s="456">
        <v>0</v>
      </c>
      <c r="L13" s="456">
        <v>0</v>
      </c>
      <c r="M13" s="456">
        <v>0</v>
      </c>
      <c r="N13" s="456">
        <v>0</v>
      </c>
      <c r="O13" s="456">
        <f t="shared" si="0"/>
        <v>0</v>
      </c>
      <c r="P13" s="481"/>
      <c r="T13" s="593">
        <f>O15+O22</f>
        <v>10965115</v>
      </c>
      <c r="U13" s="473" t="s">
        <v>728</v>
      </c>
    </row>
    <row r="14" spans="1:30">
      <c r="A14" s="479">
        <f>A13+1</f>
        <v>5</v>
      </c>
      <c r="B14" s="26" t="s">
        <v>162</v>
      </c>
      <c r="C14" s="429">
        <f>SUM('2021 Capital Budget'!E8:E14)</f>
        <v>586459.00000000012</v>
      </c>
      <c r="D14" s="429">
        <f>SUM('2021 Capital Budget'!F8:F14)</f>
        <v>640571.00000000012</v>
      </c>
      <c r="E14" s="429">
        <f>SUM('2021 Capital Budget'!G8:G14)</f>
        <v>643936.00000000012</v>
      </c>
      <c r="F14" s="429">
        <f>SUM('2021 Capital Budget'!H8:H14)</f>
        <v>616211.00000000012</v>
      </c>
      <c r="G14" s="429">
        <f>SUM('2021 Capital Budget'!I8:I14)</f>
        <v>667273.00000000012</v>
      </c>
      <c r="H14" s="429">
        <f>SUM('2021 Capital Budget'!J8:J14)</f>
        <v>637173.00000000012</v>
      </c>
      <c r="I14" s="429">
        <f>SUM('2021 Capital Budget'!K8:K14)</f>
        <v>614858.00000000012</v>
      </c>
      <c r="J14" s="429">
        <f>SUM('2021 Capital Budget'!L8:L14)</f>
        <v>668634.00000000012</v>
      </c>
      <c r="K14" s="429">
        <f>SUM('2021 Capital Budget'!M8:M14)</f>
        <v>652982.00000000012</v>
      </c>
      <c r="L14" s="429">
        <f>SUM('2021 Capital Budget'!N8:N14)</f>
        <v>663263.00000000012</v>
      </c>
      <c r="M14" s="429">
        <f>SUM('2021 Capital Budget'!O8:O14)</f>
        <v>632606.00000000012</v>
      </c>
      <c r="N14" s="429">
        <f>SUM('2021 Capital Budget'!P8:P14)</f>
        <v>628517.00000000012</v>
      </c>
      <c r="O14" s="429">
        <f t="shared" si="0"/>
        <v>7652483.0000000009</v>
      </c>
      <c r="P14" s="482"/>
      <c r="T14" s="593">
        <f>T12-T13</f>
        <v>0</v>
      </c>
      <c r="U14" s="473" t="s">
        <v>39</v>
      </c>
    </row>
    <row r="15" spans="1:30">
      <c r="A15" s="479">
        <f>A14+1</f>
        <v>6</v>
      </c>
      <c r="B15" s="26" t="s">
        <v>82</v>
      </c>
      <c r="C15" s="452">
        <f t="shared" ref="C15:N15" si="1">SUM(C10:C14)</f>
        <v>857422.00000000012</v>
      </c>
      <c r="D15" s="452">
        <f t="shared" si="1"/>
        <v>931579.00000000012</v>
      </c>
      <c r="E15" s="452">
        <f t="shared" si="1"/>
        <v>931353.00000000012</v>
      </c>
      <c r="F15" s="452">
        <f t="shared" si="1"/>
        <v>879320.00000000012</v>
      </c>
      <c r="G15" s="452">
        <f t="shared" si="1"/>
        <v>954338.00000000012</v>
      </c>
      <c r="H15" s="452">
        <f t="shared" si="1"/>
        <v>909947.00000000012</v>
      </c>
      <c r="I15" s="452">
        <f t="shared" si="1"/>
        <v>887638.00000000012</v>
      </c>
      <c r="J15" s="452">
        <f t="shared" si="1"/>
        <v>946265.00000000012</v>
      </c>
      <c r="K15" s="452">
        <f t="shared" si="1"/>
        <v>923547.00000000012</v>
      </c>
      <c r="L15" s="452">
        <f t="shared" si="1"/>
        <v>936740.00000000012</v>
      </c>
      <c r="M15" s="452">
        <f t="shared" si="1"/>
        <v>910886.00000000012</v>
      </c>
      <c r="N15" s="452">
        <f t="shared" si="1"/>
        <v>896080.00000000012</v>
      </c>
      <c r="O15" s="452">
        <f>SUM(O10:O14)</f>
        <v>10965115</v>
      </c>
      <c r="P15" s="481"/>
      <c r="Q15" s="481" t="s">
        <v>705</v>
      </c>
      <c r="R15" s="481">
        <f>O15-'2021 Capital Budget'!Q30</f>
        <v>0</v>
      </c>
      <c r="T15" s="593"/>
    </row>
    <row r="16" spans="1:30">
      <c r="I16" s="452"/>
      <c r="J16" s="452"/>
      <c r="K16" s="452"/>
      <c r="L16" s="452"/>
      <c r="M16" s="452"/>
      <c r="N16" s="452"/>
      <c r="O16" s="452"/>
      <c r="P16" s="481"/>
    </row>
    <row r="17" spans="1:21">
      <c r="A17" s="479">
        <f>A15+1</f>
        <v>7</v>
      </c>
      <c r="B17" s="26" t="s">
        <v>252</v>
      </c>
      <c r="C17" s="456">
        <v>0</v>
      </c>
      <c r="D17" s="456">
        <v>0</v>
      </c>
      <c r="E17" s="456">
        <v>0</v>
      </c>
      <c r="F17" s="456">
        <v>0</v>
      </c>
      <c r="G17" s="456">
        <v>0</v>
      </c>
      <c r="H17" s="456">
        <v>0</v>
      </c>
      <c r="I17" s="456">
        <v>0</v>
      </c>
      <c r="J17" s="456">
        <v>0</v>
      </c>
      <c r="K17" s="456">
        <v>0</v>
      </c>
      <c r="L17" s="456">
        <v>0</v>
      </c>
      <c r="M17" s="456">
        <v>0</v>
      </c>
      <c r="N17" s="456">
        <v>0</v>
      </c>
      <c r="O17" s="456">
        <f>SUM(C17:N17)</f>
        <v>0</v>
      </c>
      <c r="P17" s="481"/>
    </row>
    <row r="18" spans="1:21">
      <c r="A18" s="479">
        <f t="shared" ref="A18:A19" si="2">A17+1</f>
        <v>8</v>
      </c>
      <c r="B18" s="26" t="s">
        <v>329</v>
      </c>
      <c r="C18" s="456">
        <f>-'Base Rate Retirements 2021'!C9</f>
        <v>0</v>
      </c>
      <c r="D18" s="456">
        <f>-'Base Rate Retirements 2021'!D9</f>
        <v>0</v>
      </c>
      <c r="E18" s="456">
        <f>-'Base Rate Retirements 2021'!E9</f>
        <v>0</v>
      </c>
      <c r="F18" s="456">
        <f>-'Base Rate Retirements 2021'!F9</f>
        <v>0</v>
      </c>
      <c r="G18" s="456">
        <f>-'Base Rate Retirements 2021'!G9</f>
        <v>0</v>
      </c>
      <c r="H18" s="456">
        <f>-'Base Rate Retirements 2021'!H9</f>
        <v>0</v>
      </c>
      <c r="I18" s="456">
        <f>-'Base Rate Retirements 2021'!I9</f>
        <v>0</v>
      </c>
      <c r="J18" s="456">
        <f>-'Base Rate Retirements 2021'!J9</f>
        <v>0</v>
      </c>
      <c r="K18" s="456">
        <f>-'Base Rate Retirements 2021'!K9</f>
        <v>0</v>
      </c>
      <c r="L18" s="456">
        <f>-'Base Rate Retirements 2021'!L9</f>
        <v>0</v>
      </c>
      <c r="M18" s="456">
        <f>-'Base Rate Retirements 2021'!M9</f>
        <v>0</v>
      </c>
      <c r="N18" s="456">
        <f>-'Base Rate Retirements 2021'!N9</f>
        <v>0</v>
      </c>
      <c r="O18" s="456">
        <f>SUM(C18:N18)</f>
        <v>0</v>
      </c>
      <c r="P18" s="481"/>
    </row>
    <row r="19" spans="1:21">
      <c r="A19" s="479">
        <f t="shared" si="2"/>
        <v>9</v>
      </c>
      <c r="B19" s="26" t="s">
        <v>72</v>
      </c>
      <c r="C19" s="456">
        <v>0</v>
      </c>
      <c r="D19" s="456">
        <v>0</v>
      </c>
      <c r="E19" s="456">
        <v>0</v>
      </c>
      <c r="F19" s="456">
        <v>0</v>
      </c>
      <c r="G19" s="456">
        <v>0</v>
      </c>
      <c r="H19" s="456">
        <v>0</v>
      </c>
      <c r="I19" s="456">
        <v>0</v>
      </c>
      <c r="J19" s="456">
        <v>0</v>
      </c>
      <c r="K19" s="456">
        <v>0</v>
      </c>
      <c r="L19" s="456">
        <v>0</v>
      </c>
      <c r="M19" s="456">
        <v>0</v>
      </c>
      <c r="N19" s="456">
        <v>0</v>
      </c>
      <c r="O19" s="456">
        <f t="shared" ref="O19:O21" si="3">SUM(C19:N19)</f>
        <v>0</v>
      </c>
      <c r="P19" s="481"/>
    </row>
    <row r="20" spans="1:21" s="487" customFormat="1">
      <c r="A20" s="485">
        <f>A19+1</f>
        <v>10</v>
      </c>
      <c r="B20" s="486" t="s">
        <v>73</v>
      </c>
      <c r="C20" s="456">
        <v>0</v>
      </c>
      <c r="D20" s="456">
        <v>0</v>
      </c>
      <c r="E20" s="456">
        <v>0</v>
      </c>
      <c r="F20" s="456">
        <v>0</v>
      </c>
      <c r="G20" s="456">
        <v>0</v>
      </c>
      <c r="H20" s="456">
        <v>0</v>
      </c>
      <c r="I20" s="456">
        <v>0</v>
      </c>
      <c r="J20" s="456">
        <v>0</v>
      </c>
      <c r="K20" s="456">
        <v>0</v>
      </c>
      <c r="L20" s="456">
        <v>0</v>
      </c>
      <c r="M20" s="456">
        <v>0</v>
      </c>
      <c r="N20" s="456">
        <v>0</v>
      </c>
      <c r="O20" s="456">
        <f t="shared" si="3"/>
        <v>0</v>
      </c>
      <c r="P20" s="482"/>
    </row>
    <row r="21" spans="1:21">
      <c r="A21" s="479">
        <f>A20+1</f>
        <v>11</v>
      </c>
      <c r="B21" s="26" t="s">
        <v>597</v>
      </c>
      <c r="C21" s="429">
        <f>-'Base Rate Retirements 2021'!C10</f>
        <v>0</v>
      </c>
      <c r="D21" s="429">
        <f>-'Base Rate Retirements 2021'!D10</f>
        <v>0</v>
      </c>
      <c r="E21" s="429">
        <f>-'Base Rate Retirements 2021'!E10</f>
        <v>0</v>
      </c>
      <c r="F21" s="429">
        <f>-'Base Rate Retirements 2021'!F10</f>
        <v>0</v>
      </c>
      <c r="G21" s="429">
        <f>-'Base Rate Retirements 2021'!G10</f>
        <v>0</v>
      </c>
      <c r="H21" s="429">
        <f>-'Base Rate Retirements 2021'!H10</f>
        <v>0</v>
      </c>
      <c r="I21" s="429">
        <f>-'Base Rate Retirements 2021'!I10</f>
        <v>0</v>
      </c>
      <c r="J21" s="429">
        <f>-'Base Rate Retirements 2021'!J10</f>
        <v>0</v>
      </c>
      <c r="K21" s="429">
        <f>-'Base Rate Retirements 2021'!K10</f>
        <v>0</v>
      </c>
      <c r="L21" s="429">
        <f>-'Base Rate Retirements 2021'!L10</f>
        <v>0</v>
      </c>
      <c r="M21" s="429">
        <f>-'Base Rate Retirements 2021'!M10</f>
        <v>0</v>
      </c>
      <c r="N21" s="429">
        <f>-'Base Rate Retirements 2021'!N10</f>
        <v>0</v>
      </c>
      <c r="O21" s="429">
        <f t="shared" si="3"/>
        <v>0</v>
      </c>
      <c r="P21" s="481"/>
    </row>
    <row r="22" spans="1:21">
      <c r="A22" s="479">
        <f>A21+1</f>
        <v>12</v>
      </c>
      <c r="B22" s="26" t="s">
        <v>180</v>
      </c>
      <c r="C22" s="456">
        <f>SUM(C17:C21)</f>
        <v>0</v>
      </c>
      <c r="D22" s="456">
        <f t="shared" ref="D22:O22" si="4">SUM(D17:D21)</f>
        <v>0</v>
      </c>
      <c r="E22" s="456">
        <f t="shared" si="4"/>
        <v>0</v>
      </c>
      <c r="F22" s="456">
        <f t="shared" si="4"/>
        <v>0</v>
      </c>
      <c r="G22" s="456">
        <f t="shared" si="4"/>
        <v>0</v>
      </c>
      <c r="H22" s="456">
        <f t="shared" si="4"/>
        <v>0</v>
      </c>
      <c r="I22" s="456">
        <f t="shared" si="4"/>
        <v>0</v>
      </c>
      <c r="J22" s="456">
        <f t="shared" si="4"/>
        <v>0</v>
      </c>
      <c r="K22" s="456">
        <f t="shared" si="4"/>
        <v>0</v>
      </c>
      <c r="L22" s="456">
        <f t="shared" si="4"/>
        <v>0</v>
      </c>
      <c r="M22" s="456">
        <f t="shared" si="4"/>
        <v>0</v>
      </c>
      <c r="N22" s="456">
        <f t="shared" si="4"/>
        <v>0</v>
      </c>
      <c r="O22" s="456">
        <f t="shared" si="4"/>
        <v>0</v>
      </c>
      <c r="P22" s="481"/>
      <c r="Q22" s="473" t="s">
        <v>705</v>
      </c>
      <c r="R22" s="481">
        <f>O22+'Base Rate Retirements 2021'!O11</f>
        <v>0</v>
      </c>
    </row>
    <row r="23" spans="1:21">
      <c r="A23" s="479"/>
      <c r="I23" s="456"/>
      <c r="J23" s="456"/>
      <c r="K23" s="456"/>
      <c r="L23" s="456"/>
      <c r="M23" s="456"/>
      <c r="N23" s="456"/>
      <c r="O23" s="456"/>
      <c r="P23" s="481"/>
    </row>
    <row r="24" spans="1:21" ht="16.5" customHeight="1">
      <c r="A24" s="479">
        <f>A22+1</f>
        <v>13</v>
      </c>
      <c r="B24" s="26" t="s">
        <v>253</v>
      </c>
      <c r="C24" s="452">
        <v>0</v>
      </c>
      <c r="D24" s="452">
        <v>0</v>
      </c>
      <c r="E24" s="452">
        <v>0</v>
      </c>
      <c r="F24" s="452">
        <v>0</v>
      </c>
      <c r="G24" s="452">
        <v>0</v>
      </c>
      <c r="H24" s="452">
        <v>0</v>
      </c>
      <c r="I24" s="452">
        <v>0</v>
      </c>
      <c r="J24" s="452">
        <v>0</v>
      </c>
      <c r="K24" s="452">
        <v>0</v>
      </c>
      <c r="L24" s="452">
        <v>0</v>
      </c>
      <c r="M24" s="452">
        <v>0</v>
      </c>
      <c r="N24" s="452">
        <v>0</v>
      </c>
      <c r="O24" s="456">
        <f>SUM(C24:N24)</f>
        <v>0</v>
      </c>
      <c r="P24" s="481"/>
      <c r="T24" s="591">
        <f>SUM('2021 Capital Budget'!E20:P28)</f>
        <v>127835.99999999999</v>
      </c>
      <c r="U24" s="473" t="s">
        <v>729</v>
      </c>
    </row>
    <row r="25" spans="1:21" ht="16.5" customHeight="1">
      <c r="A25" s="479">
        <f>A24+1</f>
        <v>14</v>
      </c>
      <c r="B25" s="26" t="s">
        <v>328</v>
      </c>
      <c r="C25" s="452">
        <f>SUM('2021 Capital Budget'!E24:E26)</f>
        <v>0</v>
      </c>
      <c r="D25" s="452">
        <f>SUM('2021 Capital Budget'!F24:F26)</f>
        <v>0</v>
      </c>
      <c r="E25" s="452">
        <f>SUM('2021 Capital Budget'!G24:G26)</f>
        <v>0</v>
      </c>
      <c r="F25" s="452">
        <f>SUM('2021 Capital Budget'!H24:H26)</f>
        <v>0</v>
      </c>
      <c r="G25" s="452">
        <f>SUM('2021 Capital Budget'!I24:I26)</f>
        <v>0</v>
      </c>
      <c r="H25" s="452">
        <f>SUM('2021 Capital Budget'!J24:J26)</f>
        <v>0</v>
      </c>
      <c r="I25" s="452">
        <f>SUM('2021 Capital Budget'!K24:K26)</f>
        <v>0</v>
      </c>
      <c r="J25" s="452">
        <f>SUM('2021 Capital Budget'!L24:L26)</f>
        <v>0</v>
      </c>
      <c r="K25" s="452">
        <f>SUM('2021 Capital Budget'!M24:M26)</f>
        <v>0</v>
      </c>
      <c r="L25" s="452">
        <f>SUM('2021 Capital Budget'!N24:N26)</f>
        <v>0</v>
      </c>
      <c r="M25" s="452">
        <f>SUM('2021 Capital Budget'!O24:O26)</f>
        <v>0</v>
      </c>
      <c r="N25" s="452">
        <f>SUM('2021 Capital Budget'!P24:P26)</f>
        <v>0</v>
      </c>
      <c r="O25" s="456">
        <f>SUM(C25:N25)</f>
        <v>0</v>
      </c>
      <c r="P25" s="481"/>
      <c r="T25" s="591">
        <f>O29</f>
        <v>127836</v>
      </c>
      <c r="U25" s="473" t="s">
        <v>730</v>
      </c>
    </row>
    <row r="26" spans="1:21">
      <c r="A26" s="479">
        <f t="shared" ref="A26:A28" si="5">A25+1</f>
        <v>15</v>
      </c>
      <c r="B26" s="26" t="s">
        <v>83</v>
      </c>
      <c r="C26" s="452">
        <f>SUM('2021 Capital Budget'!E23,'2021 Capital Budget'!E27)</f>
        <v>9403</v>
      </c>
      <c r="D26" s="452">
        <f>SUM('2021 Capital Budget'!F23,'2021 Capital Budget'!F27)</f>
        <v>9403</v>
      </c>
      <c r="E26" s="452">
        <f>SUM('2021 Capital Budget'!G23,'2021 Capital Budget'!G27)</f>
        <v>9403</v>
      </c>
      <c r="F26" s="452">
        <f>SUM('2021 Capital Budget'!H23,'2021 Capital Budget'!H27)</f>
        <v>9403</v>
      </c>
      <c r="G26" s="452">
        <f>SUM('2021 Capital Budget'!I23,'2021 Capital Budget'!I27)</f>
        <v>9403</v>
      </c>
      <c r="H26" s="452">
        <f>SUM('2021 Capital Budget'!J23,'2021 Capital Budget'!J27)</f>
        <v>9403</v>
      </c>
      <c r="I26" s="452">
        <f>SUM('2021 Capital Budget'!K23,'2021 Capital Budget'!K27)</f>
        <v>9403</v>
      </c>
      <c r="J26" s="452">
        <f>SUM('2021 Capital Budget'!L23,'2021 Capital Budget'!L27)</f>
        <v>9403</v>
      </c>
      <c r="K26" s="452">
        <f>SUM('2021 Capital Budget'!M23,'2021 Capital Budget'!M27)</f>
        <v>9403</v>
      </c>
      <c r="L26" s="452">
        <f>SUM('2021 Capital Budget'!N23,'2021 Capital Budget'!N27)</f>
        <v>9403</v>
      </c>
      <c r="M26" s="452">
        <f>SUM('2021 Capital Budget'!O23,'2021 Capital Budget'!O27)</f>
        <v>9403</v>
      </c>
      <c r="N26" s="452">
        <f>SUM('2021 Capital Budget'!P23,'2021 Capital Budget'!P27)</f>
        <v>9403</v>
      </c>
      <c r="O26" s="456">
        <f t="shared" ref="O26:O27" si="6">SUM(C26:N26)</f>
        <v>112836</v>
      </c>
      <c r="P26" s="489"/>
      <c r="T26" s="591">
        <f>T24-T25</f>
        <v>0</v>
      </c>
      <c r="U26" s="473" t="s">
        <v>39</v>
      </c>
    </row>
    <row r="27" spans="1:21" s="487" customFormat="1">
      <c r="A27" s="485">
        <f t="shared" si="5"/>
        <v>16</v>
      </c>
      <c r="B27" s="486" t="s">
        <v>84</v>
      </c>
      <c r="C27" s="456">
        <v>0</v>
      </c>
      <c r="D27" s="456">
        <v>0</v>
      </c>
      <c r="E27" s="456">
        <v>0</v>
      </c>
      <c r="F27" s="456">
        <v>0</v>
      </c>
      <c r="G27" s="456">
        <v>0</v>
      </c>
      <c r="H27" s="456">
        <v>0</v>
      </c>
      <c r="I27" s="456">
        <v>0</v>
      </c>
      <c r="J27" s="456">
        <v>0</v>
      </c>
      <c r="K27" s="456">
        <v>0</v>
      </c>
      <c r="L27" s="456">
        <v>0</v>
      </c>
      <c r="M27" s="456">
        <v>0</v>
      </c>
      <c r="N27" s="456">
        <v>0</v>
      </c>
      <c r="O27" s="456">
        <f t="shared" si="6"/>
        <v>0</v>
      </c>
      <c r="P27" s="488"/>
    </row>
    <row r="28" spans="1:21">
      <c r="A28" s="479">
        <f t="shared" si="5"/>
        <v>17</v>
      </c>
      <c r="B28" s="26" t="s">
        <v>596</v>
      </c>
      <c r="C28" s="429">
        <f>SUM('2021 Capital Budget'!E20:E22,'2021 Capital Budget'!E28)</f>
        <v>1250</v>
      </c>
      <c r="D28" s="429">
        <f>SUM('2021 Capital Budget'!F20:F22,'2021 Capital Budget'!F28)</f>
        <v>1250</v>
      </c>
      <c r="E28" s="429">
        <f>SUM('2021 Capital Budget'!G20:G22,'2021 Capital Budget'!G28)</f>
        <v>1250</v>
      </c>
      <c r="F28" s="429">
        <f>SUM('2021 Capital Budget'!H20:H22,'2021 Capital Budget'!H28)</f>
        <v>1250</v>
      </c>
      <c r="G28" s="429">
        <f>SUM('2021 Capital Budget'!I20:I22,'2021 Capital Budget'!I28)</f>
        <v>1250</v>
      </c>
      <c r="H28" s="429">
        <f>SUM('2021 Capital Budget'!J20:J22,'2021 Capital Budget'!J28)</f>
        <v>1250</v>
      </c>
      <c r="I28" s="429">
        <f>SUM('2021 Capital Budget'!K20:K22,'2021 Capital Budget'!K28)</f>
        <v>1250</v>
      </c>
      <c r="J28" s="429">
        <f>SUM('2021 Capital Budget'!L20:L22,'2021 Capital Budget'!L28)</f>
        <v>1250</v>
      </c>
      <c r="K28" s="429">
        <f>SUM('2021 Capital Budget'!M20:M22,'2021 Capital Budget'!M28)</f>
        <v>1250</v>
      </c>
      <c r="L28" s="429">
        <f>SUM('2021 Capital Budget'!N20:N22,'2021 Capital Budget'!N28)</f>
        <v>1250</v>
      </c>
      <c r="M28" s="429">
        <f>SUM('2021 Capital Budget'!O20:O22,'2021 Capital Budget'!O28)</f>
        <v>1250</v>
      </c>
      <c r="N28" s="429">
        <f>SUM('2021 Capital Budget'!P20:P22,'2021 Capital Budget'!P28)</f>
        <v>1250</v>
      </c>
      <c r="O28" s="429">
        <f>SUM(C28:N28)</f>
        <v>15000</v>
      </c>
      <c r="P28" s="482"/>
    </row>
    <row r="29" spans="1:21">
      <c r="A29" s="479">
        <f>A28+1</f>
        <v>18</v>
      </c>
      <c r="B29" s="26" t="s">
        <v>85</v>
      </c>
      <c r="C29" s="452">
        <f>SUM(C24:C28)</f>
        <v>10653</v>
      </c>
      <c r="D29" s="452">
        <f t="shared" ref="D29:N29" si="7">SUM(D24:D28)</f>
        <v>10653</v>
      </c>
      <c r="E29" s="452">
        <f t="shared" si="7"/>
        <v>10653</v>
      </c>
      <c r="F29" s="452">
        <f t="shared" si="7"/>
        <v>10653</v>
      </c>
      <c r="G29" s="452">
        <f t="shared" si="7"/>
        <v>10653</v>
      </c>
      <c r="H29" s="452">
        <f t="shared" si="7"/>
        <v>10653</v>
      </c>
      <c r="I29" s="452">
        <f t="shared" si="7"/>
        <v>10653</v>
      </c>
      <c r="J29" s="452">
        <f t="shared" si="7"/>
        <v>10653</v>
      </c>
      <c r="K29" s="452">
        <f t="shared" si="7"/>
        <v>10653</v>
      </c>
      <c r="L29" s="452">
        <f t="shared" si="7"/>
        <v>10653</v>
      </c>
      <c r="M29" s="452">
        <f t="shared" si="7"/>
        <v>10653</v>
      </c>
      <c r="N29" s="452">
        <f t="shared" si="7"/>
        <v>10653</v>
      </c>
      <c r="O29" s="452">
        <f>SUM(O24:O28)</f>
        <v>127836</v>
      </c>
      <c r="P29" s="481"/>
      <c r="Q29" s="473" t="s">
        <v>705</v>
      </c>
      <c r="R29" s="481">
        <f>O29-'2021 Capital Budget'!Q31</f>
        <v>0</v>
      </c>
    </row>
    <row r="30" spans="1:21">
      <c r="A30" s="479"/>
      <c r="I30" s="452"/>
      <c r="J30" s="452"/>
      <c r="K30" s="452"/>
      <c r="L30" s="452"/>
      <c r="M30" s="452"/>
      <c r="N30" s="452"/>
      <c r="O30" s="452"/>
      <c r="P30" s="481"/>
    </row>
    <row r="31" spans="1:21">
      <c r="A31" s="479">
        <f>A29+1</f>
        <v>19</v>
      </c>
      <c r="B31" s="26" t="s">
        <v>587</v>
      </c>
      <c r="C31" s="544">
        <f>'COS Budget 2021'!D9</f>
        <v>79997</v>
      </c>
      <c r="D31" s="544">
        <f>'COS Budget 2021'!E9</f>
        <v>79750</v>
      </c>
      <c r="E31" s="544">
        <f>'COS Budget 2021'!F9</f>
        <v>87717</v>
      </c>
      <c r="F31" s="544">
        <f>'COS Budget 2021'!G9</f>
        <v>83064</v>
      </c>
      <c r="G31" s="544">
        <f>'COS Budget 2021'!H9</f>
        <v>80065</v>
      </c>
      <c r="H31" s="544">
        <f>'COS Budget 2021'!I9</f>
        <v>85208</v>
      </c>
      <c r="I31" s="544">
        <f>'COS Budget 2021'!J9</f>
        <v>82974</v>
      </c>
      <c r="J31" s="544">
        <f>'COS Budget 2021'!K9</f>
        <v>86219</v>
      </c>
      <c r="K31" s="544">
        <f>'COS Budget 2021'!L9</f>
        <v>86339</v>
      </c>
      <c r="L31" s="544">
        <f>'COS Budget 2021'!M9</f>
        <v>83030</v>
      </c>
      <c r="M31" s="544">
        <f>'COS Budget 2021'!N9</f>
        <v>81763</v>
      </c>
      <c r="N31" s="544">
        <f>'COS Budget 2021'!O9</f>
        <v>82687</v>
      </c>
      <c r="O31" s="452">
        <f>SUM(C31:N31)</f>
        <v>998813</v>
      </c>
      <c r="P31" s="481"/>
      <c r="Q31" s="473" t="s">
        <v>705</v>
      </c>
      <c r="R31" s="481">
        <f>O31-'COS Budget 2021'!P9</f>
        <v>0</v>
      </c>
    </row>
    <row r="32" spans="1:21">
      <c r="A32" s="479">
        <f t="shared" ref="A32:A34" si="8">A31+1</f>
        <v>20</v>
      </c>
      <c r="B32" s="26" t="s">
        <v>588</v>
      </c>
      <c r="C32" s="544">
        <f>'COS Budget 2021'!D10</f>
        <v>0</v>
      </c>
      <c r="D32" s="544">
        <f>'COS Budget 2021'!E10</f>
        <v>0</v>
      </c>
      <c r="E32" s="544">
        <f>'COS Budget 2021'!F10</f>
        <v>0</v>
      </c>
      <c r="F32" s="544">
        <f>'COS Budget 2021'!G10</f>
        <v>0</v>
      </c>
      <c r="G32" s="544">
        <f>'COS Budget 2021'!H10</f>
        <v>0</v>
      </c>
      <c r="H32" s="544">
        <f>'COS Budget 2021'!I10</f>
        <v>0</v>
      </c>
      <c r="I32" s="544">
        <f>'COS Budget 2021'!J10</f>
        <v>0</v>
      </c>
      <c r="J32" s="544">
        <f>'COS Budget 2021'!K10</f>
        <v>0</v>
      </c>
      <c r="K32" s="544">
        <f>'COS Budget 2021'!L10</f>
        <v>0</v>
      </c>
      <c r="L32" s="544">
        <f>'COS Budget 2021'!M10</f>
        <v>0</v>
      </c>
      <c r="M32" s="544">
        <f>'COS Budget 2021'!N10</f>
        <v>0</v>
      </c>
      <c r="N32" s="544">
        <f>'COS Budget 2021'!O10</f>
        <v>0</v>
      </c>
      <c r="O32" s="452">
        <f>SUM(C32:N32)</f>
        <v>0</v>
      </c>
      <c r="P32" s="481"/>
      <c r="Q32" s="473" t="s">
        <v>705</v>
      </c>
      <c r="R32" s="481">
        <f>O32-'COS Budget 2021'!P10</f>
        <v>0</v>
      </c>
    </row>
    <row r="33" spans="1:30">
      <c r="A33" s="479">
        <f t="shared" si="8"/>
        <v>21</v>
      </c>
      <c r="B33" s="26" t="s">
        <v>457</v>
      </c>
      <c r="C33" s="544">
        <f>'COS Budget 2021'!D12</f>
        <v>93842</v>
      </c>
      <c r="D33" s="544">
        <f>'COS Budget 2021'!E12</f>
        <v>93842</v>
      </c>
      <c r="E33" s="544">
        <f>'COS Budget 2021'!F12</f>
        <v>93842</v>
      </c>
      <c r="F33" s="544">
        <f>'COS Budget 2021'!G12</f>
        <v>93842</v>
      </c>
      <c r="G33" s="544">
        <f>'COS Budget 2021'!H12</f>
        <v>93842</v>
      </c>
      <c r="H33" s="544">
        <f>'COS Budget 2021'!I12</f>
        <v>93842</v>
      </c>
      <c r="I33" s="544">
        <f>'COS Budget 2021'!J12</f>
        <v>40490.688166390406</v>
      </c>
      <c r="J33" s="544">
        <f>'COS Budget 2021'!K12</f>
        <v>40490.688166390406</v>
      </c>
      <c r="K33" s="544">
        <f>'COS Budget 2021'!L12</f>
        <v>40490.688166390406</v>
      </c>
      <c r="L33" s="544">
        <f>'COS Budget 2021'!M12</f>
        <v>40490.688166390406</v>
      </c>
      <c r="M33" s="544">
        <f>'COS Budget 2021'!N12</f>
        <v>40490.688166390406</v>
      </c>
      <c r="N33" s="544">
        <f>'COS Budget 2021'!O12</f>
        <v>40490.688166390406</v>
      </c>
      <c r="O33" s="452">
        <f>SUM(C33:N33)</f>
        <v>805996.12899834244</v>
      </c>
      <c r="P33" s="481"/>
      <c r="Q33" s="473" t="s">
        <v>705</v>
      </c>
      <c r="R33" s="481">
        <f>O33-'COS Budget 2021'!P12</f>
        <v>0</v>
      </c>
    </row>
    <row r="34" spans="1:30">
      <c r="A34" s="479">
        <f t="shared" si="8"/>
        <v>22</v>
      </c>
      <c r="B34" s="26" t="s">
        <v>458</v>
      </c>
      <c r="C34" s="544">
        <f>'COS Budget 2021'!D13</f>
        <v>139934</v>
      </c>
      <c r="D34" s="544">
        <f>'COS Budget 2021'!E13</f>
        <v>139934</v>
      </c>
      <c r="E34" s="544">
        <f>'COS Budget 2021'!F13</f>
        <v>139934</v>
      </c>
      <c r="F34" s="544">
        <f>'COS Budget 2021'!G13</f>
        <v>139934</v>
      </c>
      <c r="G34" s="544">
        <f>'COS Budget 2021'!H13</f>
        <v>139934</v>
      </c>
      <c r="H34" s="544">
        <f>'COS Budget 2021'!I13</f>
        <v>139934</v>
      </c>
      <c r="I34" s="544">
        <f>'COS Budget 2021'!J13</f>
        <v>0</v>
      </c>
      <c r="J34" s="544">
        <f>'COS Budget 2021'!K13</f>
        <v>0</v>
      </c>
      <c r="K34" s="544">
        <f>'COS Budget 2021'!L13</f>
        <v>0</v>
      </c>
      <c r="L34" s="544">
        <f>'COS Budget 2021'!M13</f>
        <v>0</v>
      </c>
      <c r="M34" s="544">
        <f>'COS Budget 2021'!N13</f>
        <v>0</v>
      </c>
      <c r="N34" s="544">
        <f>'COS Budget 2021'!O13</f>
        <v>0</v>
      </c>
      <c r="O34" s="452">
        <f>SUM(C34:N34)</f>
        <v>839604</v>
      </c>
      <c r="Q34" s="473" t="s">
        <v>705</v>
      </c>
      <c r="R34" s="481">
        <f>O34-'COS Budget 2021'!P13</f>
        <v>0</v>
      </c>
    </row>
    <row r="35" spans="1:30">
      <c r="L35" s="63"/>
      <c r="M35" s="452"/>
    </row>
    <row r="37" spans="1:30" s="26" customFormat="1">
      <c r="A37" s="473"/>
      <c r="M37" s="473"/>
      <c r="N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</row>
    <row r="38" spans="1:30" s="26" customFormat="1">
      <c r="A38" s="473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</row>
    <row r="39" spans="1:30" s="26" customFormat="1">
      <c r="A39" s="473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</row>
    <row r="40" spans="1:30" s="26" customFormat="1">
      <c r="A40" s="473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</row>
    <row r="41" spans="1:30" s="26" customFormat="1">
      <c r="A41" s="473"/>
      <c r="B41" s="473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</row>
    <row r="42" spans="1:30" s="26" customFormat="1">
      <c r="A42" s="473"/>
      <c r="B42" s="473"/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</row>
    <row r="43" spans="1:30" s="26" customFormat="1">
      <c r="A43" s="473"/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P43" s="473"/>
      <c r="Q43" s="473"/>
      <c r="R43" s="473"/>
      <c r="S43" s="473"/>
      <c r="T43" s="473"/>
      <c r="U43" s="473"/>
      <c r="V43" s="473"/>
      <c r="W43" s="473"/>
      <c r="X43" s="473"/>
      <c r="Y43" s="473"/>
      <c r="Z43" s="473"/>
      <c r="AA43" s="473"/>
      <c r="AB43" s="473"/>
      <c r="AC43" s="473"/>
      <c r="AD43" s="473"/>
    </row>
    <row r="44" spans="1:30" s="26" customFormat="1">
      <c r="A44" s="473"/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</row>
    <row r="45" spans="1:30" s="26" customFormat="1">
      <c r="A45" s="473"/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</row>
    <row r="46" spans="1:30" s="26" customFormat="1">
      <c r="A46" s="473"/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</row>
    <row r="47" spans="1:30" s="26" customFormat="1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</row>
    <row r="48" spans="1:30" s="26" customFormat="1">
      <c r="A48" s="473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</row>
    <row r="49" spans="1:30" s="26" customFormat="1">
      <c r="A49" s="473"/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P49" s="473"/>
      <c r="Q49" s="473"/>
      <c r="R49" s="473"/>
      <c r="S49" s="473"/>
      <c r="T49" s="473"/>
      <c r="U49" s="473"/>
      <c r="V49" s="473"/>
      <c r="W49" s="473"/>
      <c r="X49" s="473"/>
      <c r="Y49" s="473"/>
      <c r="Z49" s="473"/>
      <c r="AA49" s="473"/>
      <c r="AB49" s="473"/>
      <c r="AC49" s="473"/>
      <c r="AD49" s="473"/>
    </row>
    <row r="50" spans="1:30" s="26" customFormat="1">
      <c r="A50" s="473"/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</row>
    <row r="51" spans="1:30" s="26" customFormat="1">
      <c r="A51" s="473"/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</row>
  </sheetData>
  <pageMargins left="0.7" right="0.7" top="0.75" bottom="0.75" header="0.3" footer="0.3"/>
  <pageSetup scale="48" orientation="landscape" r:id="rId1"/>
  <headerFooter>
    <oddFooter>&amp;R&amp;"Times New Roman,Bold"&amp;18Exhibit 4
Page 4 of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ED91-D283-4B21-AA66-A3260592E895}">
  <sheetPr>
    <tabColor theme="5" tint="0.39997558519241921"/>
    <pageSetUpPr fitToPage="1"/>
  </sheetPr>
  <dimension ref="A1:U43"/>
  <sheetViews>
    <sheetView zoomScaleNormal="100" zoomScaleSheetLayoutView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570312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6.140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615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95</v>
      </c>
      <c r="G6" s="12"/>
      <c r="H6" s="12"/>
      <c r="I6" s="12"/>
      <c r="J6" s="12" t="s">
        <v>95</v>
      </c>
      <c r="K6" s="12"/>
      <c r="L6" s="12" t="s">
        <v>95</v>
      </c>
      <c r="M6" s="12"/>
      <c r="N6" s="12"/>
      <c r="O6" s="12"/>
      <c r="P6" s="12"/>
      <c r="Q6" s="12"/>
      <c r="R6" s="12" t="s">
        <v>95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'202012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2021'!C10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</f>
        <v>0</v>
      </c>
      <c r="U13" s="491" t="s">
        <v>754</v>
      </c>
    </row>
    <row r="14" spans="1:21">
      <c r="A14" s="6">
        <f t="shared" ref="A14:A18" si="4">A13+1</f>
        <v>2</v>
      </c>
      <c r="B14" s="4"/>
      <c r="C14" s="4" t="s">
        <v>578</v>
      </c>
      <c r="D14" s="6">
        <v>367</v>
      </c>
      <c r="F14" s="360">
        <f>'202012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2021'!C11-'2021 Capital Budget'!E17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'202012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Budget'!E29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'202012 Bk Depr'!R16</f>
        <v>9502385.5000000037</v>
      </c>
      <c r="H16" s="1">
        <f t="shared" ref="H16:H18" si="5">3.24%/12</f>
        <v>2.7000000000000006E-3</v>
      </c>
      <c r="J16" s="364">
        <f t="shared" si="0"/>
        <v>25656.440850000017</v>
      </c>
      <c r="L16" s="365">
        <f>'Cap&amp;OpEx 2021'!C12-L15</f>
        <v>270963</v>
      </c>
      <c r="N16" s="364">
        <f t="shared" si="1"/>
        <v>365.80005000000006</v>
      </c>
      <c r="P16" s="364">
        <f t="shared" si="2"/>
        <v>26022.240900000019</v>
      </c>
      <c r="R16" s="364">
        <f t="shared" si="3"/>
        <v>9773348.5000000037</v>
      </c>
      <c r="T16" s="603">
        <v>0</v>
      </c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'202012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2021'!C13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>
        <f>SUM('2021 Capital Budget'!E17:E17)</f>
        <v>0</v>
      </c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'202012 Bk Depr'!R18</f>
        <v>26039468.449999999</v>
      </c>
      <c r="H18" s="1">
        <f t="shared" si="5"/>
        <v>2.7000000000000006E-3</v>
      </c>
      <c r="J18" s="364">
        <f t="shared" si="0"/>
        <v>70306.56481500002</v>
      </c>
      <c r="L18" s="366">
        <f>'Cap&amp;OpEx 2021'!C14</f>
        <v>586459.00000000012</v>
      </c>
      <c r="N18" s="364">
        <f t="shared" si="1"/>
        <v>791.71965000000034</v>
      </c>
      <c r="P18" s="364">
        <f t="shared" si="2"/>
        <v>71098.284465000019</v>
      </c>
      <c r="R18" s="364">
        <f t="shared" si="3"/>
        <v>26625927.449999999</v>
      </c>
      <c r="T18" s="603">
        <f>SUM(T13:T17)</f>
        <v>584511.54</v>
      </c>
      <c r="U18" s="491" t="s">
        <v>3</v>
      </c>
    </row>
    <row r="19" spans="1:21">
      <c r="A19" s="6">
        <f>A18+1</f>
        <v>7</v>
      </c>
      <c r="B19" s="4"/>
      <c r="C19" s="4" t="s">
        <v>21</v>
      </c>
      <c r="F19" s="362">
        <f>SUM(F13:F18)</f>
        <v>35541853.950000003</v>
      </c>
      <c r="J19" s="362">
        <f>SUM(J13:J18)</f>
        <v>95963.005665000033</v>
      </c>
      <c r="L19" s="362">
        <f>SUM(L13:L18)</f>
        <v>857422.00000000012</v>
      </c>
      <c r="N19" s="362">
        <f>SUM(N13:N18)</f>
        <v>1157.5197000000003</v>
      </c>
      <c r="P19" s="362">
        <f>SUM(P13:P18)</f>
        <v>97120.525365000038</v>
      </c>
      <c r="R19" s="362">
        <f>SUM(R13:R18)</f>
        <v>36399275.950000003</v>
      </c>
      <c r="T19" s="603">
        <f>'Rev Req 2021-Trans'!E11</f>
        <v>97474231.559999987</v>
      </c>
      <c r="U19" s="491" t="s">
        <v>738</v>
      </c>
    </row>
    <row r="20" spans="1:21">
      <c r="B20" s="4"/>
      <c r="T20" s="604">
        <f>T18-T19</f>
        <v>-96889720.019999981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'202012 Bk Depr'!R22</f>
        <v>0</v>
      </c>
      <c r="H22" s="1">
        <f>1.62%/12</f>
        <v>1.3500000000000003E-3</v>
      </c>
      <c r="J22" s="364">
        <f>F22*H22</f>
        <v>0</v>
      </c>
      <c r="L22" s="365">
        <f>'Cap&amp;OpEx 2021'!C17</f>
        <v>0</v>
      </c>
      <c r="N22" s="601">
        <f>H22*L22*0.5</f>
        <v>0</v>
      </c>
      <c r="P22" s="364">
        <f>J22+N22</f>
        <v>0</v>
      </c>
      <c r="R22" s="364">
        <f>L22+F22</f>
        <v>0</v>
      </c>
    </row>
    <row r="23" spans="1:21">
      <c r="A23" s="6">
        <f>A22+1</f>
        <v>9</v>
      </c>
      <c r="B23" s="4"/>
      <c r="C23" s="4" t="s">
        <v>578</v>
      </c>
      <c r="D23" s="6">
        <v>367</v>
      </c>
      <c r="F23" s="360">
        <f>'202012 Bk Depr'!R23</f>
        <v>0</v>
      </c>
      <c r="H23" s="1">
        <f>2.05%/12</f>
        <v>1.7083333333333332E-3</v>
      </c>
      <c r="J23" s="364">
        <f>F23*H23</f>
        <v>0</v>
      </c>
      <c r="L23" s="365">
        <f>'Cap&amp;OpEx 2021'!C18</f>
        <v>0</v>
      </c>
      <c r="N23" s="601">
        <f t="shared" ref="N23:N27" si="6">H23*L23*0.5</f>
        <v>0</v>
      </c>
      <c r="P23" s="364">
        <f>J23+N23</f>
        <v>0</v>
      </c>
      <c r="R23" s="364">
        <f>L23+F23</f>
        <v>0</v>
      </c>
    </row>
    <row r="24" spans="1:21">
      <c r="A24" s="6">
        <f>A23+1</f>
        <v>10</v>
      </c>
      <c r="B24" s="4"/>
      <c r="C24" s="9" t="s">
        <v>62</v>
      </c>
      <c r="D24" s="6">
        <v>376</v>
      </c>
      <c r="F24" s="360">
        <f>'202012 Bk Depr'!R24</f>
        <v>0</v>
      </c>
      <c r="H24" s="1">
        <f>1.62%/12</f>
        <v>1.3500000000000003E-3</v>
      </c>
      <c r="J24" s="364">
        <f>F24*H24</f>
        <v>0</v>
      </c>
      <c r="L24" s="365">
        <v>0</v>
      </c>
      <c r="N24" s="601">
        <f t="shared" si="6"/>
        <v>0</v>
      </c>
      <c r="P24" s="364">
        <f>J24+N24</f>
        <v>0</v>
      </c>
      <c r="R24" s="364">
        <f>L24+F24</f>
        <v>0</v>
      </c>
    </row>
    <row r="25" spans="1:21">
      <c r="A25" s="6">
        <f>A24+1</f>
        <v>11</v>
      </c>
      <c r="B25" s="4"/>
      <c r="C25" s="9" t="s">
        <v>62</v>
      </c>
      <c r="D25" s="6">
        <v>380</v>
      </c>
      <c r="F25" s="360">
        <f>'202012 Bk Depr'!R25</f>
        <v>0</v>
      </c>
      <c r="H25" s="1">
        <f>3.24%/12</f>
        <v>2.7000000000000006E-3</v>
      </c>
      <c r="J25" s="364">
        <f t="shared" ref="J25:J27" si="7">F25*H25</f>
        <v>0</v>
      </c>
      <c r="L25" s="365">
        <f>'Cap&amp;OpEx 2021'!C19</f>
        <v>0</v>
      </c>
      <c r="N25" s="601">
        <f t="shared" si="6"/>
        <v>0</v>
      </c>
      <c r="P25" s="364">
        <f t="shared" ref="P25:P27" si="8">J25+N25</f>
        <v>0</v>
      </c>
      <c r="R25" s="364">
        <f t="shared" ref="R25:R27" si="9">L25+F25</f>
        <v>0</v>
      </c>
    </row>
    <row r="26" spans="1:21" s="499" customFormat="1">
      <c r="A26" s="498">
        <f t="shared" ref="A26" si="10">A25+1</f>
        <v>12</v>
      </c>
      <c r="C26" s="500" t="s">
        <v>63</v>
      </c>
      <c r="D26" s="498">
        <v>380</v>
      </c>
      <c r="E26" s="498"/>
      <c r="F26" s="360">
        <f>'202012 Bk Depr'!R26</f>
        <v>0</v>
      </c>
      <c r="G26" s="498"/>
      <c r="H26" s="501">
        <f>3.24%/12</f>
        <v>2.7000000000000006E-3</v>
      </c>
      <c r="I26" s="498"/>
      <c r="J26" s="360">
        <f t="shared" si="7"/>
        <v>0</v>
      </c>
      <c r="K26" s="498"/>
      <c r="L26" s="365">
        <f>'Cap&amp;OpEx 2021'!C20</f>
        <v>0</v>
      </c>
      <c r="M26" s="498"/>
      <c r="N26" s="601">
        <f t="shared" si="6"/>
        <v>0</v>
      </c>
      <c r="O26" s="498"/>
      <c r="P26" s="360">
        <f t="shared" si="8"/>
        <v>0</v>
      </c>
      <c r="Q26" s="498"/>
      <c r="R26" s="360">
        <f t="shared" si="9"/>
        <v>0</v>
      </c>
    </row>
    <row r="27" spans="1:21">
      <c r="A27" s="6">
        <f>A26+1</f>
        <v>13</v>
      </c>
      <c r="B27" s="4"/>
      <c r="C27" s="9" t="s">
        <v>163</v>
      </c>
      <c r="D27" s="6">
        <v>380</v>
      </c>
      <c r="F27" s="360">
        <f>'202012 Bk Depr'!R27</f>
        <v>0</v>
      </c>
      <c r="H27" s="1">
        <f>3.24%/12</f>
        <v>2.7000000000000006E-3</v>
      </c>
      <c r="J27" s="364">
        <f t="shared" si="7"/>
        <v>0</v>
      </c>
      <c r="L27" s="366">
        <f>'Cap&amp;OpEx 2021'!C21</f>
        <v>0</v>
      </c>
      <c r="N27" s="601">
        <f t="shared" si="6"/>
        <v>0</v>
      </c>
      <c r="P27" s="364">
        <f t="shared" si="8"/>
        <v>0</v>
      </c>
      <c r="R27" s="364">
        <f t="shared" si="9"/>
        <v>0</v>
      </c>
    </row>
    <row r="28" spans="1:21">
      <c r="A28" s="6">
        <f>A27+1</f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35541853.950000003</v>
      </c>
      <c r="G30" s="6"/>
      <c r="H30" s="4"/>
      <c r="I30" s="6"/>
      <c r="J30" s="363">
        <f>J19+J28</f>
        <v>95963.005665000033</v>
      </c>
      <c r="K30" s="6"/>
      <c r="L30" s="363">
        <f>L19+L28</f>
        <v>857422.00000000012</v>
      </c>
      <c r="M30" s="6"/>
      <c r="N30" s="363">
        <f>N19+N28</f>
        <v>1157.5197000000003</v>
      </c>
      <c r="O30" s="6"/>
      <c r="P30" s="363">
        <f>P19+P28</f>
        <v>97120.525365000038</v>
      </c>
      <c r="Q30" s="6"/>
      <c r="R30" s="363">
        <f>R19+R28</f>
        <v>36399275.950000003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'202012 Bk Depr'!R33</f>
        <v>0</v>
      </c>
      <c r="J33" s="364"/>
      <c r="L33" s="365">
        <f>'Cap&amp;OpEx 2021'!C24</f>
        <v>0</v>
      </c>
      <c r="N33" s="364"/>
      <c r="P33" s="364"/>
      <c r="R33" s="364">
        <f t="shared" ref="R33:R38" si="11">L33+F33</f>
        <v>0</v>
      </c>
    </row>
    <row r="34" spans="1:18">
      <c r="A34" s="6">
        <f>A33+1</f>
        <v>17</v>
      </c>
      <c r="B34" s="4"/>
      <c r="C34" s="4" t="s">
        <v>578</v>
      </c>
      <c r="D34" s="6">
        <v>367</v>
      </c>
      <c r="F34" s="360">
        <f>'202012 Bk Depr'!R34</f>
        <v>0</v>
      </c>
      <c r="J34" s="364"/>
      <c r="L34" s="365">
        <f>'Cap&amp;OpEx 2021'!C25-'2021 Capital Budget'!E24</f>
        <v>0</v>
      </c>
      <c r="N34" s="364"/>
      <c r="P34" s="364"/>
      <c r="R34" s="364">
        <f t="shared" si="11"/>
        <v>0</v>
      </c>
    </row>
    <row r="35" spans="1:18">
      <c r="A35" s="6">
        <f>A34+1</f>
        <v>18</v>
      </c>
      <c r="B35" s="4"/>
      <c r="C35" s="9" t="s">
        <v>62</v>
      </c>
      <c r="D35" s="6">
        <v>376</v>
      </c>
      <c r="F35" s="360">
        <f>'202012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>A35+1</f>
        <v>19</v>
      </c>
      <c r="B36" s="4"/>
      <c r="C36" s="9" t="s">
        <v>62</v>
      </c>
      <c r="D36" s="6">
        <v>380</v>
      </c>
      <c r="F36" s="360">
        <f>'202012 Bk Depr'!R36</f>
        <v>2732901.1199999992</v>
      </c>
      <c r="J36" s="364"/>
      <c r="L36" s="365">
        <f>'Cap&amp;OpEx 2021'!C26</f>
        <v>9403</v>
      </c>
      <c r="N36" s="364"/>
      <c r="P36" s="364"/>
      <c r="R36" s="364">
        <f t="shared" si="11"/>
        <v>2742304.1199999992</v>
      </c>
    </row>
    <row r="37" spans="1:18" s="499" customFormat="1">
      <c r="A37" s="498">
        <f t="shared" ref="A37:A38" si="12">A36+1</f>
        <v>20</v>
      </c>
      <c r="C37" s="500" t="s">
        <v>63</v>
      </c>
      <c r="D37" s="498">
        <v>380</v>
      </c>
      <c r="E37" s="498"/>
      <c r="F37" s="360">
        <f>'202012 Bk Depr'!R37</f>
        <v>0</v>
      </c>
      <c r="G37" s="498"/>
      <c r="I37" s="498"/>
      <c r="J37" s="360"/>
      <c r="K37" s="498"/>
      <c r="L37" s="365">
        <f>'Cap&amp;OpEx 2021'!C27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'202012 Bk Depr'!R38</f>
        <v>2263.0500000000029</v>
      </c>
      <c r="J38" s="364"/>
      <c r="L38" s="366">
        <f>'Cap&amp;OpEx 2021'!C28</f>
        <v>1250</v>
      </c>
      <c r="N38" s="364"/>
      <c r="P38" s="364"/>
      <c r="R38" s="364">
        <f t="shared" si="11"/>
        <v>3513.0500000000029</v>
      </c>
    </row>
    <row r="39" spans="1:18">
      <c r="A39" s="6">
        <f>A38+1</f>
        <v>22</v>
      </c>
      <c r="B39" s="4"/>
      <c r="C39" s="4" t="s">
        <v>23</v>
      </c>
      <c r="F39" s="362">
        <f>SUM(F33:F38)</f>
        <v>2735164.169999999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2745817.169999999</v>
      </c>
    </row>
    <row r="42" spans="1:18">
      <c r="L42" s="4" t="s">
        <v>705</v>
      </c>
      <c r="N42" s="4" t="s">
        <v>372</v>
      </c>
      <c r="P42" s="459">
        <f>SUM(P13,P16:P18,P22,P25:P27)</f>
        <v>97120.525365000038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5 of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2FB88-83E4-43E4-AE33-7B2BBA27423B}">
  <sheetPr>
    <tabColor rgb="FF7030A0"/>
    <pageSetUpPr fitToPage="1"/>
  </sheetPr>
  <dimension ref="A1:V19"/>
  <sheetViews>
    <sheetView zoomScale="90" zoomScaleNormal="90" workbookViewId="0"/>
  </sheetViews>
  <sheetFormatPr defaultColWidth="9.140625" defaultRowHeight="12.75"/>
  <cols>
    <col min="1" max="1" width="5.85546875" style="479" customWidth="1"/>
    <col min="2" max="2" width="22.85546875" style="473" customWidth="1"/>
    <col min="3" max="3" width="12.85546875" style="473" customWidth="1"/>
    <col min="4" max="4" width="9.85546875" style="473" customWidth="1"/>
    <col min="5" max="5" width="11.85546875" style="473" customWidth="1"/>
    <col min="6" max="6" width="14.85546875" style="473" customWidth="1"/>
    <col min="7" max="7" width="15.85546875" style="473" customWidth="1"/>
    <col min="8" max="14" width="9.140625" style="473" customWidth="1"/>
    <col min="15" max="16384" width="9.140625" style="473"/>
  </cols>
  <sheetData>
    <row r="1" spans="1:22" ht="18.75">
      <c r="A1" s="191" t="s">
        <v>67</v>
      </c>
      <c r="B1" s="191"/>
      <c r="C1" s="191"/>
      <c r="D1" s="191"/>
      <c r="E1" s="191"/>
      <c r="F1" s="191"/>
      <c r="G1" s="191"/>
      <c r="H1" s="41"/>
      <c r="I1" s="41"/>
      <c r="J1" s="41"/>
    </row>
    <row r="2" spans="1:22" ht="20.25">
      <c r="A2" s="191" t="s">
        <v>255</v>
      </c>
      <c r="B2" s="191"/>
      <c r="C2" s="191"/>
      <c r="D2" s="191"/>
      <c r="E2" s="191"/>
      <c r="F2" s="191"/>
      <c r="G2" s="191"/>
      <c r="H2" s="39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8.75">
      <c r="A3" s="191" t="s">
        <v>68</v>
      </c>
      <c r="B3" s="191"/>
      <c r="C3" s="191"/>
      <c r="D3" s="191"/>
      <c r="E3" s="191"/>
      <c r="F3" s="191"/>
      <c r="G3" s="191"/>
      <c r="H3" s="41"/>
      <c r="I3" s="41"/>
      <c r="J3" s="41"/>
    </row>
    <row r="4" spans="1:22" ht="15.75">
      <c r="A4" s="66"/>
      <c r="B4" s="26"/>
      <c r="C4" s="26"/>
      <c r="D4" s="26"/>
      <c r="E4" s="26"/>
      <c r="F4" s="26"/>
      <c r="G4" s="26"/>
    </row>
    <row r="5" spans="1:22" ht="15.75">
      <c r="A5" s="66"/>
      <c r="B5" s="26"/>
      <c r="C5" s="26"/>
      <c r="D5" s="26"/>
      <c r="E5" s="26"/>
      <c r="F5" s="26"/>
      <c r="G5" s="43" t="s">
        <v>56</v>
      </c>
    </row>
    <row r="6" spans="1:22" ht="15.75">
      <c r="A6" s="43" t="s">
        <v>4</v>
      </c>
      <c r="B6" s="26"/>
      <c r="C6" s="26"/>
      <c r="D6" s="26"/>
      <c r="E6" s="43" t="s">
        <v>46</v>
      </c>
      <c r="F6" s="43" t="s">
        <v>47</v>
      </c>
      <c r="G6" s="67" t="s">
        <v>77</v>
      </c>
    </row>
    <row r="7" spans="1:22" ht="15.75">
      <c r="A7" s="189" t="s">
        <v>5</v>
      </c>
      <c r="B7" s="189" t="s">
        <v>44</v>
      </c>
      <c r="C7" s="189" t="s">
        <v>45</v>
      </c>
      <c r="D7" s="189" t="s">
        <v>35</v>
      </c>
      <c r="E7" s="189" t="s">
        <v>35</v>
      </c>
      <c r="F7" s="432" t="s">
        <v>498</v>
      </c>
      <c r="G7" s="189" t="s">
        <v>78</v>
      </c>
    </row>
    <row r="8" spans="1:22" ht="15.75">
      <c r="A8" s="66"/>
      <c r="B8" s="26"/>
      <c r="C8" s="26"/>
      <c r="D8" s="26"/>
      <c r="E8" s="26"/>
      <c r="F8" s="26"/>
      <c r="G8" s="26"/>
      <c r="K8" s="68"/>
    </row>
    <row r="9" spans="1:22" ht="15.75">
      <c r="A9" s="66">
        <v>1</v>
      </c>
      <c r="B9" s="26" t="s">
        <v>48</v>
      </c>
      <c r="C9" s="69">
        <v>1.2622813021079897E-2</v>
      </c>
      <c r="D9" s="70">
        <v>4.6002316569744824E-3</v>
      </c>
      <c r="E9" s="70">
        <f>C9*D9</f>
        <v>5.8067864059641441E-5</v>
      </c>
      <c r="F9" s="69"/>
      <c r="G9" s="69">
        <f>E9</f>
        <v>5.8067864059641441E-5</v>
      </c>
      <c r="K9" s="474"/>
      <c r="L9" s="475"/>
      <c r="M9" s="476"/>
    </row>
    <row r="10" spans="1:22" ht="15.75">
      <c r="A10" s="66">
        <v>2</v>
      </c>
      <c r="B10" s="71" t="s">
        <v>50</v>
      </c>
      <c r="C10" s="69">
        <v>0.45547230700144359</v>
      </c>
      <c r="D10" s="70">
        <v>4.0023828792907258E-2</v>
      </c>
      <c r="E10" s="70">
        <f>C10*D10</f>
        <v>1.8229745635336272E-2</v>
      </c>
      <c r="F10" s="69"/>
      <c r="G10" s="69">
        <f>E10</f>
        <v>1.8229745635336272E-2</v>
      </c>
      <c r="K10" s="474"/>
      <c r="L10" s="475"/>
      <c r="M10" s="476"/>
    </row>
    <row r="11" spans="1:22" ht="15.75">
      <c r="A11" s="188">
        <v>3</v>
      </c>
      <c r="B11" s="185" t="s">
        <v>49</v>
      </c>
      <c r="C11" s="187">
        <v>0.53190487997747649</v>
      </c>
      <c r="D11" s="477">
        <v>9.35E-2</v>
      </c>
      <c r="E11" s="186">
        <f>C11*D11</f>
        <v>4.9733106277894054E-2</v>
      </c>
      <c r="F11" s="187">
        <f>E11*(0.2495/(1-0.2495))</f>
        <v>1.6533524338886833E-2</v>
      </c>
      <c r="G11" s="187">
        <f>E11/(1-0.2495)</f>
        <v>6.6266630616780883E-2</v>
      </c>
      <c r="K11" s="474"/>
      <c r="L11" s="475"/>
      <c r="M11" s="476"/>
    </row>
    <row r="12" spans="1:22" ht="15.75">
      <c r="A12" s="66">
        <v>4</v>
      </c>
      <c r="B12" s="26" t="s">
        <v>3</v>
      </c>
      <c r="C12" s="69">
        <f>SUM(C9:C11)</f>
        <v>1</v>
      </c>
      <c r="D12" s="26"/>
      <c r="E12" s="69">
        <f>SUM(E9:E11)</f>
        <v>6.8020919777289968E-2</v>
      </c>
      <c r="F12" s="69">
        <f>SUM(F9:F11)</f>
        <v>1.6533524338886833E-2</v>
      </c>
      <c r="G12" s="69">
        <f>ROUND(SUM(G9:G11),4)</f>
        <v>8.4599999999999995E-2</v>
      </c>
      <c r="K12" s="478"/>
      <c r="L12" s="475"/>
      <c r="M12" s="475"/>
    </row>
    <row r="13" spans="1:22" ht="15.75">
      <c r="A13" s="66"/>
      <c r="B13" s="26"/>
      <c r="C13" s="69"/>
      <c r="D13" s="26"/>
      <c r="E13" s="69"/>
      <c r="F13" s="69"/>
      <c r="G13" s="69"/>
      <c r="K13" s="478"/>
      <c r="L13" s="475"/>
      <c r="M13" s="475"/>
    </row>
    <row r="14" spans="1:22" ht="15.75">
      <c r="A14" s="66"/>
      <c r="B14" s="26"/>
      <c r="C14" s="26"/>
      <c r="D14" s="26"/>
      <c r="E14" s="26"/>
      <c r="F14" s="26"/>
      <c r="G14" s="26"/>
    </row>
    <row r="15" spans="1:22" ht="15.75">
      <c r="A15" s="190" t="s">
        <v>761</v>
      </c>
      <c r="B15" s="26"/>
      <c r="C15" s="26"/>
      <c r="D15" s="26"/>
      <c r="E15" s="26"/>
      <c r="F15" s="26"/>
      <c r="G15" s="26"/>
    </row>
    <row r="16" spans="1:22" ht="15.75">
      <c r="C16" s="26"/>
      <c r="D16" s="26"/>
      <c r="E16" s="26"/>
      <c r="F16" s="26"/>
      <c r="G16" s="26"/>
    </row>
    <row r="17" spans="1:7" ht="15.75">
      <c r="A17" s="66"/>
      <c r="B17" s="26"/>
      <c r="C17" s="26"/>
      <c r="D17" s="26"/>
      <c r="E17" s="26"/>
      <c r="F17" s="26"/>
      <c r="G17" s="26"/>
    </row>
    <row r="18" spans="1:7" ht="15.75">
      <c r="A18" s="66"/>
      <c r="B18" s="26"/>
      <c r="C18" s="26"/>
      <c r="D18" s="26"/>
      <c r="E18" s="26"/>
      <c r="F18" s="26"/>
      <c r="G18" s="26"/>
    </row>
    <row r="19" spans="1:7">
      <c r="D19" s="29"/>
    </row>
  </sheetData>
  <hyperlinks>
    <hyperlink ref="G7" r:id="rId1" display="^@ 38.9%" xr:uid="{00FFEC4D-BB5D-4DE7-8FF7-5B0BC08A7C31}"/>
  </hyperlinks>
  <printOptions horizontalCentered="1"/>
  <pageMargins left="0.5" right="0.62187499999999996" top="1" bottom="0.75" header="0.3" footer="0.3"/>
  <pageSetup orientation="landscape" r:id="rId2"/>
  <headerFooter>
    <oddFooter>&amp;R&amp;"Times New Roman,Bold"Exhibit 4
Page 3 of 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DF8B-EB55-453A-BBE0-1D41EE9C57A6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616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'202101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2021'!D10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'202101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2021'!D11-'2021 Capital Budget'!F17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'202101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Budget'!F29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'202101 Bk Depr'!R16</f>
        <v>9773348.5000000037</v>
      </c>
      <c r="H16" s="1">
        <f t="shared" ref="H16:H18" si="5">3.24%/12</f>
        <v>2.7000000000000006E-3</v>
      </c>
      <c r="J16" s="364">
        <f t="shared" si="0"/>
        <v>26388.040950000017</v>
      </c>
      <c r="L16" s="365">
        <f>'Cap&amp;OpEx 2021'!D12-L15</f>
        <v>291008</v>
      </c>
      <c r="N16" s="364">
        <f t="shared" si="1"/>
        <v>392.8608000000001</v>
      </c>
      <c r="P16" s="364">
        <f t="shared" si="2"/>
        <v>26780.901750000015</v>
      </c>
      <c r="R16" s="364">
        <f t="shared" si="3"/>
        <v>10064356.500000004</v>
      </c>
      <c r="T16" s="603">
        <f>'Day 4 Report Dec 2020'!$D$15</f>
        <v>17584917.949999999</v>
      </c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'202101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2021'!D13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>
        <f>SUM('2021 Capital Budget'!E17:F17)</f>
        <v>0</v>
      </c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'202101 Bk Depr'!R18</f>
        <v>26625927.449999999</v>
      </c>
      <c r="H18" s="1">
        <f t="shared" si="5"/>
        <v>2.7000000000000006E-3</v>
      </c>
      <c r="J18" s="364">
        <f t="shared" si="0"/>
        <v>71890.004115000018</v>
      </c>
      <c r="L18" s="366">
        <f>'Cap&amp;OpEx 2021'!D14</f>
        <v>640571.00000000012</v>
      </c>
      <c r="N18" s="364">
        <f t="shared" si="1"/>
        <v>864.77085000000034</v>
      </c>
      <c r="P18" s="364">
        <f t="shared" si="2"/>
        <v>72754.774965000019</v>
      </c>
      <c r="R18" s="364">
        <f t="shared" si="3"/>
        <v>27266498.449999999</v>
      </c>
      <c r="T18" s="603">
        <f>SUM(T13:T17)</f>
        <v>18169429.489999998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36399275.950000003</v>
      </c>
      <c r="J19" s="362">
        <f>SUM(J13:J18)</f>
        <v>98278.045065000042</v>
      </c>
      <c r="L19" s="362">
        <f>SUM(L13:L18)</f>
        <v>931579.00000000012</v>
      </c>
      <c r="N19" s="362">
        <f>SUM(N13:N18)</f>
        <v>1257.6316500000005</v>
      </c>
      <c r="P19" s="362">
        <f>SUM(P13:P18)</f>
        <v>99535.676715000038</v>
      </c>
      <c r="R19" s="362">
        <f>SUM(R13:R18)</f>
        <v>37330854.950000003</v>
      </c>
      <c r="T19" s="603">
        <f>'Rev Req 2021-Trans'!F11</f>
        <v>100909573.55999999</v>
      </c>
      <c r="U19" s="491" t="s">
        <v>738</v>
      </c>
    </row>
    <row r="20" spans="1:21">
      <c r="B20" s="4"/>
      <c r="T20" s="604">
        <f>T18-T19</f>
        <v>-82740144.069999993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'202101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2021'!D17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'202101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2021'!D18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60">
        <f>'202101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60">
        <f>'202101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2021'!D19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1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'202101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2021'!D20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1">
      <c r="A27" s="6">
        <f t="shared" si="9"/>
        <v>13</v>
      </c>
      <c r="B27" s="4"/>
      <c r="C27" s="9" t="s">
        <v>163</v>
      </c>
      <c r="D27" s="6">
        <v>380</v>
      </c>
      <c r="F27" s="360">
        <f>'202101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2021'!D21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36399275.950000003</v>
      </c>
      <c r="G30" s="6"/>
      <c r="H30" s="4"/>
      <c r="I30" s="6"/>
      <c r="J30" s="363">
        <f>J19+J28</f>
        <v>98278.045065000042</v>
      </c>
      <c r="K30" s="6"/>
      <c r="L30" s="363">
        <f>L19+L28</f>
        <v>931579.00000000012</v>
      </c>
      <c r="M30" s="6"/>
      <c r="N30" s="363">
        <f>N19+N28</f>
        <v>1257.6316500000005</v>
      </c>
      <c r="O30" s="6"/>
      <c r="P30" s="363">
        <f>P19+P28</f>
        <v>99535.676715000038</v>
      </c>
      <c r="Q30" s="6"/>
      <c r="R30" s="363">
        <f>R19+R28</f>
        <v>37330854.950000003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'202101 Bk Depr'!R33</f>
        <v>0</v>
      </c>
      <c r="J33" s="364"/>
      <c r="L33" s="365">
        <f>'Cap&amp;OpEx 2021'!D24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'202101 Bk Depr'!R34</f>
        <v>0</v>
      </c>
      <c r="J34" s="364"/>
      <c r="L34" s="365">
        <f>'Cap&amp;OpEx 2021'!D25-'2021 Capital Budget'!F24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'202101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'202101 Bk Depr'!R36</f>
        <v>2742304.1199999992</v>
      </c>
      <c r="J36" s="364"/>
      <c r="L36" s="365">
        <f>'Cap&amp;OpEx 2021'!D26</f>
        <v>9403</v>
      </c>
      <c r="N36" s="364"/>
      <c r="P36" s="364"/>
      <c r="R36" s="364">
        <f t="shared" si="11"/>
        <v>2751707.1199999992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'202101 Bk Depr'!R37</f>
        <v>0</v>
      </c>
      <c r="G37" s="498"/>
      <c r="I37" s="498"/>
      <c r="J37" s="360"/>
      <c r="K37" s="498"/>
      <c r="L37" s="365">
        <f>'Cap&amp;OpEx 2021'!D27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'202101 Bk Depr'!R38</f>
        <v>3513.0500000000029</v>
      </c>
      <c r="J38" s="364"/>
      <c r="L38" s="366">
        <f>'Cap&amp;OpEx 2021'!D28</f>
        <v>1250</v>
      </c>
      <c r="N38" s="364"/>
      <c r="P38" s="364"/>
      <c r="R38" s="364">
        <f t="shared" si="11"/>
        <v>4763.0500000000029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2745817.169999999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2756470.169999999</v>
      </c>
    </row>
    <row r="42" spans="1:18">
      <c r="L42" s="4" t="s">
        <v>705</v>
      </c>
      <c r="N42" s="4" t="s">
        <v>372</v>
      </c>
      <c r="P42" s="459">
        <f>SUM(P13,P16:P18,P22,P25:P27)</f>
        <v>99535.676715000038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0" orientation="landscape" r:id="rId1"/>
  <headerFooter>
    <oddFooter>&amp;R&amp;"Times New Roman,Bold"&amp;12Exhibit 4
Page 6 of 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58D84-98BC-4233-B611-348EBE958FB2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617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'202102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2021'!E10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'202102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2021'!E11-'2021 Capital Budget'!G17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'202102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Budget'!G29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'202102 Bk Depr'!R16</f>
        <v>10064356.500000004</v>
      </c>
      <c r="H16" s="1">
        <f t="shared" ref="H16:H18" si="5">3.24%/12</f>
        <v>2.7000000000000006E-3</v>
      </c>
      <c r="J16" s="364">
        <f t="shared" si="0"/>
        <v>27173.762550000018</v>
      </c>
      <c r="L16" s="365">
        <f>'Cap&amp;OpEx 2021'!E12-L15</f>
        <v>287417</v>
      </c>
      <c r="N16" s="364">
        <f t="shared" si="1"/>
        <v>388.0129500000001</v>
      </c>
      <c r="P16" s="364">
        <f t="shared" si="2"/>
        <v>27561.775500000018</v>
      </c>
      <c r="R16" s="364">
        <f t="shared" si="3"/>
        <v>10351773.500000004</v>
      </c>
      <c r="T16" s="603">
        <f>'Day 4 Report Dec 2020'!$D$15</f>
        <v>17584917.949999999</v>
      </c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'202102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2021'!E13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>
        <f>SUM('2021 Capital Budget'!E17:G17)</f>
        <v>0</v>
      </c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'202102 Bk Depr'!R18</f>
        <v>27266498.449999999</v>
      </c>
      <c r="H18" s="1">
        <f t="shared" si="5"/>
        <v>2.7000000000000006E-3</v>
      </c>
      <c r="J18" s="364">
        <f t="shared" si="0"/>
        <v>73619.54581500002</v>
      </c>
      <c r="L18" s="366">
        <f>'Cap&amp;OpEx 2021'!E14</f>
        <v>643936.00000000012</v>
      </c>
      <c r="N18" s="364">
        <f t="shared" si="1"/>
        <v>869.31360000000029</v>
      </c>
      <c r="P18" s="364">
        <f t="shared" si="2"/>
        <v>74488.859415000014</v>
      </c>
      <c r="R18" s="364">
        <f t="shared" si="3"/>
        <v>27910434.449999999</v>
      </c>
      <c r="T18" s="603">
        <f>SUM(T13:T17)</f>
        <v>18169429.489999998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37330854.950000003</v>
      </c>
      <c r="J19" s="362">
        <f>SUM(J13:J18)</f>
        <v>100793.30836500003</v>
      </c>
      <c r="L19" s="362">
        <f>SUM(L13:L18)</f>
        <v>931353.00000000012</v>
      </c>
      <c r="N19" s="362">
        <f>SUM(N13:N18)</f>
        <v>1257.3265500000005</v>
      </c>
      <c r="P19" s="362">
        <f>SUM(P13:P18)</f>
        <v>102050.63491500003</v>
      </c>
      <c r="R19" s="362">
        <f>SUM(R13:R18)</f>
        <v>38262207.950000003</v>
      </c>
      <c r="T19" s="603">
        <f>'Rev Req 2021-Trans'!G11</f>
        <v>104355980.55999999</v>
      </c>
      <c r="U19" s="491" t="s">
        <v>738</v>
      </c>
    </row>
    <row r="20" spans="1:21">
      <c r="B20" s="4"/>
      <c r="T20" s="604">
        <f>T18-T19</f>
        <v>-86186551.069999993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'202102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2021'!E17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'202102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2021'!E18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60">
        <f>'202102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60">
        <f>'202102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2021'!E19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1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'202102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2021'!E20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1">
      <c r="A27" s="6">
        <f t="shared" si="9"/>
        <v>13</v>
      </c>
      <c r="B27" s="4"/>
      <c r="C27" s="9" t="s">
        <v>163</v>
      </c>
      <c r="D27" s="6">
        <v>380</v>
      </c>
      <c r="F27" s="360">
        <f>'202102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2021'!E21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37330854.950000003</v>
      </c>
      <c r="G30" s="6"/>
      <c r="H30" s="4"/>
      <c r="I30" s="6"/>
      <c r="J30" s="363">
        <f>J19+J28</f>
        <v>100793.30836500003</v>
      </c>
      <c r="K30" s="6"/>
      <c r="L30" s="363">
        <f>L19+L28</f>
        <v>931353.00000000012</v>
      </c>
      <c r="M30" s="6"/>
      <c r="N30" s="363">
        <f>N19+N28</f>
        <v>1257.3265500000005</v>
      </c>
      <c r="O30" s="6"/>
      <c r="P30" s="363">
        <f>P19+P28</f>
        <v>102050.63491500003</v>
      </c>
      <c r="Q30" s="6"/>
      <c r="R30" s="363">
        <f>R19+R28</f>
        <v>38262207.950000003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'202102 Bk Depr'!R33</f>
        <v>0</v>
      </c>
      <c r="J33" s="364"/>
      <c r="L33" s="365">
        <f>'Cap&amp;OpEx 2021'!E24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'202102 Bk Depr'!R34</f>
        <v>0</v>
      </c>
      <c r="J34" s="364"/>
      <c r="L34" s="365">
        <f>'Cap&amp;OpEx 2021'!E25-'2021 Capital Budget'!G24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'202102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'202102 Bk Depr'!R36</f>
        <v>2751707.1199999992</v>
      </c>
      <c r="J36" s="364"/>
      <c r="L36" s="365">
        <f>'Cap&amp;OpEx 2021'!E26</f>
        <v>9403</v>
      </c>
      <c r="N36" s="364"/>
      <c r="P36" s="364"/>
      <c r="R36" s="364">
        <f t="shared" si="11"/>
        <v>2761110.1199999992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'202102 Bk Depr'!R37</f>
        <v>0</v>
      </c>
      <c r="G37" s="498"/>
      <c r="I37" s="498"/>
      <c r="J37" s="360"/>
      <c r="K37" s="498"/>
      <c r="L37" s="365">
        <f>'Cap&amp;OpEx 2021'!E27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'202102 Bk Depr'!R38</f>
        <v>4763.0500000000029</v>
      </c>
      <c r="J38" s="364"/>
      <c r="L38" s="366">
        <f>'Cap&amp;OpEx 2021'!E28</f>
        <v>1250</v>
      </c>
      <c r="N38" s="364"/>
      <c r="P38" s="364"/>
      <c r="R38" s="364">
        <f t="shared" si="11"/>
        <v>6013.0500000000029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2756470.169999999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2767123.169999999</v>
      </c>
    </row>
    <row r="42" spans="1:18">
      <c r="L42" s="4" t="s">
        <v>705</v>
      </c>
      <c r="N42" s="4" t="s">
        <v>372</v>
      </c>
      <c r="P42" s="459">
        <f>SUM(P13,P16:P18,P22,P25:P27)</f>
        <v>102050.63491500003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90F60-AF0F-4CE1-842F-88F3C564B525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618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'202103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2021'!F10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'202103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2021'!F11-'2021 Capital Budget'!H17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'202103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Budget'!H29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'202103 Bk Depr'!R16</f>
        <v>10351773.500000004</v>
      </c>
      <c r="H16" s="1">
        <f t="shared" ref="H16:H18" si="5">3.24%/12</f>
        <v>2.7000000000000006E-3</v>
      </c>
      <c r="J16" s="364">
        <f t="shared" si="0"/>
        <v>27949.788450000015</v>
      </c>
      <c r="L16" s="365">
        <f>'Cap&amp;OpEx 2021'!F12-L15</f>
        <v>263109</v>
      </c>
      <c r="N16" s="364">
        <f t="shared" si="1"/>
        <v>355.19715000000008</v>
      </c>
      <c r="P16" s="364">
        <f t="shared" si="2"/>
        <v>28304.985600000015</v>
      </c>
      <c r="R16" s="364">
        <f t="shared" si="3"/>
        <v>10614882.500000004</v>
      </c>
      <c r="T16" s="603">
        <f>'Day 4 Report Dec 2020'!$D$15</f>
        <v>17584917.949999999</v>
      </c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'202103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2021'!F13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>
        <f>SUM('2021 Capital Budget'!E17:H17)</f>
        <v>0</v>
      </c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'202103 Bk Depr'!R18</f>
        <v>27910434.449999999</v>
      </c>
      <c r="H18" s="1">
        <f t="shared" si="5"/>
        <v>2.7000000000000006E-3</v>
      </c>
      <c r="J18" s="364">
        <f t="shared" si="0"/>
        <v>75358.173015000008</v>
      </c>
      <c r="L18" s="366">
        <f>'Cap&amp;OpEx 2021'!F14</f>
        <v>616211.00000000012</v>
      </c>
      <c r="N18" s="364">
        <f t="shared" si="1"/>
        <v>831.88485000000037</v>
      </c>
      <c r="P18" s="364">
        <f t="shared" si="2"/>
        <v>76190.05786500001</v>
      </c>
      <c r="R18" s="364">
        <f t="shared" si="3"/>
        <v>28526645.449999999</v>
      </c>
      <c r="T18" s="603">
        <f>SUM(T13:T17)</f>
        <v>18169429.489999998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38262207.950000003</v>
      </c>
      <c r="J19" s="362">
        <f>SUM(J13:J18)</f>
        <v>103307.96146500003</v>
      </c>
      <c r="L19" s="362">
        <f>SUM(L13:L18)</f>
        <v>879320.00000000012</v>
      </c>
      <c r="N19" s="362">
        <f>SUM(N13:N18)</f>
        <v>1187.0820000000003</v>
      </c>
      <c r="P19" s="362">
        <f>SUM(P13:P18)</f>
        <v>104495.04346500002</v>
      </c>
      <c r="R19" s="362">
        <f>SUM(R13:R18)</f>
        <v>39141527.950000003</v>
      </c>
      <c r="T19" s="603">
        <f>'Rev Req 2021-Trans'!H11</f>
        <v>107802385.55999999</v>
      </c>
      <c r="U19" s="491" t="s">
        <v>738</v>
      </c>
    </row>
    <row r="20" spans="1:21">
      <c r="B20" s="4"/>
      <c r="T20" s="604">
        <f>T18-T19</f>
        <v>-89632956.069999993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'202103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2021'!F17</f>
        <v>0</v>
      </c>
      <c r="N22" s="601">
        <f>H22*L22*0.5</f>
        <v>0</v>
      </c>
      <c r="P22" s="364">
        <f t="shared" ref="P22:P27" si="7">J22+N22</f>
        <v>0</v>
      </c>
      <c r="R22" s="364">
        <f>L22+F22</f>
        <v>0</v>
      </c>
    </row>
    <row r="23" spans="1:21">
      <c r="A23" s="6">
        <f t="shared" ref="A23:A28" si="8">A22+1</f>
        <v>9</v>
      </c>
      <c r="B23" s="4"/>
      <c r="C23" s="4" t="s">
        <v>578</v>
      </c>
      <c r="D23" s="6">
        <v>367</v>
      </c>
      <c r="F23" s="360">
        <f>'202103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2021'!F18</f>
        <v>0</v>
      </c>
      <c r="N23" s="601">
        <f t="shared" ref="N23:N27" si="9">H23*L23*0.5</f>
        <v>0</v>
      </c>
      <c r="P23" s="364">
        <f t="shared" si="7"/>
        <v>0</v>
      </c>
      <c r="R23" s="364">
        <f>L23+F23</f>
        <v>0</v>
      </c>
    </row>
    <row r="24" spans="1:21">
      <c r="A24" s="6">
        <f t="shared" si="8"/>
        <v>10</v>
      </c>
      <c r="B24" s="4"/>
      <c r="C24" s="9" t="s">
        <v>62</v>
      </c>
      <c r="D24" s="6">
        <v>376</v>
      </c>
      <c r="F24" s="360">
        <f>'202103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9"/>
        <v>0</v>
      </c>
      <c r="P24" s="364">
        <f t="shared" si="7"/>
        <v>0</v>
      </c>
      <c r="R24" s="364">
        <f>L24+F24</f>
        <v>0</v>
      </c>
    </row>
    <row r="25" spans="1:21">
      <c r="A25" s="6">
        <f t="shared" si="8"/>
        <v>11</v>
      </c>
      <c r="B25" s="4"/>
      <c r="C25" s="9" t="s">
        <v>62</v>
      </c>
      <c r="D25" s="6">
        <v>380</v>
      </c>
      <c r="F25" s="360">
        <f>'202103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2021'!F19</f>
        <v>0</v>
      </c>
      <c r="N25" s="601">
        <f t="shared" si="9"/>
        <v>0</v>
      </c>
      <c r="P25" s="364">
        <f t="shared" si="7"/>
        <v>0</v>
      </c>
      <c r="R25" s="364">
        <f t="shared" ref="R25" si="10">L25+F25</f>
        <v>0</v>
      </c>
    </row>
    <row r="26" spans="1:21" s="499" customFormat="1">
      <c r="A26" s="498">
        <f t="shared" si="8"/>
        <v>12</v>
      </c>
      <c r="C26" s="500" t="s">
        <v>63</v>
      </c>
      <c r="D26" s="498">
        <v>380</v>
      </c>
      <c r="E26" s="498"/>
      <c r="F26" s="360">
        <f>'202103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2021'!F20</f>
        <v>0</v>
      </c>
      <c r="M26" s="498"/>
      <c r="N26" s="601">
        <f t="shared" si="9"/>
        <v>0</v>
      </c>
      <c r="O26" s="498"/>
      <c r="P26" s="360">
        <f t="shared" si="7"/>
        <v>0</v>
      </c>
      <c r="Q26" s="498"/>
      <c r="R26" s="360">
        <f>L26+F26</f>
        <v>0</v>
      </c>
    </row>
    <row r="27" spans="1:21">
      <c r="A27" s="6">
        <f t="shared" si="8"/>
        <v>13</v>
      </c>
      <c r="B27" s="4"/>
      <c r="C27" s="9" t="s">
        <v>163</v>
      </c>
      <c r="D27" s="6">
        <v>380</v>
      </c>
      <c r="F27" s="360">
        <f>'202103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2021'!F21</f>
        <v>0</v>
      </c>
      <c r="N27" s="601">
        <f t="shared" si="9"/>
        <v>0</v>
      </c>
      <c r="P27" s="364">
        <f t="shared" si="7"/>
        <v>0</v>
      </c>
      <c r="R27" s="364">
        <f>L27+F27</f>
        <v>0</v>
      </c>
    </row>
    <row r="28" spans="1:21">
      <c r="A28" s="6">
        <f t="shared" si="8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38262207.950000003</v>
      </c>
      <c r="G30" s="6"/>
      <c r="H30" s="4"/>
      <c r="I30" s="6"/>
      <c r="J30" s="363">
        <f>J19+J28</f>
        <v>103307.96146500003</v>
      </c>
      <c r="K30" s="6"/>
      <c r="L30" s="363">
        <f>L19+L28</f>
        <v>879320.00000000012</v>
      </c>
      <c r="M30" s="6"/>
      <c r="N30" s="363">
        <f>N19+N28</f>
        <v>1187.0820000000003</v>
      </c>
      <c r="O30" s="6"/>
      <c r="P30" s="363">
        <f>P19+P28</f>
        <v>104495.04346500002</v>
      </c>
      <c r="Q30" s="6"/>
      <c r="R30" s="363">
        <f>R19+R28</f>
        <v>39141527.950000003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'202103 Bk Depr'!R33</f>
        <v>0</v>
      </c>
      <c r="J33" s="364"/>
      <c r="L33" s="365">
        <f>'Cap&amp;OpEx 2021'!F24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'202103 Bk Depr'!R34</f>
        <v>0</v>
      </c>
      <c r="J34" s="364"/>
      <c r="L34" s="365">
        <f>'Cap&amp;OpEx 2021'!F25-'2021 Capital Budget'!H24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'202103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'202103 Bk Depr'!R36</f>
        <v>2761110.1199999992</v>
      </c>
      <c r="J36" s="364"/>
      <c r="L36" s="365">
        <f>'Cap&amp;OpEx 2021'!F26</f>
        <v>9403</v>
      </c>
      <c r="N36" s="364"/>
      <c r="P36" s="364"/>
      <c r="R36" s="364">
        <f t="shared" si="11"/>
        <v>2770513.1199999992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'202103 Bk Depr'!R37</f>
        <v>0</v>
      </c>
      <c r="G37" s="498"/>
      <c r="I37" s="498"/>
      <c r="J37" s="360"/>
      <c r="K37" s="498"/>
      <c r="L37" s="365">
        <f>'Cap&amp;OpEx 2021'!F27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'202103 Bk Depr'!R38</f>
        <v>6013.0500000000029</v>
      </c>
      <c r="J38" s="364"/>
      <c r="L38" s="366">
        <f>'Cap&amp;OpEx 2021'!F28</f>
        <v>1250</v>
      </c>
      <c r="N38" s="364"/>
      <c r="P38" s="364"/>
      <c r="R38" s="364">
        <f t="shared" si="11"/>
        <v>7263.0500000000029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2767123.169999999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2777776.169999999</v>
      </c>
    </row>
    <row r="42" spans="1:18">
      <c r="L42" s="4" t="s">
        <v>705</v>
      </c>
      <c r="N42" s="4" t="s">
        <v>372</v>
      </c>
      <c r="P42" s="459">
        <f>SUM(P13,P16:P18,P22,P25:P27)</f>
        <v>104495.04346500002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19B1-AFE0-4B08-BC15-A44AC44DD53C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619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88</v>
      </c>
      <c r="G6" s="12"/>
      <c r="H6" s="12"/>
      <c r="I6" s="12"/>
      <c r="J6" s="12" t="s">
        <v>88</v>
      </c>
      <c r="K6" s="12"/>
      <c r="L6" s="12" t="s">
        <v>88</v>
      </c>
      <c r="M6" s="12"/>
      <c r="N6" s="12"/>
      <c r="O6" s="12"/>
      <c r="P6" s="12"/>
      <c r="Q6" s="12"/>
      <c r="R6" s="12" t="s">
        <v>88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'202104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2021'!G10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2020'!L18+'Cap&amp;OpEx 2021'!G18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'202104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2021'!G11-'2021 Capital Budget'!I17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'202104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Budget'!I29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'202104 Bk Depr'!R16</f>
        <v>10614882.500000004</v>
      </c>
      <c r="H16" s="1">
        <f t="shared" ref="H16:H18" si="5">3.24%/12</f>
        <v>2.7000000000000006E-3</v>
      </c>
      <c r="J16" s="364">
        <f t="shared" si="0"/>
        <v>28660.182750000014</v>
      </c>
      <c r="L16" s="365">
        <f>'Cap&amp;OpEx 2021'!G12-L15</f>
        <v>287065</v>
      </c>
      <c r="N16" s="364">
        <f t="shared" si="1"/>
        <v>387.53775000000007</v>
      </c>
      <c r="P16" s="364">
        <f t="shared" si="2"/>
        <v>29047.720500000014</v>
      </c>
      <c r="R16" s="364">
        <f t="shared" si="3"/>
        <v>10901947.500000004</v>
      </c>
      <c r="T16" s="603">
        <f>'Day 4 Report Dec 2020'!$D$15</f>
        <v>17584917.949999999</v>
      </c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'202104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2021'!G13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>
        <f>SUM('2021 Capital Budget'!E17:I17)</f>
        <v>0</v>
      </c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'202104 Bk Depr'!R18</f>
        <v>28526645.449999999</v>
      </c>
      <c r="H18" s="1">
        <f t="shared" si="5"/>
        <v>2.7000000000000006E-3</v>
      </c>
      <c r="J18" s="364">
        <f t="shared" si="0"/>
        <v>77021.942715000012</v>
      </c>
      <c r="L18" s="366">
        <f>'Cap&amp;OpEx 2021'!G14</f>
        <v>667273.00000000012</v>
      </c>
      <c r="N18" s="364">
        <f t="shared" si="1"/>
        <v>900.8185500000003</v>
      </c>
      <c r="P18" s="364">
        <f t="shared" si="2"/>
        <v>77922.761265000008</v>
      </c>
      <c r="R18" s="364">
        <f t="shared" si="3"/>
        <v>29193918.449999999</v>
      </c>
      <c r="T18" s="603">
        <f>SUM(T13:T17)</f>
        <v>18169429.489999998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39141527.950000003</v>
      </c>
      <c r="J19" s="362">
        <f>SUM(J13:J18)</f>
        <v>105682.12546500002</v>
      </c>
      <c r="L19" s="362">
        <f>SUM(L13:L18)</f>
        <v>954338.00000000012</v>
      </c>
      <c r="N19" s="362">
        <f>SUM(N13:N18)</f>
        <v>1288.3563000000004</v>
      </c>
      <c r="P19" s="362">
        <f>SUM(P13:P18)</f>
        <v>106970.48176500002</v>
      </c>
      <c r="R19" s="362">
        <f>SUM(R13:R18)</f>
        <v>40095865.950000003</v>
      </c>
      <c r="T19" s="603">
        <f>'Rev Req 2021-Trans'!I11</f>
        <v>111241406.65999998</v>
      </c>
      <c r="U19" s="491" t="s">
        <v>738</v>
      </c>
    </row>
    <row r="20" spans="1:21">
      <c r="B20" s="4"/>
      <c r="T20" s="604">
        <f>T18-T19</f>
        <v>-93071977.169999987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'202104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2021'!G17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'202104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2021'!G18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60">
        <f>'202104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60">
        <f>'202104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2021'!G19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1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'202104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2021'!G20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1">
      <c r="A27" s="6">
        <f t="shared" si="9"/>
        <v>13</v>
      </c>
      <c r="B27" s="4"/>
      <c r="C27" s="9" t="s">
        <v>163</v>
      </c>
      <c r="D27" s="6">
        <v>380</v>
      </c>
      <c r="F27" s="360">
        <f>'202104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2021'!G21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39141527.950000003</v>
      </c>
      <c r="G30" s="6"/>
      <c r="H30" s="4"/>
      <c r="I30" s="6"/>
      <c r="J30" s="363">
        <f>J19+J28</f>
        <v>105682.12546500002</v>
      </c>
      <c r="K30" s="6"/>
      <c r="L30" s="363">
        <f>L19+L28</f>
        <v>954338.00000000012</v>
      </c>
      <c r="M30" s="6"/>
      <c r="N30" s="363">
        <f>N19+N28</f>
        <v>1288.3563000000004</v>
      </c>
      <c r="O30" s="6"/>
      <c r="P30" s="363">
        <f>P19+P28</f>
        <v>106970.48176500002</v>
      </c>
      <c r="Q30" s="6"/>
      <c r="R30" s="363">
        <f>R19+R28</f>
        <v>40095865.950000003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'202104 Bk Depr'!R33</f>
        <v>0</v>
      </c>
      <c r="J33" s="364"/>
      <c r="L33" s="365">
        <f>'Cap&amp;OpEx 2021'!G24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'202104 Bk Depr'!R34</f>
        <v>0</v>
      </c>
      <c r="J34" s="364"/>
      <c r="L34" s="365">
        <f>'Cap&amp;OpEx 2021'!G25-'2021 Capital Budget'!I24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'202104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'202104 Bk Depr'!R36</f>
        <v>2770513.1199999992</v>
      </c>
      <c r="J36" s="364"/>
      <c r="L36" s="365">
        <f>'Cap&amp;OpEx 2021'!G26</f>
        <v>9403</v>
      </c>
      <c r="N36" s="364"/>
      <c r="P36" s="364"/>
      <c r="R36" s="364">
        <f t="shared" si="11"/>
        <v>2779916.1199999992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'202104 Bk Depr'!R37</f>
        <v>0</v>
      </c>
      <c r="G37" s="498"/>
      <c r="I37" s="498"/>
      <c r="J37" s="360"/>
      <c r="K37" s="498"/>
      <c r="L37" s="365">
        <f>'Cap&amp;OpEx 2021'!G27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'202104 Bk Depr'!R38</f>
        <v>7263.0500000000029</v>
      </c>
      <c r="J38" s="364"/>
      <c r="L38" s="366">
        <f>'Cap&amp;OpEx 2021'!G28</f>
        <v>1250</v>
      </c>
      <c r="N38" s="364"/>
      <c r="P38" s="364"/>
      <c r="R38" s="364">
        <f t="shared" si="11"/>
        <v>8513.0500000000029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2777776.169999999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2788429.169999999</v>
      </c>
    </row>
    <row r="42" spans="1:18">
      <c r="L42" s="4" t="s">
        <v>705</v>
      </c>
      <c r="N42" s="4" t="s">
        <v>372</v>
      </c>
      <c r="P42" s="459">
        <f>SUM(P13,P16:P18,P22,P25:P27)</f>
        <v>106970.48176500002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12EC1-1BB6-4138-A33B-22D1807600C9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620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'202105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2021'!H10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2020'!L18+'Cap&amp;OpEx 2021'!G18+'Cap&amp;OpEx 2021'!H18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'202105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2021'!H11-'2021 Capital Budget'!J17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'202105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Budget'!J29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'202105 Bk Depr'!R16</f>
        <v>10901947.500000004</v>
      </c>
      <c r="H16" s="1">
        <f t="shared" ref="H16:H18" si="5">3.24%/12</f>
        <v>2.7000000000000006E-3</v>
      </c>
      <c r="J16" s="364">
        <f t="shared" si="0"/>
        <v>29435.258250000017</v>
      </c>
      <c r="L16" s="365">
        <f>'Cap&amp;OpEx 2021'!H12-L15</f>
        <v>272774</v>
      </c>
      <c r="N16" s="364">
        <f t="shared" si="1"/>
        <v>368.24490000000009</v>
      </c>
      <c r="P16" s="364">
        <f t="shared" si="2"/>
        <v>29803.503150000019</v>
      </c>
      <c r="R16" s="364">
        <f t="shared" si="3"/>
        <v>11174721.500000004</v>
      </c>
      <c r="T16" s="603">
        <f>'Day 4 Report Dec 2020'!$D$15</f>
        <v>17584917.949999999</v>
      </c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'202105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2021'!H13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>
        <f>SUM('2021 Capital Budget'!E17:J17)</f>
        <v>0</v>
      </c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'202105 Bk Depr'!R18</f>
        <v>29193918.449999999</v>
      </c>
      <c r="H18" s="1">
        <f t="shared" si="5"/>
        <v>2.7000000000000006E-3</v>
      </c>
      <c r="J18" s="364">
        <f t="shared" si="0"/>
        <v>78823.579815000019</v>
      </c>
      <c r="L18" s="366">
        <f>'Cap&amp;OpEx 2021'!H14</f>
        <v>637173.00000000012</v>
      </c>
      <c r="N18" s="364">
        <f t="shared" si="1"/>
        <v>860.18355000000031</v>
      </c>
      <c r="P18" s="364">
        <f t="shared" si="2"/>
        <v>79683.763365000021</v>
      </c>
      <c r="R18" s="364">
        <f t="shared" si="3"/>
        <v>29831091.449999999</v>
      </c>
      <c r="T18" s="603">
        <f>SUM(T13:T17)</f>
        <v>18169429.489999998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40095865.950000003</v>
      </c>
      <c r="J19" s="362">
        <f>SUM(J13:J18)</f>
        <v>108258.83806500003</v>
      </c>
      <c r="L19" s="362">
        <f>SUM(L13:L18)</f>
        <v>909947.00000000012</v>
      </c>
      <c r="N19" s="362">
        <f>SUM(N13:N18)</f>
        <v>1228.4284500000003</v>
      </c>
      <c r="P19" s="362">
        <f>SUM(P13:P18)</f>
        <v>109487.26651500004</v>
      </c>
      <c r="R19" s="362">
        <f>SUM(R13:R18)</f>
        <v>41005812.950000003</v>
      </c>
      <c r="T19" s="603">
        <f>'Rev Req 2021-Trans'!J11</f>
        <v>114426765.66999999</v>
      </c>
      <c r="U19" s="491" t="s">
        <v>738</v>
      </c>
    </row>
    <row r="20" spans="1:21">
      <c r="B20" s="4"/>
      <c r="T20" s="604">
        <f>T18-T19</f>
        <v>-96257336.179999992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'202105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2021'!H17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'202105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2021'!H18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60">
        <f>'202105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60">
        <f>'202105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2021'!H19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1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'202105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2021'!H20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1">
      <c r="A27" s="6">
        <f t="shared" si="9"/>
        <v>13</v>
      </c>
      <c r="B27" s="4"/>
      <c r="C27" s="9" t="s">
        <v>163</v>
      </c>
      <c r="D27" s="6">
        <v>380</v>
      </c>
      <c r="F27" s="360">
        <f>'202105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2021'!H21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40095865.950000003</v>
      </c>
      <c r="G30" s="6"/>
      <c r="H30" s="4"/>
      <c r="I30" s="6"/>
      <c r="J30" s="363">
        <f>J19+J28</f>
        <v>108258.83806500003</v>
      </c>
      <c r="K30" s="6"/>
      <c r="L30" s="363">
        <f>L19+L28</f>
        <v>909947.00000000012</v>
      </c>
      <c r="M30" s="6"/>
      <c r="N30" s="363">
        <f>N19+N28</f>
        <v>1228.4284500000003</v>
      </c>
      <c r="O30" s="6"/>
      <c r="P30" s="363">
        <f>P19+P28</f>
        <v>109487.26651500004</v>
      </c>
      <c r="Q30" s="6"/>
      <c r="R30" s="363">
        <f>R19+R28</f>
        <v>41005812.950000003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'202105 Bk Depr'!R33</f>
        <v>0</v>
      </c>
      <c r="J33" s="364"/>
      <c r="L33" s="365">
        <f>'Cap&amp;OpEx 2021'!H24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'202105 Bk Depr'!R34</f>
        <v>0</v>
      </c>
      <c r="J34" s="364"/>
      <c r="L34" s="365">
        <f>'Cap&amp;OpEx 2021'!H25-'2021 Capital Budget'!J24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'202105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'202105 Bk Depr'!R36</f>
        <v>2779916.1199999992</v>
      </c>
      <c r="J36" s="364"/>
      <c r="L36" s="365">
        <f>'Cap&amp;OpEx 2021'!H26</f>
        <v>9403</v>
      </c>
      <c r="N36" s="364"/>
      <c r="P36" s="364"/>
      <c r="R36" s="364">
        <f t="shared" si="11"/>
        <v>2789319.1199999992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'202105 Bk Depr'!R37</f>
        <v>0</v>
      </c>
      <c r="G37" s="498"/>
      <c r="I37" s="498"/>
      <c r="J37" s="360"/>
      <c r="K37" s="498"/>
      <c r="L37" s="365">
        <f>'Cap&amp;OpEx 2021'!H27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'202105 Bk Depr'!R38</f>
        <v>8513.0500000000029</v>
      </c>
      <c r="J38" s="364"/>
      <c r="L38" s="366">
        <f>'Cap&amp;OpEx 2021'!H28</f>
        <v>1250</v>
      </c>
      <c r="N38" s="364"/>
      <c r="P38" s="364"/>
      <c r="R38" s="364">
        <f t="shared" si="11"/>
        <v>9763.0500000000029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2788429.169999999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2799082.169999999</v>
      </c>
    </row>
    <row r="42" spans="1:18">
      <c r="L42" s="4" t="s">
        <v>705</v>
      </c>
      <c r="N42" s="4" t="s">
        <v>372</v>
      </c>
      <c r="P42" s="459">
        <f>SUM(P13,P16:P18,P22,P25:P27)</f>
        <v>109487.26651500004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AB4E-B178-49C1-90AF-16CE29274558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621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'202106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2021'!I10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2020'!L18+'Cap&amp;OpEx 2021'!G18+'Cap&amp;OpEx 2021'!H18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'202106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2021'!I11-'2021 Capital Budget'!K17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'202106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Budget'!K29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'202106 Bk Depr'!R16</f>
        <v>11174721.500000004</v>
      </c>
      <c r="H16" s="1">
        <f t="shared" ref="H16:H18" si="5">3.24%/12</f>
        <v>2.7000000000000006E-3</v>
      </c>
      <c r="J16" s="364">
        <f t="shared" si="0"/>
        <v>30171.748050000017</v>
      </c>
      <c r="L16" s="365">
        <f>'Cap&amp;OpEx 2021'!I12-L15</f>
        <v>272780</v>
      </c>
      <c r="N16" s="364">
        <f t="shared" si="1"/>
        <v>368.2530000000001</v>
      </c>
      <c r="P16" s="364">
        <f t="shared" si="2"/>
        <v>30540.001050000017</v>
      </c>
      <c r="R16" s="364">
        <f t="shared" si="3"/>
        <v>11447501.500000004</v>
      </c>
      <c r="T16" s="603">
        <f>'Day 4 Report Dec 2020'!$D$15</f>
        <v>17584917.949999999</v>
      </c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'202106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2021'!I13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>
        <f>SUM('2021 Capital Budget'!E17:K17)</f>
        <v>0</v>
      </c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'202106 Bk Depr'!R18</f>
        <v>29831091.449999999</v>
      </c>
      <c r="H18" s="1">
        <f t="shared" si="5"/>
        <v>2.7000000000000006E-3</v>
      </c>
      <c r="J18" s="364">
        <f t="shared" si="0"/>
        <v>80543.946915000022</v>
      </c>
      <c r="L18" s="366">
        <f>'Cap&amp;OpEx 2021'!I14</f>
        <v>614858.00000000012</v>
      </c>
      <c r="N18" s="364">
        <f t="shared" si="1"/>
        <v>830.05830000000037</v>
      </c>
      <c r="P18" s="364">
        <f t="shared" si="2"/>
        <v>81374.005215000027</v>
      </c>
      <c r="R18" s="364">
        <f t="shared" si="3"/>
        <v>30445949.449999999</v>
      </c>
      <c r="T18" s="603">
        <f>SUM(T13:T17)</f>
        <v>18169429.489999998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41005812.950000003</v>
      </c>
      <c r="J19" s="362">
        <f>SUM(J13:J18)</f>
        <v>110715.69496500003</v>
      </c>
      <c r="L19" s="362">
        <f>SUM(L13:L18)</f>
        <v>887638.00000000012</v>
      </c>
      <c r="N19" s="362">
        <f>SUM(N13:N18)</f>
        <v>1198.3113000000005</v>
      </c>
      <c r="P19" s="362">
        <f>SUM(P13:P18)</f>
        <v>111914.00626500005</v>
      </c>
      <c r="R19" s="362">
        <f>SUM(R13:R18)</f>
        <v>41893450.950000003</v>
      </c>
      <c r="T19" s="603">
        <f>'Rev Req 2021-Trans'!M11</f>
        <v>0</v>
      </c>
      <c r="U19" s="491" t="s">
        <v>738</v>
      </c>
    </row>
    <row r="20" spans="1:21">
      <c r="B20" s="4"/>
      <c r="T20" s="604">
        <f>T18-T19</f>
        <v>18169429.489999998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'202106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2021'!I17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'202106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2021'!I18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60">
        <f>'202106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60">
        <f>'202106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2021'!I19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1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'202106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2021'!I20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1">
      <c r="A27" s="6">
        <f t="shared" si="9"/>
        <v>13</v>
      </c>
      <c r="B27" s="4"/>
      <c r="C27" s="9" t="s">
        <v>163</v>
      </c>
      <c r="D27" s="6">
        <v>380</v>
      </c>
      <c r="F27" s="360">
        <f>'202106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2021'!I21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41005812.950000003</v>
      </c>
      <c r="G30" s="6"/>
      <c r="H30" s="4"/>
      <c r="I30" s="6"/>
      <c r="J30" s="363">
        <f>J19+J28</f>
        <v>110715.69496500003</v>
      </c>
      <c r="K30" s="6"/>
      <c r="L30" s="363">
        <f>L19+L28</f>
        <v>887638.00000000012</v>
      </c>
      <c r="M30" s="6"/>
      <c r="N30" s="363">
        <f>N19+N28</f>
        <v>1198.3113000000005</v>
      </c>
      <c r="O30" s="6"/>
      <c r="P30" s="363">
        <f>P19+P28</f>
        <v>111914.00626500005</v>
      </c>
      <c r="Q30" s="6"/>
      <c r="R30" s="363">
        <f>R19+R28</f>
        <v>41893450.950000003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'202106 Bk Depr'!R33</f>
        <v>0</v>
      </c>
      <c r="J33" s="364"/>
      <c r="L33" s="365">
        <f>'Cap&amp;OpEx 2021'!I24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'202106 Bk Depr'!R34</f>
        <v>0</v>
      </c>
      <c r="J34" s="364"/>
      <c r="L34" s="365">
        <f>'Cap&amp;OpEx 2021'!I25-'2021 Capital Budget'!K24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'202106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'202106 Bk Depr'!R36</f>
        <v>2789319.1199999992</v>
      </c>
      <c r="J36" s="364"/>
      <c r="L36" s="365">
        <f>'Cap&amp;OpEx 2021'!I26</f>
        <v>9403</v>
      </c>
      <c r="N36" s="364"/>
      <c r="P36" s="364"/>
      <c r="R36" s="364">
        <f t="shared" si="11"/>
        <v>2798722.1199999992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'202106 Bk Depr'!R37</f>
        <v>0</v>
      </c>
      <c r="G37" s="498"/>
      <c r="I37" s="498"/>
      <c r="J37" s="360"/>
      <c r="K37" s="498"/>
      <c r="L37" s="365">
        <f>'Cap&amp;OpEx 2021'!I27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'202106 Bk Depr'!R38</f>
        <v>9763.0500000000029</v>
      </c>
      <c r="J38" s="364"/>
      <c r="L38" s="366">
        <f>'Cap&amp;OpEx 2021'!I28</f>
        <v>1250</v>
      </c>
      <c r="N38" s="364"/>
      <c r="P38" s="364"/>
      <c r="R38" s="364">
        <f t="shared" si="11"/>
        <v>11013.050000000003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2799082.169999999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2809735.169999999</v>
      </c>
    </row>
    <row r="42" spans="1:18">
      <c r="L42" s="4" t="s">
        <v>705</v>
      </c>
      <c r="N42" s="4" t="s">
        <v>372</v>
      </c>
      <c r="P42" s="459">
        <f>SUM(P13,P16:P18,P22,P25:P27)</f>
        <v>111914.00626500005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125A6-51E1-4AF9-9B8F-9AFCE00943B6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622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'202107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2021'!J10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2020'!L18+'Cap&amp;OpEx 2021'!G18+'Cap&amp;OpEx 2021'!H18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'202107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2021'!J11-'2021 Capital Budget'!L17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'202107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Budget'!L29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'202107 Bk Depr'!R16</f>
        <v>11447501.500000004</v>
      </c>
      <c r="H16" s="1">
        <f t="shared" ref="H16:H18" si="5">3.24%/12</f>
        <v>2.7000000000000006E-3</v>
      </c>
      <c r="J16" s="364">
        <f t="shared" si="0"/>
        <v>30908.254050000018</v>
      </c>
      <c r="L16" s="365">
        <f>'Cap&amp;OpEx 2021'!J12-L15</f>
        <v>277631</v>
      </c>
      <c r="N16" s="364">
        <f t="shared" si="1"/>
        <v>374.80185000000006</v>
      </c>
      <c r="P16" s="364">
        <f t="shared" si="2"/>
        <v>31283.055900000018</v>
      </c>
      <c r="R16" s="364">
        <f t="shared" si="3"/>
        <v>11725132.500000004</v>
      </c>
      <c r="T16" s="603">
        <f>'Day 4 Report Dec 2020'!$D$15</f>
        <v>17584917.949999999</v>
      </c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'202107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2021'!J13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>
        <f>SUM('2021 Capital Budget'!E17:L17)</f>
        <v>0</v>
      </c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'202107 Bk Depr'!R18</f>
        <v>30445949.449999999</v>
      </c>
      <c r="H18" s="1">
        <f t="shared" si="5"/>
        <v>2.7000000000000006E-3</v>
      </c>
      <c r="J18" s="364">
        <f t="shared" si="0"/>
        <v>82204.063515000016</v>
      </c>
      <c r="L18" s="366">
        <f>'Cap&amp;OpEx 2021'!J14</f>
        <v>668634.00000000012</v>
      </c>
      <c r="N18" s="364">
        <f t="shared" si="1"/>
        <v>902.65590000000032</v>
      </c>
      <c r="P18" s="364">
        <f t="shared" si="2"/>
        <v>83106.719415000014</v>
      </c>
      <c r="R18" s="364">
        <f t="shared" si="3"/>
        <v>31114583.449999999</v>
      </c>
      <c r="T18" s="603">
        <f>SUM(T13:T17)</f>
        <v>18169429.489999998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41893450.950000003</v>
      </c>
      <c r="J19" s="362">
        <f>SUM(J13:J18)</f>
        <v>113112.31756500003</v>
      </c>
      <c r="L19" s="362">
        <f>SUM(L13:L18)</f>
        <v>946265.00000000012</v>
      </c>
      <c r="N19" s="362">
        <f>SUM(N13:N18)</f>
        <v>1277.4577500000005</v>
      </c>
      <c r="P19" s="362">
        <f>SUM(P13:P18)</f>
        <v>114389.77531500004</v>
      </c>
      <c r="R19" s="362">
        <f>SUM(R13:R18)</f>
        <v>42839715.950000003</v>
      </c>
      <c r="T19" s="603">
        <f>'Rev Req 2021-Trans'!N11</f>
        <v>0</v>
      </c>
      <c r="U19" s="491" t="s">
        <v>738</v>
      </c>
    </row>
    <row r="20" spans="1:21">
      <c r="B20" s="4"/>
      <c r="T20" s="604">
        <f>T18-T19</f>
        <v>18169429.489999998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'202107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2021'!J17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'202107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2021'!J18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60">
        <f>'202107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60">
        <f>'202107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2021'!J19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1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'202107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2021'!J20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1">
      <c r="A27" s="6">
        <f t="shared" si="9"/>
        <v>13</v>
      </c>
      <c r="B27" s="4"/>
      <c r="C27" s="9" t="s">
        <v>163</v>
      </c>
      <c r="D27" s="6">
        <v>380</v>
      </c>
      <c r="F27" s="360">
        <f>'202107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2021'!J21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41893450.950000003</v>
      </c>
      <c r="G30" s="6"/>
      <c r="H30" s="4"/>
      <c r="I30" s="6"/>
      <c r="J30" s="363">
        <f>J19+J28</f>
        <v>113112.31756500003</v>
      </c>
      <c r="K30" s="6"/>
      <c r="L30" s="363">
        <f>L19+L28</f>
        <v>946265.00000000012</v>
      </c>
      <c r="M30" s="6"/>
      <c r="N30" s="363">
        <f>N19+N28</f>
        <v>1277.4577500000005</v>
      </c>
      <c r="O30" s="6"/>
      <c r="P30" s="363">
        <f>P19+P28</f>
        <v>114389.77531500004</v>
      </c>
      <c r="Q30" s="6"/>
      <c r="R30" s="363">
        <f>R19+R28</f>
        <v>42839715.950000003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'202107 Bk Depr'!R33</f>
        <v>0</v>
      </c>
      <c r="J33" s="364"/>
      <c r="L33" s="365">
        <f>'Cap&amp;OpEx 2021'!J24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'202107 Bk Depr'!R34</f>
        <v>0</v>
      </c>
      <c r="J34" s="364"/>
      <c r="L34" s="365">
        <f>'Cap&amp;OpEx 2021'!J25-'2021 Capital Budget'!L24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'202107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'202107 Bk Depr'!R36</f>
        <v>2798722.1199999992</v>
      </c>
      <c r="J36" s="364"/>
      <c r="L36" s="365">
        <f>'Cap&amp;OpEx 2021'!J26</f>
        <v>9403</v>
      </c>
      <c r="N36" s="364"/>
      <c r="P36" s="364"/>
      <c r="R36" s="364">
        <f t="shared" si="11"/>
        <v>2808125.1199999992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'202107 Bk Depr'!R37</f>
        <v>0</v>
      </c>
      <c r="G37" s="498"/>
      <c r="I37" s="498"/>
      <c r="J37" s="360"/>
      <c r="K37" s="498"/>
      <c r="L37" s="365">
        <f>'Cap&amp;OpEx 2021'!J27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'202107 Bk Depr'!R38</f>
        <v>11013.050000000003</v>
      </c>
      <c r="J38" s="364"/>
      <c r="L38" s="366">
        <f>'Cap&amp;OpEx 2021'!J28</f>
        <v>1250</v>
      </c>
      <c r="N38" s="364"/>
      <c r="P38" s="364"/>
      <c r="R38" s="364">
        <f t="shared" si="11"/>
        <v>12263.050000000003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2809735.169999999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2820388.169999999</v>
      </c>
    </row>
    <row r="42" spans="1:18">
      <c r="L42" s="4" t="s">
        <v>705</v>
      </c>
      <c r="N42" s="4" t="s">
        <v>372</v>
      </c>
      <c r="P42" s="459">
        <f>SUM(P13,P16:P18,P22,P25:P27)</f>
        <v>114389.77531500004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875C-964B-481E-B197-23572B04DBEE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623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'202108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2021'!K10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2020'!L18+'Cap&amp;OpEx 2021'!G18+'Cap&amp;OpEx 2021'!H18+'Cap&amp;OpEx 2021'!K18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'202108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2021'!K11-'2021 Capital Budget'!M17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'202108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Budget'!M29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'202108 Bk Depr'!R16</f>
        <v>11725132.500000004</v>
      </c>
      <c r="H16" s="1">
        <f t="shared" ref="H16:H18" si="5">3.24%/12</f>
        <v>2.7000000000000006E-3</v>
      </c>
      <c r="J16" s="364">
        <f t="shared" si="0"/>
        <v>31657.857750000017</v>
      </c>
      <c r="L16" s="365">
        <f>'Cap&amp;OpEx 2021'!K12-L15</f>
        <v>270565</v>
      </c>
      <c r="N16" s="364">
        <f t="shared" si="1"/>
        <v>365.2627500000001</v>
      </c>
      <c r="P16" s="364">
        <f t="shared" si="2"/>
        <v>32023.120500000019</v>
      </c>
      <c r="R16" s="364">
        <f t="shared" si="3"/>
        <v>11995697.500000004</v>
      </c>
      <c r="T16" s="603">
        <f>'Day 4 Report Dec 2020'!$D$15</f>
        <v>17584917.949999999</v>
      </c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'202108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2021'!K13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>
        <f>SUM('2021 Capital Budget'!E17:M17)</f>
        <v>0</v>
      </c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'202108 Bk Depr'!R18</f>
        <v>31114583.449999999</v>
      </c>
      <c r="H18" s="1">
        <f t="shared" si="5"/>
        <v>2.7000000000000006E-3</v>
      </c>
      <c r="J18" s="364">
        <f t="shared" si="0"/>
        <v>84009.375315000012</v>
      </c>
      <c r="L18" s="366">
        <f>'Cap&amp;OpEx 2021'!K14</f>
        <v>652982.00000000012</v>
      </c>
      <c r="N18" s="364">
        <f t="shared" si="1"/>
        <v>881.52570000000037</v>
      </c>
      <c r="P18" s="364">
        <f t="shared" si="2"/>
        <v>84890.90101500001</v>
      </c>
      <c r="R18" s="364">
        <f t="shared" si="3"/>
        <v>31767565.449999999</v>
      </c>
      <c r="T18" s="603">
        <f>SUM(T13:T17)</f>
        <v>18169429.489999998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42839715.950000003</v>
      </c>
      <c r="J19" s="362">
        <f>SUM(J13:J18)</f>
        <v>115667.23306500004</v>
      </c>
      <c r="L19" s="362">
        <f>SUM(L13:L18)</f>
        <v>923547.00000000012</v>
      </c>
      <c r="N19" s="362">
        <f>SUM(N13:N18)</f>
        <v>1246.7884500000005</v>
      </c>
      <c r="P19" s="362">
        <f>SUM(P13:P18)</f>
        <v>116914.02151500003</v>
      </c>
      <c r="R19" s="362">
        <f>SUM(R13:R18)</f>
        <v>43763262.950000003</v>
      </c>
      <c r="T19" s="603">
        <f>'Rev Req 2021-Trans'!O11</f>
        <v>0</v>
      </c>
      <c r="U19" s="491" t="s">
        <v>738</v>
      </c>
    </row>
    <row r="20" spans="1:21">
      <c r="B20" s="4"/>
      <c r="T20" s="604">
        <f>T18-T19</f>
        <v>18169429.489999998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'202108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2021'!K17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'202108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2021'!K18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60">
        <f>'202108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60">
        <f>'202108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2021'!K19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1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'202108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2021'!K20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1">
      <c r="A27" s="6">
        <f t="shared" si="9"/>
        <v>13</v>
      </c>
      <c r="B27" s="4"/>
      <c r="C27" s="9" t="s">
        <v>163</v>
      </c>
      <c r="D27" s="6">
        <v>380</v>
      </c>
      <c r="F27" s="360">
        <f>'202108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2021'!K21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42839715.950000003</v>
      </c>
      <c r="G30" s="6"/>
      <c r="H30" s="4"/>
      <c r="I30" s="6"/>
      <c r="J30" s="363">
        <f>J19+J28</f>
        <v>115667.23306500004</v>
      </c>
      <c r="K30" s="6"/>
      <c r="L30" s="363">
        <f>L19+L28</f>
        <v>923547.00000000012</v>
      </c>
      <c r="M30" s="6"/>
      <c r="N30" s="363">
        <f>N19+N28</f>
        <v>1246.7884500000005</v>
      </c>
      <c r="O30" s="6"/>
      <c r="P30" s="363">
        <f>P19+P28</f>
        <v>116914.02151500003</v>
      </c>
      <c r="Q30" s="6"/>
      <c r="R30" s="363">
        <f>R19+R28</f>
        <v>43763262.950000003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'202108 Bk Depr'!R33</f>
        <v>0</v>
      </c>
      <c r="J33" s="364"/>
      <c r="L33" s="365">
        <f>'Cap&amp;OpEx 2021'!K24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'202108 Bk Depr'!R34</f>
        <v>0</v>
      </c>
      <c r="J34" s="364"/>
      <c r="L34" s="365">
        <f>'Cap&amp;OpEx 2021'!K25-'2021 Capital Budget'!M24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'202108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'202108 Bk Depr'!R36</f>
        <v>2808125.1199999992</v>
      </c>
      <c r="J36" s="364"/>
      <c r="L36" s="365">
        <f>'Cap&amp;OpEx 2021'!K26</f>
        <v>9403</v>
      </c>
      <c r="N36" s="364"/>
      <c r="P36" s="364"/>
      <c r="R36" s="364">
        <f t="shared" si="11"/>
        <v>2817528.1199999992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'202108 Bk Depr'!R37</f>
        <v>0</v>
      </c>
      <c r="G37" s="498"/>
      <c r="I37" s="498"/>
      <c r="J37" s="360"/>
      <c r="K37" s="498"/>
      <c r="L37" s="365">
        <f>'Cap&amp;OpEx 2021'!K27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'202108 Bk Depr'!R38</f>
        <v>12263.050000000003</v>
      </c>
      <c r="J38" s="364"/>
      <c r="L38" s="366">
        <f>'Cap&amp;OpEx 2021'!K28</f>
        <v>1250</v>
      </c>
      <c r="N38" s="364"/>
      <c r="P38" s="364"/>
      <c r="R38" s="364">
        <f t="shared" si="11"/>
        <v>13513.050000000003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2820388.169999999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2831041.169999999</v>
      </c>
    </row>
    <row r="42" spans="1:18">
      <c r="L42" s="4" t="s">
        <v>705</v>
      </c>
      <c r="N42" s="4" t="s">
        <v>372</v>
      </c>
      <c r="P42" s="459">
        <f>SUM(P13,P16:P18,P22,P25:P27)</f>
        <v>116914.02151500003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EF1D0-210F-46F2-B315-4407E72C59DB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624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'202109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2021'!L10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2020'!L18+'Cap&amp;OpEx 2021'!G18+'Cap&amp;OpEx 2021'!H18+'Cap&amp;OpEx 2021'!K18+'Cap&amp;OpEx 2021'!L18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'202109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2021'!L11+SUM('2021 Capital Budget'!E17:M17)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'202109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Budget'!N29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'202109 Bk Depr'!R16</f>
        <v>11995697.500000004</v>
      </c>
      <c r="H16" s="1">
        <f t="shared" ref="H16:H18" si="5">3.24%/12</f>
        <v>2.7000000000000006E-3</v>
      </c>
      <c r="J16" s="364">
        <f t="shared" si="0"/>
        <v>32388.383250000017</v>
      </c>
      <c r="L16" s="365">
        <f>'Cap&amp;OpEx 2021'!L12-L15</f>
        <v>273477</v>
      </c>
      <c r="N16" s="364">
        <f t="shared" si="1"/>
        <v>369.19395000000009</v>
      </c>
      <c r="P16" s="364">
        <f t="shared" si="2"/>
        <v>32757.577200000018</v>
      </c>
      <c r="R16" s="364">
        <f t="shared" si="3"/>
        <v>12269174.500000004</v>
      </c>
      <c r="T16" s="603"/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'202109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2021'!L13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/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'202109 Bk Depr'!R18</f>
        <v>31767565.449999999</v>
      </c>
      <c r="H18" s="1">
        <f t="shared" si="5"/>
        <v>2.7000000000000006E-3</v>
      </c>
      <c r="J18" s="364">
        <f t="shared" si="0"/>
        <v>85772.426715000023</v>
      </c>
      <c r="L18" s="366">
        <f>'Cap&amp;OpEx 2021'!L14</f>
        <v>663263.00000000012</v>
      </c>
      <c r="N18" s="364">
        <f t="shared" si="1"/>
        <v>895.4050500000003</v>
      </c>
      <c r="P18" s="364">
        <f t="shared" si="2"/>
        <v>86667.831765000024</v>
      </c>
      <c r="R18" s="364">
        <f t="shared" si="3"/>
        <v>32430828.449999999</v>
      </c>
      <c r="T18" s="603">
        <f>SUM(T13:T17)</f>
        <v>584511.54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43763262.950000003</v>
      </c>
      <c r="J19" s="362">
        <f>SUM(J13:J18)</f>
        <v>118160.80996500004</v>
      </c>
      <c r="L19" s="362">
        <f>SUM(L13:L18)</f>
        <v>936740.00000000012</v>
      </c>
      <c r="N19" s="362">
        <f>SUM(N13:N18)</f>
        <v>1264.5990000000004</v>
      </c>
      <c r="P19" s="362">
        <f>SUM(P13:P18)</f>
        <v>119425.40896500004</v>
      </c>
      <c r="R19" s="362">
        <f>SUM(R13:R18)</f>
        <v>44700002.950000003</v>
      </c>
      <c r="T19" s="603">
        <f>'Rev Req 2021-Trans'!P11</f>
        <v>0</v>
      </c>
      <c r="U19" s="491" t="s">
        <v>738</v>
      </c>
    </row>
    <row r="20" spans="1:21">
      <c r="B20" s="4"/>
      <c r="T20" s="604">
        <f>T18-T19</f>
        <v>584511.54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'202109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2021'!L17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'202109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2021'!L18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60">
        <f>'202109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60">
        <f>'202109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2021'!L19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1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'202109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2021'!L20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1">
      <c r="A27" s="6">
        <f t="shared" si="9"/>
        <v>13</v>
      </c>
      <c r="B27" s="4"/>
      <c r="C27" s="9" t="s">
        <v>163</v>
      </c>
      <c r="D27" s="6">
        <v>380</v>
      </c>
      <c r="F27" s="360">
        <f>'202109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2021'!L21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43763262.950000003</v>
      </c>
      <c r="G30" s="6"/>
      <c r="H30" s="4"/>
      <c r="I30" s="6"/>
      <c r="J30" s="363">
        <f>J19+J28</f>
        <v>118160.80996500004</v>
      </c>
      <c r="K30" s="6"/>
      <c r="L30" s="363">
        <f>L19+L28</f>
        <v>936740.00000000012</v>
      </c>
      <c r="M30" s="6"/>
      <c r="N30" s="363">
        <f>N19+N28</f>
        <v>1264.5990000000004</v>
      </c>
      <c r="O30" s="6"/>
      <c r="P30" s="363">
        <f>P19+P28</f>
        <v>119425.40896500004</v>
      </c>
      <c r="Q30" s="6"/>
      <c r="R30" s="363">
        <f>R19+R28</f>
        <v>44700002.950000003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'202109 Bk Depr'!R33</f>
        <v>0</v>
      </c>
      <c r="J33" s="364"/>
      <c r="L33" s="365">
        <f>'Cap&amp;OpEx 2021'!L24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'202109 Bk Depr'!R34</f>
        <v>0</v>
      </c>
      <c r="J34" s="364"/>
      <c r="L34" s="365">
        <f>'Cap&amp;OpEx 2021'!L25+SUM('2021 Capital Budget'!E24:M24)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'202109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'202109 Bk Depr'!R36</f>
        <v>2817528.1199999992</v>
      </c>
      <c r="J36" s="364"/>
      <c r="L36" s="365">
        <f>'Cap&amp;OpEx 2021'!L26</f>
        <v>9403</v>
      </c>
      <c r="N36" s="364"/>
      <c r="P36" s="364"/>
      <c r="R36" s="364">
        <f t="shared" si="11"/>
        <v>2826931.1199999992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'202109 Bk Depr'!R37</f>
        <v>0</v>
      </c>
      <c r="G37" s="498"/>
      <c r="I37" s="498"/>
      <c r="J37" s="360"/>
      <c r="K37" s="498"/>
      <c r="L37" s="365">
        <f>'Cap&amp;OpEx 2021'!L27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'202109 Bk Depr'!R38</f>
        <v>13513.050000000003</v>
      </c>
      <c r="J38" s="364"/>
      <c r="L38" s="366">
        <f>'Cap&amp;OpEx 2021'!L28</f>
        <v>1250</v>
      </c>
      <c r="N38" s="364"/>
      <c r="P38" s="364"/>
      <c r="R38" s="364">
        <f t="shared" si="11"/>
        <v>14763.050000000003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2831041.169999999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2841694.169999999</v>
      </c>
    </row>
    <row r="42" spans="1:18">
      <c r="L42" s="4" t="s">
        <v>705</v>
      </c>
      <c r="N42" s="4" t="s">
        <v>372</v>
      </c>
      <c r="P42" s="459">
        <f>SUM(P13,P16:P18,P22,P25:P27)</f>
        <v>119425.40896500004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93A0-F886-42E2-9634-9FD31DB2B277}">
  <sheetPr>
    <tabColor theme="5" tint="0.39997558519241921"/>
    <pageSetUpPr fitToPage="1"/>
  </sheetPr>
  <dimension ref="A1:U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9.140625" style="4"/>
    <col min="20" max="20" width="13.28515625" style="4" bestFit="1" customWidth="1"/>
    <col min="21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625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'202110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2021'!M10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  <c r="T13" s="603">
        <f>'Cap&amp;OpEx 2020'!L18+'Cap&amp;OpEx 2021'!G18+'Cap&amp;OpEx 2021'!H18+'Cap&amp;OpEx 2021'!K18+'Cap&amp;OpEx 2021'!L18</f>
        <v>0</v>
      </c>
      <c r="U13" s="491" t="s">
        <v>754</v>
      </c>
    </row>
    <row r="14" spans="1:21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'202110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2021'!M11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T14" s="603">
        <f>R14</f>
        <v>0</v>
      </c>
      <c r="U14" s="491" t="s">
        <v>736</v>
      </c>
    </row>
    <row r="15" spans="1:21">
      <c r="A15" s="6">
        <f t="shared" si="4"/>
        <v>3</v>
      </c>
      <c r="B15" s="4"/>
      <c r="C15" s="9" t="s">
        <v>62</v>
      </c>
      <c r="D15" s="6">
        <v>376</v>
      </c>
      <c r="F15" s="360">
        <f>'202110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Budget'!O29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T15" s="603">
        <f>'Day 4 Report Dec 2020'!$B$13</f>
        <v>584511.54</v>
      </c>
      <c r="U15" s="491" t="s">
        <v>737</v>
      </c>
    </row>
    <row r="16" spans="1:21">
      <c r="A16" s="6">
        <f t="shared" si="4"/>
        <v>4</v>
      </c>
      <c r="B16" s="4"/>
      <c r="C16" s="9" t="s">
        <v>62</v>
      </c>
      <c r="D16" s="6">
        <v>380</v>
      </c>
      <c r="F16" s="360">
        <f>'202110 Bk Depr'!R16</f>
        <v>12269174.500000004</v>
      </c>
      <c r="H16" s="1">
        <f t="shared" ref="H16:H18" si="5">3.24%/12</f>
        <v>2.7000000000000006E-3</v>
      </c>
      <c r="J16" s="364">
        <f t="shared" si="0"/>
        <v>33126.771150000015</v>
      </c>
      <c r="L16" s="365">
        <f>'Cap&amp;OpEx 2021'!M12-L15</f>
        <v>278280</v>
      </c>
      <c r="N16" s="364">
        <f t="shared" si="1"/>
        <v>375.67800000000005</v>
      </c>
      <c r="P16" s="364">
        <f t="shared" si="2"/>
        <v>33502.449150000015</v>
      </c>
      <c r="R16" s="364">
        <f t="shared" si="3"/>
        <v>12547454.500000004</v>
      </c>
      <c r="T16" s="603"/>
      <c r="U16" s="491" t="s">
        <v>739</v>
      </c>
    </row>
    <row r="17" spans="1:21">
      <c r="A17" s="6">
        <f t="shared" si="4"/>
        <v>5</v>
      </c>
      <c r="B17" s="4"/>
      <c r="C17" s="9" t="s">
        <v>63</v>
      </c>
      <c r="D17" s="6">
        <v>380</v>
      </c>
      <c r="F17" s="360">
        <f>'202110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2021'!M13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  <c r="T17" s="603"/>
      <c r="U17" s="491" t="s">
        <v>740</v>
      </c>
    </row>
    <row r="18" spans="1:21">
      <c r="A18" s="6">
        <f t="shared" si="4"/>
        <v>6</v>
      </c>
      <c r="B18" s="4"/>
      <c r="C18" s="4" t="s">
        <v>163</v>
      </c>
      <c r="D18" s="6">
        <v>380</v>
      </c>
      <c r="F18" s="360">
        <f>'202110 Bk Depr'!R18</f>
        <v>32430828.449999999</v>
      </c>
      <c r="H18" s="1">
        <f t="shared" si="5"/>
        <v>2.7000000000000006E-3</v>
      </c>
      <c r="J18" s="364">
        <f t="shared" si="0"/>
        <v>87563.236815000011</v>
      </c>
      <c r="L18" s="366">
        <f>'Cap&amp;OpEx 2021'!M14</f>
        <v>632606.00000000012</v>
      </c>
      <c r="N18" s="364">
        <f t="shared" si="1"/>
        <v>854.01810000000035</v>
      </c>
      <c r="P18" s="364">
        <f t="shared" si="2"/>
        <v>88417.254915000012</v>
      </c>
      <c r="R18" s="364">
        <f t="shared" si="3"/>
        <v>33063434.449999999</v>
      </c>
      <c r="T18" s="603">
        <f>SUM(T13:T17)</f>
        <v>584511.54</v>
      </c>
      <c r="U18" s="491" t="s">
        <v>3</v>
      </c>
    </row>
    <row r="19" spans="1:21">
      <c r="A19" s="6">
        <f t="shared" si="4"/>
        <v>7</v>
      </c>
      <c r="B19" s="4"/>
      <c r="C19" s="4" t="s">
        <v>21</v>
      </c>
      <c r="F19" s="362">
        <f>SUM(F13:F18)</f>
        <v>44700002.950000003</v>
      </c>
      <c r="J19" s="362">
        <f>SUM(J13:J18)</f>
        <v>120690.00796500003</v>
      </c>
      <c r="L19" s="362">
        <f>SUM(L13:L18)</f>
        <v>910886.00000000012</v>
      </c>
      <c r="N19" s="362">
        <f>SUM(N13:N18)</f>
        <v>1229.6961000000003</v>
      </c>
      <c r="P19" s="362">
        <f>SUM(P13:P18)</f>
        <v>121919.70406500003</v>
      </c>
      <c r="R19" s="362">
        <f>SUM(R13:R18)</f>
        <v>45610888.950000003</v>
      </c>
      <c r="T19" s="603">
        <f>'Rev Req 2021-Trans'!Q11</f>
        <v>0</v>
      </c>
      <c r="U19" s="491" t="s">
        <v>738</v>
      </c>
    </row>
    <row r="20" spans="1:21">
      <c r="B20" s="4"/>
      <c r="T20" s="604">
        <f>T18-T19</f>
        <v>584511.54</v>
      </c>
      <c r="U20" s="491" t="s">
        <v>39</v>
      </c>
    </row>
    <row r="21" spans="1:21">
      <c r="B21" s="10" t="s">
        <v>12</v>
      </c>
      <c r="C21" s="10"/>
    </row>
    <row r="22" spans="1:21">
      <c r="A22" s="6">
        <f>A19+1</f>
        <v>8</v>
      </c>
      <c r="B22" s="4"/>
      <c r="C22" s="4" t="s">
        <v>453</v>
      </c>
      <c r="D22" s="6">
        <v>376</v>
      </c>
      <c r="F22" s="360">
        <f>'202110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2021'!M17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1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'202110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2021'!M18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1">
      <c r="A24" s="6">
        <f t="shared" si="9"/>
        <v>10</v>
      </c>
      <c r="B24" s="4"/>
      <c r="C24" s="9" t="s">
        <v>62</v>
      </c>
      <c r="D24" s="6">
        <v>376</v>
      </c>
      <c r="F24" s="360">
        <f>'202110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1">
      <c r="A25" s="6">
        <f t="shared" si="9"/>
        <v>11</v>
      </c>
      <c r="B25" s="4"/>
      <c r="C25" s="9" t="s">
        <v>62</v>
      </c>
      <c r="D25" s="6">
        <v>380</v>
      </c>
      <c r="F25" s="360">
        <f>'202110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2021'!M19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1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'202110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2021'!M20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1">
      <c r="A27" s="6">
        <f>A26+1</f>
        <v>13</v>
      </c>
      <c r="B27" s="4"/>
      <c r="C27" s="9" t="s">
        <v>163</v>
      </c>
      <c r="D27" s="6">
        <v>380</v>
      </c>
      <c r="F27" s="360">
        <f>'202110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2021'!M21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1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1">
      <c r="B29" s="4"/>
    </row>
    <row r="30" spans="1:21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44700002.950000003</v>
      </c>
      <c r="G30" s="6"/>
      <c r="H30" s="4"/>
      <c r="I30" s="6"/>
      <c r="J30" s="363">
        <f>J19+J28</f>
        <v>120690.00796500003</v>
      </c>
      <c r="K30" s="6"/>
      <c r="L30" s="363">
        <f>L19+L28</f>
        <v>910886.00000000012</v>
      </c>
      <c r="M30" s="6"/>
      <c r="N30" s="363">
        <f>N19+N28</f>
        <v>1229.6961000000003</v>
      </c>
      <c r="O30" s="6"/>
      <c r="P30" s="363">
        <f>P19+P28</f>
        <v>121919.70406500003</v>
      </c>
      <c r="Q30" s="6"/>
      <c r="R30" s="363">
        <f>R19+R28</f>
        <v>45610888.950000003</v>
      </c>
    </row>
    <row r="31" spans="1:21" ht="16.5" thickTop="1">
      <c r="B31" s="4"/>
    </row>
    <row r="32" spans="1:21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'202110 Bk Depr'!R33</f>
        <v>0</v>
      </c>
      <c r="J33" s="364"/>
      <c r="L33" s="365">
        <f>'Cap&amp;OpEx 2021'!M24</f>
        <v>0</v>
      </c>
      <c r="N33" s="364"/>
      <c r="P33" s="364"/>
      <c r="R33" s="364">
        <f t="shared" ref="R33:R38" si="11">L33+F33</f>
        <v>0</v>
      </c>
    </row>
    <row r="34" spans="1:18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'202110 Bk Depr'!R34</f>
        <v>0</v>
      </c>
      <c r="J34" s="364"/>
      <c r="L34" s="365">
        <f>'Cap&amp;OpEx 2021'!M25</f>
        <v>0</v>
      </c>
      <c r="N34" s="364"/>
      <c r="P34" s="364"/>
      <c r="R34" s="364">
        <f t="shared" si="11"/>
        <v>0</v>
      </c>
    </row>
    <row r="35" spans="1:18">
      <c r="A35" s="6">
        <f t="shared" si="12"/>
        <v>18</v>
      </c>
      <c r="B35" s="4"/>
      <c r="C35" s="9" t="s">
        <v>62</v>
      </c>
      <c r="D35" s="6">
        <v>376</v>
      </c>
      <c r="F35" s="360">
        <f>'202110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360">
        <f>'202110 Bk Depr'!R36</f>
        <v>2826931.1199999992</v>
      </c>
      <c r="J36" s="364"/>
      <c r="L36" s="365">
        <f>'Cap&amp;OpEx 2021'!M26</f>
        <v>9403</v>
      </c>
      <c r="N36" s="364"/>
      <c r="P36" s="364"/>
      <c r="R36" s="364">
        <f t="shared" si="11"/>
        <v>2836334.1199999992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'202110 Bk Depr'!R37</f>
        <v>0</v>
      </c>
      <c r="G37" s="498"/>
      <c r="I37" s="498"/>
      <c r="J37" s="360"/>
      <c r="K37" s="498"/>
      <c r="L37" s="365">
        <f>'Cap&amp;OpEx 2021'!M27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18">
      <c r="A38" s="6">
        <f t="shared" si="12"/>
        <v>21</v>
      </c>
      <c r="B38" s="4"/>
      <c r="C38" s="9" t="s">
        <v>163</v>
      </c>
      <c r="D38" s="6">
        <v>380</v>
      </c>
      <c r="F38" s="360">
        <f>'202110 Bk Depr'!R38</f>
        <v>14763.050000000003</v>
      </c>
      <c r="J38" s="364"/>
      <c r="L38" s="366">
        <f>'Cap&amp;OpEx 2021'!M28</f>
        <v>1250</v>
      </c>
      <c r="N38" s="364"/>
      <c r="P38" s="364"/>
      <c r="R38" s="364">
        <f t="shared" si="11"/>
        <v>16013.050000000003</v>
      </c>
    </row>
    <row r="39" spans="1:18">
      <c r="A39" s="6">
        <f t="shared" si="12"/>
        <v>22</v>
      </c>
      <c r="B39" s="4"/>
      <c r="C39" s="4" t="s">
        <v>23</v>
      </c>
      <c r="F39" s="362">
        <f>SUM(F33:F38)</f>
        <v>2841694.169999999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2852347.169999999</v>
      </c>
    </row>
    <row r="42" spans="1:18">
      <c r="L42" s="4" t="s">
        <v>705</v>
      </c>
      <c r="N42" s="4" t="s">
        <v>372</v>
      </c>
      <c r="P42" s="459">
        <f>SUM(P13,P16:P18,P22,P25:P27)</f>
        <v>121919.70406500003</v>
      </c>
    </row>
    <row r="43" spans="1:18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C11:I25"/>
  <sheetViews>
    <sheetView tabSelected="1" zoomScaleNormal="100" workbookViewId="0"/>
  </sheetViews>
  <sheetFormatPr defaultRowHeight="12.75"/>
  <cols>
    <col min="1" max="1" width="9.140625" style="254"/>
    <col min="2" max="2" width="2.42578125" style="254" customWidth="1"/>
    <col min="3" max="9" width="12.140625" style="254" customWidth="1"/>
    <col min="10" max="10" width="2.140625" style="254" customWidth="1"/>
    <col min="11" max="257" width="9.140625" style="254"/>
    <col min="258" max="258" width="2.42578125" style="254" customWidth="1"/>
    <col min="259" max="265" width="12.140625" style="254" customWidth="1"/>
    <col min="266" max="266" width="2.140625" style="254" customWidth="1"/>
    <col min="267" max="513" width="9.140625" style="254"/>
    <col min="514" max="514" width="2.42578125" style="254" customWidth="1"/>
    <col min="515" max="521" width="12.140625" style="254" customWidth="1"/>
    <col min="522" max="522" width="2.140625" style="254" customWidth="1"/>
    <col min="523" max="769" width="9.140625" style="254"/>
    <col min="770" max="770" width="2.42578125" style="254" customWidth="1"/>
    <col min="771" max="777" width="12.140625" style="254" customWidth="1"/>
    <col min="778" max="778" width="2.140625" style="254" customWidth="1"/>
    <col min="779" max="1025" width="9.140625" style="254"/>
    <col min="1026" max="1026" width="2.42578125" style="254" customWidth="1"/>
    <col min="1027" max="1033" width="12.140625" style="254" customWidth="1"/>
    <col min="1034" max="1034" width="2.140625" style="254" customWidth="1"/>
    <col min="1035" max="1281" width="9.140625" style="254"/>
    <col min="1282" max="1282" width="2.42578125" style="254" customWidth="1"/>
    <col min="1283" max="1289" width="12.140625" style="254" customWidth="1"/>
    <col min="1290" max="1290" width="2.140625" style="254" customWidth="1"/>
    <col min="1291" max="1537" width="9.140625" style="254"/>
    <col min="1538" max="1538" width="2.42578125" style="254" customWidth="1"/>
    <col min="1539" max="1545" width="12.140625" style="254" customWidth="1"/>
    <col min="1546" max="1546" width="2.140625" style="254" customWidth="1"/>
    <col min="1547" max="1793" width="9.140625" style="254"/>
    <col min="1794" max="1794" width="2.42578125" style="254" customWidth="1"/>
    <col min="1795" max="1801" width="12.140625" style="254" customWidth="1"/>
    <col min="1802" max="1802" width="2.140625" style="254" customWidth="1"/>
    <col min="1803" max="2049" width="9.140625" style="254"/>
    <col min="2050" max="2050" width="2.42578125" style="254" customWidth="1"/>
    <col min="2051" max="2057" width="12.140625" style="254" customWidth="1"/>
    <col min="2058" max="2058" width="2.140625" style="254" customWidth="1"/>
    <col min="2059" max="2305" width="9.140625" style="254"/>
    <col min="2306" max="2306" width="2.42578125" style="254" customWidth="1"/>
    <col min="2307" max="2313" width="12.140625" style="254" customWidth="1"/>
    <col min="2314" max="2314" width="2.140625" style="254" customWidth="1"/>
    <col min="2315" max="2561" width="9.140625" style="254"/>
    <col min="2562" max="2562" width="2.42578125" style="254" customWidth="1"/>
    <col min="2563" max="2569" width="12.140625" style="254" customWidth="1"/>
    <col min="2570" max="2570" width="2.140625" style="254" customWidth="1"/>
    <col min="2571" max="2817" width="9.140625" style="254"/>
    <col min="2818" max="2818" width="2.42578125" style="254" customWidth="1"/>
    <col min="2819" max="2825" width="12.140625" style="254" customWidth="1"/>
    <col min="2826" max="2826" width="2.140625" style="254" customWidth="1"/>
    <col min="2827" max="3073" width="9.140625" style="254"/>
    <col min="3074" max="3074" width="2.42578125" style="254" customWidth="1"/>
    <col min="3075" max="3081" width="12.140625" style="254" customWidth="1"/>
    <col min="3082" max="3082" width="2.140625" style="254" customWidth="1"/>
    <col min="3083" max="3329" width="9.140625" style="254"/>
    <col min="3330" max="3330" width="2.42578125" style="254" customWidth="1"/>
    <col min="3331" max="3337" width="12.140625" style="254" customWidth="1"/>
    <col min="3338" max="3338" width="2.140625" style="254" customWidth="1"/>
    <col min="3339" max="3585" width="9.140625" style="254"/>
    <col min="3586" max="3586" width="2.42578125" style="254" customWidth="1"/>
    <col min="3587" max="3593" width="12.140625" style="254" customWidth="1"/>
    <col min="3594" max="3594" width="2.140625" style="254" customWidth="1"/>
    <col min="3595" max="3841" width="9.140625" style="254"/>
    <col min="3842" max="3842" width="2.42578125" style="254" customWidth="1"/>
    <col min="3843" max="3849" width="12.140625" style="254" customWidth="1"/>
    <col min="3850" max="3850" width="2.140625" style="254" customWidth="1"/>
    <col min="3851" max="4097" width="9.140625" style="254"/>
    <col min="4098" max="4098" width="2.42578125" style="254" customWidth="1"/>
    <col min="4099" max="4105" width="12.140625" style="254" customWidth="1"/>
    <col min="4106" max="4106" width="2.140625" style="254" customWidth="1"/>
    <col min="4107" max="4353" width="9.140625" style="254"/>
    <col min="4354" max="4354" width="2.42578125" style="254" customWidth="1"/>
    <col min="4355" max="4361" width="12.140625" style="254" customWidth="1"/>
    <col min="4362" max="4362" width="2.140625" style="254" customWidth="1"/>
    <col min="4363" max="4609" width="9.140625" style="254"/>
    <col min="4610" max="4610" width="2.42578125" style="254" customWidth="1"/>
    <col min="4611" max="4617" width="12.140625" style="254" customWidth="1"/>
    <col min="4618" max="4618" width="2.140625" style="254" customWidth="1"/>
    <col min="4619" max="4865" width="9.140625" style="254"/>
    <col min="4866" max="4866" width="2.42578125" style="254" customWidth="1"/>
    <col min="4867" max="4873" width="12.140625" style="254" customWidth="1"/>
    <col min="4874" max="4874" width="2.140625" style="254" customWidth="1"/>
    <col min="4875" max="5121" width="9.140625" style="254"/>
    <col min="5122" max="5122" width="2.42578125" style="254" customWidth="1"/>
    <col min="5123" max="5129" width="12.140625" style="254" customWidth="1"/>
    <col min="5130" max="5130" width="2.140625" style="254" customWidth="1"/>
    <col min="5131" max="5377" width="9.140625" style="254"/>
    <col min="5378" max="5378" width="2.42578125" style="254" customWidth="1"/>
    <col min="5379" max="5385" width="12.140625" style="254" customWidth="1"/>
    <col min="5386" max="5386" width="2.140625" style="254" customWidth="1"/>
    <col min="5387" max="5633" width="9.140625" style="254"/>
    <col min="5634" max="5634" width="2.42578125" style="254" customWidth="1"/>
    <col min="5635" max="5641" width="12.140625" style="254" customWidth="1"/>
    <col min="5642" max="5642" width="2.140625" style="254" customWidth="1"/>
    <col min="5643" max="5889" width="9.140625" style="254"/>
    <col min="5890" max="5890" width="2.42578125" style="254" customWidth="1"/>
    <col min="5891" max="5897" width="12.140625" style="254" customWidth="1"/>
    <col min="5898" max="5898" width="2.140625" style="254" customWidth="1"/>
    <col min="5899" max="6145" width="9.140625" style="254"/>
    <col min="6146" max="6146" width="2.42578125" style="254" customWidth="1"/>
    <col min="6147" max="6153" width="12.140625" style="254" customWidth="1"/>
    <col min="6154" max="6154" width="2.140625" style="254" customWidth="1"/>
    <col min="6155" max="6401" width="9.140625" style="254"/>
    <col min="6402" max="6402" width="2.42578125" style="254" customWidth="1"/>
    <col min="6403" max="6409" width="12.140625" style="254" customWidth="1"/>
    <col min="6410" max="6410" width="2.140625" style="254" customWidth="1"/>
    <col min="6411" max="6657" width="9.140625" style="254"/>
    <col min="6658" max="6658" width="2.42578125" style="254" customWidth="1"/>
    <col min="6659" max="6665" width="12.140625" style="254" customWidth="1"/>
    <col min="6666" max="6666" width="2.140625" style="254" customWidth="1"/>
    <col min="6667" max="6913" width="9.140625" style="254"/>
    <col min="6914" max="6914" width="2.42578125" style="254" customWidth="1"/>
    <col min="6915" max="6921" width="12.140625" style="254" customWidth="1"/>
    <col min="6922" max="6922" width="2.140625" style="254" customWidth="1"/>
    <col min="6923" max="7169" width="9.140625" style="254"/>
    <col min="7170" max="7170" width="2.42578125" style="254" customWidth="1"/>
    <col min="7171" max="7177" width="12.140625" style="254" customWidth="1"/>
    <col min="7178" max="7178" width="2.140625" style="254" customWidth="1"/>
    <col min="7179" max="7425" width="9.140625" style="254"/>
    <col min="7426" max="7426" width="2.42578125" style="254" customWidth="1"/>
    <col min="7427" max="7433" width="12.140625" style="254" customWidth="1"/>
    <col min="7434" max="7434" width="2.140625" style="254" customWidth="1"/>
    <col min="7435" max="7681" width="9.140625" style="254"/>
    <col min="7682" max="7682" width="2.42578125" style="254" customWidth="1"/>
    <col min="7683" max="7689" width="12.140625" style="254" customWidth="1"/>
    <col min="7690" max="7690" width="2.140625" style="254" customWidth="1"/>
    <col min="7691" max="7937" width="9.140625" style="254"/>
    <col min="7938" max="7938" width="2.42578125" style="254" customWidth="1"/>
    <col min="7939" max="7945" width="12.140625" style="254" customWidth="1"/>
    <col min="7946" max="7946" width="2.140625" style="254" customWidth="1"/>
    <col min="7947" max="8193" width="9.140625" style="254"/>
    <col min="8194" max="8194" width="2.42578125" style="254" customWidth="1"/>
    <col min="8195" max="8201" width="12.140625" style="254" customWidth="1"/>
    <col min="8202" max="8202" width="2.140625" style="254" customWidth="1"/>
    <col min="8203" max="8449" width="9.140625" style="254"/>
    <col min="8450" max="8450" width="2.42578125" style="254" customWidth="1"/>
    <col min="8451" max="8457" width="12.140625" style="254" customWidth="1"/>
    <col min="8458" max="8458" width="2.140625" style="254" customWidth="1"/>
    <col min="8459" max="8705" width="9.140625" style="254"/>
    <col min="8706" max="8706" width="2.42578125" style="254" customWidth="1"/>
    <col min="8707" max="8713" width="12.140625" style="254" customWidth="1"/>
    <col min="8714" max="8714" width="2.140625" style="254" customWidth="1"/>
    <col min="8715" max="8961" width="9.140625" style="254"/>
    <col min="8962" max="8962" width="2.42578125" style="254" customWidth="1"/>
    <col min="8963" max="8969" width="12.140625" style="254" customWidth="1"/>
    <col min="8970" max="8970" width="2.140625" style="254" customWidth="1"/>
    <col min="8971" max="9217" width="9.140625" style="254"/>
    <col min="9218" max="9218" width="2.42578125" style="254" customWidth="1"/>
    <col min="9219" max="9225" width="12.140625" style="254" customWidth="1"/>
    <col min="9226" max="9226" width="2.140625" style="254" customWidth="1"/>
    <col min="9227" max="9473" width="9.140625" style="254"/>
    <col min="9474" max="9474" width="2.42578125" style="254" customWidth="1"/>
    <col min="9475" max="9481" width="12.140625" style="254" customWidth="1"/>
    <col min="9482" max="9482" width="2.140625" style="254" customWidth="1"/>
    <col min="9483" max="9729" width="9.140625" style="254"/>
    <col min="9730" max="9730" width="2.42578125" style="254" customWidth="1"/>
    <col min="9731" max="9737" width="12.140625" style="254" customWidth="1"/>
    <col min="9738" max="9738" width="2.140625" style="254" customWidth="1"/>
    <col min="9739" max="9985" width="9.140625" style="254"/>
    <col min="9986" max="9986" width="2.42578125" style="254" customWidth="1"/>
    <col min="9987" max="9993" width="12.140625" style="254" customWidth="1"/>
    <col min="9994" max="9994" width="2.140625" style="254" customWidth="1"/>
    <col min="9995" max="10241" width="9.140625" style="254"/>
    <col min="10242" max="10242" width="2.42578125" style="254" customWidth="1"/>
    <col min="10243" max="10249" width="12.140625" style="254" customWidth="1"/>
    <col min="10250" max="10250" width="2.140625" style="254" customWidth="1"/>
    <col min="10251" max="10497" width="9.140625" style="254"/>
    <col min="10498" max="10498" width="2.42578125" style="254" customWidth="1"/>
    <col min="10499" max="10505" width="12.140625" style="254" customWidth="1"/>
    <col min="10506" max="10506" width="2.140625" style="254" customWidth="1"/>
    <col min="10507" max="10753" width="9.140625" style="254"/>
    <col min="10754" max="10754" width="2.42578125" style="254" customWidth="1"/>
    <col min="10755" max="10761" width="12.140625" style="254" customWidth="1"/>
    <col min="10762" max="10762" width="2.140625" style="254" customWidth="1"/>
    <col min="10763" max="11009" width="9.140625" style="254"/>
    <col min="11010" max="11010" width="2.42578125" style="254" customWidth="1"/>
    <col min="11011" max="11017" width="12.140625" style="254" customWidth="1"/>
    <col min="11018" max="11018" width="2.140625" style="254" customWidth="1"/>
    <col min="11019" max="11265" width="9.140625" style="254"/>
    <col min="11266" max="11266" width="2.42578125" style="254" customWidth="1"/>
    <col min="11267" max="11273" width="12.140625" style="254" customWidth="1"/>
    <col min="11274" max="11274" width="2.140625" style="254" customWidth="1"/>
    <col min="11275" max="11521" width="9.140625" style="254"/>
    <col min="11522" max="11522" width="2.42578125" style="254" customWidth="1"/>
    <col min="11523" max="11529" width="12.140625" style="254" customWidth="1"/>
    <col min="11530" max="11530" width="2.140625" style="254" customWidth="1"/>
    <col min="11531" max="11777" width="9.140625" style="254"/>
    <col min="11778" max="11778" width="2.42578125" style="254" customWidth="1"/>
    <col min="11779" max="11785" width="12.140625" style="254" customWidth="1"/>
    <col min="11786" max="11786" width="2.140625" style="254" customWidth="1"/>
    <col min="11787" max="12033" width="9.140625" style="254"/>
    <col min="12034" max="12034" width="2.42578125" style="254" customWidth="1"/>
    <col min="12035" max="12041" width="12.140625" style="254" customWidth="1"/>
    <col min="12042" max="12042" width="2.140625" style="254" customWidth="1"/>
    <col min="12043" max="12289" width="9.140625" style="254"/>
    <col min="12290" max="12290" width="2.42578125" style="254" customWidth="1"/>
    <col min="12291" max="12297" width="12.140625" style="254" customWidth="1"/>
    <col min="12298" max="12298" width="2.140625" style="254" customWidth="1"/>
    <col min="12299" max="12545" width="9.140625" style="254"/>
    <col min="12546" max="12546" width="2.42578125" style="254" customWidth="1"/>
    <col min="12547" max="12553" width="12.140625" style="254" customWidth="1"/>
    <col min="12554" max="12554" width="2.140625" style="254" customWidth="1"/>
    <col min="12555" max="12801" width="9.140625" style="254"/>
    <col min="12802" max="12802" width="2.42578125" style="254" customWidth="1"/>
    <col min="12803" max="12809" width="12.140625" style="254" customWidth="1"/>
    <col min="12810" max="12810" width="2.140625" style="254" customWidth="1"/>
    <col min="12811" max="13057" width="9.140625" style="254"/>
    <col min="13058" max="13058" width="2.42578125" style="254" customWidth="1"/>
    <col min="13059" max="13065" width="12.140625" style="254" customWidth="1"/>
    <col min="13066" max="13066" width="2.140625" style="254" customWidth="1"/>
    <col min="13067" max="13313" width="9.140625" style="254"/>
    <col min="13314" max="13314" width="2.42578125" style="254" customWidth="1"/>
    <col min="13315" max="13321" width="12.140625" style="254" customWidth="1"/>
    <col min="13322" max="13322" width="2.140625" style="254" customWidth="1"/>
    <col min="13323" max="13569" width="9.140625" style="254"/>
    <col min="13570" max="13570" width="2.42578125" style="254" customWidth="1"/>
    <col min="13571" max="13577" width="12.140625" style="254" customWidth="1"/>
    <col min="13578" max="13578" width="2.140625" style="254" customWidth="1"/>
    <col min="13579" max="13825" width="9.140625" style="254"/>
    <col min="13826" max="13826" width="2.42578125" style="254" customWidth="1"/>
    <col min="13827" max="13833" width="12.140625" style="254" customWidth="1"/>
    <col min="13834" max="13834" width="2.140625" style="254" customWidth="1"/>
    <col min="13835" max="14081" width="9.140625" style="254"/>
    <col min="14082" max="14082" width="2.42578125" style="254" customWidth="1"/>
    <col min="14083" max="14089" width="12.140625" style="254" customWidth="1"/>
    <col min="14090" max="14090" width="2.140625" style="254" customWidth="1"/>
    <col min="14091" max="14337" width="9.140625" style="254"/>
    <col min="14338" max="14338" width="2.42578125" style="254" customWidth="1"/>
    <col min="14339" max="14345" width="12.140625" style="254" customWidth="1"/>
    <col min="14346" max="14346" width="2.140625" style="254" customWidth="1"/>
    <col min="14347" max="14593" width="9.140625" style="254"/>
    <col min="14594" max="14594" width="2.42578125" style="254" customWidth="1"/>
    <col min="14595" max="14601" width="12.140625" style="254" customWidth="1"/>
    <col min="14602" max="14602" width="2.140625" style="254" customWidth="1"/>
    <col min="14603" max="14849" width="9.140625" style="254"/>
    <col min="14850" max="14850" width="2.42578125" style="254" customWidth="1"/>
    <col min="14851" max="14857" width="12.140625" style="254" customWidth="1"/>
    <col min="14858" max="14858" width="2.140625" style="254" customWidth="1"/>
    <col min="14859" max="15105" width="9.140625" style="254"/>
    <col min="15106" max="15106" width="2.42578125" style="254" customWidth="1"/>
    <col min="15107" max="15113" width="12.140625" style="254" customWidth="1"/>
    <col min="15114" max="15114" width="2.140625" style="254" customWidth="1"/>
    <col min="15115" max="15361" width="9.140625" style="254"/>
    <col min="15362" max="15362" width="2.42578125" style="254" customWidth="1"/>
    <col min="15363" max="15369" width="12.140625" style="254" customWidth="1"/>
    <col min="15370" max="15370" width="2.140625" style="254" customWidth="1"/>
    <col min="15371" max="15617" width="9.140625" style="254"/>
    <col min="15618" max="15618" width="2.42578125" style="254" customWidth="1"/>
    <col min="15619" max="15625" width="12.140625" style="254" customWidth="1"/>
    <col min="15626" max="15626" width="2.140625" style="254" customWidth="1"/>
    <col min="15627" max="15873" width="9.140625" style="254"/>
    <col min="15874" max="15874" width="2.42578125" style="254" customWidth="1"/>
    <col min="15875" max="15881" width="12.140625" style="254" customWidth="1"/>
    <col min="15882" max="15882" width="2.140625" style="254" customWidth="1"/>
    <col min="15883" max="16129" width="9.140625" style="254"/>
    <col min="16130" max="16130" width="2.42578125" style="254" customWidth="1"/>
    <col min="16131" max="16137" width="12.140625" style="254" customWidth="1"/>
    <col min="16138" max="16138" width="2.140625" style="254" customWidth="1"/>
    <col min="16139" max="16384" width="9.140625" style="254"/>
  </cols>
  <sheetData>
    <row r="11" spans="3:9" ht="15.75">
      <c r="C11" s="417" t="s">
        <v>67</v>
      </c>
      <c r="D11" s="418"/>
      <c r="E11" s="417"/>
      <c r="F11" s="417"/>
      <c r="G11" s="417"/>
      <c r="H11" s="417"/>
      <c r="I11" s="418"/>
    </row>
    <row r="12" spans="3:9" ht="12.75" customHeight="1"/>
    <row r="13" spans="3:9" ht="12.75" customHeight="1"/>
    <row r="14" spans="3:9" ht="12.75" customHeight="1"/>
    <row r="15" spans="3:9" ht="12.75" customHeight="1"/>
    <row r="16" spans="3:9" ht="12.75" customHeight="1">
      <c r="D16" s="668"/>
      <c r="E16" s="668"/>
      <c r="F16" s="668"/>
      <c r="G16" s="668"/>
      <c r="H16" s="668"/>
    </row>
    <row r="17" spans="3:9" ht="12.75" customHeight="1">
      <c r="D17" s="255"/>
      <c r="F17" s="255"/>
      <c r="G17" s="255"/>
    </row>
    <row r="18" spans="3:9" ht="15.75">
      <c r="C18" s="417" t="s">
        <v>463</v>
      </c>
      <c r="D18" s="418"/>
      <c r="E18" s="417"/>
      <c r="F18" s="418"/>
      <c r="G18" s="417"/>
      <c r="H18" s="417"/>
      <c r="I18" s="418"/>
    </row>
    <row r="19" spans="3:9" ht="12.75" customHeight="1">
      <c r="D19" s="415"/>
      <c r="E19" s="415"/>
      <c r="F19" s="415"/>
      <c r="G19" s="415"/>
      <c r="H19" s="415"/>
    </row>
    <row r="20" spans="3:9" ht="15.75">
      <c r="C20" s="417" t="s">
        <v>464</v>
      </c>
      <c r="D20" s="418"/>
      <c r="E20" s="417"/>
      <c r="F20" s="417"/>
      <c r="G20" s="417"/>
      <c r="H20" s="417"/>
      <c r="I20" s="418"/>
    </row>
    <row r="24" spans="3:9" ht="15.75">
      <c r="D24" s="668"/>
      <c r="E24" s="668"/>
      <c r="F24" s="668"/>
      <c r="G24" s="668"/>
      <c r="H24" s="668"/>
    </row>
    <row r="25" spans="3:9" ht="15.75">
      <c r="D25" s="668"/>
      <c r="E25" s="668"/>
      <c r="F25" s="668"/>
      <c r="G25" s="668"/>
      <c r="H25" s="668"/>
    </row>
  </sheetData>
  <mergeCells count="3">
    <mergeCell ref="D25:H25"/>
    <mergeCell ref="D16:H16"/>
    <mergeCell ref="D24:H24"/>
  </mergeCells>
  <pageMargins left="0.75" right="0.75" top="1" bottom="1" header="0.5" footer="0.5"/>
  <pageSetup orientation="portrait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C43E-6C30-4731-BCB0-B8AFF205248A}">
  <sheetPr>
    <tabColor theme="5" tint="0.39997558519241921"/>
    <pageSetUpPr fitToPage="1"/>
  </sheetPr>
  <dimension ref="A1:V43"/>
  <sheetViews>
    <sheetView zoomScaleNormal="100"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12.140625" style="4" bestFit="1" customWidth="1"/>
    <col min="20" max="20" width="13.28515625" style="4" bestFit="1" customWidth="1"/>
    <col min="21" max="21" width="15.140625" style="4" bestFit="1" customWidth="1"/>
    <col min="22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626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107</v>
      </c>
      <c r="G6" s="12"/>
      <c r="H6" s="12"/>
      <c r="I6" s="12"/>
      <c r="J6" s="12" t="s">
        <v>107</v>
      </c>
      <c r="K6" s="12"/>
      <c r="L6" s="12" t="s">
        <v>107</v>
      </c>
      <c r="M6" s="12"/>
      <c r="N6" s="12"/>
      <c r="O6" s="12"/>
      <c r="P6" s="12"/>
      <c r="Q6" s="12"/>
      <c r="R6" s="12" t="s">
        <v>107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'202111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2021'!N10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>L13+F13</f>
        <v>0</v>
      </c>
      <c r="T13" s="603">
        <f>'Cap&amp;OpEx 2020'!L18+'Cap&amp;OpEx 2021'!G18+'Cap&amp;OpEx 2021'!H18+'Cap&amp;OpEx 2021'!K18+'Cap&amp;OpEx 2021'!L18</f>
        <v>0</v>
      </c>
      <c r="U13" s="491" t="s">
        <v>754</v>
      </c>
    </row>
    <row r="14" spans="1:21">
      <c r="A14" s="6">
        <f t="shared" ref="A14:A19" si="3">A13+1</f>
        <v>2</v>
      </c>
      <c r="B14" s="4"/>
      <c r="C14" s="4" t="s">
        <v>578</v>
      </c>
      <c r="D14" s="6">
        <v>367</v>
      </c>
      <c r="F14" s="360">
        <f>'202111 Bk Depr'!R14</f>
        <v>0</v>
      </c>
      <c r="H14" s="1">
        <f>2.05%/12</f>
        <v>1.7083333333333332E-3</v>
      </c>
      <c r="J14" s="364">
        <f t="shared" si="0"/>
        <v>0</v>
      </c>
      <c r="L14" s="365">
        <f>'Cap&amp;OpEx 2021'!N11</f>
        <v>0</v>
      </c>
      <c r="N14" s="364">
        <f t="shared" si="1"/>
        <v>0</v>
      </c>
      <c r="P14" s="364">
        <f t="shared" si="2"/>
        <v>0</v>
      </c>
      <c r="R14" s="364">
        <f t="shared" ref="R14:R18" si="4">L14+F14</f>
        <v>0</v>
      </c>
      <c r="S14" s="459"/>
      <c r="T14" s="603">
        <f>R14</f>
        <v>0</v>
      </c>
      <c r="U14" s="491" t="s">
        <v>736</v>
      </c>
    </row>
    <row r="15" spans="1:21">
      <c r="A15" s="6">
        <f t="shared" si="3"/>
        <v>3</v>
      </c>
      <c r="B15" s="4"/>
      <c r="C15" s="9" t="s">
        <v>62</v>
      </c>
      <c r="D15" s="6">
        <v>376</v>
      </c>
      <c r="F15" s="360">
        <f>'202111 Bk Depr'!R15</f>
        <v>0</v>
      </c>
      <c r="H15" s="1">
        <f>1.62%/12</f>
        <v>1.3500000000000003E-3</v>
      </c>
      <c r="J15" s="364">
        <f t="shared" si="0"/>
        <v>0</v>
      </c>
      <c r="L15" s="365">
        <f>'2021 Capital Budget'!P29</f>
        <v>0</v>
      </c>
      <c r="N15" s="364">
        <f t="shared" si="1"/>
        <v>0</v>
      </c>
      <c r="P15" s="364">
        <f t="shared" si="2"/>
        <v>0</v>
      </c>
      <c r="R15" s="364">
        <f t="shared" si="4"/>
        <v>0</v>
      </c>
      <c r="S15" s="459"/>
      <c r="T15" s="603">
        <f>'Day 4 Report Dec 2020'!$B$13</f>
        <v>584511.54</v>
      </c>
      <c r="U15" s="491" t="s">
        <v>737</v>
      </c>
    </row>
    <row r="16" spans="1:21">
      <c r="A16" s="6">
        <f t="shared" si="3"/>
        <v>4</v>
      </c>
      <c r="B16" s="4"/>
      <c r="C16" s="9" t="s">
        <v>62</v>
      </c>
      <c r="D16" s="6">
        <v>380</v>
      </c>
      <c r="F16" s="360">
        <f>'202111 Bk Depr'!R16</f>
        <v>12547454.500000004</v>
      </c>
      <c r="H16" s="1">
        <f t="shared" ref="H16:H18" si="5">3.24%/12</f>
        <v>2.7000000000000006E-3</v>
      </c>
      <c r="J16" s="364">
        <f t="shared" si="0"/>
        <v>33878.127150000015</v>
      </c>
      <c r="L16" s="365">
        <f>'Cap&amp;OpEx 2021'!N12-L15</f>
        <v>267563</v>
      </c>
      <c r="N16" s="364">
        <f t="shared" si="1"/>
        <v>361.21005000000008</v>
      </c>
      <c r="P16" s="364">
        <f t="shared" si="2"/>
        <v>34239.337200000016</v>
      </c>
      <c r="R16" s="364">
        <f t="shared" si="4"/>
        <v>12815017.500000004</v>
      </c>
      <c r="T16" s="603"/>
      <c r="U16" s="491" t="s">
        <v>739</v>
      </c>
    </row>
    <row r="17" spans="1:22">
      <c r="A17" s="6">
        <f t="shared" si="3"/>
        <v>5</v>
      </c>
      <c r="B17" s="4"/>
      <c r="C17" s="9" t="s">
        <v>63</v>
      </c>
      <c r="D17" s="6">
        <v>380</v>
      </c>
      <c r="F17" s="360">
        <f>'202111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2021'!N13</f>
        <v>0</v>
      </c>
      <c r="N17" s="364">
        <f t="shared" si="1"/>
        <v>0</v>
      </c>
      <c r="P17" s="364">
        <f t="shared" si="2"/>
        <v>0</v>
      </c>
      <c r="R17" s="364">
        <f t="shared" si="4"/>
        <v>0</v>
      </c>
      <c r="T17" s="603"/>
      <c r="U17" s="491" t="s">
        <v>740</v>
      </c>
    </row>
    <row r="18" spans="1:22">
      <c r="A18" s="6">
        <f t="shared" si="3"/>
        <v>6</v>
      </c>
      <c r="B18" s="4"/>
      <c r="C18" s="4" t="s">
        <v>163</v>
      </c>
      <c r="D18" s="6">
        <v>380</v>
      </c>
      <c r="F18" s="360">
        <f>'202111 Bk Depr'!R18</f>
        <v>33063434.449999999</v>
      </c>
      <c r="H18" s="1">
        <f t="shared" si="5"/>
        <v>2.7000000000000006E-3</v>
      </c>
      <c r="J18" s="364">
        <f t="shared" si="0"/>
        <v>89271.273015000013</v>
      </c>
      <c r="L18" s="366">
        <f>'Cap&amp;OpEx 2021'!N14</f>
        <v>628517.00000000012</v>
      </c>
      <c r="N18" s="364">
        <f t="shared" si="1"/>
        <v>848.49795000000029</v>
      </c>
      <c r="P18" s="364">
        <f t="shared" si="2"/>
        <v>90119.770965000018</v>
      </c>
      <c r="R18" s="364">
        <f t="shared" si="4"/>
        <v>33691951.450000003</v>
      </c>
      <c r="T18" s="603">
        <f>SUM(T13:T17)</f>
        <v>584511.54</v>
      </c>
      <c r="U18" s="491" t="s">
        <v>3</v>
      </c>
    </row>
    <row r="19" spans="1:22">
      <c r="A19" s="6">
        <f t="shared" si="3"/>
        <v>7</v>
      </c>
      <c r="B19" s="4"/>
      <c r="C19" s="4" t="s">
        <v>21</v>
      </c>
      <c r="F19" s="362">
        <f>SUM(F13:F18)</f>
        <v>45610888.950000003</v>
      </c>
      <c r="J19" s="362">
        <f>SUM(J13:J18)</f>
        <v>123149.40016500003</v>
      </c>
      <c r="L19" s="362">
        <f>SUM(L13:L18)</f>
        <v>896080.00000000012</v>
      </c>
      <c r="N19" s="362">
        <f>SUM(N13:N18)</f>
        <v>1209.7080000000003</v>
      </c>
      <c r="P19" s="362">
        <f>SUM(P13:P18)</f>
        <v>124359.10816500004</v>
      </c>
      <c r="R19" s="362">
        <f>SUM(R13:R18)</f>
        <v>46506968.950000003</v>
      </c>
      <c r="T19" s="603">
        <f>'Rev Req 2021-Trans'!R11</f>
        <v>0</v>
      </c>
      <c r="U19" s="491" t="s">
        <v>738</v>
      </c>
    </row>
    <row r="20" spans="1:22">
      <c r="B20" s="4"/>
      <c r="T20" s="604">
        <f>T18-T19</f>
        <v>584511.54</v>
      </c>
      <c r="U20" s="491" t="s">
        <v>39</v>
      </c>
    </row>
    <row r="21" spans="1:22">
      <c r="B21" s="10" t="s">
        <v>12</v>
      </c>
      <c r="C21" s="10"/>
    </row>
    <row r="22" spans="1:22">
      <c r="A22" s="6">
        <f>A19+1</f>
        <v>8</v>
      </c>
      <c r="B22" s="4"/>
      <c r="C22" s="4" t="s">
        <v>453</v>
      </c>
      <c r="D22" s="6">
        <v>376</v>
      </c>
      <c r="F22" s="360">
        <f>'202111 Bk Depr'!R22</f>
        <v>0</v>
      </c>
      <c r="H22" s="663">
        <f>1.62%/12</f>
        <v>1.3500000000000003E-3</v>
      </c>
      <c r="J22" s="364">
        <f t="shared" ref="J22:J27" si="6">F22*H22</f>
        <v>0</v>
      </c>
      <c r="L22" s="365">
        <f>'Cap&amp;OpEx 2021'!N17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22">
      <c r="A23" s="6">
        <f t="shared" ref="A23:A28" si="9">A22+1</f>
        <v>9</v>
      </c>
      <c r="B23" s="4"/>
      <c r="C23" s="4" t="s">
        <v>578</v>
      </c>
      <c r="D23" s="6">
        <v>367</v>
      </c>
      <c r="F23" s="360">
        <f>'202111 Bk Depr'!R23</f>
        <v>0</v>
      </c>
      <c r="H23" s="663">
        <f>2.05%/12</f>
        <v>1.7083333333333332E-3</v>
      </c>
      <c r="J23" s="364">
        <f t="shared" si="6"/>
        <v>0</v>
      </c>
      <c r="L23" s="365">
        <f>'Cap&amp;OpEx 2021'!N18</f>
        <v>0</v>
      </c>
      <c r="N23" s="601">
        <f t="shared" ref="N23:N27" si="10">H23*L23*0.5</f>
        <v>0</v>
      </c>
      <c r="P23" s="364">
        <f t="shared" si="7"/>
        <v>0</v>
      </c>
      <c r="R23" s="364">
        <f t="shared" si="8"/>
        <v>0</v>
      </c>
    </row>
    <row r="24" spans="1:22">
      <c r="A24" s="6">
        <f t="shared" si="9"/>
        <v>10</v>
      </c>
      <c r="B24" s="4"/>
      <c r="C24" s="9" t="s">
        <v>62</v>
      </c>
      <c r="D24" s="6">
        <v>376</v>
      </c>
      <c r="F24" s="360">
        <f>'202111 Bk Depr'!R24</f>
        <v>0</v>
      </c>
      <c r="H24" s="663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22">
      <c r="A25" s="6">
        <f t="shared" si="9"/>
        <v>11</v>
      </c>
      <c r="B25" s="4"/>
      <c r="C25" s="9" t="s">
        <v>62</v>
      </c>
      <c r="D25" s="6">
        <v>380</v>
      </c>
      <c r="F25" s="360">
        <f>'202111 Bk Depr'!R25</f>
        <v>0</v>
      </c>
      <c r="H25" s="663">
        <f>3.24%/12</f>
        <v>2.7000000000000006E-3</v>
      </c>
      <c r="J25" s="364">
        <f t="shared" si="6"/>
        <v>0</v>
      </c>
      <c r="L25" s="365">
        <f>'Cap&amp;OpEx 2021'!N19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22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'202111 Bk Depr'!R26</f>
        <v>0</v>
      </c>
      <c r="G26" s="498"/>
      <c r="H26" s="664">
        <f>3.24%/12</f>
        <v>2.7000000000000006E-3</v>
      </c>
      <c r="I26" s="498"/>
      <c r="J26" s="360">
        <f t="shared" si="6"/>
        <v>0</v>
      </c>
      <c r="K26" s="498"/>
      <c r="L26" s="365">
        <f>'Cap&amp;OpEx 2021'!N20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22">
      <c r="A27" s="6">
        <f t="shared" si="9"/>
        <v>13</v>
      </c>
      <c r="B27" s="4"/>
      <c r="C27" s="9" t="s">
        <v>163</v>
      </c>
      <c r="D27" s="6">
        <v>380</v>
      </c>
      <c r="F27" s="360">
        <f>'202111 Bk Depr'!R27</f>
        <v>0</v>
      </c>
      <c r="H27" s="663">
        <f>3.24%/12</f>
        <v>2.7000000000000006E-3</v>
      </c>
      <c r="J27" s="364">
        <f t="shared" si="6"/>
        <v>0</v>
      </c>
      <c r="L27" s="366">
        <f>'Cap&amp;OpEx 2021'!N21</f>
        <v>0</v>
      </c>
      <c r="N27" s="601">
        <f t="shared" si="10"/>
        <v>0</v>
      </c>
      <c r="P27" s="364">
        <f t="shared" si="7"/>
        <v>0</v>
      </c>
      <c r="R27" s="364">
        <f t="shared" si="8"/>
        <v>0</v>
      </c>
    </row>
    <row r="28" spans="1:22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22">
      <c r="B29" s="4"/>
    </row>
    <row r="30" spans="1:22" s="515" customFormat="1" ht="16.5" thickBot="1">
      <c r="A30" s="6">
        <f>A28+1</f>
        <v>15</v>
      </c>
      <c r="B30" s="11" t="s">
        <v>18</v>
      </c>
      <c r="C30" s="11"/>
      <c r="D30" s="6"/>
      <c r="E30" s="6"/>
      <c r="F30" s="363">
        <f>F19+F28</f>
        <v>45610888.950000003</v>
      </c>
      <c r="G30" s="6"/>
      <c r="H30" s="4"/>
      <c r="I30" s="6"/>
      <c r="J30" s="363">
        <f>J19+J28</f>
        <v>123149.40016500003</v>
      </c>
      <c r="K30" s="6"/>
      <c r="L30" s="363">
        <f>L19+L28</f>
        <v>896080.00000000012</v>
      </c>
      <c r="M30" s="6"/>
      <c r="N30" s="363">
        <f>N19+N28</f>
        <v>1209.7080000000003</v>
      </c>
      <c r="O30" s="6"/>
      <c r="P30" s="363">
        <f>P19+P28</f>
        <v>124359.10816500004</v>
      </c>
      <c r="Q30" s="6"/>
      <c r="R30" s="363">
        <f>R19+R28</f>
        <v>46506968.950000003</v>
      </c>
      <c r="U30" s="590">
        <f>'202112 Bk Depr'!R30-'202101 Bk Depr'!F30</f>
        <v>10965115</v>
      </c>
      <c r="V30" s="515" t="s">
        <v>724</v>
      </c>
    </row>
    <row r="31" spans="1:22" ht="16.5" thickTop="1">
      <c r="B31" s="4"/>
      <c r="U31" s="591">
        <f>SUM('2021 Capital Budget'!E17:M17)</f>
        <v>0</v>
      </c>
      <c r="V31" s="4" t="s">
        <v>723</v>
      </c>
    </row>
    <row r="32" spans="1:22">
      <c r="B32" s="11" t="s">
        <v>19</v>
      </c>
      <c r="C32" s="11"/>
      <c r="U32" s="459">
        <f>SUM(U30:U31)</f>
        <v>10965115</v>
      </c>
      <c r="V32" s="4" t="s">
        <v>3</v>
      </c>
    </row>
    <row r="33" spans="1:22">
      <c r="A33" s="6">
        <f>A30+1</f>
        <v>16</v>
      </c>
      <c r="B33" s="4"/>
      <c r="C33" s="4" t="s">
        <v>453</v>
      </c>
      <c r="D33" s="6">
        <v>376</v>
      </c>
      <c r="F33" s="360">
        <f>'202111 Bk Depr'!R33</f>
        <v>0</v>
      </c>
      <c r="J33" s="364"/>
      <c r="L33" s="365">
        <f>'Cap&amp;OpEx 2021'!N24</f>
        <v>0</v>
      </c>
      <c r="N33" s="364"/>
      <c r="P33" s="364"/>
      <c r="R33" s="364">
        <f t="shared" ref="R33:R38" si="11">L33+F33</f>
        <v>0</v>
      </c>
      <c r="U33" s="592">
        <f>SUM('Cap&amp;OpEx 2021'!O15,'Cap&amp;OpEx 2021'!O22)</f>
        <v>10965115</v>
      </c>
      <c r="V33" s="4" t="s">
        <v>722</v>
      </c>
    </row>
    <row r="34" spans="1:22">
      <c r="A34" s="6">
        <f t="shared" ref="A34:A39" si="12">A33+1</f>
        <v>17</v>
      </c>
      <c r="B34" s="4"/>
      <c r="C34" s="4" t="s">
        <v>578</v>
      </c>
      <c r="D34" s="6">
        <v>367</v>
      </c>
      <c r="F34" s="360">
        <f>'202111 Bk Depr'!R34</f>
        <v>0</v>
      </c>
      <c r="J34" s="364"/>
      <c r="L34" s="365">
        <f>'Cap&amp;OpEx 2021'!N25</f>
        <v>0</v>
      </c>
      <c r="N34" s="364"/>
      <c r="P34" s="364"/>
      <c r="R34" s="364">
        <f t="shared" si="11"/>
        <v>0</v>
      </c>
    </row>
    <row r="35" spans="1:22">
      <c r="A35" s="6">
        <f t="shared" si="12"/>
        <v>18</v>
      </c>
      <c r="B35" s="4"/>
      <c r="C35" s="9" t="s">
        <v>62</v>
      </c>
      <c r="D35" s="6">
        <v>376</v>
      </c>
      <c r="F35" s="360">
        <f>'202111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22">
      <c r="A36" s="6">
        <f t="shared" si="12"/>
        <v>19</v>
      </c>
      <c r="B36" s="4"/>
      <c r="C36" s="9" t="s">
        <v>62</v>
      </c>
      <c r="D36" s="6">
        <v>380</v>
      </c>
      <c r="F36" s="360">
        <f>'202111 Bk Depr'!R36</f>
        <v>2836334.1199999992</v>
      </c>
      <c r="J36" s="364"/>
      <c r="L36" s="365">
        <f>'Cap&amp;OpEx 2021'!N26</f>
        <v>9403</v>
      </c>
      <c r="N36" s="364"/>
      <c r="P36" s="364"/>
      <c r="R36" s="364">
        <f t="shared" si="11"/>
        <v>2845737.1199999992</v>
      </c>
    </row>
    <row r="37" spans="1:22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'202111 Bk Depr'!R37</f>
        <v>0</v>
      </c>
      <c r="G37" s="498"/>
      <c r="I37" s="498"/>
      <c r="J37" s="360"/>
      <c r="K37" s="498"/>
      <c r="L37" s="365">
        <f>'Cap&amp;OpEx 2021'!N27</f>
        <v>0</v>
      </c>
      <c r="M37" s="498"/>
      <c r="N37" s="360"/>
      <c r="O37" s="498"/>
      <c r="P37" s="360"/>
      <c r="Q37" s="498"/>
      <c r="R37" s="360">
        <f t="shared" si="11"/>
        <v>0</v>
      </c>
    </row>
    <row r="38" spans="1:22">
      <c r="A38" s="6">
        <f t="shared" si="12"/>
        <v>21</v>
      </c>
      <c r="B38" s="4"/>
      <c r="C38" s="9" t="s">
        <v>163</v>
      </c>
      <c r="D38" s="6">
        <v>380</v>
      </c>
      <c r="F38" s="360">
        <f>'202111 Bk Depr'!R38</f>
        <v>16013.050000000003</v>
      </c>
      <c r="J38" s="364"/>
      <c r="L38" s="366">
        <f>'Cap&amp;OpEx 2021'!N28</f>
        <v>1250</v>
      </c>
      <c r="N38" s="364"/>
      <c r="P38" s="364"/>
      <c r="R38" s="364">
        <f t="shared" si="11"/>
        <v>17263.050000000003</v>
      </c>
    </row>
    <row r="39" spans="1:22">
      <c r="A39" s="6">
        <f t="shared" si="12"/>
        <v>22</v>
      </c>
      <c r="B39" s="4"/>
      <c r="C39" s="4" t="s">
        <v>23</v>
      </c>
      <c r="F39" s="362">
        <f>SUM(F33:F38)</f>
        <v>2852347.169999999</v>
      </c>
      <c r="J39" s="362">
        <f>SUM(J33:J38)</f>
        <v>0</v>
      </c>
      <c r="L39" s="362">
        <f>SUM(L33:L38)</f>
        <v>10653</v>
      </c>
      <c r="N39" s="362">
        <f>SUM(N33:N38)</f>
        <v>0</v>
      </c>
      <c r="P39" s="362">
        <f>SUM(P33:P38)</f>
        <v>0</v>
      </c>
      <c r="R39" s="362">
        <f>SUM(R33:R38)</f>
        <v>2863000.169999999</v>
      </c>
    </row>
    <row r="42" spans="1:22">
      <c r="L42" s="4" t="s">
        <v>705</v>
      </c>
      <c r="N42" s="4" t="s">
        <v>372</v>
      </c>
      <c r="P42" s="459">
        <f>SUM(P13,P16:P18,P22,P25:P27)</f>
        <v>124359.10816500004</v>
      </c>
    </row>
    <row r="43" spans="1:22">
      <c r="N43" s="4" t="s">
        <v>387</v>
      </c>
      <c r="P43" s="459">
        <f>SUM(P14,P23)</f>
        <v>0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16 of 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C2AB-91F8-4A4A-9613-B1B977BE27BC}">
  <sheetPr>
    <tabColor theme="5" tint="0.39997558519241921"/>
    <pageSetUpPr fitToPage="1"/>
  </sheetPr>
  <dimension ref="A1:AC95"/>
  <sheetViews>
    <sheetView zoomScale="80" zoomScaleNormal="80" workbookViewId="0"/>
  </sheetViews>
  <sheetFormatPr defaultColWidth="9.140625" defaultRowHeight="12.75"/>
  <cols>
    <col min="1" max="1" width="5.140625" style="52" customWidth="1"/>
    <col min="2" max="2" width="3.140625" style="52" customWidth="1"/>
    <col min="3" max="3" width="11.85546875" style="52" customWidth="1"/>
    <col min="4" max="4" width="11.85546875" style="52" hidden="1" customWidth="1"/>
    <col min="5" max="5" width="8.85546875" style="52" bestFit="1" customWidth="1"/>
    <col min="6" max="6" width="1.140625" style="52" customWidth="1"/>
    <col min="7" max="7" width="6.140625" style="52" bestFit="1" customWidth="1"/>
    <col min="8" max="8" width="14.140625" style="52" bestFit="1" customWidth="1"/>
    <col min="9" max="12" width="14.140625" style="52" customWidth="1"/>
    <col min="13" max="13" width="15" style="52" bestFit="1" customWidth="1"/>
    <col min="14" max="14" width="13.85546875" style="52" bestFit="1" customWidth="1"/>
    <col min="15" max="15" width="14.42578125" style="52" bestFit="1" customWidth="1"/>
    <col min="16" max="16" width="13.85546875" style="52" bestFit="1" customWidth="1"/>
    <col min="17" max="17" width="11.5703125" style="52" bestFit="1" customWidth="1"/>
    <col min="18" max="18" width="10.85546875" style="52" customWidth="1"/>
    <col min="19" max="19" width="11.42578125" style="52" customWidth="1"/>
    <col min="20" max="20" width="11.140625" style="52" customWidth="1"/>
    <col min="21" max="21" width="14.85546875" style="52" customWidth="1"/>
    <col min="22" max="22" width="12" style="52" customWidth="1"/>
    <col min="23" max="23" width="9.140625" style="52"/>
    <col min="24" max="24" width="13.85546875" style="52" customWidth="1"/>
    <col min="25" max="27" width="9.140625" style="52"/>
    <col min="28" max="28" width="11.85546875" style="52" customWidth="1"/>
    <col min="29" max="16384" width="9.140625" style="52"/>
  </cols>
  <sheetData>
    <row r="1" spans="1:29" ht="18.75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9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9" ht="18.75">
      <c r="A3" s="191" t="s">
        <v>594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1:29">
      <c r="A4" s="53"/>
    </row>
    <row r="6" spans="1:29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54"/>
      <c r="L6" s="54"/>
      <c r="M6" s="155"/>
      <c r="N6" s="54"/>
      <c r="O6" s="54"/>
      <c r="P6" s="54"/>
      <c r="Q6" s="54"/>
      <c r="R6" s="54"/>
      <c r="S6" s="54"/>
      <c r="T6" s="54"/>
      <c r="U6" s="54"/>
    </row>
    <row r="7" spans="1:29" ht="25.5">
      <c r="A7" s="54"/>
      <c r="B7" s="54"/>
      <c r="C7" s="55"/>
      <c r="D7" s="54" t="s">
        <v>25</v>
      </c>
      <c r="E7" s="55" t="s">
        <v>598</v>
      </c>
      <c r="F7" s="54"/>
      <c r="G7" s="54"/>
      <c r="H7" s="54"/>
      <c r="I7" s="54"/>
      <c r="J7" s="54"/>
      <c r="K7" s="54"/>
      <c r="L7" s="54"/>
      <c r="M7" s="54" t="s">
        <v>3</v>
      </c>
      <c r="N7" s="54" t="s">
        <v>35</v>
      </c>
      <c r="O7" s="54"/>
      <c r="P7" s="54"/>
      <c r="Q7" s="55" t="s">
        <v>181</v>
      </c>
      <c r="R7" s="55" t="s">
        <v>182</v>
      </c>
      <c r="S7" s="55" t="s">
        <v>187</v>
      </c>
      <c r="T7" s="55" t="s">
        <v>189</v>
      </c>
      <c r="U7" s="54" t="s">
        <v>41</v>
      </c>
      <c r="V7" s="55" t="s">
        <v>164</v>
      </c>
      <c r="W7" s="55"/>
      <c r="X7" s="55" t="s">
        <v>669</v>
      </c>
    </row>
    <row r="8" spans="1:29">
      <c r="A8" s="54" t="s">
        <v>4</v>
      </c>
      <c r="B8" s="54"/>
      <c r="C8" s="54"/>
      <c r="D8" s="54" t="s">
        <v>26</v>
      </c>
      <c r="E8" s="54" t="s">
        <v>599</v>
      </c>
      <c r="F8" s="54"/>
      <c r="G8" s="54"/>
      <c r="H8" s="54">
        <v>2017</v>
      </c>
      <c r="I8" s="54">
        <v>2018</v>
      </c>
      <c r="J8" s="54">
        <v>2019</v>
      </c>
      <c r="K8" s="54">
        <v>2020</v>
      </c>
      <c r="L8" s="54">
        <v>2021</v>
      </c>
      <c r="M8" s="54" t="s">
        <v>34</v>
      </c>
      <c r="N8" s="54" t="s">
        <v>36</v>
      </c>
      <c r="O8" s="54" t="s">
        <v>38</v>
      </c>
      <c r="P8" s="54"/>
      <c r="Q8" s="54" t="s">
        <v>34</v>
      </c>
      <c r="R8" s="54" t="s">
        <v>34</v>
      </c>
      <c r="S8" s="54" t="s">
        <v>188</v>
      </c>
      <c r="T8" s="54" t="s">
        <v>190</v>
      </c>
      <c r="U8" s="54" t="s">
        <v>40</v>
      </c>
      <c r="V8" s="54" t="s">
        <v>237</v>
      </c>
      <c r="W8" s="54" t="s">
        <v>164</v>
      </c>
      <c r="X8" s="54" t="s">
        <v>40</v>
      </c>
    </row>
    <row r="9" spans="1:29">
      <c r="A9" s="559" t="s">
        <v>5</v>
      </c>
      <c r="B9" s="559"/>
      <c r="C9" s="559"/>
      <c r="D9" s="559" t="s">
        <v>2</v>
      </c>
      <c r="E9" s="559" t="s">
        <v>600</v>
      </c>
      <c r="F9" s="559"/>
      <c r="G9" s="559" t="s">
        <v>108</v>
      </c>
      <c r="H9" s="559" t="s">
        <v>20</v>
      </c>
      <c r="I9" s="559" t="s">
        <v>20</v>
      </c>
      <c r="J9" s="559" t="s">
        <v>20</v>
      </c>
      <c r="K9" s="559" t="s">
        <v>20</v>
      </c>
      <c r="L9" s="559" t="s">
        <v>20</v>
      </c>
      <c r="M9" s="559" t="s">
        <v>0</v>
      </c>
      <c r="N9" s="559" t="s">
        <v>37</v>
      </c>
      <c r="O9" s="559" t="s">
        <v>0</v>
      </c>
      <c r="P9" s="559" t="s">
        <v>39</v>
      </c>
      <c r="Q9" s="56" t="s">
        <v>346</v>
      </c>
      <c r="R9" s="56" t="s">
        <v>186</v>
      </c>
      <c r="S9" s="56" t="s">
        <v>346</v>
      </c>
      <c r="T9" s="56" t="s">
        <v>12</v>
      </c>
      <c r="U9" s="559" t="s">
        <v>42</v>
      </c>
      <c r="V9" s="56" t="s">
        <v>238</v>
      </c>
      <c r="W9" s="56" t="s">
        <v>239</v>
      </c>
      <c r="X9" s="559" t="s">
        <v>42</v>
      </c>
    </row>
    <row r="10" spans="1:29">
      <c r="C10" s="57"/>
      <c r="D10" s="57" t="s">
        <v>71</v>
      </c>
      <c r="E10" s="57"/>
      <c r="F10" s="58"/>
      <c r="G10" s="58"/>
      <c r="H10" s="57" t="s">
        <v>166</v>
      </c>
      <c r="I10" s="57" t="s">
        <v>167</v>
      </c>
      <c r="J10" s="57" t="s">
        <v>168</v>
      </c>
      <c r="K10" s="57" t="s">
        <v>177</v>
      </c>
      <c r="L10" s="57" t="s">
        <v>213</v>
      </c>
    </row>
    <row r="11" spans="1:29">
      <c r="A11" s="52">
        <v>1</v>
      </c>
      <c r="C11" s="57" t="s">
        <v>70</v>
      </c>
      <c r="D11" s="59"/>
      <c r="E11" s="57"/>
      <c r="H11" s="231">
        <f>SUM('201707 Bk Depr'!L17,'201708 Bk Depr'!L17,'201709 Bk Depr'!L17,'201710 Bk Depr'!L17,'201711 Bk Depr'!L17,'201712 Bk Depr'!L17)-'Tax Depr 2020-Dist'!H12-'Tax Depr 2020-Dist'!H13</f>
        <v>1255457.3250000002</v>
      </c>
      <c r="I11" s="231">
        <f>SUM('201801 Bk Depr'!L17,'201802 Bk Depr'!L17,'201803 Bk Depr'!L17,'201804 Bk Depr'!L17,'201805 Bk Depr'!L17,'201806 Bk Depr'!L17,'201807 Bk Depr'!L17,'201808 Bk Depr'!L17,'201809 Bk Depr'!L17,'201810 Bk Depr'!L17,'201811 Bk Depr'!L17,'201812 Bk Depr'!L17)-'Tax Depr 2020-Dist'!I12-'Tax Depr 2020-Dist'!I13</f>
        <v>4755556.2</v>
      </c>
      <c r="J11" s="231">
        <f>SUM('201901 Bk Depr'!L17,'201902 Bk Depr'!L17,'201903 Bk Depr'!L17,'201904 Bk Depr'!L17,'201905 Bk Depr'!L17,'201906 Bk Depr'!L17,'201907 Bk Depr'!L17,'201908 Bk Depr'!L17,'201909 Bk Depr'!L17,'201910 Bk Depr'!L17,'201911 Bk Depr'!L17,'201912 Bk Depr'!L17)-J12-J13</f>
        <v>4801920.540000001</v>
      </c>
      <c r="K11" s="231">
        <f>SUM('202001 Bk Depr'!L13,'202001 Bk Depr'!L15:L18,'202002 Bk Depr'!L13,'202002 Bk Depr'!L15:L18,'202003 Bk Depr'!L13,'202003 Bk Depr'!L15:L18,'202004 Bk Depr'!L13,'202004 Bk Depr'!L15:L18,'202005 Bk Depr'!L13,'202005 Bk Depr'!L15:L18,'202006 Bk Depr'!L13,'202006 Bk Depr'!L15:L18,'202007 Bk Depr'!L13,'202007 Bk Depr'!L15:L18,'202008 Bk Depr'!L13,'202008 Bk Depr'!L15:L18,'202009 Bk Depr'!L13,'202009 Bk Depr'!L15:L18,'202010 Bk Depr'!L13,'202010 Bk Depr'!L15:L18,'202011 Bk Depr'!L13,'202011 Bk Depr'!L15:L18,'202012 Bk Depr'!L13,'202012 Bk Depr'!L15:L18)-K12-K13</f>
        <v>4929671.7300000023</v>
      </c>
      <c r="L11" s="27">
        <f>SUM('202101 Bk Depr'!L13,'202101 Bk Depr'!L15:L18,'202102 Bk Depr'!L13,'202102 Bk Depr'!L15:L18,'202103 Bk Depr'!L13,'202103 Bk Depr'!L15:L18,'202104 Bk Depr'!L13,'202104 Bk Depr'!L15:L18,'202105 Bk Depr'!L13,'202105 Bk Depr'!L15:L18,'202106 Bk Depr'!L13,'202106 Bk Depr'!L15:L18,'202107 Bk Depr'!L13,'202107 Bk Depr'!L15:L18,'202108 Bk Depr'!L13,'202108 Bk Depr'!L15:L18,'202109 Bk Depr'!L13,'202109 Bk Depr'!L15:L18,'202110 Bk Depr'!L13,'202110 Bk Depr'!L15:L18,'202111 Bk Depr'!L13,'202111 Bk Depr'!L15:L18,'202112 Bk Depr'!L13,'202112 Bk Depr'!L15:L18)-L12-L13</f>
        <v>4889916</v>
      </c>
    </row>
    <row r="12" spans="1:29">
      <c r="A12" s="52">
        <v>2</v>
      </c>
      <c r="C12" s="57" t="s">
        <v>74</v>
      </c>
      <c r="D12" s="59"/>
      <c r="E12" s="57"/>
      <c r="H12" s="231">
        <f>'Tax Depr 2017'!L12</f>
        <v>2278129.7399999998</v>
      </c>
      <c r="I12" s="231">
        <f>'Tax Depr 2018'!H12</f>
        <v>5069750.87</v>
      </c>
      <c r="J12" s="231">
        <f>'Tax Depr 2019'!I12</f>
        <v>6475425.9100000001</v>
      </c>
      <c r="K12" s="231">
        <f>'Tax Depr 2020-Dist'!K12</f>
        <v>4720422.3099999987</v>
      </c>
      <c r="L12" s="231">
        <f>SUM('2021 Capital Budget'!Q9:Q11,'2021 Capital Budget'!Q15:Q16)</f>
        <v>6075199</v>
      </c>
    </row>
    <row r="13" spans="1:29">
      <c r="A13" s="52">
        <v>3</v>
      </c>
      <c r="C13" s="57" t="s">
        <v>185</v>
      </c>
      <c r="D13" s="59"/>
      <c r="E13" s="57"/>
      <c r="H13" s="231">
        <f>'Tax Depr 2017'!L13</f>
        <v>1255457.3249999997</v>
      </c>
      <c r="I13" s="231">
        <f>'Tax Depr 2018'!H13</f>
        <v>0</v>
      </c>
      <c r="J13" s="231">
        <f>'Tax Depr 2019'!I13</f>
        <v>0</v>
      </c>
      <c r="K13" s="231">
        <f>'Tax Depr 2020-Dist'!K13</f>
        <v>0</v>
      </c>
      <c r="L13" s="231">
        <v>0</v>
      </c>
    </row>
    <row r="14" spans="1:29">
      <c r="C14" s="59"/>
      <c r="E14" s="59"/>
      <c r="H14" s="231"/>
      <c r="I14" s="231"/>
      <c r="J14" s="231"/>
      <c r="K14" s="231"/>
      <c r="Z14" s="50"/>
      <c r="AA14" s="50"/>
      <c r="AB14" s="50"/>
      <c r="AC14" s="50"/>
    </row>
    <row r="15" spans="1:29">
      <c r="C15" s="54" t="s">
        <v>604</v>
      </c>
      <c r="H15" s="195"/>
      <c r="I15" s="195"/>
      <c r="J15" s="195"/>
      <c r="K15" s="195"/>
      <c r="L15" s="195"/>
      <c r="M15" s="195"/>
      <c r="N15" s="195"/>
      <c r="O15" s="244"/>
      <c r="Z15" s="50"/>
      <c r="AA15" s="50"/>
      <c r="AB15" s="50"/>
      <c r="AC15" s="50"/>
    </row>
    <row r="16" spans="1:29">
      <c r="C16" s="54" t="s">
        <v>605</v>
      </c>
      <c r="H16" s="57" t="s">
        <v>166</v>
      </c>
      <c r="I16" s="57" t="s">
        <v>167</v>
      </c>
      <c r="J16" s="57" t="s">
        <v>168</v>
      </c>
      <c r="K16" s="57" t="s">
        <v>177</v>
      </c>
      <c r="L16" s="57" t="s">
        <v>213</v>
      </c>
      <c r="T16" s="231">
        <v>0</v>
      </c>
      <c r="U16" s="27">
        <f>T16+'Tax Depr 2020-Dist'!T28</f>
        <v>6068304.7892755894</v>
      </c>
      <c r="X16" s="231">
        <f>U16</f>
        <v>6068304.7892755894</v>
      </c>
      <c r="Z16" s="50"/>
      <c r="AA16" s="50"/>
      <c r="AB16" s="50"/>
      <c r="AC16" s="50"/>
    </row>
    <row r="17" spans="1:29">
      <c r="A17" s="52">
        <f>A13+1</f>
        <v>4</v>
      </c>
      <c r="C17" s="61">
        <v>3.7499999999999999E-2</v>
      </c>
      <c r="D17" s="61">
        <v>0.05</v>
      </c>
      <c r="E17" s="156">
        <v>1</v>
      </c>
      <c r="G17" s="52">
        <v>1</v>
      </c>
      <c r="H17" s="231">
        <f>$H$11*$C$21/12</f>
        <v>5977.0230814375018</v>
      </c>
      <c r="I17" s="231">
        <f>$I$11*$C$20/12</f>
        <v>24479.225539499999</v>
      </c>
      <c r="J17" s="231">
        <f>$J$11*$C$19/12</f>
        <v>26718.686204650003</v>
      </c>
      <c r="K17" s="27">
        <f>$K$11*$C$18/12</f>
        <v>29656.083515725015</v>
      </c>
      <c r="L17" s="27">
        <f>(('202101 Bk Depr'!$L$19-'202101 Bk Depr'!$L$14-SUM('2021 Capital Budget'!$E$9:$E$11,'2021 Capital Budget'!$E$15:$E$16)-(1/12*$L$13))*$C$17)+SUM('2021 Capital Budget'!$E$9:$E$11,'2021 Capital Budget'!$E$15:$E$16)+(1/12*$L$13)</f>
        <v>502822.2416666667</v>
      </c>
      <c r="M17" s="231">
        <f>SUM(H17:L17)</f>
        <v>589653.26000797923</v>
      </c>
      <c r="N17" s="231">
        <f>SUM('202101 Bk Depr'!$L$33,'202101 Bk Depr'!$L$36,'202101 Bk Depr'!$L$37,'202101 Bk Depr'!$L$38)</f>
        <v>10653</v>
      </c>
      <c r="O17" s="231">
        <f>SUM('202101 Bk Depr'!P13,'202101 Bk Depr'!P15:P18)</f>
        <v>97120.525365000038</v>
      </c>
      <c r="P17" s="231">
        <f>M17+N17-O17</f>
        <v>503185.73464297922</v>
      </c>
      <c r="Q17" s="231">
        <f t="shared" ref="Q17:Q22" si="0">P17*0.21</f>
        <v>105669.00427502564</v>
      </c>
      <c r="R17" s="231">
        <f t="shared" ref="R17:R28" si="1">Q62</f>
        <v>25458.137886220837</v>
      </c>
      <c r="S17" s="231">
        <f t="shared" ref="S17:S22" si="2">-R17*0.21</f>
        <v>-5346.2089561063758</v>
      </c>
      <c r="T17" s="27"/>
      <c r="U17" s="231">
        <f>U16+Q17+R17+S17+T17</f>
        <v>6194085.7224807292</v>
      </c>
      <c r="V17" s="231">
        <f>U17-U16</f>
        <v>125780.93320513982</v>
      </c>
      <c r="W17" s="247" t="s">
        <v>363</v>
      </c>
      <c r="X17" s="231">
        <f>X16+V17*335/365</f>
        <v>6183747.5635871561</v>
      </c>
      <c r="AA17" s="50"/>
      <c r="AB17" s="51"/>
      <c r="AC17" s="50"/>
    </row>
    <row r="18" spans="1:29">
      <c r="A18" s="52">
        <f>A17+1</f>
        <v>5</v>
      </c>
      <c r="C18" s="61">
        <v>7.2190000000000004E-2</v>
      </c>
      <c r="D18" s="61">
        <v>9.5000000000000001E-2</v>
      </c>
      <c r="E18" s="156">
        <v>2</v>
      </c>
      <c r="G18" s="52">
        <v>2</v>
      </c>
      <c r="H18" s="231">
        <f t="shared" ref="H18:H28" si="3">$H$11*$C$21/12</f>
        <v>5977.0230814375018</v>
      </c>
      <c r="I18" s="231">
        <f t="shared" ref="I18:I28" si="4">$I$11*$C$20/12</f>
        <v>24479.225539499999</v>
      </c>
      <c r="J18" s="231">
        <f t="shared" ref="J18:J28" si="5">$J$11*$C$19/12</f>
        <v>26718.686204650003</v>
      </c>
      <c r="K18" s="27">
        <f t="shared" ref="K18:K28" si="6">$K$11*$C$18/12</f>
        <v>29656.083515725015</v>
      </c>
      <c r="L18" s="27">
        <f>(('202102 Bk Depr'!$L$19-'202102 Bk Depr'!$L$14-SUM('2021 Capital Budget'!$F$9:$F$11,'2021 Capital Budget'!$F$15:$F$16)-(1/12*$L$13))*$C$17)+SUM('2021 Capital Budget'!$F$9:$F$11,'2021 Capital Budget'!$F$15:$F$16)+(1/12*$L$13)</f>
        <v>536459.91666666674</v>
      </c>
      <c r="M18" s="231">
        <f t="shared" ref="M18:M28" si="7">SUM(H18:L18)</f>
        <v>623290.93500797928</v>
      </c>
      <c r="N18" s="231">
        <f>SUM('202102 Bk Depr'!$L$33,'202102 Bk Depr'!$L$36,'202102 Bk Depr'!$L$37,'202102 Bk Depr'!$L$38)</f>
        <v>10653</v>
      </c>
      <c r="O18" s="231">
        <f>SUM('202102 Bk Depr'!P13,'202102 Bk Depr'!P15:P18)</f>
        <v>99535.676715000038</v>
      </c>
      <c r="P18" s="231">
        <f t="shared" ref="P18:P28" si="8">M18+N18-O18</f>
        <v>534408.25829297921</v>
      </c>
      <c r="Q18" s="231">
        <f t="shared" si="0"/>
        <v>112225.73424152563</v>
      </c>
      <c r="R18" s="231">
        <f t="shared" si="1"/>
        <v>27019.264068720833</v>
      </c>
      <c r="S18" s="231">
        <f t="shared" si="2"/>
        <v>-5674.0454544313743</v>
      </c>
      <c r="T18" s="27"/>
      <c r="U18" s="231">
        <f t="shared" ref="U18:U27" si="9">U17+Q18+R18+S18+T18</f>
        <v>6327656.6753365444</v>
      </c>
      <c r="V18" s="231">
        <f t="shared" ref="V18:V28" si="10">U18-U17</f>
        <v>133570.95285581518</v>
      </c>
      <c r="W18" s="247" t="s">
        <v>364</v>
      </c>
      <c r="X18" s="231">
        <f>X17+V18*307/365</f>
        <v>6296093.5431124587</v>
      </c>
      <c r="AA18" s="50"/>
      <c r="AB18" s="51"/>
      <c r="AC18" s="50"/>
    </row>
    <row r="19" spans="1:29">
      <c r="A19" s="52">
        <f t="shared" ref="A19:A44" si="11">A18+1</f>
        <v>6</v>
      </c>
      <c r="C19" s="61">
        <v>6.6769999999999996E-2</v>
      </c>
      <c r="D19" s="61">
        <v>8.5500000000000007E-2</v>
      </c>
      <c r="E19" s="156">
        <v>3</v>
      </c>
      <c r="G19" s="52">
        <v>3</v>
      </c>
      <c r="H19" s="231">
        <f t="shared" si="3"/>
        <v>5977.0230814375018</v>
      </c>
      <c r="I19" s="231">
        <f t="shared" si="4"/>
        <v>24479.225539499999</v>
      </c>
      <c r="J19" s="231">
        <f t="shared" si="5"/>
        <v>26718.686204650003</v>
      </c>
      <c r="K19" s="27">
        <f t="shared" si="6"/>
        <v>29656.083515725015</v>
      </c>
      <c r="L19" s="27">
        <f>(('202103 Bk Depr'!$L$19-'202103 Bk Depr'!$L$14-SUM('2021 Capital Budget'!$G$9:$G$11,'2021 Capital Budget'!$G$15:$G$16)-(1/12*$L$13))*$C$17)+SUM('2021 Capital Budget'!$G$9:$G$11,'2021 Capital Budget'!$G$15:$G$16)+(1/12*$L$13)</f>
        <v>530290.47916666674</v>
      </c>
      <c r="M19" s="231">
        <f t="shared" si="7"/>
        <v>617121.49750797928</v>
      </c>
      <c r="N19" s="231">
        <f>SUM('202103 Bk Depr'!$L$33,'202103 Bk Depr'!$L$36,'202103 Bk Depr'!$L$37,'202103 Bk Depr'!$L$38)</f>
        <v>10653</v>
      </c>
      <c r="O19" s="231">
        <f>SUM('202103 Bk Depr'!P13,'202103 Bk Depr'!P15:P18)</f>
        <v>102050.63491500003</v>
      </c>
      <c r="P19" s="231">
        <f t="shared" si="8"/>
        <v>525723.86259297922</v>
      </c>
      <c r="Q19" s="231">
        <f t="shared" si="0"/>
        <v>110402.01114452563</v>
      </c>
      <c r="R19" s="231">
        <f t="shared" si="1"/>
        <v>26585.044283720836</v>
      </c>
      <c r="S19" s="231">
        <f t="shared" si="2"/>
        <v>-5582.8592995813751</v>
      </c>
      <c r="T19" s="27"/>
      <c r="U19" s="231">
        <f t="shared" si="9"/>
        <v>6459060.8714652089</v>
      </c>
      <c r="V19" s="231">
        <f t="shared" si="10"/>
        <v>131404.19612866454</v>
      </c>
      <c r="W19" s="247" t="s">
        <v>365</v>
      </c>
      <c r="X19" s="231">
        <f>X18+V19*276/365</f>
        <v>6395456.7160755033</v>
      </c>
      <c r="AA19" s="50"/>
      <c r="AB19" s="51"/>
      <c r="AC19" s="50"/>
    </row>
    <row r="20" spans="1:29">
      <c r="A20" s="52">
        <f t="shared" si="11"/>
        <v>7</v>
      </c>
      <c r="C20" s="61">
        <v>6.1769999999999999E-2</v>
      </c>
      <c r="D20" s="61">
        <v>7.6999999999999999E-2</v>
      </c>
      <c r="E20" s="156">
        <v>4</v>
      </c>
      <c r="G20" s="52">
        <v>4</v>
      </c>
      <c r="H20" s="231">
        <f t="shared" si="3"/>
        <v>5977.0230814375018</v>
      </c>
      <c r="I20" s="231">
        <f t="shared" si="4"/>
        <v>24479.225539499999</v>
      </c>
      <c r="J20" s="231">
        <f t="shared" si="5"/>
        <v>26718.686204650003</v>
      </c>
      <c r="K20" s="27">
        <f t="shared" si="6"/>
        <v>29656.083515725015</v>
      </c>
      <c r="L20" s="27">
        <f>(('202104 Bk Depr'!$L$19-'202104 Bk Depr'!$L$14-SUM('2021 Capital Budget'!$H$9:$H$11,'2021 Capital Budget'!$H$15:$H$16)-(1/12*$L$13))*$C$17)+SUM('2021 Capital Budget'!$H$9:$H$11,'2021 Capital Budget'!$H$15:$H$16)+(1/12*$L$13)</f>
        <v>497265.89166666666</v>
      </c>
      <c r="M20" s="231">
        <f t="shared" si="7"/>
        <v>584096.91000797914</v>
      </c>
      <c r="N20" s="231">
        <f>SUM('202104 Bk Depr'!$L$33,'202104 Bk Depr'!$L$36,'202104 Bk Depr'!$L$37,'202104 Bk Depr'!$L$38)</f>
        <v>10653</v>
      </c>
      <c r="O20" s="231">
        <f>SUM('202104 Bk Depr'!P13,'202104 Bk Depr'!P15:P18)</f>
        <v>104495.04346500002</v>
      </c>
      <c r="P20" s="231">
        <f t="shared" si="8"/>
        <v>490254.86654297914</v>
      </c>
      <c r="Q20" s="231">
        <f t="shared" si="0"/>
        <v>102953.52197402561</v>
      </c>
      <c r="R20" s="231">
        <f t="shared" si="1"/>
        <v>24811.594481220836</v>
      </c>
      <c r="S20" s="231">
        <f t="shared" si="2"/>
        <v>-5210.4348410563753</v>
      </c>
      <c r="T20" s="27"/>
      <c r="U20" s="231">
        <f t="shared" si="9"/>
        <v>6581615.5530793983</v>
      </c>
      <c r="V20" s="231">
        <f t="shared" si="10"/>
        <v>122554.68161418941</v>
      </c>
      <c r="W20" s="247" t="s">
        <v>366</v>
      </c>
      <c r="X20" s="231">
        <f>X19+V20*246/365</f>
        <v>6478055.2138209566</v>
      </c>
      <c r="AA20" s="153"/>
      <c r="AB20" s="51"/>
      <c r="AC20" s="50"/>
    </row>
    <row r="21" spans="1:29">
      <c r="A21" s="52">
        <f t="shared" si="11"/>
        <v>8</v>
      </c>
      <c r="C21" s="61">
        <v>5.713E-2</v>
      </c>
      <c r="D21" s="61">
        <v>6.93E-2</v>
      </c>
      <c r="E21" s="156">
        <v>5</v>
      </c>
      <c r="G21" s="52">
        <v>5</v>
      </c>
      <c r="H21" s="231">
        <f t="shared" si="3"/>
        <v>5977.0230814375018</v>
      </c>
      <c r="I21" s="231">
        <f t="shared" si="4"/>
        <v>24479.225539499999</v>
      </c>
      <c r="J21" s="231">
        <f t="shared" si="5"/>
        <v>26718.686204650003</v>
      </c>
      <c r="K21" s="27">
        <f t="shared" si="6"/>
        <v>29656.083515725015</v>
      </c>
      <c r="L21" s="27">
        <f>(('202105 Bk Depr'!$L$19-'202105 Bk Depr'!$L$14-SUM('2021 Capital Budget'!$I$9:$I$11,'2021 Capital Budget'!$I$15:$I$16)-(1/12*$L$13))*$C$17)+SUM('2021 Capital Budget'!$I$9:$I$11,'2021 Capital Budget'!$I$15:$I$16)+(1/12*$L$13)</f>
        <v>548302.2416666667</v>
      </c>
      <c r="M21" s="231">
        <f t="shared" si="7"/>
        <v>635133.26000797923</v>
      </c>
      <c r="N21" s="231">
        <f>SUM('202105 Bk Depr'!$L$33,'202105 Bk Depr'!$L$36,'202105 Bk Depr'!$L$37,'202105 Bk Depr'!$L$38)</f>
        <v>10653</v>
      </c>
      <c r="O21" s="231">
        <f>SUM('202105 Bk Depr'!P13,'202105 Bk Depr'!P15:P18)</f>
        <v>106970.48176500002</v>
      </c>
      <c r="P21" s="231">
        <f t="shared" si="8"/>
        <v>538815.7782429792</v>
      </c>
      <c r="Q21" s="231">
        <f t="shared" si="0"/>
        <v>113151.31343102563</v>
      </c>
      <c r="R21" s="231">
        <f t="shared" si="1"/>
        <v>27239.640066220833</v>
      </c>
      <c r="S21" s="231">
        <f t="shared" si="2"/>
        <v>-5720.3244139063745</v>
      </c>
      <c r="T21" s="27"/>
      <c r="U21" s="231">
        <f t="shared" si="9"/>
        <v>6716286.1821627375</v>
      </c>
      <c r="V21" s="231">
        <f t="shared" si="10"/>
        <v>134670.62908333912</v>
      </c>
      <c r="W21" s="247" t="s">
        <v>367</v>
      </c>
      <c r="X21" s="231">
        <f>X20+V21*215/365</f>
        <v>6557381.7487604581</v>
      </c>
      <c r="AA21" s="50"/>
      <c r="AB21" s="51"/>
      <c r="AC21" s="50"/>
    </row>
    <row r="22" spans="1:29">
      <c r="A22" s="52">
        <f t="shared" si="11"/>
        <v>9</v>
      </c>
      <c r="C22" s="61">
        <v>5.2850000000000001E-2</v>
      </c>
      <c r="D22" s="61">
        <v>6.2300000000000001E-2</v>
      </c>
      <c r="E22" s="156">
        <v>6</v>
      </c>
      <c r="G22" s="52">
        <v>6</v>
      </c>
      <c r="H22" s="231">
        <f t="shared" si="3"/>
        <v>5977.0230814375018</v>
      </c>
      <c r="I22" s="231">
        <f t="shared" si="4"/>
        <v>24479.225539499999</v>
      </c>
      <c r="J22" s="231">
        <f t="shared" si="5"/>
        <v>26718.686204650003</v>
      </c>
      <c r="K22" s="27">
        <f t="shared" si="6"/>
        <v>29656.083515725015</v>
      </c>
      <c r="L22" s="27">
        <f>(('202106 Bk Depr'!$L$19-'202106 Bk Depr'!$L$14-SUM('2021 Capital Budget'!$J$9:$J$11,'2021 Capital Budget'!$J$15:$J$16)-(1/12*$L$13))*$C$17)+SUM('2021 Capital Budget'!$J$9:$J$11,'2021 Capital Budget'!$J$15:$J$16)+(1/12*$L$13)</f>
        <v>524462.54166666674</v>
      </c>
      <c r="M22" s="231">
        <f t="shared" si="7"/>
        <v>611293.56000797928</v>
      </c>
      <c r="N22" s="231">
        <f>SUM('202106 Bk Depr'!$L$33,'202106 Bk Depr'!$L$36,'202106 Bk Depr'!$L$37,'202106 Bk Depr'!$L$38)</f>
        <v>10653</v>
      </c>
      <c r="O22" s="231">
        <f>SUM('202106 Bk Depr'!P13,'202106 Bk Depr'!P15:P18)</f>
        <v>109487.26651500004</v>
      </c>
      <c r="P22" s="231">
        <f t="shared" si="8"/>
        <v>512459.29349297925</v>
      </c>
      <c r="Q22" s="231">
        <f t="shared" si="0"/>
        <v>107616.45163352563</v>
      </c>
      <c r="R22" s="231">
        <f t="shared" si="1"/>
        <v>25921.815828720835</v>
      </c>
      <c r="S22" s="231">
        <f t="shared" si="2"/>
        <v>-5443.5813240313755</v>
      </c>
      <c r="T22" s="27"/>
      <c r="U22" s="231">
        <f t="shared" si="9"/>
        <v>6844380.8683009529</v>
      </c>
      <c r="V22" s="231">
        <f t="shared" si="10"/>
        <v>128094.68613821547</v>
      </c>
      <c r="W22" s="247" t="s">
        <v>362</v>
      </c>
      <c r="X22" s="231">
        <f>X21+V22*185/365</f>
        <v>6622306.4526935266</v>
      </c>
      <c r="AA22" s="50"/>
      <c r="AB22" s="50"/>
      <c r="AC22" s="50"/>
    </row>
    <row r="23" spans="1:29">
      <c r="A23" s="52">
        <f t="shared" si="11"/>
        <v>10</v>
      </c>
      <c r="C23" s="61">
        <v>4.888E-2</v>
      </c>
      <c r="D23" s="61">
        <v>5.8999999999999997E-2</v>
      </c>
      <c r="E23" s="156">
        <v>7</v>
      </c>
      <c r="G23" s="52">
        <v>7</v>
      </c>
      <c r="H23" s="231">
        <f t="shared" si="3"/>
        <v>5977.0230814375018</v>
      </c>
      <c r="I23" s="231">
        <f t="shared" si="4"/>
        <v>24479.225539499999</v>
      </c>
      <c r="J23" s="231">
        <f t="shared" si="5"/>
        <v>26718.686204650003</v>
      </c>
      <c r="K23" s="27">
        <f t="shared" si="6"/>
        <v>29656.083515725015</v>
      </c>
      <c r="L23" s="27">
        <f>(('202107 Bk Depr'!$L$19-'202107 Bk Depr'!$L$14-SUM('2021 Capital Budget'!$K$9:$K$11,'2021 Capital Budget'!$K$15:$K$16)-(1/12*$L$13))*$C$17)+SUM('2021 Capital Budget'!$K$9:$K$11,'2021 Capital Budget'!$K$15:$K$16)+(1/12*$L$13)</f>
        <v>503736.85416666669</v>
      </c>
      <c r="M23" s="231">
        <f t="shared" si="7"/>
        <v>590567.87250797916</v>
      </c>
      <c r="N23" s="231">
        <f>SUM('202107 Bk Depr'!$L$33,'202107 Bk Depr'!$L$36,'202107 Bk Depr'!$L$37,'202107 Bk Depr'!$L$38)</f>
        <v>10653</v>
      </c>
      <c r="O23" s="231">
        <f>SUM('202107 Bk Depr'!P13,'202107 Bk Depr'!P15:P18)</f>
        <v>111914.00626500005</v>
      </c>
      <c r="P23" s="231">
        <f t="shared" si="8"/>
        <v>489306.86624297913</v>
      </c>
      <c r="Q23" s="231">
        <f>P23*0.21</f>
        <v>102754.44191102561</v>
      </c>
      <c r="R23" s="231">
        <f t="shared" si="1"/>
        <v>24764.194466220837</v>
      </c>
      <c r="S23" s="231">
        <f>-R23*0.21</f>
        <v>-5200.4808379063752</v>
      </c>
      <c r="T23" s="27"/>
      <c r="U23" s="231">
        <f t="shared" si="9"/>
        <v>6966699.0238402933</v>
      </c>
      <c r="V23" s="231">
        <f t="shared" si="10"/>
        <v>122318.15553934034</v>
      </c>
      <c r="W23" s="247" t="s">
        <v>358</v>
      </c>
      <c r="X23" s="231">
        <f>X22+V23*154/365</f>
        <v>6673914.6607840974</v>
      </c>
      <c r="AA23" s="50"/>
      <c r="AB23" s="50"/>
      <c r="AC23" s="50"/>
    </row>
    <row r="24" spans="1:29">
      <c r="A24" s="52">
        <f t="shared" si="11"/>
        <v>11</v>
      </c>
      <c r="C24" s="61">
        <v>4.5220000000000003E-2</v>
      </c>
      <c r="D24" s="61">
        <v>5.8999999999999997E-2</v>
      </c>
      <c r="E24" s="156">
        <v>8</v>
      </c>
      <c r="G24" s="52">
        <v>8</v>
      </c>
      <c r="H24" s="231">
        <f t="shared" si="3"/>
        <v>5977.0230814375018</v>
      </c>
      <c r="I24" s="231">
        <f t="shared" si="4"/>
        <v>24479.225539499999</v>
      </c>
      <c r="J24" s="231">
        <f t="shared" si="5"/>
        <v>26718.686204650003</v>
      </c>
      <c r="K24" s="27">
        <f t="shared" si="6"/>
        <v>29656.083515725015</v>
      </c>
      <c r="L24" s="27">
        <f>(('202108 Bk Depr'!$L$19-'202108 Bk Depr'!$L$14-SUM('2021 Capital Budget'!$L$9:$L$11,'2021 Capital Budget'!$L$15:$L$16)-(1/12*$L$13))*$C$17)+SUM('2021 Capital Budget'!$L$9:$L$11,'2021 Capital Budget'!$L$15:$L$16)+(1/12*$L$13)</f>
        <v>540701.82916666672</v>
      </c>
      <c r="M24" s="231">
        <f t="shared" si="7"/>
        <v>627532.84750797926</v>
      </c>
      <c r="N24" s="231">
        <f>SUM('202108 Bk Depr'!$L$33,'202108 Bk Depr'!$L$36,'202108 Bk Depr'!$L$37,'202108 Bk Depr'!$L$38)</f>
        <v>10653</v>
      </c>
      <c r="O24" s="231">
        <f>SUM('202108 Bk Depr'!P13,'202108 Bk Depr'!P15:P18)</f>
        <v>114389.77531500004</v>
      </c>
      <c r="P24" s="231">
        <f t="shared" si="8"/>
        <v>523796.07219297922</v>
      </c>
      <c r="Q24" s="231">
        <f t="shared" ref="Q24:Q28" si="12">P24*0.21</f>
        <v>109997.17516052563</v>
      </c>
      <c r="R24" s="231">
        <f t="shared" si="1"/>
        <v>26488.654763720839</v>
      </c>
      <c r="S24" s="231">
        <f t="shared" ref="S24:S28" si="13">-R24*0.21</f>
        <v>-5562.617500381376</v>
      </c>
      <c r="T24" s="27"/>
      <c r="U24" s="231">
        <f t="shared" si="9"/>
        <v>7097622.236264158</v>
      </c>
      <c r="V24" s="231">
        <f t="shared" si="10"/>
        <v>130923.21242386475</v>
      </c>
      <c r="W24" s="247" t="s">
        <v>359</v>
      </c>
      <c r="X24" s="231">
        <f>X23+V24*123/365</f>
        <v>6718033.9899022765</v>
      </c>
      <c r="AA24" s="50"/>
      <c r="AB24" s="50"/>
      <c r="AC24" s="50"/>
    </row>
    <row r="25" spans="1:29">
      <c r="A25" s="52">
        <f t="shared" si="11"/>
        <v>12</v>
      </c>
      <c r="C25" s="61">
        <v>4.462E-2</v>
      </c>
      <c r="D25" s="61">
        <v>5.91E-2</v>
      </c>
      <c r="E25" s="156">
        <v>9</v>
      </c>
      <c r="G25" s="52">
        <v>9</v>
      </c>
      <c r="H25" s="231">
        <f t="shared" si="3"/>
        <v>5977.0230814375018</v>
      </c>
      <c r="I25" s="231">
        <f t="shared" si="4"/>
        <v>24479.225539499999</v>
      </c>
      <c r="J25" s="231">
        <f t="shared" si="5"/>
        <v>26718.686204650003</v>
      </c>
      <c r="K25" s="27">
        <f t="shared" si="6"/>
        <v>29656.083515725015</v>
      </c>
      <c r="L25" s="27">
        <f>(('202109 Bk Depr'!$L$19-'202109 Bk Depr'!$L$14-SUM('2021 Capital Budget'!$M$9:$M$11,'2021 Capital Budget'!$M$15:$M$16)-(1/12*$L$13))*$C$17)+SUM('2021 Capital Budget'!$M$9:$M$11,'2021 Capital Budget'!$M$15:$M$16)+(1/12*$L$13)</f>
        <v>532185.51666666672</v>
      </c>
      <c r="M25" s="231">
        <f t="shared" si="7"/>
        <v>619016.53500797926</v>
      </c>
      <c r="N25" s="231">
        <f>SUM('202109 Bk Depr'!$L$33,'202109 Bk Depr'!$L$36,'202109 Bk Depr'!$L$37,'202109 Bk Depr'!$L$38)</f>
        <v>10653</v>
      </c>
      <c r="O25" s="231">
        <f>SUM('202109 Bk Depr'!P13,'202109 Bk Depr'!P15:P18)</f>
        <v>116914.02151500003</v>
      </c>
      <c r="P25" s="231">
        <f t="shared" si="8"/>
        <v>512755.51349297923</v>
      </c>
      <c r="Q25" s="231">
        <f t="shared" si="12"/>
        <v>107678.65783352563</v>
      </c>
      <c r="R25" s="231">
        <f t="shared" si="1"/>
        <v>25936.626828720837</v>
      </c>
      <c r="S25" s="231">
        <f t="shared" si="13"/>
        <v>-5446.6916340313755</v>
      </c>
      <c r="T25" s="27"/>
      <c r="U25" s="231">
        <f t="shared" si="9"/>
        <v>7225790.8292923737</v>
      </c>
      <c r="V25" s="231">
        <f t="shared" si="10"/>
        <v>128168.59302821569</v>
      </c>
      <c r="W25" s="247" t="s">
        <v>360</v>
      </c>
      <c r="X25" s="231">
        <f>X24+V25*93/365</f>
        <v>6750690.6451122053</v>
      </c>
    </row>
    <row r="26" spans="1:29">
      <c r="A26" s="52">
        <f t="shared" si="11"/>
        <v>13</v>
      </c>
      <c r="C26" s="61">
        <v>4.4609999999999997E-2</v>
      </c>
      <c r="D26" s="61">
        <v>5.8999999999999997E-2</v>
      </c>
      <c r="E26" s="156">
        <v>10</v>
      </c>
      <c r="G26" s="52">
        <v>10</v>
      </c>
      <c r="H26" s="231">
        <f t="shared" si="3"/>
        <v>5977.0230814375018</v>
      </c>
      <c r="I26" s="231">
        <f t="shared" si="4"/>
        <v>24479.225539499999</v>
      </c>
      <c r="J26" s="231">
        <f t="shared" si="5"/>
        <v>26718.686204650003</v>
      </c>
      <c r="K26" s="27">
        <f t="shared" si="6"/>
        <v>29656.083515725015</v>
      </c>
      <c r="L26" s="27">
        <f>(('202110 Bk Depr'!$L$19-'202110 Bk Depr'!$L$14-SUM('2021 Capital Budget'!$N$9:$N$11,'2021 Capital Budget'!$N$15:$N$16)-(1/12*$L$13))*$C$17)+SUM('2021 Capital Budget'!$N$9:$N$11,'2021 Capital Budget'!$N$15:$N$16)+(1/12*$L$13)</f>
        <v>534881.4916666667</v>
      </c>
      <c r="M26" s="231">
        <f t="shared" si="7"/>
        <v>621712.51000797923</v>
      </c>
      <c r="N26" s="231">
        <f>SUM('202110 Bk Depr'!$L$33,'202110 Bk Depr'!$L$36,'202110 Bk Depr'!$L$37,'202110 Bk Depr'!$L$38)</f>
        <v>10653</v>
      </c>
      <c r="O26" s="231">
        <f>SUM('202110 Bk Depr'!P13,'202110 Bk Depr'!P15:P18)</f>
        <v>119425.40896500004</v>
      </c>
      <c r="P26" s="231">
        <f t="shared" si="8"/>
        <v>512940.10104297916</v>
      </c>
      <c r="Q26" s="231">
        <f t="shared" si="12"/>
        <v>107717.42121902562</v>
      </c>
      <c r="R26" s="231">
        <f t="shared" si="1"/>
        <v>25945.856206220833</v>
      </c>
      <c r="S26" s="231">
        <f t="shared" si="13"/>
        <v>-5448.6298033063749</v>
      </c>
      <c r="T26" s="27"/>
      <c r="U26" s="231">
        <f t="shared" si="9"/>
        <v>7354005.4769143136</v>
      </c>
      <c r="V26" s="231">
        <f t="shared" si="10"/>
        <v>128214.64762193989</v>
      </c>
      <c r="W26" s="247" t="s">
        <v>361</v>
      </c>
      <c r="X26" s="231">
        <f>X25+V26*62/365</f>
        <v>6772469.5715575758</v>
      </c>
    </row>
    <row r="27" spans="1:29">
      <c r="A27" s="52">
        <f t="shared" si="11"/>
        <v>14</v>
      </c>
      <c r="C27" s="61">
        <v>4.462E-2</v>
      </c>
      <c r="D27" s="61">
        <v>5.91E-2</v>
      </c>
      <c r="E27" s="156">
        <v>11</v>
      </c>
      <c r="G27" s="52">
        <v>11</v>
      </c>
      <c r="H27" s="231">
        <f t="shared" si="3"/>
        <v>5977.0230814375018</v>
      </c>
      <c r="I27" s="231">
        <f t="shared" si="4"/>
        <v>24479.225539499999</v>
      </c>
      <c r="J27" s="231">
        <f t="shared" si="5"/>
        <v>26718.686204650003</v>
      </c>
      <c r="K27" s="27">
        <f t="shared" si="6"/>
        <v>29656.083515725015</v>
      </c>
      <c r="L27" s="27">
        <f>(('202111 Bk Depr'!$L$19-'202111 Bk Depr'!$L$14-SUM('2021 Capital Budget'!$O$9:$O$11,'2021 Capital Budget'!$O$15:$O$16)-(1/12*$L$13))*$C$17)+SUM('2021 Capital Budget'!$O$9:$O$11,'2021 Capital Budget'!$O$15:$O$16)+(1/12*$L$13)</f>
        <v>519499.4916666667</v>
      </c>
      <c r="M27" s="231">
        <f t="shared" si="7"/>
        <v>606330.51000797923</v>
      </c>
      <c r="N27" s="231">
        <f>SUM('202111 Bk Depr'!$L$33,'202111 Bk Depr'!$L$36,'202111 Bk Depr'!$L$37,'202111 Bk Depr'!$L$38)</f>
        <v>10653</v>
      </c>
      <c r="O27" s="231">
        <f>SUM('202111 Bk Depr'!P13,'202111 Bk Depr'!P15:P18)</f>
        <v>121919.70406500003</v>
      </c>
      <c r="P27" s="231">
        <f t="shared" si="8"/>
        <v>495063.80594297918</v>
      </c>
      <c r="Q27" s="231">
        <f t="shared" si="12"/>
        <v>103963.39924802563</v>
      </c>
      <c r="R27" s="231">
        <f t="shared" si="1"/>
        <v>25052.041451220834</v>
      </c>
      <c r="S27" s="231">
        <f t="shared" si="13"/>
        <v>-5260.9287047563748</v>
      </c>
      <c r="T27" s="27"/>
      <c r="U27" s="231">
        <f t="shared" si="9"/>
        <v>7477759.9889088031</v>
      </c>
      <c r="V27" s="231">
        <f t="shared" si="10"/>
        <v>123754.51199448947</v>
      </c>
      <c r="W27" s="247" t="s">
        <v>357</v>
      </c>
      <c r="X27" s="231">
        <f>X26+V27*32/365</f>
        <v>6783319.2821981888</v>
      </c>
    </row>
    <row r="28" spans="1:29">
      <c r="A28" s="52">
        <f t="shared" si="11"/>
        <v>15</v>
      </c>
      <c r="C28" s="61">
        <v>4.4609999999999997E-2</v>
      </c>
      <c r="D28" s="61">
        <v>5.8999999999999997E-2</v>
      </c>
      <c r="E28" s="156">
        <v>12</v>
      </c>
      <c r="G28" s="52">
        <v>12</v>
      </c>
      <c r="H28" s="231">
        <f t="shared" si="3"/>
        <v>5977.0230814375018</v>
      </c>
      <c r="I28" s="231">
        <f t="shared" si="4"/>
        <v>24479.225539499999</v>
      </c>
      <c r="J28" s="231">
        <f t="shared" si="5"/>
        <v>26718.686204650003</v>
      </c>
      <c r="K28" s="27">
        <f t="shared" si="6"/>
        <v>29656.083515725015</v>
      </c>
      <c r="L28" s="27">
        <f>(('202112 Bk Depr'!$L$19-'202112 Bk Depr'!$L$14-SUM('2021 Capital Budget'!$P$9:$P$11,'2021 Capital Budget'!$P$15:$P$16)-(1/12*$L$13))*$C$17)+SUM('2021 Capital Budget'!$P$9:$P$11,'2021 Capital Budget'!$P$15:$P$16)+(1/12*$L$13)</f>
        <v>487962.35416666669</v>
      </c>
      <c r="M28" s="231">
        <f t="shared" si="7"/>
        <v>574793.37250797916</v>
      </c>
      <c r="N28" s="231">
        <f>SUM('202112 Bk Depr'!$L$33,'202112 Bk Depr'!$L$36,'202112 Bk Depr'!$L$37,'202112 Bk Depr'!$L$38)</f>
        <v>10653</v>
      </c>
      <c r="O28" s="231">
        <f>SUM('202112 Bk Depr'!P13,'202112 Bk Depr'!P15:P18)</f>
        <v>124359.10816500004</v>
      </c>
      <c r="P28" s="231">
        <f t="shared" si="8"/>
        <v>461087.26434297912</v>
      </c>
      <c r="Q28" s="231">
        <f t="shared" si="12"/>
        <v>96828.325512025607</v>
      </c>
      <c r="R28" s="231">
        <f t="shared" si="1"/>
        <v>23353.214371220834</v>
      </c>
      <c r="S28" s="231">
        <f t="shared" si="13"/>
        <v>-4904.1750179563751</v>
      </c>
      <c r="T28" s="27"/>
      <c r="U28" s="231">
        <f>U27+Q28+R28+S28+T28</f>
        <v>7593037.3537740931</v>
      </c>
      <c r="V28" s="231">
        <f t="shared" si="10"/>
        <v>115277.36486529</v>
      </c>
      <c r="W28" s="247" t="s">
        <v>356</v>
      </c>
      <c r="X28" s="231">
        <f>X27+V28*1/365</f>
        <v>6783635.1105950801</v>
      </c>
    </row>
    <row r="29" spans="1:29">
      <c r="A29" s="52">
        <f t="shared" si="11"/>
        <v>16</v>
      </c>
      <c r="C29" s="61">
        <v>4.462E-2</v>
      </c>
      <c r="D29" s="61">
        <v>5.91E-2</v>
      </c>
      <c r="E29" s="156">
        <v>13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 t="str">
        <f t="shared" ref="T29:T43" si="14">IF(S29="","",S29*0.389)</f>
        <v/>
      </c>
      <c r="U29" s="62"/>
      <c r="X29" s="27"/>
    </row>
    <row r="30" spans="1:29">
      <c r="A30" s="52">
        <f t="shared" si="11"/>
        <v>17</v>
      </c>
      <c r="C30" s="61">
        <v>4.4609999999999997E-2</v>
      </c>
      <c r="D30" s="61">
        <v>5.8999999999999997E-2</v>
      </c>
      <c r="E30" s="156">
        <v>14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 t="str">
        <f t="shared" si="14"/>
        <v/>
      </c>
      <c r="U30" s="27" t="str">
        <f t="shared" ref="U30:U43" si="15">IF(Q30="","",U29+Q30)</f>
        <v/>
      </c>
    </row>
    <row r="31" spans="1:29">
      <c r="A31" s="52">
        <f t="shared" si="11"/>
        <v>18</v>
      </c>
      <c r="C31" s="61">
        <v>4.462E-2</v>
      </c>
      <c r="D31" s="61">
        <v>5.91E-2</v>
      </c>
      <c r="E31" s="156">
        <v>15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 t="str">
        <f t="shared" si="14"/>
        <v/>
      </c>
      <c r="U31" s="27" t="str">
        <f t="shared" si="15"/>
        <v/>
      </c>
    </row>
    <row r="32" spans="1:29">
      <c r="A32" s="52">
        <f t="shared" si="11"/>
        <v>19</v>
      </c>
      <c r="C32" s="61">
        <v>4.4609999999999997E-2</v>
      </c>
      <c r="D32" s="61">
        <v>2.9499999999999998E-2</v>
      </c>
      <c r="E32" s="156">
        <v>16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 t="str">
        <f t="shared" si="14"/>
        <v/>
      </c>
      <c r="U32" s="27" t="str">
        <f t="shared" si="15"/>
        <v/>
      </c>
    </row>
    <row r="33" spans="1:24">
      <c r="A33" s="52">
        <f t="shared" si="11"/>
        <v>20</v>
      </c>
      <c r="C33" s="61">
        <v>4.462E-2</v>
      </c>
      <c r="D33" s="61">
        <v>0</v>
      </c>
      <c r="E33" s="156">
        <v>17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 t="str">
        <f t="shared" si="14"/>
        <v/>
      </c>
      <c r="U33" s="27" t="str">
        <f t="shared" si="15"/>
        <v/>
      </c>
    </row>
    <row r="34" spans="1:24">
      <c r="A34" s="52">
        <f t="shared" si="11"/>
        <v>21</v>
      </c>
      <c r="C34" s="61">
        <v>4.4609999999999997E-2</v>
      </c>
      <c r="D34" s="61">
        <v>0</v>
      </c>
      <c r="E34" s="156">
        <v>18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 t="str">
        <f t="shared" si="14"/>
        <v/>
      </c>
      <c r="U34" s="27" t="str">
        <f t="shared" si="15"/>
        <v/>
      </c>
    </row>
    <row r="35" spans="1:24">
      <c r="A35" s="52">
        <f t="shared" si="11"/>
        <v>22</v>
      </c>
      <c r="C35" s="61">
        <v>4.462E-2</v>
      </c>
      <c r="D35" s="61">
        <v>0</v>
      </c>
      <c r="E35" s="156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 t="str">
        <f t="shared" si="14"/>
        <v/>
      </c>
      <c r="U35" s="27" t="str">
        <f t="shared" si="15"/>
        <v/>
      </c>
    </row>
    <row r="36" spans="1:24">
      <c r="A36" s="52">
        <f t="shared" si="11"/>
        <v>23</v>
      </c>
      <c r="C36" s="61">
        <v>4.4609999999999997E-2</v>
      </c>
      <c r="D36" s="61">
        <v>0</v>
      </c>
      <c r="E36" s="156">
        <v>20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 t="str">
        <f t="shared" si="14"/>
        <v/>
      </c>
      <c r="U36" s="27" t="str">
        <f t="shared" si="15"/>
        <v/>
      </c>
    </row>
    <row r="37" spans="1:24">
      <c r="A37" s="52">
        <f t="shared" si="11"/>
        <v>24</v>
      </c>
      <c r="C37" s="61">
        <v>2.231E-2</v>
      </c>
      <c r="D37" s="61">
        <v>0</v>
      </c>
      <c r="E37" s="156">
        <v>21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 t="str">
        <f t="shared" si="14"/>
        <v/>
      </c>
      <c r="U37" s="27" t="str">
        <f t="shared" si="15"/>
        <v/>
      </c>
    </row>
    <row r="38" spans="1:24">
      <c r="A38" s="52">
        <f t="shared" si="11"/>
        <v>25</v>
      </c>
      <c r="C38" s="61">
        <v>0</v>
      </c>
      <c r="D38" s="61">
        <v>0</v>
      </c>
      <c r="E38" s="156">
        <v>22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 t="str">
        <f t="shared" si="14"/>
        <v/>
      </c>
      <c r="U38" s="27" t="str">
        <f t="shared" si="15"/>
        <v/>
      </c>
    </row>
    <row r="39" spans="1:24">
      <c r="A39" s="52">
        <f t="shared" si="11"/>
        <v>26</v>
      </c>
      <c r="C39" s="61">
        <v>0</v>
      </c>
      <c r="E39" s="156">
        <v>23</v>
      </c>
      <c r="H39" s="27"/>
      <c r="I39" s="27"/>
      <c r="J39" s="27"/>
      <c r="K39" s="27"/>
      <c r="L39" s="27"/>
      <c r="M39" s="27"/>
      <c r="P39" s="27"/>
      <c r="Q39" s="27"/>
      <c r="R39" s="27"/>
      <c r="S39" s="27"/>
      <c r="T39" s="27" t="str">
        <f t="shared" si="14"/>
        <v/>
      </c>
      <c r="U39" s="27" t="str">
        <f t="shared" si="15"/>
        <v/>
      </c>
    </row>
    <row r="40" spans="1:24">
      <c r="A40" s="52">
        <f t="shared" si="11"/>
        <v>27</v>
      </c>
      <c r="C40" s="61">
        <v>0</v>
      </c>
      <c r="E40" s="156">
        <v>24</v>
      </c>
      <c r="H40" s="27"/>
      <c r="I40" s="27"/>
      <c r="J40" s="27"/>
      <c r="K40" s="27"/>
      <c r="L40" s="27"/>
      <c r="M40" s="27"/>
      <c r="P40" s="27"/>
      <c r="Q40" s="27"/>
      <c r="R40" s="27"/>
      <c r="S40" s="27"/>
      <c r="T40" s="27" t="str">
        <f t="shared" si="14"/>
        <v/>
      </c>
      <c r="U40" s="27" t="str">
        <f t="shared" si="15"/>
        <v/>
      </c>
    </row>
    <row r="41" spans="1:24">
      <c r="A41" s="52">
        <f t="shared" si="11"/>
        <v>28</v>
      </c>
      <c r="C41" s="61">
        <v>0</v>
      </c>
      <c r="E41" s="156">
        <v>25</v>
      </c>
      <c r="H41" s="27"/>
      <c r="I41" s="27"/>
      <c r="J41" s="27"/>
      <c r="K41" s="27"/>
      <c r="L41" s="27"/>
      <c r="M41" s="27"/>
      <c r="P41" s="27"/>
      <c r="Q41" s="27"/>
      <c r="R41" s="27"/>
      <c r="S41" s="27"/>
      <c r="T41" s="27" t="str">
        <f t="shared" si="14"/>
        <v/>
      </c>
      <c r="U41" s="27" t="str">
        <f t="shared" si="15"/>
        <v/>
      </c>
    </row>
    <row r="42" spans="1:24">
      <c r="A42" s="52">
        <f t="shared" si="11"/>
        <v>29</v>
      </c>
      <c r="C42" s="61">
        <v>0</v>
      </c>
      <c r="E42" s="156">
        <v>26</v>
      </c>
      <c r="H42" s="27"/>
      <c r="I42" s="27"/>
      <c r="J42" s="27"/>
      <c r="K42" s="27"/>
      <c r="L42" s="27"/>
      <c r="M42" s="27"/>
      <c r="P42" s="27"/>
      <c r="Q42" s="27"/>
      <c r="R42" s="27"/>
      <c r="S42" s="27"/>
      <c r="T42" s="27" t="str">
        <f t="shared" si="14"/>
        <v/>
      </c>
      <c r="U42" s="27" t="str">
        <f t="shared" si="15"/>
        <v/>
      </c>
    </row>
    <row r="43" spans="1:24">
      <c r="A43" s="52">
        <f t="shared" si="11"/>
        <v>30</v>
      </c>
      <c r="C43" s="61">
        <v>0</v>
      </c>
      <c r="E43" s="156">
        <v>27</v>
      </c>
      <c r="M43" s="27"/>
      <c r="P43" s="27"/>
      <c r="Q43" s="27"/>
      <c r="R43" s="27"/>
      <c r="S43" s="27"/>
      <c r="T43" s="27" t="str">
        <f t="shared" si="14"/>
        <v/>
      </c>
      <c r="U43" s="27" t="str">
        <f t="shared" si="15"/>
        <v/>
      </c>
    </row>
    <row r="44" spans="1:24">
      <c r="A44" s="52">
        <f t="shared" si="11"/>
        <v>31</v>
      </c>
      <c r="H44" s="27">
        <f>SUM(H17:H43)</f>
        <v>71724.276977250018</v>
      </c>
      <c r="I44" s="27">
        <f>SUM(I17:I43)</f>
        <v>293750.70647400006</v>
      </c>
      <c r="J44" s="27">
        <f t="shared" ref="J44:T44" si="16">SUM(J17:J43)</f>
        <v>320624.23445580003</v>
      </c>
      <c r="K44" s="27">
        <f>SUM(K17:K43)</f>
        <v>355873.00218870025</v>
      </c>
      <c r="L44" s="27">
        <f>SUM(L17:L43)</f>
        <v>6258570.8500000006</v>
      </c>
      <c r="M44" s="27">
        <f t="shared" si="16"/>
        <v>7300543.0700957524</v>
      </c>
      <c r="N44" s="27">
        <f t="shared" si="16"/>
        <v>127836</v>
      </c>
      <c r="O44" s="27">
        <f t="shared" si="16"/>
        <v>1328581.6530300004</v>
      </c>
      <c r="P44" s="27">
        <f t="shared" si="16"/>
        <v>6099797.4170657517</v>
      </c>
      <c r="Q44" s="27">
        <f t="shared" si="16"/>
        <v>1280957.4575838076</v>
      </c>
      <c r="R44" s="27">
        <f t="shared" si="16"/>
        <v>308576.08470215002</v>
      </c>
      <c r="S44" s="27">
        <f t="shared" si="16"/>
        <v>-64800.977787451506</v>
      </c>
      <c r="T44" s="27">
        <f t="shared" si="16"/>
        <v>0</v>
      </c>
      <c r="U44" s="27">
        <f>AVERAGE(U16:U28)</f>
        <v>6838946.5823919382</v>
      </c>
      <c r="X44" s="27">
        <f>AVERAGE(X16:X28)</f>
        <v>6544877.6374980826</v>
      </c>
    </row>
    <row r="45" spans="1:24">
      <c r="H45" s="27"/>
      <c r="I45" s="27"/>
      <c r="J45" s="27"/>
      <c r="K45" s="27"/>
      <c r="L45" s="27"/>
      <c r="M45" s="27"/>
      <c r="N45" s="27"/>
      <c r="O45" s="27"/>
      <c r="U45" s="27"/>
    </row>
    <row r="46" spans="1:24">
      <c r="B46" s="60" t="s">
        <v>166</v>
      </c>
      <c r="C46" s="52" t="s">
        <v>719</v>
      </c>
      <c r="R46" s="27"/>
      <c r="S46" s="27"/>
      <c r="T46" s="27"/>
    </row>
    <row r="47" spans="1:24">
      <c r="B47" s="60" t="s">
        <v>167</v>
      </c>
      <c r="C47" s="52" t="s">
        <v>720</v>
      </c>
      <c r="R47" s="54"/>
      <c r="S47" s="54"/>
      <c r="T47" s="54"/>
    </row>
    <row r="48" spans="1:24">
      <c r="B48" s="60" t="s">
        <v>168</v>
      </c>
      <c r="C48" s="52" t="s">
        <v>721</v>
      </c>
      <c r="D48" s="245"/>
      <c r="R48" s="48"/>
      <c r="S48" s="48"/>
      <c r="T48" s="48"/>
    </row>
    <row r="49" spans="1:21">
      <c r="B49" s="60" t="s">
        <v>177</v>
      </c>
      <c r="C49" s="52" t="s">
        <v>668</v>
      </c>
      <c r="D49" s="245"/>
      <c r="R49" s="48"/>
      <c r="S49" s="48"/>
      <c r="T49" s="48"/>
    </row>
    <row r="50" spans="1:21">
      <c r="B50" s="60" t="s">
        <v>213</v>
      </c>
      <c r="C50" s="52" t="s">
        <v>666</v>
      </c>
      <c r="D50" s="245"/>
      <c r="R50" s="48"/>
      <c r="S50" s="48"/>
      <c r="T50" s="48"/>
    </row>
    <row r="51" spans="1:21">
      <c r="A51" s="54"/>
      <c r="B51" s="54"/>
      <c r="C51" s="54"/>
      <c r="D51" s="54" t="s">
        <v>24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49"/>
      <c r="S51" s="49"/>
      <c r="T51" s="49"/>
      <c r="U51" s="54"/>
    </row>
    <row r="52" spans="1:21" ht="25.5">
      <c r="A52" s="54"/>
      <c r="B52" s="54"/>
      <c r="C52" s="55"/>
      <c r="D52" s="54" t="s">
        <v>25</v>
      </c>
      <c r="E52" s="55" t="s">
        <v>598</v>
      </c>
      <c r="F52" s="54"/>
      <c r="G52" s="54"/>
      <c r="H52" s="54">
        <v>2017</v>
      </c>
      <c r="I52" s="54">
        <v>2018</v>
      </c>
      <c r="J52" s="54">
        <v>2019</v>
      </c>
      <c r="K52" s="54">
        <v>2020</v>
      </c>
      <c r="L52" s="54">
        <v>2021</v>
      </c>
      <c r="M52" s="54" t="s">
        <v>3</v>
      </c>
      <c r="N52" s="54" t="s">
        <v>35</v>
      </c>
      <c r="O52" s="54"/>
      <c r="P52" s="54"/>
      <c r="Q52" s="55" t="s">
        <v>182</v>
      </c>
      <c r="U52" s="49"/>
    </row>
    <row r="53" spans="1:21">
      <c r="A53" s="54" t="s">
        <v>4</v>
      </c>
      <c r="B53" s="54"/>
      <c r="C53" s="54"/>
      <c r="D53" s="54" t="s">
        <v>26</v>
      </c>
      <c r="E53" s="54" t="s">
        <v>599</v>
      </c>
      <c r="F53" s="54"/>
      <c r="G53" s="54"/>
      <c r="H53" s="54" t="s">
        <v>28</v>
      </c>
      <c r="I53" s="54" t="s">
        <v>29</v>
      </c>
      <c r="J53" s="54" t="s">
        <v>30</v>
      </c>
      <c r="K53" s="54" t="s">
        <v>31</v>
      </c>
      <c r="L53" s="54" t="s">
        <v>32</v>
      </c>
      <c r="M53" s="54" t="s">
        <v>34</v>
      </c>
      <c r="N53" s="54" t="s">
        <v>36</v>
      </c>
      <c r="O53" s="54" t="s">
        <v>38</v>
      </c>
      <c r="P53" s="54"/>
      <c r="Q53" s="54" t="s">
        <v>34</v>
      </c>
      <c r="U53" s="49"/>
    </row>
    <row r="54" spans="1:21">
      <c r="A54" s="559" t="s">
        <v>5</v>
      </c>
      <c r="B54" s="559"/>
      <c r="C54" s="559"/>
      <c r="D54" s="559" t="s">
        <v>2</v>
      </c>
      <c r="E54" s="559" t="s">
        <v>600</v>
      </c>
      <c r="F54" s="559"/>
      <c r="G54" s="559" t="s">
        <v>108</v>
      </c>
      <c r="H54" s="559" t="s">
        <v>20</v>
      </c>
      <c r="I54" s="559" t="s">
        <v>20</v>
      </c>
      <c r="J54" s="559" t="s">
        <v>20</v>
      </c>
      <c r="K54" s="559" t="s">
        <v>20</v>
      </c>
      <c r="L54" s="559" t="s">
        <v>20</v>
      </c>
      <c r="M54" s="559" t="s">
        <v>0</v>
      </c>
      <c r="N54" s="559" t="s">
        <v>37</v>
      </c>
      <c r="O54" s="559" t="s">
        <v>0</v>
      </c>
      <c r="P54" s="559" t="s">
        <v>39</v>
      </c>
      <c r="Q54" s="56" t="s">
        <v>494</v>
      </c>
      <c r="U54" s="49"/>
    </row>
    <row r="55" spans="1:21">
      <c r="C55" s="57"/>
      <c r="D55" s="57" t="s">
        <v>71</v>
      </c>
      <c r="E55" s="57"/>
      <c r="F55" s="58"/>
      <c r="G55" s="58"/>
      <c r="H55" s="57" t="s">
        <v>166</v>
      </c>
      <c r="I55" s="57" t="s">
        <v>167</v>
      </c>
      <c r="J55" s="57" t="s">
        <v>168</v>
      </c>
      <c r="K55" s="57" t="s">
        <v>177</v>
      </c>
      <c r="L55" s="57" t="s">
        <v>213</v>
      </c>
      <c r="U55" s="50"/>
    </row>
    <row r="56" spans="1:21">
      <c r="A56" s="52">
        <v>1</v>
      </c>
      <c r="C56" s="57" t="s">
        <v>70</v>
      </c>
      <c r="D56" s="59"/>
      <c r="E56" s="57"/>
      <c r="H56" s="27">
        <f>H11+H13</f>
        <v>2510914.65</v>
      </c>
      <c r="I56" s="27">
        <f>I11+I13</f>
        <v>4755556.2</v>
      </c>
      <c r="J56" s="27">
        <f>J11</f>
        <v>4801920.540000001</v>
      </c>
      <c r="K56" s="27">
        <f>K11</f>
        <v>4929671.7300000023</v>
      </c>
      <c r="L56" s="27">
        <f>L11</f>
        <v>4889916</v>
      </c>
      <c r="M56" s="62"/>
      <c r="U56" s="50"/>
    </row>
    <row r="57" spans="1:21">
      <c r="A57" s="52">
        <v>2</v>
      </c>
      <c r="C57" s="57" t="s">
        <v>74</v>
      </c>
      <c r="D57" s="59"/>
      <c r="E57" s="57"/>
      <c r="H57" s="27">
        <f t="shared" ref="H57:J57" si="17">H12</f>
        <v>2278129.7399999998</v>
      </c>
      <c r="I57" s="27">
        <f t="shared" si="17"/>
        <v>5069750.87</v>
      </c>
      <c r="J57" s="27">
        <f t="shared" si="17"/>
        <v>6475425.9100000001</v>
      </c>
      <c r="K57" s="27">
        <f>K12</f>
        <v>4720422.3099999987</v>
      </c>
      <c r="L57" s="27">
        <f>L12</f>
        <v>6075199</v>
      </c>
      <c r="U57" s="50"/>
    </row>
    <row r="58" spans="1:21">
      <c r="A58" s="52">
        <v>3</v>
      </c>
      <c r="C58" s="57" t="s">
        <v>185</v>
      </c>
      <c r="D58" s="59"/>
      <c r="E58" s="57"/>
      <c r="H58" s="569" t="s">
        <v>408</v>
      </c>
      <c r="I58" s="569" t="s">
        <v>408</v>
      </c>
      <c r="J58" s="569" t="s">
        <v>408</v>
      </c>
      <c r="K58" s="569" t="s">
        <v>408</v>
      </c>
      <c r="L58" s="569" t="s">
        <v>408</v>
      </c>
      <c r="U58" s="50"/>
    </row>
    <row r="59" spans="1:21">
      <c r="C59" s="59"/>
      <c r="E59" s="59"/>
      <c r="U59" s="50"/>
    </row>
    <row r="60" spans="1:21">
      <c r="C60" s="54" t="s">
        <v>604</v>
      </c>
      <c r="H60" s="195"/>
      <c r="I60" s="195"/>
      <c r="J60" s="195"/>
      <c r="K60" s="195"/>
      <c r="L60" s="195"/>
      <c r="M60" s="195"/>
      <c r="N60" s="195"/>
      <c r="O60" s="244"/>
      <c r="U60" s="50"/>
    </row>
    <row r="61" spans="1:21">
      <c r="C61" s="54" t="s">
        <v>605</v>
      </c>
      <c r="H61" s="57" t="s">
        <v>166</v>
      </c>
      <c r="I61" s="57" t="s">
        <v>167</v>
      </c>
      <c r="J61" s="57" t="s">
        <v>168</v>
      </c>
      <c r="K61" s="57" t="s">
        <v>177</v>
      </c>
      <c r="L61" s="57" t="s">
        <v>213</v>
      </c>
      <c r="U61" s="51"/>
    </row>
    <row r="62" spans="1:21">
      <c r="A62" s="52">
        <f>A58+1</f>
        <v>4</v>
      </c>
      <c r="C62" s="61">
        <v>3.7499999999999999E-2</v>
      </c>
      <c r="D62" s="61">
        <v>0.05</v>
      </c>
      <c r="E62" s="156">
        <v>1</v>
      </c>
      <c r="G62" s="52">
        <v>1</v>
      </c>
      <c r="H62" s="27">
        <f>$H$56*$C$66/12</f>
        <v>11954.046162875</v>
      </c>
      <c r="I62" s="27">
        <f>$I$56*$C$65/12</f>
        <v>24479.225539499999</v>
      </c>
      <c r="J62" s="27">
        <f>$J$56*$C$64/12</f>
        <v>26718.686204650003</v>
      </c>
      <c r="K62" s="27">
        <f>$K$56*$C$63/12</f>
        <v>29656.083515725015</v>
      </c>
      <c r="L62" s="27">
        <f>L17</f>
        <v>502822.2416666667</v>
      </c>
      <c r="M62" s="27">
        <f>SUM(H62:L62)</f>
        <v>595630.28308941668</v>
      </c>
      <c r="N62" s="231">
        <f>N17</f>
        <v>10653</v>
      </c>
      <c r="O62" s="231">
        <f>O17</f>
        <v>97120.525365000038</v>
      </c>
      <c r="P62" s="27">
        <f>M62+N62-O62</f>
        <v>509162.75772441668</v>
      </c>
      <c r="Q62" s="27">
        <f>P62*0.05</f>
        <v>25458.137886220837</v>
      </c>
      <c r="U62" s="51"/>
    </row>
    <row r="63" spans="1:21">
      <c r="A63" s="52">
        <f>A62+1</f>
        <v>5</v>
      </c>
      <c r="C63" s="61">
        <v>7.2190000000000004E-2</v>
      </c>
      <c r="D63" s="61">
        <v>9.5000000000000001E-2</v>
      </c>
      <c r="E63" s="156">
        <v>2</v>
      </c>
      <c r="G63" s="52">
        <v>2</v>
      </c>
      <c r="H63" s="27">
        <f t="shared" ref="H63:H73" si="18">$H$56*$C$66/12</f>
        <v>11954.046162875</v>
      </c>
      <c r="I63" s="27">
        <f t="shared" ref="I63:I72" si="19">$I$56*$C$65/12</f>
        <v>24479.225539499999</v>
      </c>
      <c r="J63" s="27">
        <f t="shared" ref="J63:J73" si="20">$J$56*$C$64/12</f>
        <v>26718.686204650003</v>
      </c>
      <c r="K63" s="27">
        <f t="shared" ref="K63:K73" si="21">$K$56*$C$63/12</f>
        <v>29656.083515725015</v>
      </c>
      <c r="L63" s="27">
        <f t="shared" ref="L63:L73" si="22">L18</f>
        <v>536459.91666666674</v>
      </c>
      <c r="M63" s="27">
        <f t="shared" ref="M63:M72" si="23">SUM(H63:L63)</f>
        <v>629267.95808941673</v>
      </c>
      <c r="N63" s="231">
        <f t="shared" ref="N63:O73" si="24">N18</f>
        <v>10653</v>
      </c>
      <c r="O63" s="231">
        <f t="shared" si="24"/>
        <v>99535.676715000038</v>
      </c>
      <c r="P63" s="27">
        <f t="shared" ref="P63:P73" si="25">M63+N63-O63</f>
        <v>540385.28137441666</v>
      </c>
      <c r="Q63" s="27">
        <f t="shared" ref="Q63:Q73" si="26">P63*0.05</f>
        <v>27019.264068720833</v>
      </c>
      <c r="U63" s="51"/>
    </row>
    <row r="64" spans="1:21">
      <c r="A64" s="52">
        <f t="shared" ref="A64:A89" si="27">A63+1</f>
        <v>6</v>
      </c>
      <c r="C64" s="61">
        <v>6.6769999999999996E-2</v>
      </c>
      <c r="D64" s="61">
        <v>8.5500000000000007E-2</v>
      </c>
      <c r="E64" s="156">
        <v>3</v>
      </c>
      <c r="G64" s="52">
        <v>3</v>
      </c>
      <c r="H64" s="27">
        <f t="shared" si="18"/>
        <v>11954.046162875</v>
      </c>
      <c r="I64" s="27">
        <f t="shared" si="19"/>
        <v>24479.225539499999</v>
      </c>
      <c r="J64" s="27">
        <f t="shared" si="20"/>
        <v>26718.686204650003</v>
      </c>
      <c r="K64" s="27">
        <f t="shared" si="21"/>
        <v>29656.083515725015</v>
      </c>
      <c r="L64" s="27">
        <f t="shared" si="22"/>
        <v>530290.47916666674</v>
      </c>
      <c r="M64" s="27">
        <f t="shared" si="23"/>
        <v>623098.52058941673</v>
      </c>
      <c r="N64" s="231">
        <f t="shared" si="24"/>
        <v>10653</v>
      </c>
      <c r="O64" s="231">
        <f t="shared" si="24"/>
        <v>102050.63491500003</v>
      </c>
      <c r="P64" s="27">
        <f t="shared" si="25"/>
        <v>531700.88567441667</v>
      </c>
      <c r="Q64" s="27">
        <f t="shared" si="26"/>
        <v>26585.044283720836</v>
      </c>
      <c r="U64" s="51"/>
    </row>
    <row r="65" spans="1:21">
      <c r="A65" s="52">
        <f t="shared" si="27"/>
        <v>7</v>
      </c>
      <c r="C65" s="61">
        <v>6.1769999999999999E-2</v>
      </c>
      <c r="D65" s="61">
        <v>7.6999999999999999E-2</v>
      </c>
      <c r="E65" s="156">
        <v>4</v>
      </c>
      <c r="G65" s="52">
        <v>4</v>
      </c>
      <c r="H65" s="27">
        <f t="shared" si="18"/>
        <v>11954.046162875</v>
      </c>
      <c r="I65" s="27">
        <f t="shared" si="19"/>
        <v>24479.225539499999</v>
      </c>
      <c r="J65" s="27">
        <f t="shared" si="20"/>
        <v>26718.686204650003</v>
      </c>
      <c r="K65" s="27">
        <f t="shared" si="21"/>
        <v>29656.083515725015</v>
      </c>
      <c r="L65" s="27">
        <f t="shared" si="22"/>
        <v>497265.89166666666</v>
      </c>
      <c r="M65" s="27">
        <f t="shared" si="23"/>
        <v>590073.93308941671</v>
      </c>
      <c r="N65" s="231">
        <f t="shared" si="24"/>
        <v>10653</v>
      </c>
      <c r="O65" s="231">
        <f t="shared" si="24"/>
        <v>104495.04346500002</v>
      </c>
      <c r="P65" s="27">
        <f t="shared" si="25"/>
        <v>496231.88962441671</v>
      </c>
      <c r="Q65" s="27">
        <f t="shared" si="26"/>
        <v>24811.594481220836</v>
      </c>
      <c r="U65" s="51"/>
    </row>
    <row r="66" spans="1:21">
      <c r="A66" s="52">
        <f t="shared" si="27"/>
        <v>8</v>
      </c>
      <c r="C66" s="61">
        <v>5.713E-2</v>
      </c>
      <c r="D66" s="61">
        <v>6.93E-2</v>
      </c>
      <c r="E66" s="156">
        <v>5</v>
      </c>
      <c r="G66" s="52">
        <v>5</v>
      </c>
      <c r="H66" s="27">
        <f t="shared" si="18"/>
        <v>11954.046162875</v>
      </c>
      <c r="I66" s="27">
        <f t="shared" si="19"/>
        <v>24479.225539499999</v>
      </c>
      <c r="J66" s="27">
        <f t="shared" si="20"/>
        <v>26718.686204650003</v>
      </c>
      <c r="K66" s="27">
        <f t="shared" si="21"/>
        <v>29656.083515725015</v>
      </c>
      <c r="L66" s="27">
        <f t="shared" si="22"/>
        <v>548302.2416666667</v>
      </c>
      <c r="M66" s="27">
        <f t="shared" si="23"/>
        <v>641110.28308941668</v>
      </c>
      <c r="N66" s="231">
        <f t="shared" si="24"/>
        <v>10653</v>
      </c>
      <c r="O66" s="231">
        <f t="shared" si="24"/>
        <v>106970.48176500002</v>
      </c>
      <c r="P66" s="27">
        <f t="shared" si="25"/>
        <v>544792.80132441665</v>
      </c>
      <c r="Q66" s="27">
        <f t="shared" si="26"/>
        <v>27239.640066220833</v>
      </c>
      <c r="U66" s="51"/>
    </row>
    <row r="67" spans="1:21">
      <c r="A67" s="52">
        <f t="shared" si="27"/>
        <v>9</v>
      </c>
      <c r="C67" s="61">
        <v>5.2850000000000001E-2</v>
      </c>
      <c r="D67" s="61">
        <v>6.2300000000000001E-2</v>
      </c>
      <c r="E67" s="156">
        <v>6</v>
      </c>
      <c r="G67" s="52">
        <v>6</v>
      </c>
      <c r="H67" s="27">
        <f t="shared" si="18"/>
        <v>11954.046162875</v>
      </c>
      <c r="I67" s="27">
        <f t="shared" si="19"/>
        <v>24479.225539499999</v>
      </c>
      <c r="J67" s="27">
        <f t="shared" si="20"/>
        <v>26718.686204650003</v>
      </c>
      <c r="K67" s="27">
        <f t="shared" si="21"/>
        <v>29656.083515725015</v>
      </c>
      <c r="L67" s="27">
        <f t="shared" si="22"/>
        <v>524462.54166666674</v>
      </c>
      <c r="M67" s="27">
        <f t="shared" si="23"/>
        <v>617270.58308941673</v>
      </c>
      <c r="N67" s="231">
        <f t="shared" si="24"/>
        <v>10653</v>
      </c>
      <c r="O67" s="231">
        <f t="shared" si="24"/>
        <v>109487.26651500004</v>
      </c>
      <c r="P67" s="27">
        <f t="shared" si="25"/>
        <v>518436.31657441671</v>
      </c>
      <c r="Q67" s="27">
        <f t="shared" si="26"/>
        <v>25921.815828720835</v>
      </c>
      <c r="U67" s="51"/>
    </row>
    <row r="68" spans="1:21">
      <c r="A68" s="52">
        <f t="shared" si="27"/>
        <v>10</v>
      </c>
      <c r="C68" s="61">
        <v>4.888E-2</v>
      </c>
      <c r="D68" s="61">
        <v>5.8999999999999997E-2</v>
      </c>
      <c r="E68" s="156">
        <v>7</v>
      </c>
      <c r="G68" s="52">
        <v>7</v>
      </c>
      <c r="H68" s="27">
        <f t="shared" si="18"/>
        <v>11954.046162875</v>
      </c>
      <c r="I68" s="27">
        <f t="shared" si="19"/>
        <v>24479.225539499999</v>
      </c>
      <c r="J68" s="27">
        <f t="shared" si="20"/>
        <v>26718.686204650003</v>
      </c>
      <c r="K68" s="27">
        <f t="shared" si="21"/>
        <v>29656.083515725015</v>
      </c>
      <c r="L68" s="27">
        <f t="shared" si="22"/>
        <v>503736.85416666669</v>
      </c>
      <c r="M68" s="27">
        <f t="shared" si="23"/>
        <v>596544.89558941673</v>
      </c>
      <c r="N68" s="231">
        <f t="shared" si="24"/>
        <v>10653</v>
      </c>
      <c r="O68" s="231">
        <f t="shared" si="24"/>
        <v>111914.00626500005</v>
      </c>
      <c r="P68" s="27">
        <f t="shared" si="25"/>
        <v>495283.8893244167</v>
      </c>
      <c r="Q68" s="27">
        <f t="shared" si="26"/>
        <v>24764.194466220837</v>
      </c>
      <c r="U68" s="51"/>
    </row>
    <row r="69" spans="1:21">
      <c r="A69" s="52">
        <f t="shared" si="27"/>
        <v>11</v>
      </c>
      <c r="C69" s="61">
        <v>4.5220000000000003E-2</v>
      </c>
      <c r="D69" s="61">
        <v>5.8999999999999997E-2</v>
      </c>
      <c r="E69" s="156">
        <v>8</v>
      </c>
      <c r="G69" s="52">
        <v>8</v>
      </c>
      <c r="H69" s="27">
        <f t="shared" si="18"/>
        <v>11954.046162875</v>
      </c>
      <c r="I69" s="27">
        <f t="shared" si="19"/>
        <v>24479.225539499999</v>
      </c>
      <c r="J69" s="27">
        <f t="shared" si="20"/>
        <v>26718.686204650003</v>
      </c>
      <c r="K69" s="27">
        <f t="shared" si="21"/>
        <v>29656.083515725015</v>
      </c>
      <c r="L69" s="27">
        <f t="shared" si="22"/>
        <v>540701.82916666672</v>
      </c>
      <c r="M69" s="27">
        <f t="shared" si="23"/>
        <v>633509.87058941671</v>
      </c>
      <c r="N69" s="231">
        <f t="shared" si="24"/>
        <v>10653</v>
      </c>
      <c r="O69" s="231">
        <f t="shared" si="24"/>
        <v>114389.77531500004</v>
      </c>
      <c r="P69" s="27">
        <f t="shared" si="25"/>
        <v>529773.09527441673</v>
      </c>
      <c r="Q69" s="27">
        <f t="shared" si="26"/>
        <v>26488.654763720839</v>
      </c>
      <c r="U69" s="51"/>
    </row>
    <row r="70" spans="1:21">
      <c r="A70" s="52">
        <f t="shared" si="27"/>
        <v>12</v>
      </c>
      <c r="C70" s="61">
        <v>4.462E-2</v>
      </c>
      <c r="D70" s="61">
        <v>5.91E-2</v>
      </c>
      <c r="E70" s="156">
        <v>9</v>
      </c>
      <c r="G70" s="52">
        <v>9</v>
      </c>
      <c r="H70" s="27">
        <f t="shared" si="18"/>
        <v>11954.046162875</v>
      </c>
      <c r="I70" s="27">
        <f t="shared" si="19"/>
        <v>24479.225539499999</v>
      </c>
      <c r="J70" s="27">
        <f t="shared" si="20"/>
        <v>26718.686204650003</v>
      </c>
      <c r="K70" s="27">
        <f t="shared" si="21"/>
        <v>29656.083515725015</v>
      </c>
      <c r="L70" s="27">
        <f t="shared" si="22"/>
        <v>532185.51666666672</v>
      </c>
      <c r="M70" s="27">
        <f t="shared" si="23"/>
        <v>624993.55808941671</v>
      </c>
      <c r="N70" s="231">
        <f t="shared" si="24"/>
        <v>10653</v>
      </c>
      <c r="O70" s="231">
        <f t="shared" si="24"/>
        <v>116914.02151500003</v>
      </c>
      <c r="P70" s="27">
        <f t="shared" si="25"/>
        <v>518732.53657441668</v>
      </c>
      <c r="Q70" s="27">
        <f t="shared" si="26"/>
        <v>25936.626828720837</v>
      </c>
      <c r="U70" s="51"/>
    </row>
    <row r="71" spans="1:21">
      <c r="A71" s="52">
        <f t="shared" si="27"/>
        <v>13</v>
      </c>
      <c r="C71" s="61">
        <v>4.4609999999999997E-2</v>
      </c>
      <c r="D71" s="61">
        <v>5.8999999999999997E-2</v>
      </c>
      <c r="E71" s="156">
        <v>10</v>
      </c>
      <c r="G71" s="52">
        <v>10</v>
      </c>
      <c r="H71" s="27">
        <f t="shared" si="18"/>
        <v>11954.046162875</v>
      </c>
      <c r="I71" s="27">
        <f t="shared" si="19"/>
        <v>24479.225539499999</v>
      </c>
      <c r="J71" s="27">
        <f t="shared" si="20"/>
        <v>26718.686204650003</v>
      </c>
      <c r="K71" s="27">
        <f t="shared" si="21"/>
        <v>29656.083515725015</v>
      </c>
      <c r="L71" s="27">
        <f t="shared" si="22"/>
        <v>534881.4916666667</v>
      </c>
      <c r="M71" s="27">
        <f t="shared" si="23"/>
        <v>627689.53308941668</v>
      </c>
      <c r="N71" s="231">
        <f t="shared" si="24"/>
        <v>10653</v>
      </c>
      <c r="O71" s="231">
        <f t="shared" si="24"/>
        <v>119425.40896500004</v>
      </c>
      <c r="P71" s="27">
        <f t="shared" si="25"/>
        <v>518917.12412441662</v>
      </c>
      <c r="Q71" s="27">
        <f t="shared" si="26"/>
        <v>25945.856206220833</v>
      </c>
      <c r="U71" s="51"/>
    </row>
    <row r="72" spans="1:21">
      <c r="A72" s="52">
        <f t="shared" si="27"/>
        <v>14</v>
      </c>
      <c r="C72" s="61">
        <v>4.462E-2</v>
      </c>
      <c r="D72" s="61">
        <v>5.91E-2</v>
      </c>
      <c r="E72" s="156">
        <v>11</v>
      </c>
      <c r="G72" s="52">
        <v>11</v>
      </c>
      <c r="H72" s="27">
        <f t="shared" si="18"/>
        <v>11954.046162875</v>
      </c>
      <c r="I72" s="27">
        <f t="shared" si="19"/>
        <v>24479.225539499999</v>
      </c>
      <c r="J72" s="27">
        <f t="shared" si="20"/>
        <v>26718.686204650003</v>
      </c>
      <c r="K72" s="27">
        <f t="shared" si="21"/>
        <v>29656.083515725015</v>
      </c>
      <c r="L72" s="27">
        <f t="shared" si="22"/>
        <v>519499.4916666667</v>
      </c>
      <c r="M72" s="27">
        <f t="shared" si="23"/>
        <v>612307.53308941668</v>
      </c>
      <c r="N72" s="231">
        <f t="shared" si="24"/>
        <v>10653</v>
      </c>
      <c r="O72" s="231">
        <f t="shared" si="24"/>
        <v>121919.70406500003</v>
      </c>
      <c r="P72" s="27">
        <f t="shared" si="25"/>
        <v>501040.82902441663</v>
      </c>
      <c r="Q72" s="27">
        <f t="shared" si="26"/>
        <v>25052.041451220834</v>
      </c>
      <c r="U72" s="51"/>
    </row>
    <row r="73" spans="1:21">
      <c r="A73" s="52">
        <f t="shared" si="27"/>
        <v>15</v>
      </c>
      <c r="C73" s="61">
        <v>4.4609999999999997E-2</v>
      </c>
      <c r="D73" s="61">
        <v>5.8999999999999997E-2</v>
      </c>
      <c r="E73" s="156">
        <v>12</v>
      </c>
      <c r="G73" s="52">
        <v>12</v>
      </c>
      <c r="H73" s="27">
        <f t="shared" si="18"/>
        <v>11954.046162875</v>
      </c>
      <c r="I73" s="27">
        <f>$I$56*$C$65/12</f>
        <v>24479.225539499999</v>
      </c>
      <c r="J73" s="27">
        <f t="shared" si="20"/>
        <v>26718.686204650003</v>
      </c>
      <c r="K73" s="27">
        <f t="shared" si="21"/>
        <v>29656.083515725015</v>
      </c>
      <c r="L73" s="27">
        <f t="shared" si="22"/>
        <v>487962.35416666669</v>
      </c>
      <c r="M73" s="27">
        <f>SUM(H73:L73)</f>
        <v>580770.39558941673</v>
      </c>
      <c r="N73" s="231">
        <f t="shared" si="24"/>
        <v>10653</v>
      </c>
      <c r="O73" s="231">
        <f t="shared" si="24"/>
        <v>124359.10816500004</v>
      </c>
      <c r="P73" s="27">
        <f t="shared" si="25"/>
        <v>467064.28742441669</v>
      </c>
      <c r="Q73" s="27">
        <f t="shared" si="26"/>
        <v>23353.214371220834</v>
      </c>
      <c r="U73" s="51"/>
    </row>
    <row r="74" spans="1:21">
      <c r="A74" s="52">
        <f t="shared" si="27"/>
        <v>16</v>
      </c>
      <c r="C74" s="61">
        <v>4.462E-2</v>
      </c>
      <c r="D74" s="61">
        <v>5.91E-2</v>
      </c>
      <c r="E74" s="156">
        <v>13</v>
      </c>
      <c r="H74" s="27"/>
      <c r="I74" s="27"/>
      <c r="J74" s="27"/>
      <c r="K74" s="27"/>
      <c r="L74" s="27"/>
      <c r="M74" s="27"/>
      <c r="N74" s="27"/>
      <c r="O74" s="27"/>
      <c r="P74" s="27" t="str">
        <f t="shared" ref="P74:P88" si="28">IF(O74=0,"",M74+N74-O74)</f>
        <v/>
      </c>
      <c r="Q74" s="27" t="str">
        <f t="shared" ref="Q74:Q88" si="29">IF(P74="","",P74*0.389)</f>
        <v/>
      </c>
      <c r="R74" s="51"/>
      <c r="S74" s="51"/>
      <c r="T74" s="51"/>
      <c r="U74" s="27" t="str">
        <f t="shared" ref="U74:U88" si="30">IF(Q74="","",U73+Q74)</f>
        <v/>
      </c>
    </row>
    <row r="75" spans="1:21">
      <c r="A75" s="52">
        <f t="shared" si="27"/>
        <v>17</v>
      </c>
      <c r="C75" s="61">
        <v>4.4609999999999997E-2</v>
      </c>
      <c r="D75" s="61">
        <v>5.8999999999999997E-2</v>
      </c>
      <c r="E75" s="156">
        <v>14</v>
      </c>
      <c r="H75" s="27"/>
      <c r="I75" s="27"/>
      <c r="J75" s="27"/>
      <c r="K75" s="27"/>
      <c r="L75" s="27"/>
      <c r="M75" s="27"/>
      <c r="N75" s="27"/>
      <c r="O75" s="27"/>
      <c r="P75" s="27" t="str">
        <f t="shared" si="28"/>
        <v/>
      </c>
      <c r="Q75" s="27" t="str">
        <f t="shared" si="29"/>
        <v/>
      </c>
      <c r="R75" s="51"/>
      <c r="S75" s="51"/>
      <c r="T75" s="51"/>
      <c r="U75" s="27" t="str">
        <f t="shared" si="30"/>
        <v/>
      </c>
    </row>
    <row r="76" spans="1:21">
      <c r="A76" s="52">
        <f t="shared" si="27"/>
        <v>18</v>
      </c>
      <c r="C76" s="61">
        <v>4.462E-2</v>
      </c>
      <c r="D76" s="61">
        <v>5.91E-2</v>
      </c>
      <c r="E76" s="156">
        <v>15</v>
      </c>
      <c r="H76" s="27"/>
      <c r="I76" s="27"/>
      <c r="J76" s="27"/>
      <c r="K76" s="27"/>
      <c r="L76" s="27"/>
      <c r="M76" s="27"/>
      <c r="N76" s="27"/>
      <c r="O76" s="27"/>
      <c r="P76" s="27" t="str">
        <f t="shared" si="28"/>
        <v/>
      </c>
      <c r="Q76" s="27" t="str">
        <f t="shared" si="29"/>
        <v/>
      </c>
      <c r="R76" s="51"/>
      <c r="S76" s="51"/>
      <c r="T76" s="51"/>
      <c r="U76" s="27" t="str">
        <f t="shared" si="30"/>
        <v/>
      </c>
    </row>
    <row r="77" spans="1:21">
      <c r="A77" s="52">
        <f t="shared" si="27"/>
        <v>19</v>
      </c>
      <c r="C77" s="61">
        <v>4.4609999999999997E-2</v>
      </c>
      <c r="D77" s="61">
        <v>2.9499999999999998E-2</v>
      </c>
      <c r="E77" s="156">
        <v>16</v>
      </c>
      <c r="H77" s="27"/>
      <c r="I77" s="27"/>
      <c r="J77" s="27"/>
      <c r="K77" s="27"/>
      <c r="L77" s="27"/>
      <c r="M77" s="27"/>
      <c r="N77" s="27"/>
      <c r="O77" s="27"/>
      <c r="P77" s="27" t="str">
        <f t="shared" si="28"/>
        <v/>
      </c>
      <c r="Q77" s="27" t="str">
        <f t="shared" si="29"/>
        <v/>
      </c>
      <c r="R77" s="51"/>
      <c r="S77" s="51"/>
      <c r="T77" s="51"/>
      <c r="U77" s="27" t="str">
        <f t="shared" si="30"/>
        <v/>
      </c>
    </row>
    <row r="78" spans="1:21">
      <c r="A78" s="52">
        <f t="shared" si="27"/>
        <v>20</v>
      </c>
      <c r="C78" s="61">
        <v>4.462E-2</v>
      </c>
      <c r="D78" s="61">
        <v>0</v>
      </c>
      <c r="E78" s="156">
        <v>17</v>
      </c>
      <c r="H78" s="27"/>
      <c r="I78" s="27"/>
      <c r="J78" s="27"/>
      <c r="K78" s="27"/>
      <c r="L78" s="27"/>
      <c r="M78" s="27"/>
      <c r="N78" s="27"/>
      <c r="O78" s="27"/>
      <c r="P78" s="27" t="str">
        <f t="shared" si="28"/>
        <v/>
      </c>
      <c r="Q78" s="27" t="str">
        <f t="shared" si="29"/>
        <v/>
      </c>
      <c r="R78" s="51"/>
      <c r="S78" s="51"/>
      <c r="T78" s="51"/>
      <c r="U78" s="27" t="str">
        <f t="shared" si="30"/>
        <v/>
      </c>
    </row>
    <row r="79" spans="1:21">
      <c r="A79" s="52">
        <f t="shared" si="27"/>
        <v>21</v>
      </c>
      <c r="C79" s="61">
        <v>4.4609999999999997E-2</v>
      </c>
      <c r="D79" s="61">
        <v>0</v>
      </c>
      <c r="E79" s="156">
        <v>18</v>
      </c>
      <c r="H79" s="27"/>
      <c r="I79" s="27"/>
      <c r="J79" s="27"/>
      <c r="K79" s="27"/>
      <c r="L79" s="27"/>
      <c r="M79" s="27"/>
      <c r="N79" s="27"/>
      <c r="O79" s="27"/>
      <c r="P79" s="27" t="str">
        <f t="shared" si="28"/>
        <v/>
      </c>
      <c r="Q79" s="27" t="str">
        <f t="shared" si="29"/>
        <v/>
      </c>
      <c r="R79" s="51"/>
      <c r="S79" s="51"/>
      <c r="T79" s="51"/>
      <c r="U79" s="27" t="str">
        <f t="shared" si="30"/>
        <v/>
      </c>
    </row>
    <row r="80" spans="1:21">
      <c r="A80" s="52">
        <f t="shared" si="27"/>
        <v>22</v>
      </c>
      <c r="C80" s="61">
        <v>4.462E-2</v>
      </c>
      <c r="D80" s="61">
        <v>0</v>
      </c>
      <c r="E80" s="156">
        <v>19</v>
      </c>
      <c r="H80" s="27"/>
      <c r="I80" s="27"/>
      <c r="J80" s="27"/>
      <c r="K80" s="27"/>
      <c r="L80" s="27"/>
      <c r="M80" s="27"/>
      <c r="N80" s="27"/>
      <c r="O80" s="27"/>
      <c r="P80" s="27" t="str">
        <f t="shared" si="28"/>
        <v/>
      </c>
      <c r="Q80" s="27" t="str">
        <f t="shared" si="29"/>
        <v/>
      </c>
      <c r="R80" s="51"/>
      <c r="S80" s="51"/>
      <c r="T80" s="51"/>
      <c r="U80" s="27" t="str">
        <f t="shared" si="30"/>
        <v/>
      </c>
    </row>
    <row r="81" spans="1:21">
      <c r="A81" s="52">
        <f t="shared" si="27"/>
        <v>23</v>
      </c>
      <c r="C81" s="61">
        <v>4.4609999999999997E-2</v>
      </c>
      <c r="D81" s="61">
        <v>0</v>
      </c>
      <c r="E81" s="156">
        <v>20</v>
      </c>
      <c r="H81" s="27"/>
      <c r="I81" s="27"/>
      <c r="J81" s="27"/>
      <c r="K81" s="27"/>
      <c r="L81" s="27"/>
      <c r="M81" s="27"/>
      <c r="N81" s="27"/>
      <c r="O81" s="27"/>
      <c r="P81" s="27" t="str">
        <f t="shared" si="28"/>
        <v/>
      </c>
      <c r="Q81" s="27" t="str">
        <f t="shared" si="29"/>
        <v/>
      </c>
      <c r="R81" s="51"/>
      <c r="S81" s="51"/>
      <c r="T81" s="51"/>
      <c r="U81" s="27" t="str">
        <f t="shared" si="30"/>
        <v/>
      </c>
    </row>
    <row r="82" spans="1:21">
      <c r="A82" s="52">
        <f t="shared" si="27"/>
        <v>24</v>
      </c>
      <c r="C82" s="61">
        <v>2.231E-2</v>
      </c>
      <c r="D82" s="61">
        <v>0</v>
      </c>
      <c r="E82" s="156">
        <v>21</v>
      </c>
      <c r="H82" s="27"/>
      <c r="I82" s="27"/>
      <c r="J82" s="27"/>
      <c r="K82" s="27"/>
      <c r="L82" s="27"/>
      <c r="M82" s="27"/>
      <c r="N82" s="27"/>
      <c r="O82" s="27"/>
      <c r="P82" s="27" t="str">
        <f t="shared" si="28"/>
        <v/>
      </c>
      <c r="Q82" s="27" t="str">
        <f t="shared" si="29"/>
        <v/>
      </c>
      <c r="R82" s="51"/>
      <c r="S82" s="51"/>
      <c r="T82" s="51"/>
      <c r="U82" s="27" t="str">
        <f t="shared" si="30"/>
        <v/>
      </c>
    </row>
    <row r="83" spans="1:21">
      <c r="A83" s="52">
        <f t="shared" si="27"/>
        <v>25</v>
      </c>
      <c r="C83" s="61">
        <v>0</v>
      </c>
      <c r="D83" s="61">
        <v>0</v>
      </c>
      <c r="E83" s="156">
        <v>22</v>
      </c>
      <c r="H83" s="27"/>
      <c r="I83" s="27"/>
      <c r="J83" s="27"/>
      <c r="K83" s="27"/>
      <c r="L83" s="27"/>
      <c r="M83" s="27"/>
      <c r="N83" s="27"/>
      <c r="O83" s="27"/>
      <c r="P83" s="27" t="str">
        <f t="shared" si="28"/>
        <v/>
      </c>
      <c r="Q83" s="27" t="str">
        <f t="shared" si="29"/>
        <v/>
      </c>
      <c r="R83" s="51"/>
      <c r="S83" s="51"/>
      <c r="T83" s="51"/>
      <c r="U83" s="27" t="str">
        <f t="shared" si="30"/>
        <v/>
      </c>
    </row>
    <row r="84" spans="1:21">
      <c r="A84" s="52">
        <f t="shared" si="27"/>
        <v>26</v>
      </c>
      <c r="C84" s="61">
        <v>0</v>
      </c>
      <c r="E84" s="156">
        <v>23</v>
      </c>
      <c r="H84" s="27"/>
      <c r="I84" s="27"/>
      <c r="J84" s="27"/>
      <c r="K84" s="27"/>
      <c r="L84" s="27"/>
      <c r="M84" s="27"/>
      <c r="P84" s="27" t="str">
        <f t="shared" si="28"/>
        <v/>
      </c>
      <c r="Q84" s="27" t="str">
        <f t="shared" si="29"/>
        <v/>
      </c>
      <c r="R84" s="51"/>
      <c r="S84" s="51"/>
      <c r="T84" s="51"/>
      <c r="U84" s="27" t="str">
        <f t="shared" si="30"/>
        <v/>
      </c>
    </row>
    <row r="85" spans="1:21">
      <c r="A85" s="52">
        <f t="shared" si="27"/>
        <v>27</v>
      </c>
      <c r="C85" s="61">
        <v>0</v>
      </c>
      <c r="E85" s="156">
        <v>24</v>
      </c>
      <c r="H85" s="27"/>
      <c r="I85" s="27"/>
      <c r="J85" s="27"/>
      <c r="K85" s="27"/>
      <c r="L85" s="27"/>
      <c r="M85" s="27"/>
      <c r="P85" s="27" t="str">
        <f t="shared" si="28"/>
        <v/>
      </c>
      <c r="Q85" s="27" t="str">
        <f t="shared" si="29"/>
        <v/>
      </c>
      <c r="R85" s="51"/>
      <c r="S85" s="51"/>
      <c r="T85" s="51"/>
      <c r="U85" s="27" t="str">
        <f t="shared" si="30"/>
        <v/>
      </c>
    </row>
    <row r="86" spans="1:21">
      <c r="A86" s="52">
        <f t="shared" si="27"/>
        <v>28</v>
      </c>
      <c r="C86" s="61">
        <v>0</v>
      </c>
      <c r="E86" s="156">
        <v>25</v>
      </c>
      <c r="H86" s="27"/>
      <c r="I86" s="27"/>
      <c r="J86" s="27"/>
      <c r="K86" s="27"/>
      <c r="L86" s="27"/>
      <c r="M86" s="27"/>
      <c r="P86" s="27" t="str">
        <f t="shared" si="28"/>
        <v/>
      </c>
      <c r="Q86" s="27" t="str">
        <f t="shared" si="29"/>
        <v/>
      </c>
      <c r="R86" s="51"/>
      <c r="S86" s="51"/>
      <c r="T86" s="51"/>
      <c r="U86" s="27" t="str">
        <f t="shared" si="30"/>
        <v/>
      </c>
    </row>
    <row r="87" spans="1:21">
      <c r="A87" s="52">
        <f t="shared" si="27"/>
        <v>29</v>
      </c>
      <c r="C87" s="61">
        <v>0</v>
      </c>
      <c r="E87" s="156">
        <v>26</v>
      </c>
      <c r="H87" s="27"/>
      <c r="I87" s="27"/>
      <c r="J87" s="27"/>
      <c r="K87" s="27"/>
      <c r="L87" s="27"/>
      <c r="M87" s="27"/>
      <c r="P87" s="27" t="str">
        <f t="shared" si="28"/>
        <v/>
      </c>
      <c r="Q87" s="27" t="str">
        <f t="shared" si="29"/>
        <v/>
      </c>
      <c r="R87" s="51"/>
      <c r="S87" s="51"/>
      <c r="T87" s="51"/>
      <c r="U87" s="27" t="str">
        <f t="shared" si="30"/>
        <v/>
      </c>
    </row>
    <row r="88" spans="1:21">
      <c r="A88" s="52">
        <f t="shared" si="27"/>
        <v>30</v>
      </c>
      <c r="C88" s="61">
        <v>0</v>
      </c>
      <c r="E88" s="156">
        <v>27</v>
      </c>
      <c r="M88" s="27"/>
      <c r="P88" s="27" t="str">
        <f t="shared" si="28"/>
        <v/>
      </c>
      <c r="Q88" s="27" t="str">
        <f t="shared" si="29"/>
        <v/>
      </c>
      <c r="U88" s="27" t="str">
        <f t="shared" si="30"/>
        <v/>
      </c>
    </row>
    <row r="89" spans="1:21">
      <c r="A89" s="52">
        <f t="shared" si="27"/>
        <v>31</v>
      </c>
      <c r="H89" s="27">
        <f>SUM(H62:H88)</f>
        <v>143448.55395450001</v>
      </c>
      <c r="I89" s="27">
        <f t="shared" ref="I89:Q89" si="31">SUM(I62:I88)</f>
        <v>293750.70647400006</v>
      </c>
      <c r="J89" s="27">
        <f t="shared" si="31"/>
        <v>320624.23445580003</v>
      </c>
      <c r="K89" s="27">
        <f t="shared" si="31"/>
        <v>355873.00218870025</v>
      </c>
      <c r="L89" s="27">
        <f t="shared" si="31"/>
        <v>6258570.8500000006</v>
      </c>
      <c r="M89" s="27">
        <f t="shared" si="31"/>
        <v>7372267.3470730009</v>
      </c>
      <c r="N89" s="27">
        <f t="shared" si="31"/>
        <v>127836</v>
      </c>
      <c r="O89" s="27">
        <f t="shared" si="31"/>
        <v>1328581.6530300004</v>
      </c>
      <c r="P89" s="27">
        <f t="shared" si="31"/>
        <v>6171521.6940429993</v>
      </c>
      <c r="Q89" s="27">
        <f t="shared" si="31"/>
        <v>308576.08470215002</v>
      </c>
      <c r="R89" s="27"/>
      <c r="S89" s="27"/>
      <c r="T89" s="27"/>
      <c r="U89" s="27"/>
    </row>
    <row r="90" spans="1:21">
      <c r="H90" s="27"/>
      <c r="I90" s="27"/>
      <c r="J90" s="27"/>
      <c r="K90" s="27"/>
      <c r="L90" s="27"/>
      <c r="M90" s="27"/>
      <c r="N90" s="27"/>
      <c r="O90" s="27"/>
      <c r="U90" s="27"/>
    </row>
    <row r="91" spans="1:21">
      <c r="B91" s="52" t="s">
        <v>166</v>
      </c>
      <c r="C91" s="52" t="str">
        <f>C46</f>
        <v>2017 20-year additions at MACRS Year 5 tax rate (0.057130)</v>
      </c>
    </row>
    <row r="92" spans="1:21">
      <c r="B92" s="60" t="s">
        <v>167</v>
      </c>
      <c r="C92" s="52" t="str">
        <f>C47</f>
        <v>2018 20-year additions at MACRS Year 4 tax rate (0.061770)</v>
      </c>
    </row>
    <row r="93" spans="1:21">
      <c r="B93" s="60" t="s">
        <v>168</v>
      </c>
      <c r="C93" s="52" t="str">
        <f>C48</f>
        <v>2019 20-year additions at MACRS Year 3 tax rate (0.066770)</v>
      </c>
      <c r="D93" s="245"/>
    </row>
    <row r="94" spans="1:21">
      <c r="B94" s="60" t="s">
        <v>177</v>
      </c>
      <c r="C94" s="52" t="str">
        <f>C49</f>
        <v>2020 20-year additions at MACRS Year 2 tax rate (0.072190)</v>
      </c>
    </row>
    <row r="95" spans="1:21">
      <c r="B95" s="60" t="s">
        <v>213</v>
      </c>
      <c r="C95" s="52" t="str">
        <f>C50</f>
        <v>2021 20-year additions at MACRS Year 1 tax rate (0.037500) plus repairs</v>
      </c>
    </row>
  </sheetData>
  <dataValidations count="1">
    <dataValidation type="decimal" operator="lessThanOrEqual" allowBlank="1" showInputMessage="1" showErrorMessage="1" errorTitle="Error" error="Value should be negative." sqref="T16" xr:uid="{3ACDD5C8-95F5-4F44-AAA9-E46BD13830F1}">
      <formula1>0</formula1>
    </dataValidation>
  </dataValidations>
  <pageMargins left="0.7" right="0.7" top="0.75" bottom="0.75" header="0.3" footer="0.3"/>
  <pageSetup scale="41" orientation="landscape" r:id="rId1"/>
  <headerFooter>
    <oddFooter>&amp;R&amp;"Times New Roman,Bold"&amp;17Exhibit 4
Page 17 of 18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DFB3-5B30-4808-B487-F0C0EF3AA3F6}">
  <sheetPr>
    <tabColor theme="5" tint="0.39997558519241921"/>
    <pageSetUpPr fitToPage="1"/>
  </sheetPr>
  <dimension ref="A1:Z89"/>
  <sheetViews>
    <sheetView zoomScale="80" zoomScaleNormal="80" workbookViewId="0"/>
  </sheetViews>
  <sheetFormatPr defaultColWidth="9.140625" defaultRowHeight="12.75"/>
  <cols>
    <col min="1" max="1" width="5.140625" style="52" customWidth="1"/>
    <col min="2" max="2" width="3.140625" style="52" customWidth="1"/>
    <col min="3" max="3" width="11.85546875" style="52" customWidth="1"/>
    <col min="4" max="4" width="11.85546875" style="52" hidden="1" customWidth="1"/>
    <col min="5" max="5" width="8.85546875" style="52" bestFit="1" customWidth="1"/>
    <col min="6" max="6" width="1.140625" style="52" customWidth="1"/>
    <col min="7" max="7" width="6.140625" style="52" bestFit="1" customWidth="1"/>
    <col min="8" max="9" width="14.140625" style="52" customWidth="1"/>
    <col min="10" max="10" width="15" style="52" bestFit="1" customWidth="1"/>
    <col min="11" max="11" width="13.85546875" style="52" bestFit="1" customWidth="1"/>
    <col min="12" max="12" width="14.42578125" style="52" bestFit="1" customWidth="1"/>
    <col min="13" max="13" width="13.85546875" style="52" bestFit="1" customWidth="1"/>
    <col min="14" max="14" width="11.5703125" style="52" bestFit="1" customWidth="1"/>
    <col min="15" max="15" width="10.85546875" style="52" customWidth="1"/>
    <col min="16" max="16" width="11.42578125" style="52" customWidth="1"/>
    <col min="17" max="17" width="11.140625" style="52" customWidth="1"/>
    <col min="18" max="18" width="14.85546875" style="52" customWidth="1"/>
    <col min="19" max="19" width="12" style="52" customWidth="1"/>
    <col min="20" max="20" width="9.140625" style="52"/>
    <col min="21" max="21" width="13.85546875" style="52" customWidth="1"/>
    <col min="22" max="24" width="9.140625" style="52"/>
    <col min="25" max="25" width="11.85546875" style="52" customWidth="1"/>
    <col min="26" max="16384" width="9.140625" style="52"/>
  </cols>
  <sheetData>
    <row r="1" spans="1:26" ht="18.75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6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6" ht="18.75">
      <c r="A3" s="191" t="s">
        <v>593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6">
      <c r="A4" s="53"/>
    </row>
    <row r="6" spans="1:26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155"/>
      <c r="K6" s="54"/>
      <c r="L6" s="54"/>
      <c r="M6" s="54"/>
      <c r="N6" s="54"/>
      <c r="O6" s="54"/>
      <c r="P6" s="54"/>
      <c r="Q6" s="54"/>
      <c r="R6" s="54"/>
    </row>
    <row r="7" spans="1:26" ht="25.5">
      <c r="A7" s="54"/>
      <c r="B7" s="54"/>
      <c r="C7" s="55"/>
      <c r="D7" s="54" t="s">
        <v>25</v>
      </c>
      <c r="E7" s="55" t="s">
        <v>598</v>
      </c>
      <c r="F7" s="54"/>
      <c r="G7" s="54"/>
      <c r="H7" s="54"/>
      <c r="I7" s="54"/>
      <c r="J7" s="54" t="s">
        <v>3</v>
      </c>
      <c r="K7" s="54" t="s">
        <v>35</v>
      </c>
      <c r="L7" s="54"/>
      <c r="M7" s="54"/>
      <c r="N7" s="55" t="s">
        <v>181</v>
      </c>
      <c r="O7" s="55" t="s">
        <v>182</v>
      </c>
      <c r="P7" s="55" t="s">
        <v>187</v>
      </c>
      <c r="Q7" s="55" t="s">
        <v>189</v>
      </c>
      <c r="R7" s="54" t="s">
        <v>41</v>
      </c>
      <c r="S7" s="55" t="s">
        <v>164</v>
      </c>
      <c r="T7" s="55"/>
      <c r="U7" s="55" t="s">
        <v>669</v>
      </c>
    </row>
    <row r="8" spans="1:26">
      <c r="A8" s="54" t="s">
        <v>4</v>
      </c>
      <c r="B8" s="54"/>
      <c r="C8" s="54"/>
      <c r="D8" s="54" t="s">
        <v>26</v>
      </c>
      <c r="E8" s="54" t="s">
        <v>599</v>
      </c>
      <c r="F8" s="54"/>
      <c r="G8" s="54"/>
      <c r="H8" s="54">
        <v>2020</v>
      </c>
      <c r="I8" s="54">
        <v>2021</v>
      </c>
      <c r="J8" s="54" t="s">
        <v>34</v>
      </c>
      <c r="K8" s="54" t="s">
        <v>36</v>
      </c>
      <c r="L8" s="54" t="s">
        <v>38</v>
      </c>
      <c r="M8" s="54"/>
      <c r="N8" s="54" t="s">
        <v>34</v>
      </c>
      <c r="O8" s="54" t="s">
        <v>34</v>
      </c>
      <c r="P8" s="54" t="s">
        <v>188</v>
      </c>
      <c r="Q8" s="54" t="s">
        <v>190</v>
      </c>
      <c r="R8" s="54" t="s">
        <v>40</v>
      </c>
      <c r="S8" s="54" t="s">
        <v>237</v>
      </c>
      <c r="T8" s="54" t="s">
        <v>164</v>
      </c>
      <c r="U8" s="54" t="s">
        <v>40</v>
      </c>
    </row>
    <row r="9" spans="1:26">
      <c r="A9" s="559" t="s">
        <v>5</v>
      </c>
      <c r="B9" s="559"/>
      <c r="C9" s="559"/>
      <c r="D9" s="559" t="s">
        <v>2</v>
      </c>
      <c r="E9" s="559" t="s">
        <v>600</v>
      </c>
      <c r="F9" s="559"/>
      <c r="G9" s="559" t="s">
        <v>108</v>
      </c>
      <c r="H9" s="559" t="s">
        <v>20</v>
      </c>
      <c r="I9" s="559" t="s">
        <v>20</v>
      </c>
      <c r="J9" s="559" t="s">
        <v>0</v>
      </c>
      <c r="K9" s="559" t="s">
        <v>37</v>
      </c>
      <c r="L9" s="559" t="s">
        <v>0</v>
      </c>
      <c r="M9" s="559" t="s">
        <v>39</v>
      </c>
      <c r="N9" s="56" t="s">
        <v>346</v>
      </c>
      <c r="O9" s="56" t="s">
        <v>186</v>
      </c>
      <c r="P9" s="56" t="s">
        <v>346</v>
      </c>
      <c r="Q9" s="56" t="s">
        <v>12</v>
      </c>
      <c r="R9" s="559" t="s">
        <v>42</v>
      </c>
      <c r="S9" s="56" t="s">
        <v>238</v>
      </c>
      <c r="T9" s="56" t="s">
        <v>239</v>
      </c>
      <c r="U9" s="559" t="s">
        <v>42</v>
      </c>
    </row>
    <row r="10" spans="1:26">
      <c r="C10" s="57"/>
      <c r="D10" s="57" t="s">
        <v>71</v>
      </c>
      <c r="E10" s="57"/>
      <c r="F10" s="58"/>
      <c r="G10" s="58"/>
      <c r="H10" s="59" t="s">
        <v>166</v>
      </c>
      <c r="I10" s="59" t="s">
        <v>167</v>
      </c>
    </row>
    <row r="11" spans="1:26">
      <c r="A11" s="52">
        <v>1</v>
      </c>
      <c r="C11" s="57" t="s">
        <v>71</v>
      </c>
      <c r="D11" s="59"/>
      <c r="E11" s="57"/>
      <c r="H11" s="231">
        <f>'202012 Bk Depr'!R14-H12-H13</f>
        <v>0</v>
      </c>
      <c r="I11" s="27">
        <f>SUM('202101 Bk Depr'!L14,'202102 Bk Depr'!L14,'202103 Bk Depr'!L14,'202104 Bk Depr'!L14,'202105 Bk Depr'!L14,'202106 Bk Depr'!L14,'202107 Bk Depr'!L14,'202108 Bk Depr'!L14,'202109 Bk Depr'!L14,'202110 Bk Depr'!L14,'202111 Bk Depr'!L14,'202112 Bk Depr'!L14)-I12-I13</f>
        <v>0</v>
      </c>
      <c r="J11" s="27"/>
    </row>
    <row r="12" spans="1:26">
      <c r="A12" s="52">
        <v>2</v>
      </c>
      <c r="C12" s="57" t="s">
        <v>74</v>
      </c>
      <c r="D12" s="59"/>
      <c r="E12" s="57"/>
      <c r="H12" s="231">
        <f>'Tax Depr 2020-Trans'!H12</f>
        <v>0</v>
      </c>
      <c r="I12" s="231">
        <v>0</v>
      </c>
    </row>
    <row r="13" spans="1:26">
      <c r="A13" s="52">
        <v>3</v>
      </c>
      <c r="C13" s="57" t="s">
        <v>185</v>
      </c>
      <c r="D13" s="59"/>
      <c r="E13" s="57"/>
      <c r="H13" s="231">
        <f>'Tax Depr 2020-Trans'!H13</f>
        <v>0</v>
      </c>
      <c r="I13" s="231">
        <v>0</v>
      </c>
    </row>
    <row r="14" spans="1:26">
      <c r="C14" s="59"/>
      <c r="E14" s="59"/>
      <c r="W14" s="50"/>
      <c r="X14" s="50"/>
      <c r="Y14" s="50"/>
      <c r="Z14" s="50"/>
    </row>
    <row r="15" spans="1:26">
      <c r="C15" s="54" t="s">
        <v>604</v>
      </c>
      <c r="H15" s="195"/>
      <c r="I15" s="195"/>
      <c r="J15" s="195"/>
      <c r="K15" s="195"/>
      <c r="L15" s="244"/>
      <c r="W15" s="50"/>
      <c r="X15" s="50"/>
      <c r="Y15" s="50"/>
      <c r="Z15" s="50"/>
    </row>
    <row r="16" spans="1:26">
      <c r="C16" s="54" t="s">
        <v>605</v>
      </c>
      <c r="H16" s="59" t="s">
        <v>166</v>
      </c>
      <c r="I16" s="59" t="s">
        <v>167</v>
      </c>
      <c r="Q16" s="231">
        <v>0</v>
      </c>
      <c r="R16" s="231">
        <f>Q16+'Tax Depr 2020-Trans'!Q28</f>
        <v>0</v>
      </c>
      <c r="U16" s="231">
        <f>R16</f>
        <v>0</v>
      </c>
      <c r="W16" s="50"/>
      <c r="X16" s="50"/>
      <c r="Y16" s="50"/>
      <c r="Z16" s="50"/>
    </row>
    <row r="17" spans="1:26">
      <c r="A17" s="52">
        <f>A13+1</f>
        <v>4</v>
      </c>
      <c r="C17" s="589">
        <v>0.05</v>
      </c>
      <c r="D17" s="61">
        <v>0.05</v>
      </c>
      <c r="E17" s="156">
        <v>1</v>
      </c>
      <c r="G17" s="52">
        <v>1</v>
      </c>
      <c r="H17" s="231">
        <f>$H$11*$C$18/12</f>
        <v>0</v>
      </c>
      <c r="I17" s="231">
        <f>(('202101 Bk Depr'!$L$14-(1/12*$I$13))*$C$17)+(1/12*$I$13)</f>
        <v>0</v>
      </c>
      <c r="J17" s="231">
        <f>SUM(H17:I17)</f>
        <v>0</v>
      </c>
      <c r="K17" s="231">
        <f>'202101 Bk Depr'!$L$34</f>
        <v>0</v>
      </c>
      <c r="L17" s="231">
        <f>'202101 Bk Depr'!P14</f>
        <v>0</v>
      </c>
      <c r="M17" s="231">
        <f>J17+K17-L17</f>
        <v>0</v>
      </c>
      <c r="N17" s="231">
        <f>M17*0.21</f>
        <v>0</v>
      </c>
      <c r="O17" s="231">
        <f t="shared" ref="O17:O28" si="0">N59</f>
        <v>0</v>
      </c>
      <c r="P17" s="231">
        <f>-O17*0.21</f>
        <v>0</v>
      </c>
      <c r="Q17" s="27"/>
      <c r="R17" s="231">
        <f>R16+N17+O17+P17+Q17</f>
        <v>0</v>
      </c>
      <c r="S17" s="231">
        <f>R17-R16</f>
        <v>0</v>
      </c>
      <c r="T17" s="247" t="str">
        <f>'Tax Depr 2021-Dist'!W17</f>
        <v>335/365</v>
      </c>
      <c r="U17" s="231">
        <f>U16+S17*335/365</f>
        <v>0</v>
      </c>
      <c r="X17" s="231"/>
      <c r="Y17" s="51"/>
      <c r="Z17" s="50"/>
    </row>
    <row r="18" spans="1:26">
      <c r="A18" s="52">
        <f>A17+1</f>
        <v>5</v>
      </c>
      <c r="C18" s="589">
        <v>9.5000000000000001E-2</v>
      </c>
      <c r="D18" s="61">
        <v>9.5000000000000001E-2</v>
      </c>
      <c r="E18" s="156">
        <v>2</v>
      </c>
      <c r="G18" s="52">
        <v>2</v>
      </c>
      <c r="H18" s="231">
        <f t="shared" ref="H18:H28" si="1">$H$11*$C$18/12</f>
        <v>0</v>
      </c>
      <c r="I18" s="231">
        <f>(('202102 Bk Depr'!$L$14-(1/12*$I$13))*$C$17)+(1/12*$I$13)</f>
        <v>0</v>
      </c>
      <c r="J18" s="231">
        <f t="shared" ref="J18:J28" si="2">SUM(H18:I18)</f>
        <v>0</v>
      </c>
      <c r="K18" s="231">
        <f>'202102 Bk Depr'!$L$34</f>
        <v>0</v>
      </c>
      <c r="L18" s="231">
        <f>'202102 Bk Depr'!P14</f>
        <v>0</v>
      </c>
      <c r="M18" s="231">
        <f t="shared" ref="M18:M28" si="3">J18+K18-L18</f>
        <v>0</v>
      </c>
      <c r="N18" s="231">
        <f t="shared" ref="N18:N22" si="4">M18*0.21</f>
        <v>0</v>
      </c>
      <c r="O18" s="231">
        <f t="shared" si="0"/>
        <v>0</v>
      </c>
      <c r="P18" s="231">
        <f t="shared" ref="P18:P22" si="5">-O18*0.21</f>
        <v>0</v>
      </c>
      <c r="Q18" s="27"/>
      <c r="R18" s="231">
        <f>R17+N18+O18+P18+Q18</f>
        <v>0</v>
      </c>
      <c r="S18" s="231">
        <f>R18-R17</f>
        <v>0</v>
      </c>
      <c r="T18" s="247" t="str">
        <f>'Tax Depr 2021-Dist'!W18</f>
        <v>307/365</v>
      </c>
      <c r="U18" s="231">
        <f>U17+S18*307/365</f>
        <v>0</v>
      </c>
      <c r="X18" s="231"/>
      <c r="Y18" s="51"/>
      <c r="Z18" s="50"/>
    </row>
    <row r="19" spans="1:26">
      <c r="A19" s="52">
        <f t="shared" ref="A19:A44" si="6">A18+1</f>
        <v>6</v>
      </c>
      <c r="C19" s="589">
        <v>8.5500000000000007E-2</v>
      </c>
      <c r="D19" s="61">
        <v>8.5500000000000007E-2</v>
      </c>
      <c r="E19" s="156">
        <v>3</v>
      </c>
      <c r="G19" s="52">
        <v>3</v>
      </c>
      <c r="H19" s="231">
        <f t="shared" si="1"/>
        <v>0</v>
      </c>
      <c r="I19" s="231">
        <f>(('202103 Bk Depr'!$L$14-(1/12*$I$13))*$C$17)+(1/12*$I$13)</f>
        <v>0</v>
      </c>
      <c r="J19" s="231">
        <f t="shared" si="2"/>
        <v>0</v>
      </c>
      <c r="K19" s="231">
        <f>'202103 Bk Depr'!$L$34</f>
        <v>0</v>
      </c>
      <c r="L19" s="231">
        <f>'202103 Bk Depr'!P14</f>
        <v>0</v>
      </c>
      <c r="M19" s="231">
        <f t="shared" si="3"/>
        <v>0</v>
      </c>
      <c r="N19" s="231">
        <f t="shared" si="4"/>
        <v>0</v>
      </c>
      <c r="O19" s="231">
        <f t="shared" si="0"/>
        <v>0</v>
      </c>
      <c r="P19" s="231">
        <f t="shared" si="5"/>
        <v>0</v>
      </c>
      <c r="Q19" s="27"/>
      <c r="R19" s="231">
        <f>R18+N19+O19+P19+Q19</f>
        <v>0</v>
      </c>
      <c r="S19" s="231">
        <f>R19-R18</f>
        <v>0</v>
      </c>
      <c r="T19" s="247" t="str">
        <f>'Tax Depr 2021-Dist'!W19</f>
        <v>276/365</v>
      </c>
      <c r="U19" s="231">
        <f>U18+S19*276/365</f>
        <v>0</v>
      </c>
      <c r="X19" s="231"/>
      <c r="Y19" s="51"/>
      <c r="Z19" s="50"/>
    </row>
    <row r="20" spans="1:26">
      <c r="A20" s="52">
        <f t="shared" si="6"/>
        <v>7</v>
      </c>
      <c r="C20" s="589">
        <v>7.6999999999999999E-2</v>
      </c>
      <c r="D20" s="61">
        <v>7.6999999999999999E-2</v>
      </c>
      <c r="E20" s="156">
        <v>4</v>
      </c>
      <c r="G20" s="52">
        <v>4</v>
      </c>
      <c r="H20" s="231">
        <f t="shared" si="1"/>
        <v>0</v>
      </c>
      <c r="I20" s="231">
        <f>(('202104 Bk Depr'!$L$14-(1/12*$I$13))*$C$17)+(1/12*$I$13)</f>
        <v>0</v>
      </c>
      <c r="J20" s="231">
        <f t="shared" si="2"/>
        <v>0</v>
      </c>
      <c r="K20" s="231">
        <f>'202104 Bk Depr'!$L$34</f>
        <v>0</v>
      </c>
      <c r="L20" s="231">
        <f>'202104 Bk Depr'!P14</f>
        <v>0</v>
      </c>
      <c r="M20" s="231">
        <f t="shared" si="3"/>
        <v>0</v>
      </c>
      <c r="N20" s="231">
        <f t="shared" si="4"/>
        <v>0</v>
      </c>
      <c r="O20" s="231">
        <f t="shared" si="0"/>
        <v>0</v>
      </c>
      <c r="P20" s="231">
        <f t="shared" si="5"/>
        <v>0</v>
      </c>
      <c r="Q20" s="27"/>
      <c r="R20" s="231">
        <f>R19+N20+O20+P20+Q20</f>
        <v>0</v>
      </c>
      <c r="S20" s="231">
        <f>R20-R19</f>
        <v>0</v>
      </c>
      <c r="T20" s="247" t="str">
        <f>'Tax Depr 2021-Dist'!W20</f>
        <v>246/365</v>
      </c>
      <c r="U20" s="231">
        <f>U19+S20*246/365</f>
        <v>0</v>
      </c>
      <c r="X20" s="231"/>
      <c r="Y20" s="51"/>
      <c r="Z20" s="50"/>
    </row>
    <row r="21" spans="1:26">
      <c r="A21" s="52">
        <f t="shared" si="6"/>
        <v>8</v>
      </c>
      <c r="C21" s="589">
        <v>6.93E-2</v>
      </c>
      <c r="D21" s="61">
        <v>6.93E-2</v>
      </c>
      <c r="E21" s="156">
        <v>5</v>
      </c>
      <c r="G21" s="52">
        <v>5</v>
      </c>
      <c r="H21" s="231">
        <f t="shared" si="1"/>
        <v>0</v>
      </c>
      <c r="I21" s="231">
        <f>(('202105 Bk Depr'!$L$14-(1/12*$I$13))*$C$17)+(1/12*$I$13)</f>
        <v>0</v>
      </c>
      <c r="J21" s="231">
        <f t="shared" si="2"/>
        <v>0</v>
      </c>
      <c r="K21" s="231">
        <f>'202105 Bk Depr'!$L$34</f>
        <v>0</v>
      </c>
      <c r="L21" s="231">
        <f>'202105 Bk Depr'!P14</f>
        <v>0</v>
      </c>
      <c r="M21" s="231">
        <f t="shared" si="3"/>
        <v>0</v>
      </c>
      <c r="N21" s="231">
        <f t="shared" si="4"/>
        <v>0</v>
      </c>
      <c r="O21" s="231">
        <f t="shared" si="0"/>
        <v>0</v>
      </c>
      <c r="P21" s="231">
        <f t="shared" si="5"/>
        <v>0</v>
      </c>
      <c r="Q21" s="27"/>
      <c r="R21" s="231">
        <f t="shared" ref="R21:R27" si="7">R20+N21+O21+P21+Q21</f>
        <v>0</v>
      </c>
      <c r="S21" s="231">
        <f t="shared" ref="S21:S28" si="8">R21-R20</f>
        <v>0</v>
      </c>
      <c r="T21" s="247" t="str">
        <f>'Tax Depr 2021-Dist'!W21</f>
        <v>215/365</v>
      </c>
      <c r="U21" s="231">
        <f>U20+S21*215/365</f>
        <v>0</v>
      </c>
      <c r="X21" s="231"/>
      <c r="Y21" s="51"/>
      <c r="Z21" s="50"/>
    </row>
    <row r="22" spans="1:26">
      <c r="A22" s="52">
        <f t="shared" si="6"/>
        <v>9</v>
      </c>
      <c r="C22" s="589">
        <v>6.2300000000000001E-2</v>
      </c>
      <c r="D22" s="61">
        <v>6.2300000000000001E-2</v>
      </c>
      <c r="E22" s="156">
        <v>6</v>
      </c>
      <c r="G22" s="52">
        <v>6</v>
      </c>
      <c r="H22" s="231">
        <f t="shared" si="1"/>
        <v>0</v>
      </c>
      <c r="I22" s="231">
        <f>(('202106 Bk Depr'!$L$14-(1/12*$I$13))*$C$17)+(1/12*$I$13)</f>
        <v>0</v>
      </c>
      <c r="J22" s="231">
        <f t="shared" si="2"/>
        <v>0</v>
      </c>
      <c r="K22" s="231">
        <f>'202106 Bk Depr'!$L$34</f>
        <v>0</v>
      </c>
      <c r="L22" s="231">
        <f>'202106 Bk Depr'!P14</f>
        <v>0</v>
      </c>
      <c r="M22" s="231">
        <f t="shared" si="3"/>
        <v>0</v>
      </c>
      <c r="N22" s="231">
        <f t="shared" si="4"/>
        <v>0</v>
      </c>
      <c r="O22" s="231">
        <f t="shared" si="0"/>
        <v>0</v>
      </c>
      <c r="P22" s="231">
        <f t="shared" si="5"/>
        <v>0</v>
      </c>
      <c r="Q22" s="27"/>
      <c r="R22" s="231">
        <f t="shared" si="7"/>
        <v>0</v>
      </c>
      <c r="S22" s="231">
        <f t="shared" si="8"/>
        <v>0</v>
      </c>
      <c r="T22" s="247" t="str">
        <f>'Tax Depr 2021-Dist'!W22</f>
        <v>185/365</v>
      </c>
      <c r="U22" s="231">
        <f>U21+S22*185/365</f>
        <v>0</v>
      </c>
      <c r="X22" s="231"/>
      <c r="Y22" s="50"/>
      <c r="Z22" s="50"/>
    </row>
    <row r="23" spans="1:26">
      <c r="A23" s="52">
        <f t="shared" si="6"/>
        <v>10</v>
      </c>
      <c r="C23" s="589">
        <v>5.8999999999999997E-2</v>
      </c>
      <c r="D23" s="61">
        <v>5.8999999999999997E-2</v>
      </c>
      <c r="E23" s="156">
        <v>7</v>
      </c>
      <c r="G23" s="52">
        <v>7</v>
      </c>
      <c r="H23" s="231">
        <f t="shared" si="1"/>
        <v>0</v>
      </c>
      <c r="I23" s="231">
        <f>(('202107 Bk Depr'!$L$14-(1/12*$I$13))*$C$17)+(1/12*$I$13)</f>
        <v>0</v>
      </c>
      <c r="J23" s="231">
        <f t="shared" si="2"/>
        <v>0</v>
      </c>
      <c r="K23" s="231">
        <f>'202107 Bk Depr'!$L$34</f>
        <v>0</v>
      </c>
      <c r="L23" s="231">
        <f>'202107 Bk Depr'!P14</f>
        <v>0</v>
      </c>
      <c r="M23" s="231">
        <f t="shared" si="3"/>
        <v>0</v>
      </c>
      <c r="N23" s="231">
        <f>M23*0.21</f>
        <v>0</v>
      </c>
      <c r="O23" s="231">
        <f t="shared" si="0"/>
        <v>0</v>
      </c>
      <c r="P23" s="231">
        <f>-O23*0.21</f>
        <v>0</v>
      </c>
      <c r="Q23" s="27"/>
      <c r="R23" s="231">
        <f t="shared" si="7"/>
        <v>0</v>
      </c>
      <c r="S23" s="231">
        <f t="shared" si="8"/>
        <v>0</v>
      </c>
      <c r="T23" s="247" t="str">
        <f>'Tax Depr 2021-Dist'!W23</f>
        <v>154/365</v>
      </c>
      <c r="U23" s="231">
        <f>U22+S23*154/365</f>
        <v>0</v>
      </c>
      <c r="X23" s="231"/>
      <c r="Y23" s="50"/>
      <c r="Z23" s="50"/>
    </row>
    <row r="24" spans="1:26">
      <c r="A24" s="52">
        <f t="shared" si="6"/>
        <v>11</v>
      </c>
      <c r="C24" s="589">
        <v>5.8999999999999997E-2</v>
      </c>
      <c r="D24" s="61">
        <v>5.8999999999999997E-2</v>
      </c>
      <c r="E24" s="156">
        <v>8</v>
      </c>
      <c r="G24" s="52">
        <v>8</v>
      </c>
      <c r="H24" s="231">
        <f t="shared" si="1"/>
        <v>0</v>
      </c>
      <c r="I24" s="231">
        <f>(('202108 Bk Depr'!$L$14-(1/12*$I$13))*$C$17)+(1/12*$I$13)</f>
        <v>0</v>
      </c>
      <c r="J24" s="231">
        <f t="shared" si="2"/>
        <v>0</v>
      </c>
      <c r="K24" s="231">
        <f>'202108 Bk Depr'!$L$34</f>
        <v>0</v>
      </c>
      <c r="L24" s="231">
        <f>'202108 Bk Depr'!P14</f>
        <v>0</v>
      </c>
      <c r="M24" s="231">
        <f t="shared" si="3"/>
        <v>0</v>
      </c>
      <c r="N24" s="231">
        <f t="shared" ref="N24:N28" si="9">M24*0.21</f>
        <v>0</v>
      </c>
      <c r="O24" s="231">
        <f t="shared" si="0"/>
        <v>0</v>
      </c>
      <c r="P24" s="231">
        <f t="shared" ref="P24:P28" si="10">-O24*0.21</f>
        <v>0</v>
      </c>
      <c r="Q24" s="27"/>
      <c r="R24" s="231">
        <f t="shared" si="7"/>
        <v>0</v>
      </c>
      <c r="S24" s="231">
        <f t="shared" si="8"/>
        <v>0</v>
      </c>
      <c r="T24" s="247" t="str">
        <f>'Tax Depr 2021-Dist'!W24</f>
        <v>123/365</v>
      </c>
      <c r="U24" s="231">
        <f>U23+S24*123/365</f>
        <v>0</v>
      </c>
      <c r="X24" s="231"/>
      <c r="Y24" s="50"/>
      <c r="Z24" s="50"/>
    </row>
    <row r="25" spans="1:26">
      <c r="A25" s="52">
        <f t="shared" si="6"/>
        <v>12</v>
      </c>
      <c r="C25" s="589">
        <v>5.91E-2</v>
      </c>
      <c r="D25" s="61">
        <v>5.91E-2</v>
      </c>
      <c r="E25" s="156">
        <v>9</v>
      </c>
      <c r="G25" s="52">
        <v>9</v>
      </c>
      <c r="H25" s="231">
        <f t="shared" si="1"/>
        <v>0</v>
      </c>
      <c r="I25" s="231">
        <f>(('202109 Bk Depr'!$L$14-(1/12*$I$13))*$C$17)+(1/12*$I$13)</f>
        <v>0</v>
      </c>
      <c r="J25" s="231">
        <f t="shared" si="2"/>
        <v>0</v>
      </c>
      <c r="K25" s="231">
        <f>'202109 Bk Depr'!$L$34</f>
        <v>0</v>
      </c>
      <c r="L25" s="231">
        <f>'202109 Bk Depr'!P14</f>
        <v>0</v>
      </c>
      <c r="M25" s="231">
        <f t="shared" si="3"/>
        <v>0</v>
      </c>
      <c r="N25" s="231">
        <f t="shared" si="9"/>
        <v>0</v>
      </c>
      <c r="O25" s="231">
        <f t="shared" si="0"/>
        <v>0</v>
      </c>
      <c r="P25" s="231">
        <f t="shared" si="10"/>
        <v>0</v>
      </c>
      <c r="Q25" s="27"/>
      <c r="R25" s="231">
        <f t="shared" si="7"/>
        <v>0</v>
      </c>
      <c r="S25" s="231">
        <f t="shared" si="8"/>
        <v>0</v>
      </c>
      <c r="T25" s="247" t="str">
        <f>'Tax Depr 2021-Dist'!W25</f>
        <v>93/365</v>
      </c>
      <c r="U25" s="231">
        <f>U24+S25*93/365</f>
        <v>0</v>
      </c>
      <c r="X25" s="231"/>
    </row>
    <row r="26" spans="1:26">
      <c r="A26" s="52">
        <f t="shared" si="6"/>
        <v>13</v>
      </c>
      <c r="C26" s="589">
        <v>5.8999999999999997E-2</v>
      </c>
      <c r="D26" s="61">
        <v>5.8999999999999997E-2</v>
      </c>
      <c r="E26" s="156">
        <v>10</v>
      </c>
      <c r="G26" s="52">
        <v>10</v>
      </c>
      <c r="H26" s="231">
        <f t="shared" si="1"/>
        <v>0</v>
      </c>
      <c r="I26" s="231">
        <f>(('202110 Bk Depr'!$L$14-(1/12*$I$13))*$C$17)+(1/12*$I$13)</f>
        <v>0</v>
      </c>
      <c r="J26" s="231">
        <f t="shared" si="2"/>
        <v>0</v>
      </c>
      <c r="K26" s="231">
        <f>'202110 Bk Depr'!$L$34</f>
        <v>0</v>
      </c>
      <c r="L26" s="231">
        <f>'202110 Bk Depr'!P14</f>
        <v>0</v>
      </c>
      <c r="M26" s="231">
        <f t="shared" si="3"/>
        <v>0</v>
      </c>
      <c r="N26" s="231">
        <f t="shared" si="9"/>
        <v>0</v>
      </c>
      <c r="O26" s="231">
        <f t="shared" si="0"/>
        <v>0</v>
      </c>
      <c r="P26" s="231">
        <f t="shared" si="10"/>
        <v>0</v>
      </c>
      <c r="Q26" s="27"/>
      <c r="R26" s="231">
        <f t="shared" si="7"/>
        <v>0</v>
      </c>
      <c r="S26" s="231">
        <f t="shared" si="8"/>
        <v>0</v>
      </c>
      <c r="T26" s="247" t="str">
        <f>'Tax Depr 2021-Dist'!W26</f>
        <v>62/365</v>
      </c>
      <c r="U26" s="231">
        <f>U25+S26*62/365</f>
        <v>0</v>
      </c>
      <c r="X26" s="231"/>
    </row>
    <row r="27" spans="1:26">
      <c r="A27" s="52">
        <f t="shared" si="6"/>
        <v>14</v>
      </c>
      <c r="C27" s="589">
        <v>5.91E-2</v>
      </c>
      <c r="D27" s="61">
        <v>5.91E-2</v>
      </c>
      <c r="E27" s="156">
        <v>11</v>
      </c>
      <c r="G27" s="52">
        <v>11</v>
      </c>
      <c r="H27" s="231">
        <f t="shared" si="1"/>
        <v>0</v>
      </c>
      <c r="I27" s="231">
        <f>(('202111 Bk Depr'!$L$14-(1/12*$I$13))*$C$17)+(1/12*$I$13)</f>
        <v>0</v>
      </c>
      <c r="J27" s="231">
        <f t="shared" si="2"/>
        <v>0</v>
      </c>
      <c r="K27" s="231">
        <f>'202111 Bk Depr'!$L$34</f>
        <v>0</v>
      </c>
      <c r="L27" s="231">
        <f>'202111 Bk Depr'!P14</f>
        <v>0</v>
      </c>
      <c r="M27" s="231">
        <f t="shared" si="3"/>
        <v>0</v>
      </c>
      <c r="N27" s="231">
        <f t="shared" si="9"/>
        <v>0</v>
      </c>
      <c r="O27" s="231">
        <f t="shared" si="0"/>
        <v>0</v>
      </c>
      <c r="P27" s="231">
        <f t="shared" si="10"/>
        <v>0</v>
      </c>
      <c r="Q27" s="27"/>
      <c r="R27" s="231">
        <f t="shared" si="7"/>
        <v>0</v>
      </c>
      <c r="S27" s="231">
        <f t="shared" si="8"/>
        <v>0</v>
      </c>
      <c r="T27" s="247" t="str">
        <f>'Tax Depr 2021-Dist'!W27</f>
        <v>32/365</v>
      </c>
      <c r="U27" s="231">
        <f>U26+S27*32/365</f>
        <v>0</v>
      </c>
      <c r="X27" s="231"/>
    </row>
    <row r="28" spans="1:26">
      <c r="A28" s="52">
        <f t="shared" si="6"/>
        <v>15</v>
      </c>
      <c r="C28" s="589">
        <v>5.8999999999999997E-2</v>
      </c>
      <c r="D28" s="61">
        <v>5.8999999999999997E-2</v>
      </c>
      <c r="E28" s="156">
        <v>12</v>
      </c>
      <c r="G28" s="52">
        <v>12</v>
      </c>
      <c r="H28" s="231">
        <f t="shared" si="1"/>
        <v>0</v>
      </c>
      <c r="I28" s="231">
        <f>(('202112 Bk Depr'!$L$14-(1/12*$I$13))*$C$17)+(1/12*$I$13)</f>
        <v>0</v>
      </c>
      <c r="J28" s="231">
        <f t="shared" si="2"/>
        <v>0</v>
      </c>
      <c r="K28" s="231">
        <f>'202112 Bk Depr'!$L$34</f>
        <v>0</v>
      </c>
      <c r="L28" s="231">
        <f>'202112 Bk Depr'!P14</f>
        <v>0</v>
      </c>
      <c r="M28" s="231">
        <f t="shared" si="3"/>
        <v>0</v>
      </c>
      <c r="N28" s="231">
        <f t="shared" si="9"/>
        <v>0</v>
      </c>
      <c r="O28" s="231">
        <f t="shared" si="0"/>
        <v>0</v>
      </c>
      <c r="P28" s="231">
        <f t="shared" si="10"/>
        <v>0</v>
      </c>
      <c r="Q28" s="27"/>
      <c r="R28" s="231">
        <f>R27+N28+O28+P28+Q28</f>
        <v>0</v>
      </c>
      <c r="S28" s="231">
        <f t="shared" si="8"/>
        <v>0</v>
      </c>
      <c r="T28" s="247" t="str">
        <f>'Tax Depr 2021-Dist'!W28</f>
        <v>1/365</v>
      </c>
      <c r="U28" s="231">
        <f>U27+S28*1/365</f>
        <v>0</v>
      </c>
      <c r="X28" s="231"/>
    </row>
    <row r="29" spans="1:26">
      <c r="A29" s="52">
        <f t="shared" si="6"/>
        <v>16</v>
      </c>
      <c r="C29" s="589">
        <v>5.91E-2</v>
      </c>
      <c r="D29" s="61">
        <v>5.91E-2</v>
      </c>
      <c r="E29" s="156">
        <v>13</v>
      </c>
      <c r="H29" s="27"/>
      <c r="I29" s="27"/>
      <c r="J29" s="27"/>
      <c r="K29" s="27"/>
      <c r="L29" s="27"/>
      <c r="M29" s="27"/>
      <c r="N29" s="27"/>
      <c r="O29" s="27"/>
      <c r="P29" s="27"/>
      <c r="Q29" s="27" t="str">
        <f t="shared" ref="Q29:Q43" si="11">IF(P29="","",P29*0.389)</f>
        <v/>
      </c>
      <c r="R29" s="62"/>
      <c r="U29" s="27"/>
    </row>
    <row r="30" spans="1:26">
      <c r="A30" s="52">
        <f t="shared" si="6"/>
        <v>17</v>
      </c>
      <c r="C30" s="589">
        <v>5.8999999999999997E-2</v>
      </c>
      <c r="D30" s="61">
        <v>5.8999999999999997E-2</v>
      </c>
      <c r="E30" s="156">
        <v>14</v>
      </c>
      <c r="H30" s="27"/>
      <c r="I30" s="27"/>
      <c r="J30" s="27"/>
      <c r="K30" s="27"/>
      <c r="L30" s="27"/>
      <c r="M30" s="27"/>
      <c r="N30" s="27"/>
      <c r="O30" s="27"/>
      <c r="P30" s="27"/>
      <c r="Q30" s="27" t="str">
        <f t="shared" si="11"/>
        <v/>
      </c>
      <c r="R30" s="27" t="str">
        <f t="shared" ref="R30:R43" si="12">IF(N30="","",R29+N30)</f>
        <v/>
      </c>
    </row>
    <row r="31" spans="1:26">
      <c r="A31" s="52">
        <f t="shared" si="6"/>
        <v>18</v>
      </c>
      <c r="C31" s="589">
        <v>5.91E-2</v>
      </c>
      <c r="D31" s="61">
        <v>5.91E-2</v>
      </c>
      <c r="E31" s="156">
        <v>15</v>
      </c>
      <c r="H31" s="27"/>
      <c r="I31" s="27"/>
      <c r="J31" s="27"/>
      <c r="K31" s="27"/>
      <c r="L31" s="27"/>
      <c r="M31" s="27"/>
      <c r="N31" s="27"/>
      <c r="O31" s="27"/>
      <c r="P31" s="27"/>
      <c r="Q31" s="27" t="str">
        <f t="shared" si="11"/>
        <v/>
      </c>
      <c r="R31" s="27" t="str">
        <f t="shared" si="12"/>
        <v/>
      </c>
    </row>
    <row r="32" spans="1:26">
      <c r="A32" s="52">
        <f t="shared" si="6"/>
        <v>19</v>
      </c>
      <c r="C32" s="589">
        <v>2.9499999999999998E-2</v>
      </c>
      <c r="D32" s="61">
        <v>2.9499999999999998E-2</v>
      </c>
      <c r="E32" s="156">
        <v>16</v>
      </c>
      <c r="H32" s="27"/>
      <c r="I32" s="27"/>
      <c r="J32" s="27"/>
      <c r="K32" s="27"/>
      <c r="L32" s="27"/>
      <c r="M32" s="27"/>
      <c r="N32" s="27"/>
      <c r="O32" s="27"/>
      <c r="P32" s="27"/>
      <c r="Q32" s="27" t="str">
        <f t="shared" si="11"/>
        <v/>
      </c>
      <c r="R32" s="27" t="str">
        <f t="shared" si="12"/>
        <v/>
      </c>
    </row>
    <row r="33" spans="1:21">
      <c r="A33" s="52">
        <f t="shared" si="6"/>
        <v>20</v>
      </c>
      <c r="C33" s="61">
        <v>0</v>
      </c>
      <c r="D33" s="61">
        <v>0</v>
      </c>
      <c r="E33" s="156">
        <v>17</v>
      </c>
      <c r="H33" s="27"/>
      <c r="I33" s="27"/>
      <c r="J33" s="27"/>
      <c r="K33" s="27"/>
      <c r="L33" s="27"/>
      <c r="M33" s="27"/>
      <c r="N33" s="27"/>
      <c r="O33" s="27"/>
      <c r="P33" s="27"/>
      <c r="Q33" s="27" t="str">
        <f t="shared" si="11"/>
        <v/>
      </c>
      <c r="R33" s="27" t="str">
        <f t="shared" si="12"/>
        <v/>
      </c>
    </row>
    <row r="34" spans="1:21">
      <c r="A34" s="52">
        <f t="shared" si="6"/>
        <v>21</v>
      </c>
      <c r="C34" s="61">
        <v>0</v>
      </c>
      <c r="D34" s="61">
        <v>0</v>
      </c>
      <c r="E34" s="156">
        <v>18</v>
      </c>
      <c r="H34" s="27"/>
      <c r="I34" s="27"/>
      <c r="J34" s="27"/>
      <c r="K34" s="27"/>
      <c r="L34" s="27"/>
      <c r="M34" s="27"/>
      <c r="N34" s="27"/>
      <c r="O34" s="27"/>
      <c r="P34" s="27"/>
      <c r="Q34" s="27" t="str">
        <f t="shared" si="11"/>
        <v/>
      </c>
      <c r="R34" s="27" t="str">
        <f t="shared" si="12"/>
        <v/>
      </c>
    </row>
    <row r="35" spans="1:21">
      <c r="A35" s="52">
        <f t="shared" si="6"/>
        <v>22</v>
      </c>
      <c r="C35" s="61">
        <v>0</v>
      </c>
      <c r="D35" s="61">
        <v>0</v>
      </c>
      <c r="E35" s="156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 t="str">
        <f t="shared" si="11"/>
        <v/>
      </c>
      <c r="R35" s="27" t="str">
        <f t="shared" si="12"/>
        <v/>
      </c>
    </row>
    <row r="36" spans="1:21">
      <c r="A36" s="52">
        <f t="shared" si="6"/>
        <v>23</v>
      </c>
      <c r="C36" s="61">
        <v>0</v>
      </c>
      <c r="D36" s="61">
        <v>0</v>
      </c>
      <c r="E36" s="156">
        <v>20</v>
      </c>
      <c r="H36" s="27"/>
      <c r="I36" s="27"/>
      <c r="J36" s="27"/>
      <c r="K36" s="27"/>
      <c r="L36" s="27"/>
      <c r="M36" s="27"/>
      <c r="N36" s="27"/>
      <c r="O36" s="27"/>
      <c r="P36" s="27"/>
      <c r="Q36" s="27" t="str">
        <f t="shared" si="11"/>
        <v/>
      </c>
      <c r="R36" s="27" t="str">
        <f t="shared" si="12"/>
        <v/>
      </c>
    </row>
    <row r="37" spans="1:21">
      <c r="A37" s="52">
        <f t="shared" si="6"/>
        <v>24</v>
      </c>
      <c r="C37" s="61">
        <v>0</v>
      </c>
      <c r="D37" s="61">
        <v>0</v>
      </c>
      <c r="E37" s="156">
        <v>21</v>
      </c>
      <c r="H37" s="27"/>
      <c r="I37" s="27"/>
      <c r="J37" s="27"/>
      <c r="K37" s="27"/>
      <c r="L37" s="27"/>
      <c r="M37" s="27"/>
      <c r="N37" s="27"/>
      <c r="O37" s="27"/>
      <c r="P37" s="27"/>
      <c r="Q37" s="27" t="str">
        <f t="shared" si="11"/>
        <v/>
      </c>
      <c r="R37" s="27" t="str">
        <f t="shared" si="12"/>
        <v/>
      </c>
    </row>
    <row r="38" spans="1:21">
      <c r="A38" s="52">
        <f t="shared" si="6"/>
        <v>25</v>
      </c>
      <c r="C38" s="61">
        <v>0</v>
      </c>
      <c r="D38" s="61">
        <v>0</v>
      </c>
      <c r="E38" s="156">
        <v>22</v>
      </c>
      <c r="H38" s="27"/>
      <c r="I38" s="27"/>
      <c r="J38" s="27"/>
      <c r="K38" s="27"/>
      <c r="L38" s="27"/>
      <c r="M38" s="27"/>
      <c r="N38" s="27"/>
      <c r="O38" s="27"/>
      <c r="P38" s="27"/>
      <c r="Q38" s="27" t="str">
        <f t="shared" si="11"/>
        <v/>
      </c>
      <c r="R38" s="27" t="str">
        <f t="shared" si="12"/>
        <v/>
      </c>
    </row>
    <row r="39" spans="1:21">
      <c r="A39" s="52">
        <f t="shared" si="6"/>
        <v>26</v>
      </c>
      <c r="C39" s="61">
        <v>0</v>
      </c>
      <c r="E39" s="156">
        <v>23</v>
      </c>
      <c r="H39" s="27"/>
      <c r="I39" s="27"/>
      <c r="J39" s="27"/>
      <c r="M39" s="27"/>
      <c r="N39" s="27"/>
      <c r="O39" s="27"/>
      <c r="P39" s="27"/>
      <c r="Q39" s="27" t="str">
        <f t="shared" si="11"/>
        <v/>
      </c>
      <c r="R39" s="27" t="str">
        <f t="shared" si="12"/>
        <v/>
      </c>
    </row>
    <row r="40" spans="1:21">
      <c r="A40" s="52">
        <f t="shared" si="6"/>
        <v>27</v>
      </c>
      <c r="C40" s="61">
        <v>0</v>
      </c>
      <c r="E40" s="156">
        <v>24</v>
      </c>
      <c r="H40" s="27"/>
      <c r="I40" s="27"/>
      <c r="J40" s="27"/>
      <c r="M40" s="27"/>
      <c r="N40" s="27"/>
      <c r="O40" s="27"/>
      <c r="P40" s="27"/>
      <c r="Q40" s="27" t="str">
        <f t="shared" si="11"/>
        <v/>
      </c>
      <c r="R40" s="27" t="str">
        <f t="shared" si="12"/>
        <v/>
      </c>
    </row>
    <row r="41" spans="1:21">
      <c r="A41" s="52">
        <f t="shared" si="6"/>
        <v>28</v>
      </c>
      <c r="C41" s="61">
        <v>0</v>
      </c>
      <c r="E41" s="156">
        <v>25</v>
      </c>
      <c r="H41" s="27"/>
      <c r="I41" s="27"/>
      <c r="J41" s="27"/>
      <c r="M41" s="27"/>
      <c r="N41" s="27"/>
      <c r="O41" s="27"/>
      <c r="P41" s="27"/>
      <c r="Q41" s="27" t="str">
        <f t="shared" si="11"/>
        <v/>
      </c>
      <c r="R41" s="27" t="str">
        <f t="shared" si="12"/>
        <v/>
      </c>
    </row>
    <row r="42" spans="1:21">
      <c r="A42" s="52">
        <f t="shared" si="6"/>
        <v>29</v>
      </c>
      <c r="C42" s="61">
        <v>0</v>
      </c>
      <c r="E42" s="156">
        <v>26</v>
      </c>
      <c r="H42" s="27"/>
      <c r="I42" s="27"/>
      <c r="J42" s="27"/>
      <c r="M42" s="27"/>
      <c r="N42" s="27"/>
      <c r="O42" s="27"/>
      <c r="P42" s="27"/>
      <c r="Q42" s="27" t="str">
        <f t="shared" si="11"/>
        <v/>
      </c>
      <c r="R42" s="27" t="str">
        <f t="shared" si="12"/>
        <v/>
      </c>
    </row>
    <row r="43" spans="1:21">
      <c r="A43" s="52">
        <f t="shared" si="6"/>
        <v>30</v>
      </c>
      <c r="C43" s="61">
        <v>0</v>
      </c>
      <c r="E43" s="156">
        <v>27</v>
      </c>
      <c r="J43" s="27"/>
      <c r="M43" s="27"/>
      <c r="N43" s="27"/>
      <c r="O43" s="27"/>
      <c r="P43" s="27"/>
      <c r="Q43" s="27" t="str">
        <f t="shared" si="11"/>
        <v/>
      </c>
      <c r="R43" s="27" t="str">
        <f t="shared" si="12"/>
        <v/>
      </c>
    </row>
    <row r="44" spans="1:21">
      <c r="A44" s="52">
        <f t="shared" si="6"/>
        <v>31</v>
      </c>
      <c r="H44" s="27">
        <f>SUM(H17:H43)</f>
        <v>0</v>
      </c>
      <c r="I44" s="27">
        <f>SUM(I17:I43)</f>
        <v>0</v>
      </c>
      <c r="J44" s="27">
        <f t="shared" ref="J44:Q44" si="13">SUM(J17:J43)</f>
        <v>0</v>
      </c>
      <c r="K44" s="231">
        <f t="shared" si="13"/>
        <v>0</v>
      </c>
      <c r="L44" s="27">
        <f t="shared" si="13"/>
        <v>0</v>
      </c>
      <c r="M44" s="27">
        <f t="shared" si="13"/>
        <v>0</v>
      </c>
      <c r="N44" s="27">
        <f t="shared" si="13"/>
        <v>0</v>
      </c>
      <c r="O44" s="27">
        <f t="shared" si="13"/>
        <v>0</v>
      </c>
      <c r="P44" s="27">
        <f t="shared" si="13"/>
        <v>0</v>
      </c>
      <c r="Q44" s="231">
        <f t="shared" si="13"/>
        <v>0</v>
      </c>
      <c r="R44" s="27">
        <f>AVERAGE(R16:R28)</f>
        <v>0</v>
      </c>
      <c r="U44" s="27">
        <f>AVERAGE(U16:U28)</f>
        <v>0</v>
      </c>
    </row>
    <row r="45" spans="1:21">
      <c r="H45" s="27"/>
      <c r="I45" s="27"/>
      <c r="J45" s="27"/>
      <c r="K45" s="27"/>
      <c r="L45" s="27"/>
      <c r="R45" s="27"/>
    </row>
    <row r="46" spans="1:21">
      <c r="B46" s="60" t="s">
        <v>166</v>
      </c>
      <c r="C46" s="52" t="s">
        <v>668</v>
      </c>
      <c r="D46" s="245"/>
      <c r="O46" s="48"/>
      <c r="P46" s="48"/>
      <c r="Q46" s="48"/>
    </row>
    <row r="47" spans="1:21">
      <c r="B47" s="60" t="s">
        <v>167</v>
      </c>
      <c r="C47" s="52" t="s">
        <v>667</v>
      </c>
      <c r="D47" s="245"/>
      <c r="O47" s="48"/>
      <c r="P47" s="48"/>
      <c r="Q47" s="48"/>
    </row>
    <row r="48" spans="1:21">
      <c r="A48" s="54"/>
      <c r="B48" s="54"/>
      <c r="C48" s="54"/>
      <c r="D48" s="54" t="s">
        <v>24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49"/>
      <c r="P48" s="49"/>
      <c r="Q48" s="49"/>
      <c r="R48" s="54"/>
    </row>
    <row r="49" spans="1:18" ht="25.5">
      <c r="A49" s="54"/>
      <c r="B49" s="54"/>
      <c r="C49" s="55"/>
      <c r="D49" s="54" t="s">
        <v>25</v>
      </c>
      <c r="E49" s="55" t="s">
        <v>598</v>
      </c>
      <c r="F49" s="54"/>
      <c r="G49" s="54"/>
      <c r="H49" s="54">
        <v>2020</v>
      </c>
      <c r="I49" s="54">
        <v>2021</v>
      </c>
      <c r="J49" s="54" t="s">
        <v>3</v>
      </c>
      <c r="K49" s="54" t="s">
        <v>35</v>
      </c>
      <c r="L49" s="54"/>
      <c r="M49" s="54"/>
      <c r="N49" s="55" t="s">
        <v>182</v>
      </c>
      <c r="R49" s="49"/>
    </row>
    <row r="50" spans="1:18">
      <c r="A50" s="54" t="s">
        <v>4</v>
      </c>
      <c r="B50" s="54"/>
      <c r="C50" s="54"/>
      <c r="D50" s="54" t="s">
        <v>26</v>
      </c>
      <c r="E50" s="54" t="s">
        <v>599</v>
      </c>
      <c r="F50" s="54"/>
      <c r="G50" s="54"/>
      <c r="H50" s="54" t="s">
        <v>31</v>
      </c>
      <c r="I50" s="54" t="s">
        <v>32</v>
      </c>
      <c r="J50" s="54" t="s">
        <v>34</v>
      </c>
      <c r="K50" s="54" t="s">
        <v>36</v>
      </c>
      <c r="L50" s="54" t="s">
        <v>38</v>
      </c>
      <c r="M50" s="54"/>
      <c r="N50" s="54" t="s">
        <v>34</v>
      </c>
      <c r="R50" s="49"/>
    </row>
    <row r="51" spans="1:18">
      <c r="A51" s="559" t="s">
        <v>5</v>
      </c>
      <c r="B51" s="559"/>
      <c r="C51" s="559"/>
      <c r="D51" s="559" t="s">
        <v>2</v>
      </c>
      <c r="E51" s="559" t="s">
        <v>600</v>
      </c>
      <c r="F51" s="559"/>
      <c r="G51" s="559" t="s">
        <v>108</v>
      </c>
      <c r="H51" s="559" t="s">
        <v>20</v>
      </c>
      <c r="I51" s="559" t="s">
        <v>20</v>
      </c>
      <c r="J51" s="559" t="s">
        <v>0</v>
      </c>
      <c r="K51" s="559" t="s">
        <v>37</v>
      </c>
      <c r="L51" s="559" t="s">
        <v>0</v>
      </c>
      <c r="M51" s="559" t="s">
        <v>39</v>
      </c>
      <c r="N51" s="56" t="s">
        <v>494</v>
      </c>
      <c r="R51" s="49"/>
    </row>
    <row r="52" spans="1:18">
      <c r="C52" s="57"/>
      <c r="D52" s="57" t="s">
        <v>71</v>
      </c>
      <c r="E52" s="57"/>
      <c r="F52" s="58"/>
      <c r="G52" s="58"/>
      <c r="H52" s="59" t="s">
        <v>166</v>
      </c>
      <c r="I52" s="59" t="s">
        <v>167</v>
      </c>
      <c r="R52" s="50"/>
    </row>
    <row r="53" spans="1:18">
      <c r="A53" s="52">
        <v>1</v>
      </c>
      <c r="C53" s="57" t="s">
        <v>71</v>
      </c>
      <c r="D53" s="59"/>
      <c r="E53" s="57"/>
      <c r="H53" s="231">
        <f>H11</f>
        <v>0</v>
      </c>
      <c r="I53" s="27">
        <f>I11</f>
        <v>0</v>
      </c>
      <c r="J53" s="62"/>
      <c r="R53" s="50"/>
    </row>
    <row r="54" spans="1:18">
      <c r="A54" s="52">
        <v>2</v>
      </c>
      <c r="C54" s="57" t="s">
        <v>74</v>
      </c>
      <c r="D54" s="59"/>
      <c r="E54" s="57"/>
      <c r="H54" s="231">
        <f>H12</f>
        <v>0</v>
      </c>
      <c r="I54" s="231">
        <f>I12</f>
        <v>0</v>
      </c>
      <c r="R54" s="50"/>
    </row>
    <row r="55" spans="1:18">
      <c r="A55" s="52">
        <v>3</v>
      </c>
      <c r="C55" s="57" t="s">
        <v>185</v>
      </c>
      <c r="D55" s="59"/>
      <c r="E55" s="57"/>
      <c r="H55" s="569" t="s">
        <v>408</v>
      </c>
      <c r="I55" s="569" t="s">
        <v>408</v>
      </c>
      <c r="R55" s="50"/>
    </row>
    <row r="56" spans="1:18">
      <c r="C56" s="59"/>
      <c r="E56" s="59"/>
      <c r="R56" s="50"/>
    </row>
    <row r="57" spans="1:18">
      <c r="C57" s="54" t="s">
        <v>604</v>
      </c>
      <c r="H57" s="195"/>
      <c r="I57" s="195"/>
      <c r="J57" s="195"/>
      <c r="K57" s="195"/>
      <c r="L57" s="244"/>
      <c r="R57" s="50"/>
    </row>
    <row r="58" spans="1:18">
      <c r="C58" s="54" t="s">
        <v>605</v>
      </c>
      <c r="H58" s="59" t="s">
        <v>166</v>
      </c>
      <c r="I58" s="59" t="s">
        <v>167</v>
      </c>
      <c r="R58" s="51"/>
    </row>
    <row r="59" spans="1:18">
      <c r="A59" s="52">
        <f>A55+1</f>
        <v>4</v>
      </c>
      <c r="C59" s="589">
        <v>0.05</v>
      </c>
      <c r="D59" s="61">
        <v>0.05</v>
      </c>
      <c r="E59" s="156">
        <v>1</v>
      </c>
      <c r="G59" s="52">
        <v>1</v>
      </c>
      <c r="H59" s="231">
        <f>$H$53*$C$60/12</f>
        <v>0</v>
      </c>
      <c r="I59" s="231">
        <f>I17</f>
        <v>0</v>
      </c>
      <c r="J59" s="231">
        <f>SUM(H59:I59)</f>
        <v>0</v>
      </c>
      <c r="K59" s="231">
        <f>K17</f>
        <v>0</v>
      </c>
      <c r="L59" s="231">
        <f>L17</f>
        <v>0</v>
      </c>
      <c r="M59" s="231">
        <f>J59+K59-L59</f>
        <v>0</v>
      </c>
      <c r="N59" s="231">
        <f>M59*0.05</f>
        <v>0</v>
      </c>
      <c r="R59" s="51"/>
    </row>
    <row r="60" spans="1:18">
      <c r="A60" s="52">
        <f>A59+1</f>
        <v>5</v>
      </c>
      <c r="C60" s="589">
        <v>9.5000000000000001E-2</v>
      </c>
      <c r="D60" s="61">
        <v>9.5000000000000001E-2</v>
      </c>
      <c r="E60" s="156">
        <v>2</v>
      </c>
      <c r="G60" s="52">
        <v>2</v>
      </c>
      <c r="H60" s="231">
        <f t="shared" ref="H60:H70" si="14">$H$53*$C$60/12</f>
        <v>0</v>
      </c>
      <c r="I60" s="231">
        <f t="shared" ref="I60:I70" si="15">I18</f>
        <v>0</v>
      </c>
      <c r="J60" s="231">
        <f t="shared" ref="J60:J70" si="16">SUM(H60:I60)</f>
        <v>0</v>
      </c>
      <c r="K60" s="231">
        <f t="shared" ref="K60:L70" si="17">K18</f>
        <v>0</v>
      </c>
      <c r="L60" s="231">
        <f t="shared" si="17"/>
        <v>0</v>
      </c>
      <c r="M60" s="231">
        <f t="shared" ref="M60:M70" si="18">J60+K60-L60</f>
        <v>0</v>
      </c>
      <c r="N60" s="231">
        <f t="shared" ref="N60:N70" si="19">M60*0.05</f>
        <v>0</v>
      </c>
      <c r="R60" s="51"/>
    </row>
    <row r="61" spans="1:18">
      <c r="A61" s="52">
        <f t="shared" ref="A61:A86" si="20">A60+1</f>
        <v>6</v>
      </c>
      <c r="C61" s="589">
        <v>8.5500000000000007E-2</v>
      </c>
      <c r="D61" s="61">
        <v>8.5500000000000007E-2</v>
      </c>
      <c r="E61" s="156">
        <v>3</v>
      </c>
      <c r="G61" s="52">
        <v>3</v>
      </c>
      <c r="H61" s="231">
        <f t="shared" si="14"/>
        <v>0</v>
      </c>
      <c r="I61" s="231">
        <f t="shared" si="15"/>
        <v>0</v>
      </c>
      <c r="J61" s="231">
        <f t="shared" si="16"/>
        <v>0</v>
      </c>
      <c r="K61" s="231">
        <f t="shared" si="17"/>
        <v>0</v>
      </c>
      <c r="L61" s="231">
        <f t="shared" si="17"/>
        <v>0</v>
      </c>
      <c r="M61" s="231">
        <f t="shared" si="18"/>
        <v>0</v>
      </c>
      <c r="N61" s="231">
        <f t="shared" si="19"/>
        <v>0</v>
      </c>
      <c r="R61" s="51"/>
    </row>
    <row r="62" spans="1:18">
      <c r="A62" s="52">
        <f t="shared" si="20"/>
        <v>7</v>
      </c>
      <c r="C62" s="589">
        <v>7.6999999999999999E-2</v>
      </c>
      <c r="D62" s="61">
        <v>7.6999999999999999E-2</v>
      </c>
      <c r="E62" s="156">
        <v>4</v>
      </c>
      <c r="G62" s="52">
        <v>4</v>
      </c>
      <c r="H62" s="231">
        <f t="shared" si="14"/>
        <v>0</v>
      </c>
      <c r="I62" s="231">
        <f t="shared" si="15"/>
        <v>0</v>
      </c>
      <c r="J62" s="231">
        <f t="shared" si="16"/>
        <v>0</v>
      </c>
      <c r="K62" s="231">
        <f t="shared" si="17"/>
        <v>0</v>
      </c>
      <c r="L62" s="231">
        <f t="shared" si="17"/>
        <v>0</v>
      </c>
      <c r="M62" s="231">
        <f t="shared" si="18"/>
        <v>0</v>
      </c>
      <c r="N62" s="231">
        <f t="shared" si="19"/>
        <v>0</v>
      </c>
      <c r="R62" s="51"/>
    </row>
    <row r="63" spans="1:18">
      <c r="A63" s="52">
        <f t="shared" si="20"/>
        <v>8</v>
      </c>
      <c r="C63" s="589">
        <v>6.93E-2</v>
      </c>
      <c r="D63" s="61">
        <v>6.93E-2</v>
      </c>
      <c r="E63" s="156">
        <v>5</v>
      </c>
      <c r="G63" s="52">
        <v>5</v>
      </c>
      <c r="H63" s="231">
        <f t="shared" si="14"/>
        <v>0</v>
      </c>
      <c r="I63" s="231">
        <f t="shared" si="15"/>
        <v>0</v>
      </c>
      <c r="J63" s="231">
        <f t="shared" si="16"/>
        <v>0</v>
      </c>
      <c r="K63" s="231">
        <f t="shared" si="17"/>
        <v>0</v>
      </c>
      <c r="L63" s="231">
        <f t="shared" si="17"/>
        <v>0</v>
      </c>
      <c r="M63" s="27">
        <f t="shared" si="18"/>
        <v>0</v>
      </c>
      <c r="N63" s="27">
        <f t="shared" si="19"/>
        <v>0</v>
      </c>
      <c r="R63" s="51"/>
    </row>
    <row r="64" spans="1:18">
      <c r="A64" s="52">
        <f t="shared" si="20"/>
        <v>9</v>
      </c>
      <c r="C64" s="589">
        <v>6.2300000000000001E-2</v>
      </c>
      <c r="D64" s="61">
        <v>6.2300000000000001E-2</v>
      </c>
      <c r="E64" s="156">
        <v>6</v>
      </c>
      <c r="G64" s="52">
        <v>6</v>
      </c>
      <c r="H64" s="231">
        <f t="shared" si="14"/>
        <v>0</v>
      </c>
      <c r="I64" s="231">
        <f t="shared" si="15"/>
        <v>0</v>
      </c>
      <c r="J64" s="231">
        <f t="shared" si="16"/>
        <v>0</v>
      </c>
      <c r="K64" s="231">
        <f t="shared" si="17"/>
        <v>0</v>
      </c>
      <c r="L64" s="231">
        <f t="shared" si="17"/>
        <v>0</v>
      </c>
      <c r="M64" s="27">
        <f t="shared" si="18"/>
        <v>0</v>
      </c>
      <c r="N64" s="27">
        <f t="shared" si="19"/>
        <v>0</v>
      </c>
      <c r="R64" s="51"/>
    </row>
    <row r="65" spans="1:18">
      <c r="A65" s="52">
        <f t="shared" si="20"/>
        <v>10</v>
      </c>
      <c r="C65" s="589">
        <v>5.8999999999999997E-2</v>
      </c>
      <c r="D65" s="61">
        <v>5.8999999999999997E-2</v>
      </c>
      <c r="E65" s="156">
        <v>7</v>
      </c>
      <c r="G65" s="52">
        <v>7</v>
      </c>
      <c r="H65" s="231">
        <f t="shared" si="14"/>
        <v>0</v>
      </c>
      <c r="I65" s="231">
        <f t="shared" si="15"/>
        <v>0</v>
      </c>
      <c r="J65" s="231">
        <f t="shared" si="16"/>
        <v>0</v>
      </c>
      <c r="K65" s="231">
        <f t="shared" si="17"/>
        <v>0</v>
      </c>
      <c r="L65" s="231">
        <f t="shared" si="17"/>
        <v>0</v>
      </c>
      <c r="M65" s="27">
        <f t="shared" si="18"/>
        <v>0</v>
      </c>
      <c r="N65" s="27">
        <f t="shared" si="19"/>
        <v>0</v>
      </c>
      <c r="R65" s="51"/>
    </row>
    <row r="66" spans="1:18">
      <c r="A66" s="52">
        <f t="shared" si="20"/>
        <v>11</v>
      </c>
      <c r="C66" s="589">
        <v>5.8999999999999997E-2</v>
      </c>
      <c r="D66" s="61">
        <v>5.8999999999999997E-2</v>
      </c>
      <c r="E66" s="156">
        <v>8</v>
      </c>
      <c r="G66" s="52">
        <v>8</v>
      </c>
      <c r="H66" s="231">
        <f t="shared" si="14"/>
        <v>0</v>
      </c>
      <c r="I66" s="231">
        <f t="shared" si="15"/>
        <v>0</v>
      </c>
      <c r="J66" s="231">
        <f t="shared" si="16"/>
        <v>0</v>
      </c>
      <c r="K66" s="231">
        <f t="shared" si="17"/>
        <v>0</v>
      </c>
      <c r="L66" s="231">
        <f t="shared" si="17"/>
        <v>0</v>
      </c>
      <c r="M66" s="27">
        <f t="shared" si="18"/>
        <v>0</v>
      </c>
      <c r="N66" s="27">
        <f t="shared" si="19"/>
        <v>0</v>
      </c>
      <c r="R66" s="51"/>
    </row>
    <row r="67" spans="1:18">
      <c r="A67" s="52">
        <f t="shared" si="20"/>
        <v>12</v>
      </c>
      <c r="C67" s="589">
        <v>5.91E-2</v>
      </c>
      <c r="D67" s="61">
        <v>5.91E-2</v>
      </c>
      <c r="E67" s="156">
        <v>9</v>
      </c>
      <c r="G67" s="52">
        <v>9</v>
      </c>
      <c r="H67" s="231">
        <f t="shared" si="14"/>
        <v>0</v>
      </c>
      <c r="I67" s="231">
        <f t="shared" si="15"/>
        <v>0</v>
      </c>
      <c r="J67" s="231">
        <f t="shared" si="16"/>
        <v>0</v>
      </c>
      <c r="K67" s="231">
        <f t="shared" si="17"/>
        <v>0</v>
      </c>
      <c r="L67" s="231">
        <f t="shared" si="17"/>
        <v>0</v>
      </c>
      <c r="M67" s="27">
        <f t="shared" si="18"/>
        <v>0</v>
      </c>
      <c r="N67" s="27">
        <f t="shared" si="19"/>
        <v>0</v>
      </c>
      <c r="R67" s="51"/>
    </row>
    <row r="68" spans="1:18">
      <c r="A68" s="52">
        <f t="shared" si="20"/>
        <v>13</v>
      </c>
      <c r="C68" s="589">
        <v>5.8999999999999997E-2</v>
      </c>
      <c r="D68" s="61">
        <v>5.8999999999999997E-2</v>
      </c>
      <c r="E68" s="156">
        <v>10</v>
      </c>
      <c r="G68" s="52">
        <v>10</v>
      </c>
      <c r="H68" s="231">
        <f t="shared" si="14"/>
        <v>0</v>
      </c>
      <c r="I68" s="231">
        <f t="shared" si="15"/>
        <v>0</v>
      </c>
      <c r="J68" s="231">
        <f t="shared" si="16"/>
        <v>0</v>
      </c>
      <c r="K68" s="231">
        <f t="shared" si="17"/>
        <v>0</v>
      </c>
      <c r="L68" s="231">
        <f t="shared" si="17"/>
        <v>0</v>
      </c>
      <c r="M68" s="27">
        <f t="shared" si="18"/>
        <v>0</v>
      </c>
      <c r="N68" s="27">
        <f t="shared" si="19"/>
        <v>0</v>
      </c>
      <c r="R68" s="51"/>
    </row>
    <row r="69" spans="1:18">
      <c r="A69" s="52">
        <f t="shared" si="20"/>
        <v>14</v>
      </c>
      <c r="C69" s="589">
        <v>5.91E-2</v>
      </c>
      <c r="D69" s="61">
        <v>5.91E-2</v>
      </c>
      <c r="E69" s="156">
        <v>11</v>
      </c>
      <c r="G69" s="52">
        <v>11</v>
      </c>
      <c r="H69" s="231">
        <f t="shared" si="14"/>
        <v>0</v>
      </c>
      <c r="I69" s="231">
        <f t="shared" si="15"/>
        <v>0</v>
      </c>
      <c r="J69" s="231">
        <f t="shared" si="16"/>
        <v>0</v>
      </c>
      <c r="K69" s="231">
        <f t="shared" si="17"/>
        <v>0</v>
      </c>
      <c r="L69" s="231">
        <f t="shared" si="17"/>
        <v>0</v>
      </c>
      <c r="M69" s="27">
        <f t="shared" si="18"/>
        <v>0</v>
      </c>
      <c r="N69" s="27">
        <f t="shared" si="19"/>
        <v>0</v>
      </c>
      <c r="R69" s="51"/>
    </row>
    <row r="70" spans="1:18">
      <c r="A70" s="52">
        <f t="shared" si="20"/>
        <v>15</v>
      </c>
      <c r="C70" s="589">
        <v>5.8999999999999997E-2</v>
      </c>
      <c r="D70" s="61">
        <v>5.8999999999999997E-2</v>
      </c>
      <c r="E70" s="156">
        <v>12</v>
      </c>
      <c r="G70" s="52">
        <v>12</v>
      </c>
      <c r="H70" s="231">
        <f t="shared" si="14"/>
        <v>0</v>
      </c>
      <c r="I70" s="231">
        <f t="shared" si="15"/>
        <v>0</v>
      </c>
      <c r="J70" s="231">
        <f t="shared" si="16"/>
        <v>0</v>
      </c>
      <c r="K70" s="231">
        <f t="shared" si="17"/>
        <v>0</v>
      </c>
      <c r="L70" s="231">
        <f t="shared" si="17"/>
        <v>0</v>
      </c>
      <c r="M70" s="27">
        <f t="shared" si="18"/>
        <v>0</v>
      </c>
      <c r="N70" s="27">
        <f t="shared" si="19"/>
        <v>0</v>
      </c>
      <c r="R70" s="51"/>
    </row>
    <row r="71" spans="1:18">
      <c r="A71" s="52">
        <f t="shared" si="20"/>
        <v>16</v>
      </c>
      <c r="C71" s="589">
        <v>5.91E-2</v>
      </c>
      <c r="D71" s="61">
        <v>5.91E-2</v>
      </c>
      <c r="E71" s="156">
        <v>13</v>
      </c>
      <c r="H71" s="27"/>
      <c r="I71" s="27"/>
      <c r="J71" s="27"/>
      <c r="K71" s="27"/>
      <c r="L71" s="27"/>
      <c r="M71" s="27" t="str">
        <f t="shared" ref="M71:M85" si="21">IF(L71=0,"",J71+K71-L71)</f>
        <v/>
      </c>
      <c r="N71" s="27" t="str">
        <f t="shared" ref="N71:N85" si="22">IF(M71="","",M71*0.389)</f>
        <v/>
      </c>
      <c r="O71" s="51"/>
      <c r="P71" s="51"/>
      <c r="Q71" s="51"/>
      <c r="R71" s="27" t="str">
        <f t="shared" ref="R71:R85" si="23">IF(N71="","",R70+N71)</f>
        <v/>
      </c>
    </row>
    <row r="72" spans="1:18">
      <c r="A72" s="52">
        <f t="shared" si="20"/>
        <v>17</v>
      </c>
      <c r="C72" s="589">
        <v>5.8999999999999997E-2</v>
      </c>
      <c r="D72" s="61">
        <v>5.8999999999999997E-2</v>
      </c>
      <c r="E72" s="156">
        <v>14</v>
      </c>
      <c r="H72" s="27"/>
      <c r="I72" s="27"/>
      <c r="J72" s="27"/>
      <c r="K72" s="27"/>
      <c r="L72" s="27"/>
      <c r="M72" s="27" t="str">
        <f t="shared" si="21"/>
        <v/>
      </c>
      <c r="N72" s="27" t="str">
        <f t="shared" si="22"/>
        <v/>
      </c>
      <c r="O72" s="51"/>
      <c r="P72" s="51"/>
      <c r="Q72" s="51"/>
      <c r="R72" s="27" t="str">
        <f t="shared" si="23"/>
        <v/>
      </c>
    </row>
    <row r="73" spans="1:18">
      <c r="A73" s="52">
        <f t="shared" si="20"/>
        <v>18</v>
      </c>
      <c r="C73" s="589">
        <v>5.91E-2</v>
      </c>
      <c r="D73" s="61">
        <v>5.91E-2</v>
      </c>
      <c r="E73" s="156">
        <v>15</v>
      </c>
      <c r="H73" s="27"/>
      <c r="I73" s="27"/>
      <c r="J73" s="27"/>
      <c r="K73" s="27"/>
      <c r="L73" s="27"/>
      <c r="M73" s="27" t="str">
        <f t="shared" si="21"/>
        <v/>
      </c>
      <c r="N73" s="27" t="str">
        <f t="shared" si="22"/>
        <v/>
      </c>
      <c r="O73" s="51"/>
      <c r="P73" s="51"/>
      <c r="Q73" s="51"/>
      <c r="R73" s="27" t="str">
        <f t="shared" si="23"/>
        <v/>
      </c>
    </row>
    <row r="74" spans="1:18">
      <c r="A74" s="52">
        <f t="shared" si="20"/>
        <v>19</v>
      </c>
      <c r="C74" s="589">
        <v>2.9499999999999998E-2</v>
      </c>
      <c r="D74" s="61">
        <v>2.9499999999999998E-2</v>
      </c>
      <c r="E74" s="156">
        <v>16</v>
      </c>
      <c r="H74" s="27"/>
      <c r="I74" s="27"/>
      <c r="J74" s="27"/>
      <c r="K74" s="27"/>
      <c r="L74" s="27"/>
      <c r="M74" s="27" t="str">
        <f t="shared" si="21"/>
        <v/>
      </c>
      <c r="N74" s="27" t="str">
        <f t="shared" si="22"/>
        <v/>
      </c>
      <c r="O74" s="51"/>
      <c r="P74" s="51"/>
      <c r="Q74" s="51"/>
      <c r="R74" s="27" t="str">
        <f t="shared" si="23"/>
        <v/>
      </c>
    </row>
    <row r="75" spans="1:18">
      <c r="A75" s="52">
        <f t="shared" si="20"/>
        <v>20</v>
      </c>
      <c r="C75" s="61">
        <v>0</v>
      </c>
      <c r="D75" s="61">
        <v>0</v>
      </c>
      <c r="E75" s="156">
        <v>17</v>
      </c>
      <c r="H75" s="27"/>
      <c r="I75" s="27"/>
      <c r="J75" s="27"/>
      <c r="K75" s="27"/>
      <c r="L75" s="27"/>
      <c r="M75" s="27" t="str">
        <f t="shared" si="21"/>
        <v/>
      </c>
      <c r="N75" s="27" t="str">
        <f t="shared" si="22"/>
        <v/>
      </c>
      <c r="O75" s="51"/>
      <c r="P75" s="51"/>
      <c r="Q75" s="51"/>
      <c r="R75" s="27" t="str">
        <f t="shared" si="23"/>
        <v/>
      </c>
    </row>
    <row r="76" spans="1:18">
      <c r="A76" s="52">
        <f t="shared" si="20"/>
        <v>21</v>
      </c>
      <c r="C76" s="61">
        <v>0</v>
      </c>
      <c r="D76" s="61">
        <v>0</v>
      </c>
      <c r="E76" s="156">
        <v>18</v>
      </c>
      <c r="H76" s="27"/>
      <c r="I76" s="27"/>
      <c r="J76" s="27"/>
      <c r="K76" s="27"/>
      <c r="L76" s="27"/>
      <c r="M76" s="27" t="str">
        <f t="shared" si="21"/>
        <v/>
      </c>
      <c r="N76" s="27" t="str">
        <f t="shared" si="22"/>
        <v/>
      </c>
      <c r="O76" s="51"/>
      <c r="P76" s="51"/>
      <c r="Q76" s="51"/>
      <c r="R76" s="27" t="str">
        <f t="shared" si="23"/>
        <v/>
      </c>
    </row>
    <row r="77" spans="1:18">
      <c r="A77" s="52">
        <f t="shared" si="20"/>
        <v>22</v>
      </c>
      <c r="C77" s="61">
        <v>0</v>
      </c>
      <c r="D77" s="61">
        <v>0</v>
      </c>
      <c r="E77" s="156">
        <v>19</v>
      </c>
      <c r="H77" s="27"/>
      <c r="I77" s="27"/>
      <c r="J77" s="27"/>
      <c r="K77" s="27"/>
      <c r="L77" s="27"/>
      <c r="M77" s="27" t="str">
        <f t="shared" si="21"/>
        <v/>
      </c>
      <c r="N77" s="27" t="str">
        <f t="shared" si="22"/>
        <v/>
      </c>
      <c r="O77" s="51"/>
      <c r="P77" s="51"/>
      <c r="Q77" s="51"/>
      <c r="R77" s="27" t="str">
        <f t="shared" si="23"/>
        <v/>
      </c>
    </row>
    <row r="78" spans="1:18">
      <c r="A78" s="52">
        <f t="shared" si="20"/>
        <v>23</v>
      </c>
      <c r="C78" s="61">
        <v>0</v>
      </c>
      <c r="D78" s="61">
        <v>0</v>
      </c>
      <c r="E78" s="156">
        <v>20</v>
      </c>
      <c r="H78" s="27"/>
      <c r="I78" s="27"/>
      <c r="J78" s="27"/>
      <c r="K78" s="27"/>
      <c r="L78" s="27"/>
      <c r="M78" s="27" t="str">
        <f t="shared" si="21"/>
        <v/>
      </c>
      <c r="N78" s="27" t="str">
        <f t="shared" si="22"/>
        <v/>
      </c>
      <c r="O78" s="51"/>
      <c r="P78" s="51"/>
      <c r="Q78" s="51"/>
      <c r="R78" s="27" t="str">
        <f t="shared" si="23"/>
        <v/>
      </c>
    </row>
    <row r="79" spans="1:18">
      <c r="A79" s="52">
        <f t="shared" si="20"/>
        <v>24</v>
      </c>
      <c r="C79" s="61">
        <v>0</v>
      </c>
      <c r="D79" s="61">
        <v>0</v>
      </c>
      <c r="E79" s="156">
        <v>21</v>
      </c>
      <c r="H79" s="27"/>
      <c r="I79" s="27"/>
      <c r="J79" s="27"/>
      <c r="K79" s="27"/>
      <c r="L79" s="27"/>
      <c r="M79" s="27" t="str">
        <f t="shared" si="21"/>
        <v/>
      </c>
      <c r="N79" s="27" t="str">
        <f t="shared" si="22"/>
        <v/>
      </c>
      <c r="O79" s="51"/>
      <c r="P79" s="51"/>
      <c r="Q79" s="51"/>
      <c r="R79" s="27" t="str">
        <f t="shared" si="23"/>
        <v/>
      </c>
    </row>
    <row r="80" spans="1:18">
      <c r="A80" s="52">
        <f t="shared" si="20"/>
        <v>25</v>
      </c>
      <c r="C80" s="61">
        <v>0</v>
      </c>
      <c r="D80" s="61">
        <v>0</v>
      </c>
      <c r="E80" s="156">
        <v>22</v>
      </c>
      <c r="H80" s="27"/>
      <c r="I80" s="27"/>
      <c r="J80" s="27"/>
      <c r="K80" s="27"/>
      <c r="L80" s="27"/>
      <c r="M80" s="27" t="str">
        <f t="shared" si="21"/>
        <v/>
      </c>
      <c r="N80" s="27" t="str">
        <f t="shared" si="22"/>
        <v/>
      </c>
      <c r="O80" s="51"/>
      <c r="P80" s="51"/>
      <c r="Q80" s="51"/>
      <c r="R80" s="27" t="str">
        <f t="shared" si="23"/>
        <v/>
      </c>
    </row>
    <row r="81" spans="1:18">
      <c r="A81" s="52">
        <f t="shared" si="20"/>
        <v>26</v>
      </c>
      <c r="C81" s="61">
        <v>0</v>
      </c>
      <c r="E81" s="156">
        <v>23</v>
      </c>
      <c r="H81" s="27"/>
      <c r="I81" s="27"/>
      <c r="J81" s="27"/>
      <c r="M81" s="27" t="str">
        <f t="shared" si="21"/>
        <v/>
      </c>
      <c r="N81" s="27" t="str">
        <f t="shared" si="22"/>
        <v/>
      </c>
      <c r="O81" s="51"/>
      <c r="P81" s="51"/>
      <c r="Q81" s="51"/>
      <c r="R81" s="27" t="str">
        <f t="shared" si="23"/>
        <v/>
      </c>
    </row>
    <row r="82" spans="1:18">
      <c r="A82" s="52">
        <f t="shared" si="20"/>
        <v>27</v>
      </c>
      <c r="C82" s="61">
        <v>0</v>
      </c>
      <c r="E82" s="156">
        <v>24</v>
      </c>
      <c r="H82" s="27"/>
      <c r="I82" s="27"/>
      <c r="J82" s="27"/>
      <c r="M82" s="27" t="str">
        <f t="shared" si="21"/>
        <v/>
      </c>
      <c r="N82" s="27" t="str">
        <f t="shared" si="22"/>
        <v/>
      </c>
      <c r="O82" s="51"/>
      <c r="P82" s="51"/>
      <c r="Q82" s="51"/>
      <c r="R82" s="27" t="str">
        <f t="shared" si="23"/>
        <v/>
      </c>
    </row>
    <row r="83" spans="1:18">
      <c r="A83" s="52">
        <f t="shared" si="20"/>
        <v>28</v>
      </c>
      <c r="C83" s="61">
        <v>0</v>
      </c>
      <c r="E83" s="156">
        <v>25</v>
      </c>
      <c r="H83" s="27"/>
      <c r="I83" s="27"/>
      <c r="J83" s="27"/>
      <c r="M83" s="27" t="str">
        <f t="shared" si="21"/>
        <v/>
      </c>
      <c r="N83" s="27" t="str">
        <f t="shared" si="22"/>
        <v/>
      </c>
      <c r="O83" s="51"/>
      <c r="P83" s="51"/>
      <c r="Q83" s="51"/>
      <c r="R83" s="27" t="str">
        <f t="shared" si="23"/>
        <v/>
      </c>
    </row>
    <row r="84" spans="1:18">
      <c r="A84" s="52">
        <f t="shared" si="20"/>
        <v>29</v>
      </c>
      <c r="C84" s="61">
        <v>0</v>
      </c>
      <c r="E84" s="156">
        <v>26</v>
      </c>
      <c r="H84" s="27"/>
      <c r="I84" s="27"/>
      <c r="J84" s="27"/>
      <c r="M84" s="27" t="str">
        <f t="shared" si="21"/>
        <v/>
      </c>
      <c r="N84" s="27" t="str">
        <f t="shared" si="22"/>
        <v/>
      </c>
      <c r="O84" s="51"/>
      <c r="P84" s="51"/>
      <c r="Q84" s="51"/>
      <c r="R84" s="27" t="str">
        <f t="shared" si="23"/>
        <v/>
      </c>
    </row>
    <row r="85" spans="1:18">
      <c r="A85" s="52">
        <f t="shared" si="20"/>
        <v>30</v>
      </c>
      <c r="C85" s="61">
        <v>0</v>
      </c>
      <c r="E85" s="156">
        <v>27</v>
      </c>
      <c r="J85" s="27"/>
      <c r="M85" s="27" t="str">
        <f t="shared" si="21"/>
        <v/>
      </c>
      <c r="N85" s="27" t="str">
        <f t="shared" si="22"/>
        <v/>
      </c>
      <c r="R85" s="27" t="str">
        <f t="shared" si="23"/>
        <v/>
      </c>
    </row>
    <row r="86" spans="1:18">
      <c r="A86" s="52">
        <f t="shared" si="20"/>
        <v>31</v>
      </c>
      <c r="H86" s="27">
        <f t="shared" ref="H86:N86" si="24">SUM(H59:H85)</f>
        <v>0</v>
      </c>
      <c r="I86" s="27">
        <f t="shared" si="24"/>
        <v>0</v>
      </c>
      <c r="J86" s="27">
        <f t="shared" si="24"/>
        <v>0</v>
      </c>
      <c r="K86" s="231">
        <f t="shared" si="24"/>
        <v>0</v>
      </c>
      <c r="L86" s="27">
        <f t="shared" si="24"/>
        <v>0</v>
      </c>
      <c r="M86" s="27">
        <f t="shared" si="24"/>
        <v>0</v>
      </c>
      <c r="N86" s="27">
        <f t="shared" si="24"/>
        <v>0</v>
      </c>
      <c r="O86" s="27"/>
      <c r="P86" s="27"/>
      <c r="Q86" s="27"/>
      <c r="R86" s="27"/>
    </row>
    <row r="87" spans="1:18">
      <c r="H87" s="27"/>
      <c r="I87" s="27"/>
      <c r="J87" s="27"/>
      <c r="K87" s="27"/>
      <c r="L87" s="27"/>
      <c r="R87" s="27"/>
    </row>
    <row r="88" spans="1:18">
      <c r="B88" s="60" t="s">
        <v>166</v>
      </c>
      <c r="C88" s="52" t="s">
        <v>668</v>
      </c>
    </row>
    <row r="89" spans="1:18">
      <c r="B89" s="60" t="s">
        <v>167</v>
      </c>
      <c r="C89" s="52" t="s">
        <v>667</v>
      </c>
    </row>
  </sheetData>
  <dataValidations count="1">
    <dataValidation type="decimal" operator="lessThanOrEqual" allowBlank="1" showInputMessage="1" showErrorMessage="1" errorTitle="Error" error="Value should be negative." sqref="Q16" xr:uid="{FB8E3E2C-F583-43EB-80C9-3B324BBC707E}">
      <formula1>0</formula1>
    </dataValidation>
  </dataValidations>
  <pageMargins left="0.7" right="0.7" top="0.75" bottom="0.75" header="0.3" footer="0.3"/>
  <pageSetup scale="44" orientation="landscape" r:id="rId1"/>
  <headerFooter>
    <oddFooter>&amp;R&amp;"Times New Roman,Bold"&amp;17Exhibit 4
Page 18 of 18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F381-2596-415E-8393-5430A337FE48}">
  <sheetPr>
    <tabColor theme="5" tint="0.39997558519241921"/>
  </sheetPr>
  <dimension ref="A3:T52"/>
  <sheetViews>
    <sheetView zoomScale="80" zoomScaleNormal="80" workbookViewId="0"/>
  </sheetViews>
  <sheetFormatPr defaultColWidth="8.7109375" defaultRowHeight="15"/>
  <cols>
    <col min="1" max="1" width="31" style="545" customWidth="1"/>
    <col min="2" max="2" width="17.7109375" style="545" bestFit="1" customWidth="1"/>
    <col min="3" max="3" width="30.7109375" style="545" bestFit="1" customWidth="1"/>
    <col min="4" max="4" width="28.42578125" style="545" bestFit="1" customWidth="1"/>
    <col min="5" max="14" width="10.5703125" style="545" bestFit="1" customWidth="1"/>
    <col min="15" max="15" width="23.140625" style="545" bestFit="1" customWidth="1"/>
    <col min="16" max="16" width="10.5703125" style="545" bestFit="1" customWidth="1"/>
    <col min="17" max="17" width="11.5703125" style="545" bestFit="1" customWidth="1"/>
    <col min="18" max="18" width="16.28515625" style="545" bestFit="1" customWidth="1"/>
    <col min="19" max="16384" width="8.7109375" style="545"/>
  </cols>
  <sheetData>
    <row r="3" spans="1:18">
      <c r="B3" s="546"/>
      <c r="G3" s="642" t="s">
        <v>762</v>
      </c>
    </row>
    <row r="7" spans="1:18">
      <c r="A7" s="545" t="s">
        <v>632</v>
      </c>
      <c r="B7" s="545" t="s">
        <v>633</v>
      </c>
      <c r="C7" s="545" t="s">
        <v>109</v>
      </c>
      <c r="D7" s="545" t="s">
        <v>634</v>
      </c>
      <c r="E7" s="545" t="s">
        <v>635</v>
      </c>
      <c r="F7" s="545" t="s">
        <v>636</v>
      </c>
      <c r="G7" s="545" t="s">
        <v>637</v>
      </c>
      <c r="H7" s="545" t="s">
        <v>638</v>
      </c>
      <c r="I7" s="545" t="s">
        <v>639</v>
      </c>
      <c r="J7" s="545" t="s">
        <v>640</v>
      </c>
      <c r="K7" s="545" t="s">
        <v>641</v>
      </c>
      <c r="L7" s="545" t="s">
        <v>642</v>
      </c>
      <c r="M7" s="545" t="s">
        <v>643</v>
      </c>
      <c r="N7" s="545" t="s">
        <v>644</v>
      </c>
      <c r="O7" s="545" t="s">
        <v>645</v>
      </c>
      <c r="P7" s="545" t="s">
        <v>646</v>
      </c>
      <c r="Q7" s="545" t="s">
        <v>3</v>
      </c>
    </row>
    <row r="8" spans="1:18" ht="45">
      <c r="A8" s="547" t="s">
        <v>655</v>
      </c>
      <c r="B8" s="545" t="s">
        <v>656</v>
      </c>
      <c r="C8" s="558" t="s">
        <v>692</v>
      </c>
      <c r="D8" s="558" t="s">
        <v>693</v>
      </c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548">
        <f>SUM(E8:P8)</f>
        <v>0</v>
      </c>
      <c r="R8" s="549" t="s">
        <v>657</v>
      </c>
    </row>
    <row r="9" spans="1:18">
      <c r="A9" s="547" t="s">
        <v>658</v>
      </c>
      <c r="B9" s="545" t="s">
        <v>656</v>
      </c>
      <c r="C9" s="558" t="s">
        <v>114</v>
      </c>
      <c r="D9" s="558" t="s">
        <v>115</v>
      </c>
      <c r="E9" s="545">
        <v>206719</v>
      </c>
      <c r="F9" s="545">
        <v>219899</v>
      </c>
      <c r="G9" s="545">
        <v>216505</v>
      </c>
      <c r="H9" s="545">
        <v>208529</v>
      </c>
      <c r="I9" s="545">
        <v>233509</v>
      </c>
      <c r="J9" s="545">
        <v>225927</v>
      </c>
      <c r="K9" s="545">
        <v>210257</v>
      </c>
      <c r="L9" s="545">
        <v>235361</v>
      </c>
      <c r="M9" s="545">
        <v>235630</v>
      </c>
      <c r="N9" s="545">
        <v>235005</v>
      </c>
      <c r="O9" s="545">
        <v>214412</v>
      </c>
      <c r="P9" s="545">
        <v>194608</v>
      </c>
      <c r="Q9" s="548">
        <f t="shared" ref="Q9:Q28" si="0">SUM(E9:P9)</f>
        <v>2636361</v>
      </c>
      <c r="R9" s="550" t="s">
        <v>657</v>
      </c>
    </row>
    <row r="10" spans="1:18">
      <c r="A10" s="547" t="s">
        <v>658</v>
      </c>
      <c r="B10" s="545" t="s">
        <v>656</v>
      </c>
      <c r="C10" s="558" t="s">
        <v>116</v>
      </c>
      <c r="D10" s="558" t="s">
        <v>117</v>
      </c>
      <c r="E10" s="545">
        <v>4068.3333333333335</v>
      </c>
      <c r="F10" s="545">
        <v>2902.3333333333335</v>
      </c>
      <c r="G10" s="545">
        <v>2902.3333333333335</v>
      </c>
      <c r="H10" s="545">
        <v>2902.3333333333335</v>
      </c>
      <c r="I10" s="545">
        <v>4068.3333333333335</v>
      </c>
      <c r="J10" s="545">
        <v>2902.3333333333335</v>
      </c>
      <c r="K10" s="545">
        <v>-97.666666666666686</v>
      </c>
      <c r="L10" s="545">
        <v>4068.3333333333335</v>
      </c>
      <c r="M10" s="545">
        <v>2902.3333333333335</v>
      </c>
      <c r="N10" s="545">
        <v>2902.3333333333335</v>
      </c>
      <c r="O10" s="545">
        <v>3718.3333333333335</v>
      </c>
      <c r="P10" s="545">
        <v>2050.3333333333335</v>
      </c>
      <c r="Q10" s="548">
        <f t="shared" si="0"/>
        <v>35290</v>
      </c>
      <c r="R10" s="550" t="s">
        <v>657</v>
      </c>
    </row>
    <row r="11" spans="1:18">
      <c r="A11" s="547" t="s">
        <v>658</v>
      </c>
      <c r="B11" s="545" t="s">
        <v>656</v>
      </c>
      <c r="C11" s="558" t="s">
        <v>118</v>
      </c>
      <c r="D11" s="558" t="s">
        <v>119</v>
      </c>
      <c r="E11" s="545">
        <v>7256.333333333333</v>
      </c>
      <c r="F11" s="545">
        <v>7256.333333333333</v>
      </c>
      <c r="G11" s="545">
        <v>7840.333333333333</v>
      </c>
      <c r="H11" s="545">
        <v>7840.333333333333</v>
      </c>
      <c r="I11" s="545">
        <v>7840.333333333333</v>
      </c>
      <c r="J11" s="545">
        <v>7840.333333333333</v>
      </c>
      <c r="K11" s="545">
        <v>5840.333333333333</v>
      </c>
      <c r="L11" s="545">
        <v>7840.333333333333</v>
      </c>
      <c r="M11" s="545">
        <v>7840.333333333333</v>
      </c>
      <c r="N11" s="545">
        <v>7840.333333333333</v>
      </c>
      <c r="O11" s="545">
        <v>7840.333333333333</v>
      </c>
      <c r="P11" s="545">
        <v>7840.333333333333</v>
      </c>
      <c r="Q11" s="548">
        <f t="shared" si="0"/>
        <v>90915.999999999985</v>
      </c>
      <c r="R11" s="550" t="s">
        <v>657</v>
      </c>
    </row>
    <row r="12" spans="1:18">
      <c r="A12" s="547" t="s">
        <v>658</v>
      </c>
      <c r="B12" s="545" t="s">
        <v>656</v>
      </c>
      <c r="C12" s="558" t="s">
        <v>120</v>
      </c>
      <c r="D12" s="558" t="s">
        <v>121</v>
      </c>
      <c r="E12" s="545">
        <v>364600</v>
      </c>
      <c r="F12" s="545">
        <v>406114</v>
      </c>
      <c r="G12" s="545">
        <v>412873</v>
      </c>
      <c r="H12" s="545">
        <v>392832</v>
      </c>
      <c r="I12" s="545">
        <v>418040</v>
      </c>
      <c r="J12" s="545">
        <v>397896</v>
      </c>
      <c r="K12" s="545">
        <v>394751</v>
      </c>
      <c r="L12" s="545">
        <v>417257</v>
      </c>
      <c r="M12" s="545">
        <v>402794</v>
      </c>
      <c r="N12" s="545">
        <v>413116</v>
      </c>
      <c r="O12" s="545">
        <v>402820</v>
      </c>
      <c r="P12" s="545">
        <v>419911</v>
      </c>
      <c r="Q12" s="548">
        <f t="shared" si="0"/>
        <v>4843004</v>
      </c>
      <c r="R12" s="550" t="s">
        <v>657</v>
      </c>
    </row>
    <row r="13" spans="1:18">
      <c r="A13" s="547" t="s">
        <v>658</v>
      </c>
      <c r="B13" s="545" t="s">
        <v>656</v>
      </c>
      <c r="C13" s="558" t="s">
        <v>122</v>
      </c>
      <c r="D13" s="558" t="s">
        <v>219</v>
      </c>
      <c r="E13" s="545">
        <v>1824.3333333333333</v>
      </c>
      <c r="F13" s="545">
        <v>2116.3333333333335</v>
      </c>
      <c r="G13" s="545">
        <v>1824.3333333333333</v>
      </c>
      <c r="H13" s="545">
        <v>1824.3333333333333</v>
      </c>
      <c r="I13" s="545">
        <v>1824.3333333333333</v>
      </c>
      <c r="J13" s="545">
        <v>824.33333333333337</v>
      </c>
      <c r="K13" s="545">
        <v>2116.3333333333335</v>
      </c>
      <c r="L13" s="545">
        <v>1824.3333333333333</v>
      </c>
      <c r="M13" s="545">
        <v>1824.3333333333333</v>
      </c>
      <c r="N13" s="545">
        <v>2116.3333333333335</v>
      </c>
      <c r="O13" s="545">
        <v>1824.3333333333333</v>
      </c>
      <c r="P13" s="545">
        <v>1824.3333333333333</v>
      </c>
      <c r="Q13" s="548">
        <f t="shared" si="0"/>
        <v>21768</v>
      </c>
      <c r="R13" s="550" t="s">
        <v>657</v>
      </c>
    </row>
    <row r="14" spans="1:18">
      <c r="A14" s="547" t="s">
        <v>658</v>
      </c>
      <c r="B14" s="545" t="s">
        <v>656</v>
      </c>
      <c r="C14" s="558" t="s">
        <v>294</v>
      </c>
      <c r="D14" s="558" t="s">
        <v>295</v>
      </c>
      <c r="E14" s="545">
        <v>1991</v>
      </c>
      <c r="F14" s="545">
        <v>2283</v>
      </c>
      <c r="G14" s="545">
        <v>1991</v>
      </c>
      <c r="H14" s="545">
        <v>2283</v>
      </c>
      <c r="I14" s="545">
        <v>1991</v>
      </c>
      <c r="J14" s="545">
        <v>1783</v>
      </c>
      <c r="K14" s="545">
        <v>1991</v>
      </c>
      <c r="L14" s="545">
        <v>2283</v>
      </c>
      <c r="M14" s="545">
        <v>1991</v>
      </c>
      <c r="N14" s="545">
        <v>2283</v>
      </c>
      <c r="O14" s="545">
        <v>1991</v>
      </c>
      <c r="P14" s="545">
        <v>2283</v>
      </c>
      <c r="Q14" s="548">
        <f t="shared" si="0"/>
        <v>25144</v>
      </c>
      <c r="R14" s="550" t="s">
        <v>657</v>
      </c>
    </row>
    <row r="15" spans="1:18">
      <c r="A15" s="547" t="s">
        <v>659</v>
      </c>
      <c r="B15" s="545" t="s">
        <v>656</v>
      </c>
      <c r="C15" s="556" t="s">
        <v>130</v>
      </c>
      <c r="D15" s="556" t="s">
        <v>131</v>
      </c>
      <c r="E15" s="545">
        <v>250456</v>
      </c>
      <c r="F15" s="545">
        <v>270501</v>
      </c>
      <c r="G15" s="545">
        <v>266592</v>
      </c>
      <c r="H15" s="545">
        <v>252480</v>
      </c>
      <c r="I15" s="545">
        <v>272445</v>
      </c>
      <c r="J15" s="545">
        <v>265486</v>
      </c>
      <c r="K15" s="545">
        <v>263144</v>
      </c>
      <c r="L15" s="545">
        <v>266449</v>
      </c>
      <c r="M15" s="545">
        <v>259936</v>
      </c>
      <c r="N15" s="545">
        <v>262848</v>
      </c>
      <c r="O15" s="545">
        <v>257773</v>
      </c>
      <c r="P15" s="545">
        <v>247056</v>
      </c>
      <c r="Q15" s="548">
        <f t="shared" si="0"/>
        <v>3135166</v>
      </c>
      <c r="R15" s="550" t="s">
        <v>657</v>
      </c>
    </row>
    <row r="16" spans="1:18">
      <c r="A16" s="547" t="s">
        <v>659</v>
      </c>
      <c r="B16" s="545" t="s">
        <v>656</v>
      </c>
      <c r="C16" s="556" t="s">
        <v>132</v>
      </c>
      <c r="D16" s="556" t="s">
        <v>133</v>
      </c>
      <c r="E16" s="545">
        <v>20507</v>
      </c>
      <c r="F16" s="545">
        <v>20507</v>
      </c>
      <c r="G16" s="545">
        <v>20825</v>
      </c>
      <c r="H16" s="545">
        <v>10629</v>
      </c>
      <c r="I16" s="545">
        <v>14620</v>
      </c>
      <c r="J16" s="545">
        <v>7288</v>
      </c>
      <c r="K16" s="545">
        <v>9636</v>
      </c>
      <c r="L16" s="545">
        <v>11182</v>
      </c>
      <c r="M16" s="545">
        <v>10629</v>
      </c>
      <c r="N16" s="545">
        <v>10629</v>
      </c>
      <c r="O16" s="545">
        <v>20507</v>
      </c>
      <c r="P16" s="545">
        <v>20507</v>
      </c>
      <c r="Q16" s="548">
        <f t="shared" si="0"/>
        <v>177466</v>
      </c>
      <c r="R16" s="550" t="s">
        <v>657</v>
      </c>
    </row>
    <row r="17" spans="1:20">
      <c r="A17" s="547" t="s">
        <v>660</v>
      </c>
      <c r="B17" s="545" t="s">
        <v>656</v>
      </c>
      <c r="C17" s="557" t="s">
        <v>316</v>
      </c>
      <c r="D17" s="557" t="s">
        <v>317</v>
      </c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548">
        <f t="shared" si="0"/>
        <v>0</v>
      </c>
      <c r="R17" s="550">
        <v>44500</v>
      </c>
      <c r="T17" s="551"/>
    </row>
    <row r="18" spans="1:20">
      <c r="A18" s="547" t="s">
        <v>660</v>
      </c>
      <c r="B18" s="545" t="s">
        <v>656</v>
      </c>
      <c r="C18" s="557" t="s">
        <v>318</v>
      </c>
      <c r="D18" s="557" t="s">
        <v>319</v>
      </c>
      <c r="E18" s="636"/>
      <c r="F18" s="636"/>
      <c r="G18" s="636"/>
      <c r="H18" s="636"/>
      <c r="I18" s="636"/>
      <c r="J18" s="636"/>
      <c r="K18" s="636"/>
      <c r="L18" s="636"/>
      <c r="M18" s="636"/>
      <c r="N18" s="636"/>
      <c r="O18" s="636"/>
      <c r="P18" s="636"/>
      <c r="Q18" s="548">
        <f t="shared" si="0"/>
        <v>0</v>
      </c>
      <c r="R18" s="550">
        <v>44135</v>
      </c>
    </row>
    <row r="19" spans="1:20">
      <c r="A19" s="547" t="s">
        <v>660</v>
      </c>
      <c r="B19" s="545" t="s">
        <v>656</v>
      </c>
      <c r="C19" s="557" t="s">
        <v>320</v>
      </c>
      <c r="D19" s="557" t="s">
        <v>321</v>
      </c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548">
        <f t="shared" si="0"/>
        <v>0</v>
      </c>
      <c r="R19" s="550">
        <v>44135</v>
      </c>
    </row>
    <row r="20" spans="1:20">
      <c r="A20" s="547" t="s">
        <v>658</v>
      </c>
      <c r="B20" s="545" t="s">
        <v>661</v>
      </c>
      <c r="C20" s="558" t="s">
        <v>116</v>
      </c>
      <c r="D20" s="558" t="s">
        <v>117</v>
      </c>
      <c r="E20" s="545">
        <v>416.66666666666669</v>
      </c>
      <c r="F20" s="545">
        <v>416.66666666666669</v>
      </c>
      <c r="G20" s="545">
        <v>416.66666666666669</v>
      </c>
      <c r="H20" s="545">
        <v>416.66666666666669</v>
      </c>
      <c r="I20" s="545">
        <v>416.66666666666669</v>
      </c>
      <c r="J20" s="545">
        <v>416.66666666666669</v>
      </c>
      <c r="K20" s="545">
        <v>416.66666666666669</v>
      </c>
      <c r="L20" s="545">
        <v>416.66666666666669</v>
      </c>
      <c r="M20" s="545">
        <v>416.66666666666669</v>
      </c>
      <c r="N20" s="545">
        <v>416.66666666666669</v>
      </c>
      <c r="O20" s="545">
        <v>416.66666666666669</v>
      </c>
      <c r="P20" s="545">
        <v>416.66666666666669</v>
      </c>
      <c r="Q20" s="548">
        <f t="shared" si="0"/>
        <v>5000</v>
      </c>
      <c r="R20" s="550" t="s">
        <v>657</v>
      </c>
    </row>
    <row r="21" spans="1:20">
      <c r="A21" s="547" t="s">
        <v>658</v>
      </c>
      <c r="B21" s="545" t="s">
        <v>661</v>
      </c>
      <c r="C21" s="558" t="s">
        <v>118</v>
      </c>
      <c r="D21" s="558" t="s">
        <v>119</v>
      </c>
      <c r="E21" s="545">
        <v>666.66666666666663</v>
      </c>
      <c r="F21" s="545">
        <v>666.66666666666663</v>
      </c>
      <c r="G21" s="545">
        <v>666.66666666666663</v>
      </c>
      <c r="H21" s="545">
        <v>666.66666666666663</v>
      </c>
      <c r="I21" s="545">
        <v>666.66666666666663</v>
      </c>
      <c r="J21" s="545">
        <v>666.66666666666663</v>
      </c>
      <c r="K21" s="545">
        <v>666.66666666666663</v>
      </c>
      <c r="L21" s="545">
        <v>666.66666666666663</v>
      </c>
      <c r="M21" s="545">
        <v>666.66666666666663</v>
      </c>
      <c r="N21" s="545">
        <v>666.66666666666663</v>
      </c>
      <c r="O21" s="545">
        <v>666.66666666666663</v>
      </c>
      <c r="P21" s="545">
        <v>666.66666666666663</v>
      </c>
      <c r="Q21" s="548">
        <f t="shared" si="0"/>
        <v>8000.0000000000009</v>
      </c>
      <c r="R21" s="550" t="s">
        <v>657</v>
      </c>
    </row>
    <row r="22" spans="1:20">
      <c r="A22" s="547" t="s">
        <v>658</v>
      </c>
      <c r="B22" s="545" t="s">
        <v>661</v>
      </c>
      <c r="C22" s="558" t="s">
        <v>122</v>
      </c>
      <c r="D22" s="558" t="s">
        <v>219</v>
      </c>
      <c r="E22" s="545">
        <v>166.66666666666666</v>
      </c>
      <c r="F22" s="545">
        <v>166.66666666666666</v>
      </c>
      <c r="G22" s="545">
        <v>166.66666666666666</v>
      </c>
      <c r="H22" s="545">
        <v>166.66666666666666</v>
      </c>
      <c r="I22" s="545">
        <v>166.66666666666666</v>
      </c>
      <c r="J22" s="545">
        <v>166.66666666666666</v>
      </c>
      <c r="K22" s="545">
        <v>166.66666666666666</v>
      </c>
      <c r="L22" s="545">
        <v>166.66666666666666</v>
      </c>
      <c r="M22" s="545">
        <v>166.66666666666666</v>
      </c>
      <c r="N22" s="545">
        <v>166.66666666666666</v>
      </c>
      <c r="O22" s="545">
        <v>166.66666666666666</v>
      </c>
      <c r="P22" s="545">
        <v>166.66666666666666</v>
      </c>
      <c r="Q22" s="548">
        <f t="shared" si="0"/>
        <v>2000.0000000000002</v>
      </c>
      <c r="R22" s="550" t="s">
        <v>657</v>
      </c>
    </row>
    <row r="23" spans="1:20">
      <c r="A23" s="547" t="s">
        <v>659</v>
      </c>
      <c r="B23" s="545" t="s">
        <v>661</v>
      </c>
      <c r="C23" s="556" t="s">
        <v>130</v>
      </c>
      <c r="D23" s="556" t="s">
        <v>131</v>
      </c>
      <c r="E23" s="545">
        <v>0</v>
      </c>
      <c r="F23" s="545">
        <v>0</v>
      </c>
      <c r="G23" s="545">
        <v>0</v>
      </c>
      <c r="H23" s="545">
        <v>0</v>
      </c>
      <c r="I23" s="545">
        <v>0</v>
      </c>
      <c r="J23" s="545">
        <v>0</v>
      </c>
      <c r="K23" s="545">
        <v>0</v>
      </c>
      <c r="L23" s="545">
        <v>0</v>
      </c>
      <c r="M23" s="545">
        <v>0</v>
      </c>
      <c r="N23" s="545">
        <v>0</v>
      </c>
      <c r="O23" s="545">
        <v>0</v>
      </c>
      <c r="P23" s="545">
        <v>0</v>
      </c>
      <c r="Q23" s="548">
        <f t="shared" si="0"/>
        <v>0</v>
      </c>
      <c r="R23" s="550" t="s">
        <v>657</v>
      </c>
    </row>
    <row r="24" spans="1:20">
      <c r="A24" s="547" t="s">
        <v>660</v>
      </c>
      <c r="B24" s="545" t="s">
        <v>661</v>
      </c>
      <c r="C24" s="557" t="s">
        <v>316</v>
      </c>
      <c r="D24" s="557" t="s">
        <v>317</v>
      </c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548">
        <f t="shared" si="0"/>
        <v>0</v>
      </c>
      <c r="R24" s="550">
        <v>44500</v>
      </c>
    </row>
    <row r="25" spans="1:20">
      <c r="A25" s="547" t="s">
        <v>660</v>
      </c>
      <c r="B25" s="545" t="s">
        <v>661</v>
      </c>
      <c r="C25" s="557" t="s">
        <v>318</v>
      </c>
      <c r="D25" s="557" t="s">
        <v>319</v>
      </c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548">
        <f t="shared" si="0"/>
        <v>0</v>
      </c>
      <c r="R25" s="550">
        <v>44135</v>
      </c>
    </row>
    <row r="26" spans="1:20">
      <c r="A26" s="547" t="s">
        <v>660</v>
      </c>
      <c r="B26" s="545" t="s">
        <v>661</v>
      </c>
      <c r="C26" s="557" t="s">
        <v>320</v>
      </c>
      <c r="D26" s="557" t="s">
        <v>321</v>
      </c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548">
        <f t="shared" si="0"/>
        <v>0</v>
      </c>
      <c r="R26" s="550">
        <v>44135</v>
      </c>
    </row>
    <row r="27" spans="1:20">
      <c r="A27" s="547" t="s">
        <v>659</v>
      </c>
      <c r="B27" s="545" t="s">
        <v>662</v>
      </c>
      <c r="C27" s="556" t="s">
        <v>132</v>
      </c>
      <c r="D27" s="556" t="s">
        <v>133</v>
      </c>
      <c r="E27" s="545">
        <v>9403</v>
      </c>
      <c r="F27" s="545">
        <v>9403</v>
      </c>
      <c r="G27" s="545">
        <v>9403</v>
      </c>
      <c r="H27" s="545">
        <v>9403</v>
      </c>
      <c r="I27" s="545">
        <v>9403</v>
      </c>
      <c r="J27" s="545">
        <v>9403</v>
      </c>
      <c r="K27" s="545">
        <v>9403</v>
      </c>
      <c r="L27" s="545">
        <v>9403</v>
      </c>
      <c r="M27" s="545">
        <v>9403</v>
      </c>
      <c r="N27" s="545">
        <v>9403</v>
      </c>
      <c r="O27" s="545">
        <v>9403</v>
      </c>
      <c r="P27" s="545">
        <v>9403</v>
      </c>
      <c r="Q27" s="548">
        <f t="shared" si="0"/>
        <v>112836</v>
      </c>
      <c r="R27" s="550" t="s">
        <v>657</v>
      </c>
    </row>
    <row r="28" spans="1:20" ht="45">
      <c r="A28" s="547" t="s">
        <v>655</v>
      </c>
      <c r="B28" s="545" t="s">
        <v>661</v>
      </c>
      <c r="C28" s="558" t="s">
        <v>692</v>
      </c>
      <c r="D28" s="558" t="s">
        <v>693</v>
      </c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548">
        <f t="shared" si="0"/>
        <v>0</v>
      </c>
      <c r="R28" s="549" t="s">
        <v>657</v>
      </c>
    </row>
    <row r="29" spans="1:20">
      <c r="A29" s="547" t="s">
        <v>659</v>
      </c>
      <c r="B29" s="545" t="s">
        <v>656</v>
      </c>
      <c r="C29" s="556" t="s">
        <v>130</v>
      </c>
      <c r="D29" s="556" t="s">
        <v>131</v>
      </c>
      <c r="Q29" s="548"/>
      <c r="R29" s="550" t="s">
        <v>657</v>
      </c>
    </row>
    <row r="30" spans="1:20">
      <c r="B30" s="552" t="s">
        <v>663</v>
      </c>
      <c r="C30" s="552"/>
      <c r="D30" s="552"/>
      <c r="E30" s="553">
        <f t="shared" ref="E30:P30" si="1">SUM(E8:E19,E29)</f>
        <v>857422.00000000012</v>
      </c>
      <c r="F30" s="553">
        <f t="shared" si="1"/>
        <v>931579.00000000012</v>
      </c>
      <c r="G30" s="553">
        <f t="shared" si="1"/>
        <v>931353.00000000012</v>
      </c>
      <c r="H30" s="553">
        <f t="shared" si="1"/>
        <v>879320.00000000012</v>
      </c>
      <c r="I30" s="553">
        <f t="shared" si="1"/>
        <v>954338.00000000012</v>
      </c>
      <c r="J30" s="553">
        <f t="shared" si="1"/>
        <v>909947.00000000012</v>
      </c>
      <c r="K30" s="553">
        <f t="shared" si="1"/>
        <v>887638.00000000012</v>
      </c>
      <c r="L30" s="553">
        <f t="shared" si="1"/>
        <v>946265.00000000012</v>
      </c>
      <c r="M30" s="553">
        <f t="shared" si="1"/>
        <v>923547.00000000012</v>
      </c>
      <c r="N30" s="553">
        <f t="shared" si="1"/>
        <v>936740.00000000012</v>
      </c>
      <c r="O30" s="553">
        <f t="shared" si="1"/>
        <v>910886.00000000012</v>
      </c>
      <c r="P30" s="553">
        <f t="shared" si="1"/>
        <v>896080.00000000012</v>
      </c>
      <c r="Q30" s="553">
        <f>SUM(Q8:Q19,Q29)</f>
        <v>10965115</v>
      </c>
    </row>
    <row r="31" spans="1:20">
      <c r="B31" s="552" t="s">
        <v>664</v>
      </c>
      <c r="C31" s="552"/>
      <c r="D31" s="552"/>
      <c r="E31" s="553">
        <f>SUM(E20:E28)</f>
        <v>10653</v>
      </c>
      <c r="F31" s="553">
        <f t="shared" ref="F31:P31" si="2">SUM(F20:F28)</f>
        <v>10653</v>
      </c>
      <c r="G31" s="553">
        <f t="shared" si="2"/>
        <v>10653</v>
      </c>
      <c r="H31" s="553">
        <f t="shared" si="2"/>
        <v>10653</v>
      </c>
      <c r="I31" s="553">
        <f t="shared" si="2"/>
        <v>10653</v>
      </c>
      <c r="J31" s="553">
        <f t="shared" si="2"/>
        <v>10653</v>
      </c>
      <c r="K31" s="553">
        <f t="shared" si="2"/>
        <v>10653</v>
      </c>
      <c r="L31" s="553">
        <f t="shared" si="2"/>
        <v>10653</v>
      </c>
      <c r="M31" s="553">
        <f t="shared" si="2"/>
        <v>10653</v>
      </c>
      <c r="N31" s="553">
        <f t="shared" si="2"/>
        <v>10653</v>
      </c>
      <c r="O31" s="553">
        <f t="shared" si="2"/>
        <v>10653</v>
      </c>
      <c r="P31" s="553">
        <f t="shared" si="2"/>
        <v>10653</v>
      </c>
      <c r="Q31" s="553">
        <f>SUM(Q20:Q28)</f>
        <v>127836</v>
      </c>
    </row>
    <row r="32" spans="1:20" ht="15.75" thickBot="1">
      <c r="B32" s="554" t="s">
        <v>665</v>
      </c>
      <c r="C32" s="554"/>
      <c r="D32" s="554"/>
      <c r="E32" s="555">
        <f>SUM(E30:E31)</f>
        <v>868075.00000000012</v>
      </c>
      <c r="F32" s="555">
        <f t="shared" ref="F32:Q32" si="3">SUM(F30:F31)</f>
        <v>942232.00000000012</v>
      </c>
      <c r="G32" s="555">
        <f t="shared" si="3"/>
        <v>942006.00000000012</v>
      </c>
      <c r="H32" s="555">
        <f t="shared" si="3"/>
        <v>889973.00000000012</v>
      </c>
      <c r="I32" s="555">
        <f t="shared" si="3"/>
        <v>964991.00000000012</v>
      </c>
      <c r="J32" s="555">
        <f t="shared" si="3"/>
        <v>920600.00000000012</v>
      </c>
      <c r="K32" s="555">
        <f t="shared" si="3"/>
        <v>898291.00000000012</v>
      </c>
      <c r="L32" s="555">
        <f t="shared" si="3"/>
        <v>956918.00000000012</v>
      </c>
      <c r="M32" s="555">
        <f t="shared" si="3"/>
        <v>934200.00000000012</v>
      </c>
      <c r="N32" s="555">
        <f t="shared" si="3"/>
        <v>947393.00000000012</v>
      </c>
      <c r="O32" s="555">
        <f t="shared" si="3"/>
        <v>921539.00000000012</v>
      </c>
      <c r="P32" s="555">
        <f t="shared" si="3"/>
        <v>906733.00000000012</v>
      </c>
      <c r="Q32" s="555">
        <f t="shared" si="3"/>
        <v>11092951</v>
      </c>
    </row>
    <row r="33" spans="2:18" ht="15.75" thickTop="1">
      <c r="B33" s="549"/>
      <c r="C33" s="549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</row>
    <row r="34" spans="2:18">
      <c r="D34" s="549"/>
      <c r="E34" s="548"/>
      <c r="F34" s="548"/>
      <c r="G34" s="548"/>
      <c r="H34" s="548"/>
      <c r="I34" s="548"/>
      <c r="J34" s="548"/>
      <c r="K34" s="548"/>
      <c r="L34" s="548"/>
      <c r="M34" s="548"/>
      <c r="N34" s="548" t="s">
        <v>705</v>
      </c>
      <c r="O34" s="548" t="s">
        <v>713</v>
      </c>
      <c r="P34" s="545">
        <v>20238203</v>
      </c>
      <c r="Q34" s="548">
        <f>SUM(Q8:Q16)</f>
        <v>10965115</v>
      </c>
      <c r="R34" s="548">
        <f>P34-Q34</f>
        <v>9273088</v>
      </c>
    </row>
    <row r="35" spans="2:18">
      <c r="D35" s="549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 t="s">
        <v>714</v>
      </c>
      <c r="P35" s="545">
        <v>1499836</v>
      </c>
      <c r="Q35" s="548">
        <f>SUM(Q20:Q23,Q27:Q28)</f>
        <v>127836</v>
      </c>
      <c r="R35" s="548">
        <f t="shared" ref="R35:R37" si="4">P35-Q35</f>
        <v>1372000</v>
      </c>
    </row>
    <row r="36" spans="2:18">
      <c r="D36" s="549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 t="s">
        <v>715</v>
      </c>
      <c r="P36" s="545">
        <v>49192071</v>
      </c>
      <c r="Q36" s="548">
        <f>SUM(Q17:Q19)</f>
        <v>0</v>
      </c>
      <c r="R36" s="548">
        <f t="shared" si="4"/>
        <v>49192071</v>
      </c>
    </row>
    <row r="37" spans="2:18">
      <c r="D37" s="549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 t="s">
        <v>716</v>
      </c>
      <c r="P37" s="545">
        <v>46207</v>
      </c>
      <c r="Q37" s="548">
        <f>SUM(Q24:Q26)</f>
        <v>0</v>
      </c>
      <c r="R37" s="548">
        <f t="shared" si="4"/>
        <v>46207</v>
      </c>
    </row>
    <row r="38" spans="2:18">
      <c r="D38" s="549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</row>
    <row r="39" spans="2:18">
      <c r="D39" s="549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</row>
    <row r="40" spans="2:18">
      <c r="D40" s="549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</row>
    <row r="41" spans="2:18">
      <c r="D41" s="549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</row>
    <row r="42" spans="2:18">
      <c r="D42" s="549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</row>
    <row r="43" spans="2:18">
      <c r="D43" s="549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</row>
    <row r="44" spans="2:18">
      <c r="D44" s="549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</row>
    <row r="45" spans="2:18">
      <c r="D45" s="549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</row>
    <row r="46" spans="2:18">
      <c r="D46" s="549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</row>
    <row r="47" spans="2:18">
      <c r="D47" s="549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</row>
    <row r="48" spans="2:18">
      <c r="D48" s="549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</row>
    <row r="49" spans="4:15">
      <c r="D49" s="549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</row>
    <row r="50" spans="4:15">
      <c r="D50" s="549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</row>
    <row r="51" spans="4:15">
      <c r="D51" s="549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8"/>
    </row>
    <row r="52" spans="4:15">
      <c r="D52" s="549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</row>
  </sheetData>
  <pageMargins left="0.7" right="0.7" top="0.75" bottom="0.75" header="0.3" footer="0.3"/>
  <pageSetup orientation="portrait" horizontalDpi="90" verticalDpi="9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0E288-4DF6-4B9F-B585-7892859461C0}">
  <sheetPr>
    <tabColor theme="5" tint="0.39997558519241921"/>
  </sheetPr>
  <dimension ref="A1:P24"/>
  <sheetViews>
    <sheetView workbookViewId="0"/>
  </sheetViews>
  <sheetFormatPr defaultColWidth="8.7109375" defaultRowHeight="15"/>
  <cols>
    <col min="1" max="1" width="20" style="540" bestFit="1" customWidth="1"/>
    <col min="2" max="2" width="13.140625" style="540" bestFit="1" customWidth="1"/>
    <col min="3" max="3" width="30.85546875" style="540" bestFit="1" customWidth="1"/>
    <col min="4" max="4" width="13.5703125" style="540" bestFit="1" customWidth="1"/>
    <col min="5" max="8" width="9" style="540" bestFit="1" customWidth="1"/>
    <col min="9" max="15" width="9.140625" style="540" customWidth="1"/>
    <col min="16" max="16" width="10.5703125" style="540" bestFit="1" customWidth="1"/>
    <col min="17" max="16384" width="8.7109375" style="540"/>
  </cols>
  <sheetData>
    <row r="1" spans="1:16">
      <c r="A1" t="s">
        <v>632</v>
      </c>
      <c r="B1" t="s">
        <v>633</v>
      </c>
      <c r="C1" t="s">
        <v>634</v>
      </c>
      <c r="D1" t="s">
        <v>635</v>
      </c>
      <c r="E1" t="s">
        <v>636</v>
      </c>
      <c r="F1" t="s">
        <v>637</v>
      </c>
      <c r="G1" t="s">
        <v>638</v>
      </c>
      <c r="H1" t="s">
        <v>639</v>
      </c>
      <c r="I1" t="s">
        <v>640</v>
      </c>
      <c r="J1" t="s">
        <v>641</v>
      </c>
      <c r="K1" t="s">
        <v>642</v>
      </c>
      <c r="L1" t="s">
        <v>643</v>
      </c>
      <c r="M1" t="s">
        <v>644</v>
      </c>
      <c r="N1" t="s">
        <v>645</v>
      </c>
      <c r="O1" t="s">
        <v>646</v>
      </c>
      <c r="P1" s="540" t="s">
        <v>3</v>
      </c>
    </row>
    <row r="2" spans="1:16">
      <c r="A2" s="540" t="s">
        <v>647</v>
      </c>
      <c r="B2" t="s">
        <v>148</v>
      </c>
      <c r="C2" t="s">
        <v>648</v>
      </c>
      <c r="D2" s="542">
        <v>25833</v>
      </c>
      <c r="E2" s="542">
        <v>25833</v>
      </c>
      <c r="F2" s="542">
        <v>25833</v>
      </c>
      <c r="G2" s="542">
        <v>25833</v>
      </c>
      <c r="H2" s="542">
        <v>25833</v>
      </c>
      <c r="I2" s="542">
        <v>25833</v>
      </c>
      <c r="J2" s="542">
        <v>25833</v>
      </c>
      <c r="K2" s="542">
        <v>25833</v>
      </c>
      <c r="L2" s="542">
        <v>25833</v>
      </c>
      <c r="M2" s="542">
        <v>25833</v>
      </c>
      <c r="N2" s="542">
        <v>25833</v>
      </c>
      <c r="O2" s="542">
        <v>25837</v>
      </c>
      <c r="P2" s="543">
        <f>SUM(D2:O2)</f>
        <v>310000</v>
      </c>
    </row>
    <row r="3" spans="1:16">
      <c r="A3" s="540" t="s">
        <v>647</v>
      </c>
      <c r="B3" t="s">
        <v>152</v>
      </c>
      <c r="C3" t="s">
        <v>649</v>
      </c>
      <c r="D3" s="542">
        <v>29742</v>
      </c>
      <c r="E3" s="542">
        <v>29579</v>
      </c>
      <c r="F3" s="542">
        <v>33163</v>
      </c>
      <c r="G3" s="542">
        <v>31426</v>
      </c>
      <c r="H3" s="542">
        <v>29725</v>
      </c>
      <c r="I3" s="542">
        <v>31745</v>
      </c>
      <c r="J3" s="542">
        <v>31373</v>
      </c>
      <c r="K3" s="542">
        <v>33251</v>
      </c>
      <c r="L3" s="542">
        <v>32400</v>
      </c>
      <c r="M3" s="542">
        <v>31442</v>
      </c>
      <c r="N3" s="542">
        <v>30671</v>
      </c>
      <c r="O3" s="542">
        <v>30607</v>
      </c>
      <c r="P3" s="543">
        <f t="shared" ref="P3:P7" si="0">SUM(D3:O3)</f>
        <v>375124</v>
      </c>
    </row>
    <row r="4" spans="1:16">
      <c r="A4" s="540" t="s">
        <v>647</v>
      </c>
      <c r="B4" t="s">
        <v>157</v>
      </c>
      <c r="C4" t="s">
        <v>650</v>
      </c>
      <c r="D4" s="542">
        <v>22922</v>
      </c>
      <c r="E4" s="542">
        <v>22738</v>
      </c>
      <c r="F4" s="542">
        <v>25531</v>
      </c>
      <c r="G4" s="542">
        <v>24205</v>
      </c>
      <c r="H4" s="542">
        <v>22907</v>
      </c>
      <c r="I4" s="542">
        <v>24440</v>
      </c>
      <c r="J4" s="542">
        <v>24168</v>
      </c>
      <c r="K4" s="542">
        <v>25535</v>
      </c>
      <c r="L4" s="542">
        <v>24916</v>
      </c>
      <c r="M4" s="542">
        <v>24155</v>
      </c>
      <c r="N4" s="542">
        <v>23659</v>
      </c>
      <c r="O4" s="542">
        <v>23675</v>
      </c>
      <c r="P4" s="543">
        <f t="shared" si="0"/>
        <v>288851</v>
      </c>
    </row>
    <row r="5" spans="1:16">
      <c r="A5" s="540" t="s">
        <v>647</v>
      </c>
      <c r="B5" t="s">
        <v>489</v>
      </c>
      <c r="C5" t="s">
        <v>651</v>
      </c>
      <c r="D5" s="542">
        <v>1500</v>
      </c>
      <c r="E5" s="542">
        <v>1600</v>
      </c>
      <c r="F5" s="542">
        <v>2130</v>
      </c>
      <c r="G5" s="542">
        <v>1600</v>
      </c>
      <c r="H5" s="542">
        <v>1600</v>
      </c>
      <c r="I5" s="542">
        <v>2130</v>
      </c>
      <c r="J5" s="542">
        <v>1600</v>
      </c>
      <c r="K5" s="542">
        <v>1600</v>
      </c>
      <c r="L5" s="542">
        <v>2130</v>
      </c>
      <c r="M5" s="542">
        <v>1600</v>
      </c>
      <c r="N5" s="542">
        <v>1600</v>
      </c>
      <c r="O5" s="542">
        <v>1858</v>
      </c>
      <c r="P5" s="543">
        <f t="shared" si="0"/>
        <v>20948</v>
      </c>
    </row>
    <row r="6" spans="1:16">
      <c r="A6" s="540" t="s">
        <v>647</v>
      </c>
      <c r="B6" t="s">
        <v>491</v>
      </c>
      <c r="C6" t="s">
        <v>652</v>
      </c>
      <c r="D6" s="542">
        <v>0</v>
      </c>
      <c r="E6" s="542">
        <v>0</v>
      </c>
      <c r="F6" s="542">
        <v>1060</v>
      </c>
      <c r="G6" s="542">
        <v>0</v>
      </c>
      <c r="H6" s="542">
        <v>0</v>
      </c>
      <c r="I6" s="542">
        <v>1060</v>
      </c>
      <c r="J6" s="542">
        <v>0</v>
      </c>
      <c r="K6" s="542">
        <v>0</v>
      </c>
      <c r="L6" s="542">
        <v>1060</v>
      </c>
      <c r="M6" s="542">
        <v>0</v>
      </c>
      <c r="N6" s="542">
        <v>0</v>
      </c>
      <c r="O6" s="542">
        <v>710</v>
      </c>
      <c r="P6" s="543">
        <f t="shared" si="0"/>
        <v>3890</v>
      </c>
    </row>
    <row r="7" spans="1:16">
      <c r="B7" t="s">
        <v>327</v>
      </c>
      <c r="C7"/>
      <c r="D7" s="542">
        <v>79997</v>
      </c>
      <c r="E7" s="542">
        <v>79750</v>
      </c>
      <c r="F7" s="542">
        <v>87717</v>
      </c>
      <c r="G7" s="542">
        <v>83064</v>
      </c>
      <c r="H7" s="542">
        <v>80065</v>
      </c>
      <c r="I7" s="542">
        <v>85208</v>
      </c>
      <c r="J7" s="542">
        <v>82974</v>
      </c>
      <c r="K7" s="542">
        <v>86219</v>
      </c>
      <c r="L7" s="542">
        <v>86339</v>
      </c>
      <c r="M7" s="542">
        <v>83030</v>
      </c>
      <c r="N7" s="542">
        <v>81763</v>
      </c>
      <c r="O7" s="542">
        <v>82687</v>
      </c>
      <c r="P7" s="543">
        <f t="shared" si="0"/>
        <v>998813</v>
      </c>
    </row>
    <row r="9" spans="1:16">
      <c r="C9" s="540" t="s">
        <v>653</v>
      </c>
      <c r="D9" s="543">
        <f>SUM(D2:D6)</f>
        <v>79997</v>
      </c>
      <c r="E9" s="543">
        <f t="shared" ref="E9:O9" si="1">SUM(E2:E6)</f>
        <v>79750</v>
      </c>
      <c r="F9" s="543">
        <f t="shared" si="1"/>
        <v>87717</v>
      </c>
      <c r="G9" s="543">
        <f t="shared" si="1"/>
        <v>83064</v>
      </c>
      <c r="H9" s="543">
        <f t="shared" si="1"/>
        <v>80065</v>
      </c>
      <c r="I9" s="543">
        <f t="shared" si="1"/>
        <v>85208</v>
      </c>
      <c r="J9" s="543">
        <f t="shared" si="1"/>
        <v>82974</v>
      </c>
      <c r="K9" s="543">
        <f t="shared" si="1"/>
        <v>86219</v>
      </c>
      <c r="L9" s="543">
        <f t="shared" si="1"/>
        <v>86339</v>
      </c>
      <c r="M9" s="543">
        <f t="shared" si="1"/>
        <v>83030</v>
      </c>
      <c r="N9" s="543">
        <f t="shared" si="1"/>
        <v>81763</v>
      </c>
      <c r="O9" s="543">
        <f t="shared" si="1"/>
        <v>82687</v>
      </c>
      <c r="P9" s="543">
        <f>SUM(D9:O9)</f>
        <v>998813</v>
      </c>
    </row>
    <row r="10" spans="1:16">
      <c r="C10" s="540" t="s">
        <v>654</v>
      </c>
      <c r="D10" s="543">
        <v>0</v>
      </c>
      <c r="E10" s="543">
        <v>0</v>
      </c>
      <c r="F10" s="543">
        <v>0</v>
      </c>
      <c r="G10" s="543">
        <v>0</v>
      </c>
      <c r="H10" s="543">
        <v>0</v>
      </c>
      <c r="I10" s="543">
        <v>0</v>
      </c>
      <c r="J10" s="543">
        <v>0</v>
      </c>
      <c r="K10" s="543">
        <v>0</v>
      </c>
      <c r="L10" s="543">
        <v>0</v>
      </c>
      <c r="M10" s="543">
        <v>0</v>
      </c>
      <c r="N10" s="543">
        <v>0</v>
      </c>
      <c r="O10" s="543">
        <v>0</v>
      </c>
      <c r="P10" s="543">
        <f>SUM(D10:O10)</f>
        <v>0</v>
      </c>
    </row>
    <row r="12" spans="1:16">
      <c r="C12" s="540" t="s">
        <v>678</v>
      </c>
      <c r="D12" s="543">
        <v>93842</v>
      </c>
      <c r="E12" s="543">
        <f>D12</f>
        <v>93842</v>
      </c>
      <c r="F12" s="543">
        <f t="shared" ref="F12:O13" si="2">E12</f>
        <v>93842</v>
      </c>
      <c r="G12" s="543">
        <f t="shared" si="2"/>
        <v>93842</v>
      </c>
      <c r="H12" s="543">
        <f t="shared" si="2"/>
        <v>93842</v>
      </c>
      <c r="I12" s="543">
        <f t="shared" si="2"/>
        <v>93842</v>
      </c>
      <c r="J12" s="651">
        <f>D23</f>
        <v>40490.688166390406</v>
      </c>
      <c r="K12" s="651">
        <f>J12</f>
        <v>40490.688166390406</v>
      </c>
      <c r="L12" s="651">
        <f t="shared" ref="L12:O12" si="3">K12</f>
        <v>40490.688166390406</v>
      </c>
      <c r="M12" s="651">
        <f t="shared" si="3"/>
        <v>40490.688166390406</v>
      </c>
      <c r="N12" s="651">
        <f t="shared" si="3"/>
        <v>40490.688166390406</v>
      </c>
      <c r="O12" s="651">
        <f t="shared" si="3"/>
        <v>40490.688166390406</v>
      </c>
      <c r="P12" s="543">
        <f>SUM(D12:O12)</f>
        <v>805996.12899834244</v>
      </c>
    </row>
    <row r="13" spans="1:16">
      <c r="C13" s="540" t="s">
        <v>679</v>
      </c>
      <c r="D13" s="543">
        <v>139934</v>
      </c>
      <c r="E13" s="543">
        <f>D13</f>
        <v>139934</v>
      </c>
      <c r="F13" s="543">
        <f t="shared" si="2"/>
        <v>139934</v>
      </c>
      <c r="G13" s="543">
        <f t="shared" si="2"/>
        <v>139934</v>
      </c>
      <c r="H13" s="543">
        <f t="shared" si="2"/>
        <v>139934</v>
      </c>
      <c r="I13" s="543">
        <f t="shared" si="2"/>
        <v>139934</v>
      </c>
      <c r="J13" s="644">
        <v>0</v>
      </c>
      <c r="K13" s="644">
        <f t="shared" si="2"/>
        <v>0</v>
      </c>
      <c r="L13" s="644">
        <f t="shared" si="2"/>
        <v>0</v>
      </c>
      <c r="M13" s="644">
        <f t="shared" si="2"/>
        <v>0</v>
      </c>
      <c r="N13" s="644">
        <f t="shared" si="2"/>
        <v>0</v>
      </c>
      <c r="O13" s="644">
        <f t="shared" si="2"/>
        <v>0</v>
      </c>
      <c r="P13" s="543">
        <f>SUM(D13:O13)</f>
        <v>839604</v>
      </c>
    </row>
    <row r="15" spans="1:16">
      <c r="B15" s="541"/>
      <c r="C15" s="540" t="s">
        <v>752</v>
      </c>
      <c r="D15" s="646">
        <v>1.3393800000000001E-2</v>
      </c>
    </row>
    <row r="16" spans="1:16">
      <c r="C16" s="199"/>
      <c r="D16" s="647" t="s">
        <v>765</v>
      </c>
    </row>
    <row r="17" spans="3:12">
      <c r="C17" s="199" t="s">
        <v>452</v>
      </c>
      <c r="D17" s="648">
        <f>'Rev Req 2020-Distr'!P11</f>
        <v>35541791.949999996</v>
      </c>
      <c r="L17" s="642" t="s">
        <v>762</v>
      </c>
    </row>
    <row r="18" spans="3:12">
      <c r="C18" s="199" t="s">
        <v>19</v>
      </c>
      <c r="D18" s="648">
        <f>'Rev Req 2020-Distr'!P12</f>
        <v>2735164.1699999995</v>
      </c>
    </row>
    <row r="19" spans="3:12">
      <c r="C19" s="223" t="s">
        <v>52</v>
      </c>
      <c r="D19" s="649">
        <f>'Rev Req 2020-Distr'!P13</f>
        <v>-1999853.4309435005</v>
      </c>
    </row>
    <row r="20" spans="3:12">
      <c r="C20" s="199" t="s">
        <v>53</v>
      </c>
      <c r="D20" s="648">
        <f>SUM(D17:D19)</f>
        <v>36277102.689056493</v>
      </c>
    </row>
    <row r="21" spans="3:12">
      <c r="C21" s="199" t="s">
        <v>764</v>
      </c>
      <c r="D21" s="648">
        <f>D20*D15</f>
        <v>485888.25799668487</v>
      </c>
    </row>
    <row r="23" spans="3:12">
      <c r="C23" s="540" t="s">
        <v>766</v>
      </c>
      <c r="D23" s="650">
        <f>D21/2/6</f>
        <v>40490.688166390406</v>
      </c>
    </row>
    <row r="24" spans="3:12">
      <c r="D24" s="650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6D38C-1458-475F-AACD-2695B8614B8C}">
  <sheetPr>
    <tabColor theme="5" tint="0.39997558519241921"/>
  </sheetPr>
  <dimension ref="A1:O39"/>
  <sheetViews>
    <sheetView workbookViewId="0"/>
  </sheetViews>
  <sheetFormatPr defaultRowHeight="12.75"/>
  <cols>
    <col min="1" max="1" width="31.42578125" customWidth="1"/>
    <col min="2" max="2" width="4.140625" bestFit="1" customWidth="1"/>
    <col min="3" max="3" width="10" bestFit="1" customWidth="1"/>
    <col min="4" max="4" width="16.140625" customWidth="1"/>
    <col min="5" max="5" width="12.28515625" bestFit="1" customWidth="1"/>
    <col min="6" max="10" width="9.7109375" bestFit="1" customWidth="1"/>
    <col min="11" max="11" width="12.5703125" bestFit="1" customWidth="1"/>
    <col min="12" max="12" width="11.140625" bestFit="1" customWidth="1"/>
    <col min="13" max="13" width="11.7109375" bestFit="1" customWidth="1"/>
    <col min="14" max="14" width="12" bestFit="1" customWidth="1"/>
    <col min="15" max="15" width="11.28515625" bestFit="1" customWidth="1"/>
  </cols>
  <sheetData>
    <row r="1" spans="1:15">
      <c r="A1" t="s">
        <v>631</v>
      </c>
    </row>
    <row r="2" spans="1:15">
      <c r="A2" t="s">
        <v>12</v>
      </c>
      <c r="E2" s="642" t="s">
        <v>762</v>
      </c>
    </row>
    <row r="3" spans="1:15">
      <c r="A3" t="s">
        <v>607</v>
      </c>
    </row>
    <row r="7" spans="1:15">
      <c r="A7" s="529"/>
      <c r="B7" s="529"/>
      <c r="C7" s="530">
        <v>44197</v>
      </c>
      <c r="D7" s="530">
        <v>44228</v>
      </c>
      <c r="E7" s="530">
        <v>44256</v>
      </c>
      <c r="F7" s="530">
        <v>44287</v>
      </c>
      <c r="G7" s="530">
        <v>44317</v>
      </c>
      <c r="H7" s="530">
        <v>44348</v>
      </c>
      <c r="I7" s="530">
        <v>44378</v>
      </c>
      <c r="J7" s="530">
        <v>44409</v>
      </c>
      <c r="K7" s="530">
        <v>44440</v>
      </c>
      <c r="L7" s="530">
        <v>44470</v>
      </c>
      <c r="M7" s="530">
        <v>44501</v>
      </c>
      <c r="N7" s="530">
        <v>44531</v>
      </c>
      <c r="O7" s="531" t="s">
        <v>3</v>
      </c>
    </row>
    <row r="8" spans="1:15">
      <c r="A8" s="529"/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</row>
    <row r="9" spans="1:15">
      <c r="A9" s="529" t="s">
        <v>608</v>
      </c>
      <c r="B9" s="529"/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532">
        <f>SUM(C9:N9)</f>
        <v>0</v>
      </c>
    </row>
    <row r="10" spans="1:15" ht="13.5" thickBot="1">
      <c r="A10" s="533" t="s">
        <v>684</v>
      </c>
      <c r="B10" s="533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534">
        <f>SUM(C10:N10)</f>
        <v>0</v>
      </c>
    </row>
    <row r="11" spans="1:15">
      <c r="A11" s="535" t="s">
        <v>3</v>
      </c>
      <c r="B11" s="536"/>
      <c r="C11" s="537">
        <f t="shared" ref="C11:O11" si="0">SUM(C9:C10)</f>
        <v>0</v>
      </c>
      <c r="D11" s="537">
        <f t="shared" si="0"/>
        <v>0</v>
      </c>
      <c r="E11" s="537">
        <f t="shared" si="0"/>
        <v>0</v>
      </c>
      <c r="F11" s="537">
        <f t="shared" si="0"/>
        <v>0</v>
      </c>
      <c r="G11" s="537">
        <f t="shared" si="0"/>
        <v>0</v>
      </c>
      <c r="H11" s="537">
        <f t="shared" si="0"/>
        <v>0</v>
      </c>
      <c r="I11" s="537">
        <f t="shared" si="0"/>
        <v>0</v>
      </c>
      <c r="J11" s="537">
        <f t="shared" si="0"/>
        <v>0</v>
      </c>
      <c r="K11" s="537">
        <f t="shared" si="0"/>
        <v>0</v>
      </c>
      <c r="L11" s="537">
        <f t="shared" si="0"/>
        <v>0</v>
      </c>
      <c r="M11" s="537">
        <f t="shared" si="0"/>
        <v>0</v>
      </c>
      <c r="N11" s="537">
        <f t="shared" si="0"/>
        <v>0</v>
      </c>
      <c r="O11" s="538">
        <f t="shared" si="0"/>
        <v>0</v>
      </c>
    </row>
    <row r="20" spans="1:5">
      <c r="A20" s="572"/>
      <c r="B20" s="572"/>
      <c r="C20" s="572"/>
      <c r="D20" s="2"/>
      <c r="E20" s="2"/>
    </row>
    <row r="21" spans="1:5">
      <c r="A21" s="453"/>
    </row>
    <row r="22" spans="1:5">
      <c r="A22" s="453"/>
      <c r="D22" s="539"/>
      <c r="E22" s="539"/>
    </row>
    <row r="23" spans="1:5">
      <c r="D23" s="539"/>
    </row>
    <row r="24" spans="1:5">
      <c r="A24" s="572"/>
      <c r="B24" s="572"/>
      <c r="C24" s="572"/>
      <c r="D24" s="539"/>
    </row>
    <row r="25" spans="1:5">
      <c r="D25" s="539"/>
    </row>
    <row r="26" spans="1:5">
      <c r="A26" s="453"/>
      <c r="D26" s="539"/>
      <c r="E26" s="539"/>
    </row>
    <row r="27" spans="1:5">
      <c r="A27" s="453"/>
      <c r="D27" s="539"/>
      <c r="E27" s="539"/>
    </row>
    <row r="28" spans="1:5">
      <c r="A28" s="453"/>
      <c r="D28" s="539"/>
      <c r="E28" s="539"/>
    </row>
    <row r="29" spans="1:5">
      <c r="D29" s="539"/>
    </row>
    <row r="30" spans="1:5">
      <c r="A30" s="572"/>
      <c r="B30" s="572"/>
      <c r="C30" s="572"/>
      <c r="D30" s="539"/>
    </row>
    <row r="31" spans="1:5">
      <c r="D31" s="539"/>
    </row>
    <row r="32" spans="1:5">
      <c r="A32" s="453"/>
      <c r="D32" s="539"/>
      <c r="E32" s="539"/>
    </row>
    <row r="33" spans="1:5">
      <c r="A33" s="453"/>
      <c r="D33" s="539"/>
      <c r="E33" s="539"/>
    </row>
    <row r="34" spans="1:5">
      <c r="A34" s="453"/>
      <c r="D34" s="539"/>
      <c r="E34" s="539"/>
    </row>
    <row r="35" spans="1:5">
      <c r="D35" s="539"/>
      <c r="E35" s="539"/>
    </row>
    <row r="36" spans="1:5">
      <c r="E36" s="539"/>
    </row>
    <row r="37" spans="1:5">
      <c r="D37" s="2"/>
      <c r="E37" s="539"/>
    </row>
    <row r="38" spans="1:5">
      <c r="E38" s="539"/>
    </row>
    <row r="39" spans="1:5">
      <c r="E39" s="539"/>
    </row>
  </sheetData>
  <pageMargins left="0.7" right="0.7" top="0.75" bottom="0.75" header="0.3" footer="0.3"/>
  <pageSetup orientation="portrait" horizontalDpi="90" verticalDpi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1F4AB-A651-431E-A3B5-FB46C779BCDD}">
  <sheetPr>
    <tabColor theme="5" tint="0.39997558519241921"/>
    <pageSetUpPr fitToPage="1"/>
  </sheetPr>
  <dimension ref="A1:L33"/>
  <sheetViews>
    <sheetView zoomScaleNormal="100" workbookViewId="0">
      <selection sqref="A1:H1"/>
    </sheetView>
  </sheetViews>
  <sheetFormatPr defaultColWidth="9.140625" defaultRowHeight="15.75"/>
  <cols>
    <col min="1" max="1" width="36.140625" style="4" bestFit="1" customWidth="1"/>
    <col min="2" max="3" width="16.85546875" style="4" bestFit="1" customWidth="1"/>
    <col min="4" max="4" width="16.85546875" style="612" bestFit="1" customWidth="1"/>
    <col min="5" max="5" width="16.85546875" style="4" bestFit="1" customWidth="1"/>
    <col min="6" max="6" width="9.7109375" style="4" bestFit="1" customWidth="1"/>
    <col min="7" max="7" width="9.140625" style="4"/>
    <col min="8" max="9" width="14" style="4" bestFit="1" customWidth="1"/>
    <col min="10" max="10" width="15.7109375" style="4" bestFit="1" customWidth="1"/>
    <col min="11" max="11" width="9.140625" style="4"/>
    <col min="12" max="12" width="13.5703125" style="4" bestFit="1" customWidth="1"/>
    <col min="13" max="14" width="9.140625" style="4"/>
    <col min="15" max="15" width="15.7109375" style="4" bestFit="1" customWidth="1"/>
    <col min="16" max="16384" width="9.140625" style="4"/>
  </cols>
  <sheetData>
    <row r="1" spans="1:10">
      <c r="A1" s="679" t="s">
        <v>741</v>
      </c>
      <c r="B1" s="679"/>
      <c r="C1" s="679"/>
      <c r="D1" s="679"/>
      <c r="E1" s="679"/>
      <c r="F1" s="679"/>
      <c r="G1" s="679"/>
      <c r="H1" s="679"/>
    </row>
    <row r="2" spans="1:10">
      <c r="A2" s="679" t="s">
        <v>742</v>
      </c>
      <c r="B2" s="679"/>
      <c r="C2" s="679"/>
      <c r="D2" s="679"/>
      <c r="E2" s="679"/>
      <c r="F2" s="679"/>
      <c r="G2" s="679"/>
      <c r="H2" s="679"/>
    </row>
    <row r="3" spans="1:10">
      <c r="A3" s="679" t="s">
        <v>743</v>
      </c>
      <c r="B3" s="679"/>
      <c r="C3" s="679"/>
      <c r="D3" s="679"/>
      <c r="E3" s="679"/>
      <c r="F3" s="679"/>
      <c r="G3" s="679"/>
      <c r="H3" s="679"/>
    </row>
    <row r="4" spans="1:10">
      <c r="A4" s="680" t="s">
        <v>755</v>
      </c>
      <c r="B4" s="679"/>
      <c r="C4" s="679"/>
      <c r="D4" s="679"/>
      <c r="E4" s="679"/>
      <c r="F4" s="679"/>
      <c r="G4" s="679"/>
      <c r="H4" s="679"/>
    </row>
    <row r="5" spans="1:10">
      <c r="A5" s="605"/>
      <c r="B5" s="605"/>
      <c r="C5" s="605"/>
      <c r="D5" s="606"/>
      <c r="E5" s="605"/>
      <c r="F5" s="605"/>
      <c r="G5" s="605"/>
      <c r="H5" s="605"/>
    </row>
    <row r="6" spans="1:10">
      <c r="A6" s="6"/>
      <c r="B6" s="605" t="s">
        <v>744</v>
      </c>
      <c r="C6" s="605" t="s">
        <v>744</v>
      </c>
      <c r="D6" s="606"/>
      <c r="E6" s="605" t="s">
        <v>745</v>
      </c>
      <c r="F6" s="605"/>
      <c r="G6" s="605"/>
      <c r="H6" s="605" t="s">
        <v>164</v>
      </c>
      <c r="J6" s="605" t="s">
        <v>3</v>
      </c>
    </row>
    <row r="7" spans="1:10">
      <c r="A7" s="6"/>
      <c r="B7" s="605" t="s">
        <v>746</v>
      </c>
      <c r="C7" s="605" t="s">
        <v>747</v>
      </c>
      <c r="D7" s="606"/>
      <c r="E7" s="605" t="s">
        <v>746</v>
      </c>
      <c r="F7" s="605" t="s">
        <v>1</v>
      </c>
      <c r="G7" s="605" t="s">
        <v>748</v>
      </c>
      <c r="H7" s="605" t="s">
        <v>0</v>
      </c>
      <c r="J7" s="605" t="s">
        <v>749</v>
      </c>
    </row>
    <row r="8" spans="1:10">
      <c r="A8" s="607" t="s">
        <v>109</v>
      </c>
      <c r="B8" s="607" t="s">
        <v>750</v>
      </c>
      <c r="C8" s="607" t="s">
        <v>0</v>
      </c>
      <c r="D8" s="608" t="s">
        <v>751</v>
      </c>
      <c r="E8" s="607" t="s">
        <v>750</v>
      </c>
      <c r="F8" s="607" t="s">
        <v>7</v>
      </c>
      <c r="G8" s="607" t="s">
        <v>752</v>
      </c>
      <c r="H8" s="607" t="s">
        <v>423</v>
      </c>
      <c r="J8" s="605" t="s">
        <v>751</v>
      </c>
    </row>
    <row r="9" spans="1:10">
      <c r="A9" s="605"/>
      <c r="B9" s="605"/>
      <c r="C9" s="605"/>
      <c r="D9" s="609"/>
      <c r="E9" s="605"/>
      <c r="F9" s="605"/>
      <c r="G9" s="605"/>
      <c r="H9" s="605"/>
      <c r="J9" s="610"/>
    </row>
    <row r="10" spans="1:10">
      <c r="A10" s="611" t="s">
        <v>753</v>
      </c>
      <c r="B10" s="612">
        <v>28379.7</v>
      </c>
      <c r="E10" s="610"/>
      <c r="F10" s="4">
        <v>237413</v>
      </c>
      <c r="G10" s="613">
        <v>0</v>
      </c>
      <c r="H10" s="612">
        <v>0</v>
      </c>
      <c r="J10" s="610">
        <f t="shared" ref="J10:J17" si="0">SUM(B10,D10)</f>
        <v>28379.7</v>
      </c>
    </row>
    <row r="11" spans="1:10">
      <c r="A11" s="4" t="s">
        <v>322</v>
      </c>
      <c r="B11" s="612">
        <v>260943.97</v>
      </c>
      <c r="E11" s="610"/>
      <c r="F11" s="4">
        <v>237413</v>
      </c>
      <c r="G11" s="613">
        <v>0</v>
      </c>
      <c r="H11" s="612">
        <v>0</v>
      </c>
      <c r="J11" s="610">
        <f t="shared" si="0"/>
        <v>260943.97</v>
      </c>
    </row>
    <row r="12" spans="1:10">
      <c r="A12" s="4" t="s">
        <v>483</v>
      </c>
      <c r="B12" s="614">
        <v>295187.87</v>
      </c>
      <c r="C12" s="615"/>
      <c r="D12" s="614"/>
      <c r="E12" s="615"/>
      <c r="F12" s="4">
        <v>237413</v>
      </c>
      <c r="G12" s="613">
        <v>0</v>
      </c>
      <c r="H12" s="614">
        <v>0</v>
      </c>
      <c r="J12" s="610">
        <f t="shared" si="0"/>
        <v>295187.87</v>
      </c>
    </row>
    <row r="13" spans="1:10">
      <c r="B13" s="616">
        <f>SUM(B10:B12)</f>
        <v>584511.54</v>
      </c>
      <c r="C13" s="610"/>
      <c r="E13" s="616">
        <f>B13-C13+D13</f>
        <v>584511.54</v>
      </c>
      <c r="G13" s="613"/>
      <c r="H13" s="612">
        <v>0</v>
      </c>
      <c r="J13" s="610"/>
    </row>
    <row r="14" spans="1:10">
      <c r="B14" s="612"/>
      <c r="C14" s="610"/>
      <c r="E14" s="610"/>
      <c r="G14" s="613"/>
      <c r="H14" s="612"/>
      <c r="J14" s="610"/>
    </row>
    <row r="15" spans="1:10">
      <c r="A15" s="611" t="s">
        <v>316</v>
      </c>
      <c r="B15" s="612">
        <v>0</v>
      </c>
      <c r="C15" s="612"/>
      <c r="D15" s="612">
        <v>17584917.949999999</v>
      </c>
      <c r="E15" s="610"/>
      <c r="F15" s="4">
        <v>236720</v>
      </c>
      <c r="G15" s="613">
        <v>2.0500000000000001E-2</v>
      </c>
      <c r="H15" s="612"/>
      <c r="J15" s="610">
        <f t="shared" si="0"/>
        <v>17584917.949999999</v>
      </c>
    </row>
    <row r="16" spans="1:10">
      <c r="A16" s="4" t="s">
        <v>318</v>
      </c>
      <c r="B16" s="612">
        <v>37831761.869999997</v>
      </c>
      <c r="C16" s="612"/>
      <c r="E16" s="610"/>
      <c r="F16" s="4">
        <v>236720</v>
      </c>
      <c r="G16" s="613">
        <v>2.0500000000000001E-2</v>
      </c>
      <c r="H16" s="612"/>
      <c r="J16" s="610">
        <f t="shared" si="0"/>
        <v>37831761.869999997</v>
      </c>
    </row>
    <row r="17" spans="1:12">
      <c r="A17" s="4" t="s">
        <v>320</v>
      </c>
      <c r="B17" s="614">
        <v>38253440.770000003</v>
      </c>
      <c r="C17" s="615"/>
      <c r="D17" s="614"/>
      <c r="E17" s="615"/>
      <c r="F17" s="4">
        <v>236720</v>
      </c>
      <c r="G17" s="613">
        <v>2.0500000000000001E-2</v>
      </c>
      <c r="H17" s="614"/>
      <c r="J17" s="610">
        <f t="shared" si="0"/>
        <v>38253440.770000003</v>
      </c>
    </row>
    <row r="18" spans="1:12">
      <c r="B18" s="616">
        <f>SUM(B15:B17)</f>
        <v>76085202.640000001</v>
      </c>
      <c r="C18" s="616">
        <v>317268.3</v>
      </c>
      <c r="D18" s="616">
        <f>SUM(D15:D17)</f>
        <v>17584917.949999999</v>
      </c>
      <c r="E18" s="616">
        <f>B18-C18+D18</f>
        <v>93352852.290000007</v>
      </c>
      <c r="G18" s="613"/>
      <c r="H18" s="616">
        <v>129021.2</v>
      </c>
      <c r="J18" s="610"/>
    </row>
    <row r="19" spans="1:12">
      <c r="B19" s="612"/>
      <c r="C19" s="610"/>
      <c r="G19" s="613"/>
      <c r="H19" s="612"/>
      <c r="J19" s="610"/>
    </row>
    <row r="20" spans="1:12" ht="16.5" thickBot="1">
      <c r="B20" s="617">
        <f>B13+B18</f>
        <v>76669714.180000007</v>
      </c>
      <c r="C20" s="617">
        <f>C13+C18</f>
        <v>317268.3</v>
      </c>
      <c r="D20" s="617">
        <f>D13+D18</f>
        <v>17584917.949999999</v>
      </c>
      <c r="E20" s="617">
        <f>B20-C20+D20</f>
        <v>93937363.830000013</v>
      </c>
      <c r="H20" s="617">
        <f>H18+H13</f>
        <v>129021.2</v>
      </c>
      <c r="J20" s="610"/>
      <c r="L20" s="612"/>
    </row>
    <row r="21" spans="1:12" ht="15" customHeight="1" thickTop="1">
      <c r="B21" s="612"/>
      <c r="J21" s="610"/>
      <c r="L21" s="612"/>
    </row>
    <row r="22" spans="1:12">
      <c r="A22" s="618"/>
      <c r="B22" s="619"/>
      <c r="C22" s="619"/>
      <c r="D22" s="620"/>
      <c r="E22" s="619"/>
      <c r="F22" s="620"/>
      <c r="G22" s="620"/>
      <c r="H22" s="619"/>
      <c r="J22" s="610"/>
    </row>
    <row r="23" spans="1:12">
      <c r="B23" s="612"/>
      <c r="C23" s="612"/>
      <c r="E23" s="612"/>
      <c r="F23" s="612"/>
      <c r="G23" s="612"/>
      <c r="H23" s="612"/>
      <c r="J23" s="610"/>
    </row>
    <row r="24" spans="1:12">
      <c r="B24" s="612"/>
      <c r="C24" s="612"/>
      <c r="E24" s="612"/>
      <c r="F24" s="612"/>
      <c r="G24" s="612"/>
      <c r="H24" s="612"/>
      <c r="J24" s="610"/>
    </row>
    <row r="25" spans="1:12">
      <c r="B25" s="612"/>
      <c r="C25" s="612"/>
      <c r="E25" s="612"/>
      <c r="F25" s="612"/>
      <c r="G25" s="612"/>
      <c r="H25" s="612"/>
      <c r="J25" s="610"/>
    </row>
    <row r="26" spans="1:12">
      <c r="B26" s="612"/>
      <c r="C26" s="612"/>
      <c r="E26" s="612"/>
      <c r="F26" s="612"/>
      <c r="G26" s="612"/>
      <c r="H26" s="612"/>
      <c r="J26" s="610"/>
    </row>
    <row r="27" spans="1:12">
      <c r="B27" s="612"/>
      <c r="C27" s="612"/>
      <c r="E27" s="612"/>
      <c r="F27" s="612"/>
      <c r="G27" s="612"/>
      <c r="H27" s="612"/>
      <c r="J27" s="610"/>
    </row>
    <row r="28" spans="1:12">
      <c r="B28" s="612"/>
      <c r="C28" s="612"/>
      <c r="E28" s="612"/>
      <c r="F28" s="612"/>
      <c r="G28" s="612"/>
      <c r="H28" s="612"/>
      <c r="J28" s="610"/>
    </row>
    <row r="29" spans="1:12">
      <c r="J29" s="610"/>
    </row>
    <row r="30" spans="1:12">
      <c r="J30" s="610"/>
    </row>
    <row r="31" spans="1:12">
      <c r="J31" s="610"/>
    </row>
    <row r="32" spans="1:12">
      <c r="J32" s="610"/>
    </row>
    <row r="33" spans="10:10">
      <c r="J33" s="610"/>
    </row>
  </sheetData>
  <mergeCells count="4">
    <mergeCell ref="A1:H1"/>
    <mergeCell ref="A2:H2"/>
    <mergeCell ref="A3:H3"/>
    <mergeCell ref="A4:H4"/>
  </mergeCells>
  <printOptions horizontalCentered="1"/>
  <pageMargins left="0.2" right="0.2" top="0.5" bottom="0.75" header="0.3" footer="0.3"/>
  <pageSetup scale="82" orientation="portrait" r:id="rId1"/>
  <headerFooter>
    <oddFooter>&amp;L&amp;Z&amp;F&amp;F&amp;A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09C75-A117-4634-A26D-772B856278B4}">
  <sheetPr>
    <tabColor theme="6" tint="0.39997558519241921"/>
  </sheetPr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F56D-03C3-4B87-B1C0-C60FEE5CD36B}">
  <sheetPr>
    <tabColor theme="6" tint="0.39997558519241921"/>
    <pageSetUpPr fitToPage="1"/>
  </sheetPr>
  <dimension ref="A1:AJ1048492"/>
  <sheetViews>
    <sheetView zoomScale="60" zoomScaleNormal="60" workbookViewId="0"/>
  </sheetViews>
  <sheetFormatPr defaultColWidth="9.140625" defaultRowHeight="20.25"/>
  <cols>
    <col min="1" max="1" width="9" style="72" customWidth="1"/>
    <col min="2" max="2" width="9.140625" style="72"/>
    <col min="3" max="3" width="60.85546875" style="72" customWidth="1"/>
    <col min="4" max="17" width="20.85546875" style="72" customWidth="1"/>
    <col min="18" max="18" width="13.85546875" customWidth="1"/>
    <col min="19" max="19" width="18.85546875" style="72" customWidth="1"/>
    <col min="20" max="20" width="18" style="72" customWidth="1"/>
    <col min="21" max="21" width="17" style="72" customWidth="1"/>
    <col min="22" max="22" width="14.85546875" style="72" bestFit="1" customWidth="1"/>
    <col min="23" max="23" width="14.5703125" style="72" bestFit="1" customWidth="1"/>
    <col min="24" max="24" width="13.140625" style="72" bestFit="1" customWidth="1"/>
    <col min="25" max="25" width="14" style="72" customWidth="1"/>
    <col min="26" max="26" width="15.5703125" style="72" customWidth="1"/>
    <col min="27" max="27" width="14.42578125" style="72" bestFit="1" customWidth="1"/>
    <col min="28" max="28" width="14.85546875" style="72" customWidth="1"/>
    <col min="29" max="29" width="15.85546875" style="72" customWidth="1"/>
    <col min="30" max="30" width="13.42578125" style="72" customWidth="1"/>
    <col min="31" max="31" width="12.140625" style="72" bestFit="1" customWidth="1"/>
    <col min="32" max="32" width="16.5703125" style="72" customWidth="1"/>
    <col min="33" max="33" width="14.42578125" style="72" customWidth="1"/>
    <col min="34" max="34" width="15.140625" style="72" customWidth="1"/>
    <col min="35" max="35" width="9.42578125" style="72" bestFit="1" customWidth="1"/>
    <col min="36" max="36" width="12.85546875" style="72" customWidth="1"/>
    <col min="37" max="16384" width="9.140625" style="72"/>
  </cols>
  <sheetData>
    <row r="1" spans="1:36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3" t="s">
        <v>255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3" t="s">
        <v>592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>
      <c r="D5" s="226" t="s">
        <v>536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677"/>
      <c r="AD5" s="677"/>
      <c r="AE5" s="677"/>
      <c r="AF5" s="677"/>
      <c r="AG5" s="677"/>
      <c r="AH5" s="677"/>
      <c r="AI5" s="677"/>
      <c r="AJ5" s="677"/>
    </row>
    <row r="6" spans="1:36" s="31" customFormat="1">
      <c r="A6" s="224" t="s">
        <v>4</v>
      </c>
      <c r="B6" s="32"/>
      <c r="D6" s="115">
        <v>2019</v>
      </c>
      <c r="E6" s="95">
        <v>2020</v>
      </c>
      <c r="F6" s="95">
        <f>$E$6</f>
        <v>2020</v>
      </c>
      <c r="G6" s="95">
        <f>$E$6</f>
        <v>2020</v>
      </c>
      <c r="H6" s="95">
        <f>$E$6</f>
        <v>2020</v>
      </c>
      <c r="I6" s="95">
        <f>$E$6</f>
        <v>2020</v>
      </c>
      <c r="J6" s="95">
        <f>$E$6</f>
        <v>2020</v>
      </c>
      <c r="K6" s="95">
        <f t="shared" ref="K6:Q6" si="0">$E$6</f>
        <v>2020</v>
      </c>
      <c r="L6" s="95">
        <f t="shared" si="0"/>
        <v>2020</v>
      </c>
      <c r="M6" s="95">
        <f t="shared" si="0"/>
        <v>2020</v>
      </c>
      <c r="N6" s="95">
        <f t="shared" si="0"/>
        <v>2020</v>
      </c>
      <c r="O6" s="95">
        <f t="shared" si="0"/>
        <v>2020</v>
      </c>
      <c r="P6" s="95">
        <f t="shared" si="0"/>
        <v>2020</v>
      </c>
      <c r="Q6" s="133">
        <f t="shared" si="0"/>
        <v>2020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347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597"/>
      <c r="N9" s="13"/>
      <c r="O9" s="597"/>
      <c r="P9" s="597"/>
      <c r="Q9" s="123"/>
      <c r="R9"/>
      <c r="S9" s="567" t="s">
        <v>685</v>
      </c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>
      <c r="A10" s="32"/>
      <c r="B10" s="77" t="s">
        <v>51</v>
      </c>
      <c r="D10" s="599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123"/>
      <c r="R10"/>
      <c r="S10" s="567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>
      <c r="A11" s="32">
        <v>1</v>
      </c>
      <c r="B11" s="32"/>
      <c r="C11" s="78" t="s">
        <v>452</v>
      </c>
      <c r="D11" s="370">
        <f>'Rev Req 2019-Distr'!P11+3389.75-3164.11-32.76-39.27</f>
        <v>25891851.52</v>
      </c>
      <c r="E11" s="371">
        <f>D11+SUM('Cap&amp;OpEx 2020'!C10,'Cap&amp;OpEx 2020'!C12:C14,'Cap&amp;OpEx 2020'!C17,'Cap&amp;OpEx 2020'!C19:C21)</f>
        <v>26860917.579999998</v>
      </c>
      <c r="F11" s="371">
        <f>E11+SUM('Cap&amp;OpEx 2020'!D10,'Cap&amp;OpEx 2020'!D12:D14,'Cap&amp;OpEx 2020'!D17,'Cap&amp;OpEx 2020'!D19:D21)</f>
        <v>27779972.259999998</v>
      </c>
      <c r="G11" s="371">
        <f>F11+SUM('Cap&amp;OpEx 2020'!E10,'Cap&amp;OpEx 2020'!E12:E14,'Cap&amp;OpEx 2020'!E17,'Cap&amp;OpEx 2020'!E19:E21)</f>
        <v>28664800.98</v>
      </c>
      <c r="H11" s="371">
        <f>G11+SUM('Cap&amp;OpEx 2020'!F10,'Cap&amp;OpEx 2020'!F12:F14,'Cap&amp;OpEx 2020'!F17,'Cap&amp;OpEx 2020'!F19:F21)</f>
        <v>29592141.540000003</v>
      </c>
      <c r="I11" s="371">
        <f>H11+SUM('Cap&amp;OpEx 2020'!G10,'Cap&amp;OpEx 2020'!G12:G14,'Cap&amp;OpEx 2020'!G17,'Cap&amp;OpEx 2020'!G19:G21)</f>
        <v>30555922.59</v>
      </c>
      <c r="J11" s="371">
        <f>I11+SUM('Cap&amp;OpEx 2020'!H10,'Cap&amp;OpEx 2020'!H12:H14,'Cap&amp;OpEx 2020'!H17,'Cap&amp;OpEx 2020'!H19:H21)</f>
        <v>31359631.620000001</v>
      </c>
      <c r="K11" s="371">
        <f>J11+SUM('Cap&amp;OpEx 2020'!I10,'Cap&amp;OpEx 2020'!I12:I14,'Cap&amp;OpEx 2020'!I17,'Cap&amp;OpEx 2020'!I19:I21)</f>
        <v>32147282.059999999</v>
      </c>
      <c r="L11" s="371">
        <f>K11+SUM('Cap&amp;OpEx 2020'!J10,'Cap&amp;OpEx 2020'!J12:J14,'Cap&amp;OpEx 2020'!J17,'Cap&amp;OpEx 2020'!J19:J21)</f>
        <v>32902567.069999997</v>
      </c>
      <c r="M11" s="371">
        <f>L11+SUM('Cap&amp;OpEx 2020'!K10,'Cap&amp;OpEx 2020'!K12:K14,'Cap&amp;OpEx 2020'!K17,'Cap&amp;OpEx 2020'!K19:K21)</f>
        <v>33820841.049999997</v>
      </c>
      <c r="N11" s="371">
        <f>M11+SUM('Cap&amp;OpEx 2020'!L10,'Cap&amp;OpEx 2020'!L12:L14,'Cap&amp;OpEx 2020'!L17,'Cap&amp;OpEx 2020'!L19:L21)</f>
        <v>34572059.239999995</v>
      </c>
      <c r="O11" s="371">
        <f>N11+SUM('Cap&amp;OpEx 2020'!M10,'Cap&amp;OpEx 2020'!M12:M14,'Cap&amp;OpEx 2020'!M17,'Cap&amp;OpEx 2020'!M19:M21)</f>
        <v>35469318.669999994</v>
      </c>
      <c r="P11" s="371">
        <f>O11+SUM('Cap&amp;OpEx 2020'!N10,'Cap&amp;OpEx 2020'!N12:N14,'Cap&amp;OpEx 2020'!N17,'Cap&amp;OpEx 2020'!N19:N21)</f>
        <v>35541791.949999996</v>
      </c>
      <c r="Q11" s="372">
        <f>AVERAGE(D11:P11)</f>
        <v>31166084.471538462</v>
      </c>
      <c r="R11"/>
      <c r="S11" s="574">
        <f>Q11-AVERAGE('Net Assets'!B12:B25)+AVERAGE('Net Assets'!F12:F25)</f>
        <v>-33155985.587692305</v>
      </c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>
      <c r="A12" s="32">
        <v>2</v>
      </c>
      <c r="B12" s="32"/>
      <c r="C12" s="31" t="s">
        <v>19</v>
      </c>
      <c r="D12" s="370">
        <f>'Rev Req 2019-Distr'!P12</f>
        <v>1632771.6099999999</v>
      </c>
      <c r="E12" s="371">
        <f>D12+SUM('Cap&amp;OpEx 2020'!C31,'Cap&amp;OpEx 2020'!C33:C35)</f>
        <v>1674926.98</v>
      </c>
      <c r="F12" s="371">
        <f>E12+SUM('Cap&amp;OpEx 2020'!D31,'Cap&amp;OpEx 2020'!D33:D35)</f>
        <v>1775498.15</v>
      </c>
      <c r="G12" s="371">
        <f>F12+SUM('Cap&amp;OpEx 2020'!E31,'Cap&amp;OpEx 2020'!E33:E35)</f>
        <v>1951194.0899999999</v>
      </c>
      <c r="H12" s="371">
        <f>G12+SUM('Cap&amp;OpEx 2020'!F31,'Cap&amp;OpEx 2020'!F33:F35)</f>
        <v>2062727.8199999998</v>
      </c>
      <c r="I12" s="371">
        <f>H12+SUM('Cap&amp;OpEx 2020'!G31,'Cap&amp;OpEx 2020'!G33:G35)</f>
        <v>2177098.4299999997</v>
      </c>
      <c r="J12" s="371">
        <f>I12+SUM('Cap&amp;OpEx 2020'!H31,'Cap&amp;OpEx 2020'!H33:H35)</f>
        <v>2306494.6799999997</v>
      </c>
      <c r="K12" s="371">
        <f>J12+SUM('Cap&amp;OpEx 2020'!I31,'Cap&amp;OpEx 2020'!I33:I35)</f>
        <v>2352098.2199999997</v>
      </c>
      <c r="L12" s="371">
        <f>K12+SUM('Cap&amp;OpEx 2020'!J31,'Cap&amp;OpEx 2020'!J33:J35)</f>
        <v>2430555.4</v>
      </c>
      <c r="M12" s="371">
        <f>L12+SUM('Cap&amp;OpEx 2020'!K31,'Cap&amp;OpEx 2020'!K33:K35)</f>
        <v>2442386.11</v>
      </c>
      <c r="N12" s="371">
        <f>M12+SUM('Cap&amp;OpEx 2020'!L31,'Cap&amp;OpEx 2020'!L33:L35)</f>
        <v>2628939.4099999997</v>
      </c>
      <c r="O12" s="371">
        <f>N12+SUM('Cap&amp;OpEx 2020'!M31,'Cap&amp;OpEx 2020'!M33:M35)</f>
        <v>2739659.2499999995</v>
      </c>
      <c r="P12" s="371">
        <f>O12+SUM('Cap&amp;OpEx 2020'!N31,'Cap&amp;OpEx 2020'!N33:N35)</f>
        <v>2735164.1699999995</v>
      </c>
      <c r="Q12" s="372">
        <f>AVERAGE(D12:P12)</f>
        <v>2223808.7938461537</v>
      </c>
      <c r="R12"/>
      <c r="S12" s="574">
        <f>Q12-AVERAGE('Net Assets'!D12:D25)</f>
        <v>-8785712.0423076935</v>
      </c>
      <c r="T12" s="567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>
      <c r="A13" s="32">
        <v>3</v>
      </c>
      <c r="B13" s="32"/>
      <c r="C13" s="31" t="s">
        <v>52</v>
      </c>
      <c r="D13" s="378">
        <f>'Rev Req 2019-Distr'!P13</f>
        <v>-988955.76840750023</v>
      </c>
      <c r="E13" s="379">
        <f>SUM('Cap&amp;OpEx 2020'!C24,'Cap&amp;OpEx 2020'!C26:C28)-SUM('202001 Bk Depr'!$P$13,'202001 Bk Depr'!$P$15:$P$18)+D13</f>
        <v>-1060171.7017140002</v>
      </c>
      <c r="F13" s="379">
        <f>SUM('Cap&amp;OpEx 2020'!D24,'Cap&amp;OpEx 2020'!D26:D28)-SUM('202002 Bk Depr'!$P$13,'202002 Bk Depr'!$P$15:$P$18)+E13</f>
        <v>-1133920.5922170002</v>
      </c>
      <c r="G13" s="379">
        <f>SUM('Cap&amp;OpEx 2020'!E24,'Cap&amp;OpEx 2020'!E26:E28)-SUM('202003 Bk Depr'!$P$13,'202003 Bk Depr'!$P$15:$P$18)+F13</f>
        <v>-1210095.6579270002</v>
      </c>
      <c r="H13" s="379">
        <f>SUM('Cap&amp;OpEx 2020'!F24,'Cap&amp;OpEx 2020'!F26:F28)-SUM('202004 Bk Depr'!$P$13,'202004 Bk Depr'!$P$15:$P$18)+G13</f>
        <v>-1288724.0329530002</v>
      </c>
      <c r="I13" s="379">
        <f>SUM('Cap&amp;OpEx 2020'!G24,'Cap&amp;OpEx 2020'!G26:G28)-SUM('202005 Bk Depr'!$P$13,'202005 Bk Depr'!$P$15:$P$18)+H13</f>
        <v>-1369907.9754480002</v>
      </c>
      <c r="J13" s="379">
        <f>SUM('Cap&amp;OpEx 2020'!H24,'Cap&amp;OpEx 2020'!H26:H28)-SUM('202006 Bk Depr'!$P$13,'202006 Bk Depr'!$P$15:$P$18)+I13</f>
        <v>-1453481.2243800003</v>
      </c>
      <c r="K13" s="379">
        <f>SUM('Cap&amp;OpEx 2020'!I24,'Cap&amp;OpEx 2020'!I26:I28)-SUM('202007 Bk Depr'!$P$13,'202007 Bk Depr'!$P$15:$P$18)+J13</f>
        <v>-1539209.3515740002</v>
      </c>
      <c r="L13" s="379">
        <f>SUM('Cap&amp;OpEx 2020'!J24,'Cap&amp;OpEx 2020'!J26:J28)-SUM('202008 Bk Depr'!$P$13,'202008 Bk Depr'!$P$15:$P$18)+K13</f>
        <v>-1627026.3541395003</v>
      </c>
      <c r="M13" s="379">
        <f>SUM('Cap&amp;OpEx 2020'!K24,'Cap&amp;OpEx 2020'!K26:K28)-SUM('202009 Bk Depr'!$P$13,'202009 Bk Depr'!$P$15:$P$18)+L13</f>
        <v>-1717102.6736265004</v>
      </c>
      <c r="N13" s="379">
        <f>SUM('Cap&amp;OpEx 2020'!L24,'Cap&amp;OpEx 2020'!L26:L28)-SUM('202010 Bk Depr'!$P$13,'202010 Bk Depr'!$P$15:$P$18)+M13</f>
        <v>-1809432.8241480005</v>
      </c>
      <c r="O13" s="379">
        <f>SUM('Cap&amp;OpEx 2020'!M24,'Cap&amp;OpEx 2020'!M26:M28)-SUM('202011 Bk Depr'!$P$13,'202011 Bk Depr'!$P$15:$P$18)+N13</f>
        <v>-1903988.4537465004</v>
      </c>
      <c r="P13" s="379">
        <f>SUM('Cap&amp;OpEx 2020'!N24,'Cap&amp;OpEx 2020'!N26:N28)-SUM('202012 Bk Depr'!$P$13,'202012 Bk Depr'!$P$15:$P$18)+O13</f>
        <v>-1999853.4309435005</v>
      </c>
      <c r="Q13" s="377">
        <f>AVERAGE(D13:P13)</f>
        <v>-1469374.6185557311</v>
      </c>
      <c r="R13"/>
      <c r="S13" s="574">
        <f>Q13-AVERAGE('Net Assets'!C12:C25)+AVERAGE('Net Assets'!G12:G25)</f>
        <v>1626551.6229827311</v>
      </c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>
      <c r="A14" s="32">
        <v>4</v>
      </c>
      <c r="B14" s="32"/>
      <c r="C14" s="31" t="s">
        <v>53</v>
      </c>
      <c r="D14" s="410">
        <f t="shared" ref="D14:Q14" si="1">SUM(D11:D13)</f>
        <v>26535667.361592498</v>
      </c>
      <c r="E14" s="371">
        <f t="shared" si="1"/>
        <v>27475672.858285997</v>
      </c>
      <c r="F14" s="371">
        <f t="shared" si="1"/>
        <v>28421549.817782998</v>
      </c>
      <c r="G14" s="371">
        <f t="shared" si="1"/>
        <v>29405899.412073001</v>
      </c>
      <c r="H14" s="371">
        <f t="shared" si="1"/>
        <v>30366145.327047002</v>
      </c>
      <c r="I14" s="371">
        <f t="shared" si="1"/>
        <v>31363113.044551998</v>
      </c>
      <c r="J14" s="371">
        <f t="shared" si="1"/>
        <v>32212645.075619996</v>
      </c>
      <c r="K14" s="371">
        <f t="shared" si="1"/>
        <v>32960170.928426001</v>
      </c>
      <c r="L14" s="371">
        <f t="shared" si="1"/>
        <v>33706096.115860499</v>
      </c>
      <c r="M14" s="371">
        <f t="shared" si="1"/>
        <v>34546124.486373499</v>
      </c>
      <c r="N14" s="371">
        <f t="shared" si="1"/>
        <v>35391565.825851992</v>
      </c>
      <c r="O14" s="371">
        <f t="shared" si="1"/>
        <v>36304989.466253497</v>
      </c>
      <c r="P14" s="371">
        <f t="shared" si="1"/>
        <v>36277102.689056493</v>
      </c>
      <c r="Q14" s="372">
        <f t="shared" si="1"/>
        <v>31920518.646828882</v>
      </c>
      <c r="R14"/>
      <c r="S14" s="567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S15" s="567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>
      <c r="A16" s="32">
        <v>5</v>
      </c>
      <c r="B16" s="32"/>
      <c r="C16" s="31" t="s">
        <v>54</v>
      </c>
      <c r="D16" s="378">
        <f>'Rev Req 2019-Distr'!P16</f>
        <v>-4633446.7890585922</v>
      </c>
      <c r="E16" s="379">
        <f>-'Tax Depr 2020-Dist'!T17</f>
        <v>-4653755.5589041132</v>
      </c>
      <c r="F16" s="379">
        <f>-'Tax Depr 2020-Dist'!T18</f>
        <v>-4705668.9669709206</v>
      </c>
      <c r="G16" s="379">
        <f>-'Tax Depr 2020-Dist'!T19</f>
        <v>-4799938.4582821904</v>
      </c>
      <c r="H16" s="379">
        <f>-'Tax Depr 2020-Dist'!T20</f>
        <v>-4898264.5871937331</v>
      </c>
      <c r="I16" s="379">
        <f>-'Tax Depr 2020-Dist'!T21</f>
        <v>-5013754.850035416</v>
      </c>
      <c r="J16" s="379">
        <f>-'Tax Depr 2020-Dist'!T22</f>
        <v>-5148933.8241981622</v>
      </c>
      <c r="K16" s="379">
        <f>-'Tax Depr 2020-Dist'!T23</f>
        <v>-5275314.5920079229</v>
      </c>
      <c r="L16" s="379">
        <f>-'Tax Depr 2020-Dist'!T24</f>
        <v>-5423086.3471657354</v>
      </c>
      <c r="M16" s="379">
        <f>-'Tax Depr 2020-Dist'!T25</f>
        <v>-5591197.9413094679</v>
      </c>
      <c r="N16" s="379">
        <f>-'Tax Depr 2020-Dist'!T26</f>
        <v>-5795558.9331006948</v>
      </c>
      <c r="O16" s="379">
        <f>-'Tax Depr 2020-Dist'!T27</f>
        <v>-6014121.4787485497</v>
      </c>
      <c r="P16" s="379">
        <f>-'Tax Depr 2020-Dist'!T28</f>
        <v>-6068304.7892755894</v>
      </c>
      <c r="Q16" s="377">
        <f>AVERAGE(D16:P16)</f>
        <v>-5232411.3166346988</v>
      </c>
      <c r="R16"/>
      <c r="S16" s="574">
        <f>AVERAGE(D16:P16)-AVERAGE('Net Assets'!E12:E25)</f>
        <v>4856606.1599935004</v>
      </c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  <c r="S17" s="567"/>
    </row>
    <row r="18" spans="1:19" s="31" customFormat="1">
      <c r="A18" s="32">
        <v>6</v>
      </c>
      <c r="B18" s="32"/>
      <c r="C18" s="78" t="s">
        <v>55</v>
      </c>
      <c r="D18" s="370">
        <f t="shared" ref="D18:Q18" si="2">SUM(D14:D16)</f>
        <v>21902220.572533906</v>
      </c>
      <c r="E18" s="371">
        <f>SUM(E14:E16)</f>
        <v>22821917.299381882</v>
      </c>
      <c r="F18" s="371">
        <f t="shared" si="2"/>
        <v>23715880.850812078</v>
      </c>
      <c r="G18" s="371">
        <f t="shared" si="2"/>
        <v>24605960.95379081</v>
      </c>
      <c r="H18" s="371">
        <f t="shared" si="2"/>
        <v>25467880.73985327</v>
      </c>
      <c r="I18" s="371">
        <f t="shared" si="2"/>
        <v>26349358.194516584</v>
      </c>
      <c r="J18" s="371">
        <f t="shared" si="2"/>
        <v>27063711.251421832</v>
      </c>
      <c r="K18" s="371">
        <f t="shared" si="2"/>
        <v>27684856.336418077</v>
      </c>
      <c r="L18" s="371">
        <f t="shared" si="2"/>
        <v>28283009.768694766</v>
      </c>
      <c r="M18" s="371">
        <f t="shared" si="2"/>
        <v>28954926.545064032</v>
      </c>
      <c r="N18" s="371">
        <f t="shared" si="2"/>
        <v>29596006.892751299</v>
      </c>
      <c r="O18" s="371">
        <f t="shared" si="2"/>
        <v>30290867.987504948</v>
      </c>
      <c r="P18" s="371">
        <f t="shared" si="2"/>
        <v>30208797.899780903</v>
      </c>
      <c r="Q18" s="372">
        <f t="shared" si="2"/>
        <v>26688107.330194183</v>
      </c>
      <c r="R18"/>
      <c r="S18" s="573"/>
    </row>
    <row r="19" spans="1:19" s="31" customFormat="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  <c r="S19" s="567"/>
    </row>
    <row r="20" spans="1:19" s="31" customFormat="1">
      <c r="A20" s="32">
        <v>7</v>
      </c>
      <c r="B20" s="32"/>
      <c r="C20" s="31" t="s">
        <v>56</v>
      </c>
      <c r="D20" s="126">
        <f>'ROR 2020'!$G$12/12</f>
        <v>7.4333333333333335E-3</v>
      </c>
      <c r="E20" s="37">
        <f>'ROR 2020'!$G$12/12</f>
        <v>7.4333333333333335E-3</v>
      </c>
      <c r="F20" s="37">
        <f>'ROR 2020'!$G$12/12</f>
        <v>7.4333333333333335E-3</v>
      </c>
      <c r="G20" s="37">
        <f>'ROR 2020'!$G$12/12</f>
        <v>7.4333333333333335E-3</v>
      </c>
      <c r="H20" s="37">
        <f>'ROR 2020'!$G$12/12</f>
        <v>7.4333333333333335E-3</v>
      </c>
      <c r="I20" s="37">
        <f>'ROR 2020'!$G$12/12</f>
        <v>7.4333333333333335E-3</v>
      </c>
      <c r="J20" s="37">
        <f>'ROR 2020'!$G$12/12</f>
        <v>7.4333333333333335E-3</v>
      </c>
      <c r="K20" s="37">
        <f>'ROR 2020'!$G$12/12</f>
        <v>7.4333333333333335E-3</v>
      </c>
      <c r="L20" s="37">
        <f>'ROR 2020'!$G$12/12</f>
        <v>7.4333333333333335E-3</v>
      </c>
      <c r="M20" s="37">
        <f>'ROR 2020'!$G$12/12</f>
        <v>7.4333333333333335E-3</v>
      </c>
      <c r="N20" s="37">
        <f>'ROR 2020'!$G$12/12</f>
        <v>7.4333333333333335E-3</v>
      </c>
      <c r="O20" s="37">
        <f>'ROR 2020'!$G$12/12</f>
        <v>7.4333333333333335E-3</v>
      </c>
      <c r="P20" s="37">
        <f>'ROR 2020'!$G$12/12</f>
        <v>7.4333333333333335E-3</v>
      </c>
      <c r="Q20" s="127">
        <f>SUM(E20:P20)</f>
        <v>8.9200000000000002E-2</v>
      </c>
      <c r="R20"/>
      <c r="S20" s="567"/>
    </row>
    <row r="21" spans="1:19" s="31" customFormat="1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  <c r="S21" s="567"/>
    </row>
    <row r="22" spans="1:19" s="31" customFormat="1">
      <c r="A22" s="32">
        <v>8</v>
      </c>
      <c r="B22" s="32"/>
      <c r="C22" s="31" t="s">
        <v>57</v>
      </c>
      <c r="D22" s="401">
        <f t="shared" ref="D22:Q22" si="3">D18*D20</f>
        <v>162806.50625583535</v>
      </c>
      <c r="E22" s="402">
        <f>E18*E20</f>
        <v>169642.918592072</v>
      </c>
      <c r="F22" s="402">
        <f t="shared" si="3"/>
        <v>176288.04765770311</v>
      </c>
      <c r="G22" s="402">
        <f t="shared" si="3"/>
        <v>182904.30975651168</v>
      </c>
      <c r="H22" s="402">
        <f t="shared" si="3"/>
        <v>189311.24683290932</v>
      </c>
      <c r="I22" s="402">
        <f t="shared" si="3"/>
        <v>195863.56257923995</v>
      </c>
      <c r="J22" s="402">
        <f t="shared" si="3"/>
        <v>201173.58696890229</v>
      </c>
      <c r="K22" s="402">
        <f t="shared" si="3"/>
        <v>205790.76543404104</v>
      </c>
      <c r="L22" s="402">
        <f t="shared" si="3"/>
        <v>210237.03928063108</v>
      </c>
      <c r="M22" s="402">
        <f t="shared" si="3"/>
        <v>215231.62065164265</v>
      </c>
      <c r="N22" s="402">
        <f t="shared" si="3"/>
        <v>219996.98456945134</v>
      </c>
      <c r="O22" s="402">
        <f t="shared" si="3"/>
        <v>225162.11870712013</v>
      </c>
      <c r="P22" s="402">
        <f t="shared" si="3"/>
        <v>224552.06438837139</v>
      </c>
      <c r="Q22" s="403">
        <f t="shared" si="3"/>
        <v>2380579.173853321</v>
      </c>
      <c r="R22"/>
      <c r="S22" s="574">
        <f>Q22-RevReq!G26</f>
        <v>-3162901.7543545216</v>
      </c>
    </row>
    <row r="23" spans="1:19" s="31" customFormat="1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  <c r="S23" s="567"/>
    </row>
    <row r="24" spans="1:19" s="31" customFormat="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  <c r="S24" s="567"/>
    </row>
    <row r="25" spans="1:19" s="31" customFormat="1">
      <c r="A25" s="32">
        <v>9</v>
      </c>
      <c r="B25" s="32"/>
      <c r="C25" s="31" t="s">
        <v>0</v>
      </c>
      <c r="D25" s="370">
        <f>'Rev Req 2019-Distr'!P25</f>
        <v>68678.330422500003</v>
      </c>
      <c r="E25" s="371">
        <f>SUM('202001 Bk Depr'!$P$13,'202001 Bk Depr'!$P$15:$P$18,'202001 Bk Depr'!$P$22,'202001 Bk Depr'!$P$24:$P$27)</f>
        <v>71215.93330650001</v>
      </c>
      <c r="F25" s="371">
        <f>SUM('202002 Bk Depr'!$P$13,'202002 Bk Depr'!$P$15:$P$18,'202002 Bk Depr'!$P$22,'202002 Bk Depr'!$P$24:$P$27)</f>
        <v>73748.890503000002</v>
      </c>
      <c r="G25" s="371">
        <f>SUM('202003 Bk Depr'!$P$13,'202003 Bk Depr'!$P$15:$P$18,'202003 Bk Depr'!$P$22,'202003 Bk Depr'!$P$24:$P$27)</f>
        <v>76175.06571000001</v>
      </c>
      <c r="H25" s="371">
        <f>SUM('202004 Bk Depr'!$P$13,'202004 Bk Depr'!$P$15:$P$18,'202004 Bk Depr'!$P$22,'202004 Bk Depr'!$P$24:$P$27)</f>
        <v>78628.375026000023</v>
      </c>
      <c r="I25" s="371">
        <f>SUM('202005 Bk Depr'!$P$13,'202005 Bk Depr'!$P$15:$P$18,'202005 Bk Depr'!$P$22,'202005 Bk Depr'!$P$24:$P$27)</f>
        <v>81183.94249500001</v>
      </c>
      <c r="J25" s="371">
        <f>SUM('202006 Bk Depr'!$P$13,'202006 Bk Depr'!$P$15:$P$18,'202006 Bk Depr'!$P$22,'202006 Bk Depr'!$P$24:$P$27)</f>
        <v>83573.248932000017</v>
      </c>
      <c r="K25" s="371">
        <f>SUM('202007 Bk Depr'!$P$13,'202007 Bk Depr'!$P$15:$P$18,'202007 Bk Depr'!$P$22,'202007 Bk Depr'!$P$24:$P$27)</f>
        <v>85728.12719400003</v>
      </c>
      <c r="L25" s="371">
        <f>SUM('202008 Bk Depr'!$P$13,'202008 Bk Depr'!$P$15:$P$18,'202008 Bk Depr'!$P$22,'202008 Bk Depr'!$P$24:$P$27)</f>
        <v>87817.002565500021</v>
      </c>
      <c r="M25" s="371">
        <f>SUM('202009 Bk Depr'!$P$13,'202009 Bk Depr'!$P$15:$P$18,'202009 Bk Depr'!$P$22,'202009 Bk Depr'!$P$24:$P$27)</f>
        <v>90076.31948700003</v>
      </c>
      <c r="N25" s="371">
        <f>SUM('202010 Bk Depr'!$P$13,'202010 Bk Depr'!$P$15:$P$18,'202010 Bk Depr'!$P$22,'202010 Bk Depr'!$P$24:$P$27)</f>
        <v>92330.150521500022</v>
      </c>
      <c r="O25" s="371">
        <f>SUM('202011 Bk Depr'!$P$13,'202011 Bk Depr'!$P$15:$P$18,'202011 Bk Depr'!$P$22,'202011 Bk Depr'!$P$24:$P$27)</f>
        <v>94555.629598500018</v>
      </c>
      <c r="P25" s="371">
        <f>SUM('202012 Bk Depr'!$P$13,'202012 Bk Depr'!$P$15:$P$18,'202012 Bk Depr'!$P$22,'202012 Bk Depr'!$P$24:$P$27)</f>
        <v>95864.977197000029</v>
      </c>
      <c r="Q25" s="372">
        <f>SUM(E25:P25)</f>
        <v>1010897.6625360001</v>
      </c>
      <c r="R25"/>
      <c r="S25" s="573">
        <f>Q25-OpEx!C23-OpEx!D23</f>
        <v>-952876.72746399976</v>
      </c>
    </row>
    <row r="26" spans="1:19" s="31" customFormat="1">
      <c r="A26" s="32">
        <v>10</v>
      </c>
      <c r="B26" s="32"/>
      <c r="C26" s="13" t="s">
        <v>59</v>
      </c>
      <c r="D26" s="370">
        <f>'Rev Req 2019-Distr'!P26</f>
        <v>92177.96</v>
      </c>
      <c r="E26" s="371">
        <f>'Cap&amp;OpEx 2020'!C38</f>
        <v>191850.95</v>
      </c>
      <c r="F26" s="371">
        <f>'Cap&amp;OpEx 2020'!D38</f>
        <v>109915.09</v>
      </c>
      <c r="G26" s="371">
        <f>'Cap&amp;OpEx 2020'!E38</f>
        <v>77236.679999999993</v>
      </c>
      <c r="H26" s="371">
        <f>'Cap&amp;OpEx 2020'!F38</f>
        <v>89067.53</v>
      </c>
      <c r="I26" s="371">
        <f>'Cap&amp;OpEx 2020'!G38</f>
        <v>200109.46</v>
      </c>
      <c r="J26" s="371">
        <f>'Cap&amp;OpEx 2020'!H38</f>
        <v>82944.179999999993</v>
      </c>
      <c r="K26" s="371">
        <f>'Cap&amp;OpEx 2020'!I38</f>
        <v>127792.47</v>
      </c>
      <c r="L26" s="371">
        <f>'Cap&amp;OpEx 2020'!J38</f>
        <v>102549.29999999999</v>
      </c>
      <c r="M26" s="371">
        <f>'Cap&amp;OpEx 2020'!K38</f>
        <v>144152.28</v>
      </c>
      <c r="N26" s="371">
        <f>'Cap&amp;OpEx 2020'!L38</f>
        <v>128711.62</v>
      </c>
      <c r="O26" s="371">
        <f>'Cap&amp;OpEx 2020'!M38</f>
        <v>107195.41</v>
      </c>
      <c r="P26" s="371">
        <f>'Cap&amp;OpEx 2020'!N38</f>
        <v>99030.180000000008</v>
      </c>
      <c r="Q26" s="372">
        <f t="shared" ref="Q26:Q27" si="4">SUM(E26:P26)</f>
        <v>1460555.15</v>
      </c>
      <c r="R26"/>
      <c r="S26" s="573">
        <f>Q26-OpEx!B23</f>
        <v>0</v>
      </c>
    </row>
    <row r="27" spans="1:19" s="31" customFormat="1">
      <c r="A27" s="32">
        <v>11</v>
      </c>
      <c r="B27" s="32"/>
      <c r="C27" s="31" t="s">
        <v>178</v>
      </c>
      <c r="D27" s="370">
        <f>'Rev Req 2019-Distr'!P27</f>
        <v>40112</v>
      </c>
      <c r="E27" s="371">
        <f>'Cap&amp;OpEx 2020'!C40</f>
        <v>68347</v>
      </c>
      <c r="F27" s="371">
        <f>'Cap&amp;OpEx 2020'!D40</f>
        <v>68347</v>
      </c>
      <c r="G27" s="371">
        <f>'Cap&amp;OpEx 2020'!E40</f>
        <v>68347</v>
      </c>
      <c r="H27" s="371">
        <f>'Cap&amp;OpEx 2020'!F40</f>
        <v>68347</v>
      </c>
      <c r="I27" s="371">
        <f>'Cap&amp;OpEx 2020'!G40</f>
        <v>68347</v>
      </c>
      <c r="J27" s="371">
        <f>'Cap&amp;OpEx 2020'!H40</f>
        <v>68347</v>
      </c>
      <c r="K27" s="371">
        <f>'Cap&amp;OpEx 2020'!I40</f>
        <v>68347</v>
      </c>
      <c r="L27" s="371">
        <f>'Cap&amp;OpEx 2020'!J40</f>
        <v>68347</v>
      </c>
      <c r="M27" s="371">
        <f>'Cap&amp;OpEx 2020'!K40</f>
        <v>68347</v>
      </c>
      <c r="N27" s="371">
        <f>'Cap&amp;OpEx 2020'!L40</f>
        <v>68347</v>
      </c>
      <c r="O27" s="371">
        <f>'Cap&amp;OpEx 2020'!M40</f>
        <v>68347</v>
      </c>
      <c r="P27" s="371">
        <f>'Cap&amp;OpEx 2020'!N40</f>
        <v>68347</v>
      </c>
      <c r="Q27" s="372">
        <f t="shared" si="4"/>
        <v>820164</v>
      </c>
      <c r="R27"/>
      <c r="S27" s="573">
        <f>Q27-OpEx!E23</f>
        <v>0</v>
      </c>
    </row>
    <row r="28" spans="1:19" s="31" customFormat="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  <c r="S28" s="567"/>
    </row>
    <row r="29" spans="1:19" s="31" customFormat="1">
      <c r="A29" s="32">
        <v>12</v>
      </c>
      <c r="B29" s="32"/>
      <c r="C29" s="31" t="s">
        <v>60</v>
      </c>
      <c r="D29" s="370">
        <f>SUM(D25:D28)</f>
        <v>200968.29042249999</v>
      </c>
      <c r="E29" s="371">
        <f t="shared" ref="E29:P29" si="5">SUM(E25:E28)</f>
        <v>331413.88330650004</v>
      </c>
      <c r="F29" s="371">
        <f t="shared" si="5"/>
        <v>252010.980503</v>
      </c>
      <c r="G29" s="371">
        <f t="shared" si="5"/>
        <v>221758.74570999999</v>
      </c>
      <c r="H29" s="371">
        <f t="shared" si="5"/>
        <v>236042.90502600002</v>
      </c>
      <c r="I29" s="371">
        <f t="shared" si="5"/>
        <v>349640.40249499999</v>
      </c>
      <c r="J29" s="371">
        <f t="shared" si="5"/>
        <v>234864.42893200001</v>
      </c>
      <c r="K29" s="371">
        <f t="shared" si="5"/>
        <v>281867.59719400003</v>
      </c>
      <c r="L29" s="371">
        <f t="shared" si="5"/>
        <v>258713.30256550002</v>
      </c>
      <c r="M29" s="371">
        <f t="shared" si="5"/>
        <v>302575.59948700003</v>
      </c>
      <c r="N29" s="371">
        <f t="shared" si="5"/>
        <v>289388.77052150003</v>
      </c>
      <c r="O29" s="371">
        <f t="shared" si="5"/>
        <v>270098.03959850001</v>
      </c>
      <c r="P29" s="371">
        <f t="shared" si="5"/>
        <v>263242.15719700005</v>
      </c>
      <c r="Q29" s="372">
        <f>SUM(Q25:Q28)</f>
        <v>3291616.8125360003</v>
      </c>
      <c r="R29"/>
      <c r="S29" s="574">
        <f>Q29-RevReq!H26</f>
        <v>-952876.72746399976</v>
      </c>
    </row>
    <row r="30" spans="1:19" s="31" customFormat="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  <c r="S30" s="567"/>
    </row>
    <row r="31" spans="1:19" s="31" customFormat="1">
      <c r="A31" s="32">
        <v>13</v>
      </c>
      <c r="B31" s="77" t="s">
        <v>165</v>
      </c>
      <c r="D31" s="407">
        <f t="shared" ref="D31:Q31" si="6">D22+D29</f>
        <v>363774.79667833535</v>
      </c>
      <c r="E31" s="408">
        <f t="shared" si="6"/>
        <v>501056.80189857201</v>
      </c>
      <c r="F31" s="408">
        <f t="shared" si="6"/>
        <v>428299.02816070314</v>
      </c>
      <c r="G31" s="408">
        <f t="shared" si="6"/>
        <v>404663.05546651164</v>
      </c>
      <c r="H31" s="408">
        <f t="shared" si="6"/>
        <v>425354.15185890935</v>
      </c>
      <c r="I31" s="408">
        <f t="shared" si="6"/>
        <v>545503.96507424</v>
      </c>
      <c r="J31" s="408">
        <f t="shared" si="6"/>
        <v>436038.01590090233</v>
      </c>
      <c r="K31" s="408">
        <f t="shared" si="6"/>
        <v>487658.36262804107</v>
      </c>
      <c r="L31" s="408">
        <f t="shared" si="6"/>
        <v>468950.34184613114</v>
      </c>
      <c r="M31" s="408">
        <f t="shared" si="6"/>
        <v>517807.2201386427</v>
      </c>
      <c r="N31" s="408">
        <f t="shared" si="6"/>
        <v>509385.75509095134</v>
      </c>
      <c r="O31" s="408">
        <f t="shared" si="6"/>
        <v>495260.15830562013</v>
      </c>
      <c r="P31" s="408">
        <f t="shared" si="6"/>
        <v>487794.22158537142</v>
      </c>
      <c r="Q31" s="409">
        <f t="shared" si="6"/>
        <v>5672195.9863893213</v>
      </c>
      <c r="R31"/>
      <c r="S31" s="574">
        <f>Q31-RevReq!I26</f>
        <v>-4115778.4818185223</v>
      </c>
    </row>
    <row r="32" spans="1:19" s="31" customFormat="1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8" s="31" customFormat="1">
      <c r="D33" s="36"/>
      <c r="E33" s="81"/>
      <c r="F33" s="81"/>
      <c r="G33" s="81"/>
      <c r="H33" s="81"/>
      <c r="I33" s="81"/>
      <c r="J33" s="81"/>
      <c r="K33" s="585"/>
      <c r="L33" s="586"/>
      <c r="M33" s="81"/>
      <c r="N33" s="81"/>
      <c r="O33" s="81"/>
      <c r="R33"/>
      <c r="S33" s="451"/>
    </row>
    <row r="34" spans="1:28" s="31" customFormat="1">
      <c r="D34" s="36"/>
      <c r="E34" s="81"/>
      <c r="F34" s="81"/>
      <c r="G34" s="81"/>
      <c r="H34" s="81"/>
      <c r="I34" s="81"/>
      <c r="J34" s="81"/>
      <c r="K34" s="585"/>
      <c r="L34" s="586"/>
      <c r="M34" s="81"/>
      <c r="N34" s="81"/>
      <c r="O34" s="81"/>
      <c r="R34"/>
    </row>
    <row r="35" spans="1:28" s="31" customFormat="1">
      <c r="B35" s="30" t="s">
        <v>535</v>
      </c>
      <c r="C35" s="13"/>
      <c r="D35" s="13"/>
      <c r="E35" s="13"/>
      <c r="F35" s="13"/>
      <c r="G35" s="13"/>
      <c r="H35" s="13"/>
      <c r="I35" s="13"/>
      <c r="J35" s="13"/>
      <c r="K35" s="585"/>
      <c r="L35" s="586"/>
      <c r="M35" s="13"/>
      <c r="N35" s="13"/>
      <c r="O35" s="13"/>
      <c r="P35" s="13"/>
      <c r="Q35" s="13"/>
      <c r="R35"/>
      <c r="T35" s="13"/>
      <c r="U35" s="13"/>
      <c r="V35" s="13"/>
      <c r="W35" s="13"/>
      <c r="X35" s="13"/>
      <c r="Y35" s="13"/>
      <c r="Z35" s="13"/>
      <c r="AA35" s="13"/>
      <c r="AB35" s="13"/>
    </row>
    <row r="36" spans="1:28">
      <c r="A36" s="159"/>
      <c r="B36" s="160"/>
      <c r="C36" s="23"/>
      <c r="D36" s="23"/>
      <c r="E36" s="23"/>
      <c r="F36" s="23"/>
      <c r="G36" s="23"/>
      <c r="H36" s="23"/>
      <c r="I36" s="23"/>
      <c r="J36" s="23"/>
      <c r="K36" s="585"/>
      <c r="L36" s="586"/>
      <c r="M36" s="23"/>
      <c r="N36" s="23"/>
      <c r="O36" s="23"/>
      <c r="P36" s="23"/>
      <c r="Q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585"/>
      <c r="L37" s="586"/>
      <c r="M37" s="162"/>
      <c r="N37" s="162"/>
      <c r="O37" s="162"/>
      <c r="P37" s="162"/>
      <c r="Q37" s="162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M38" s="162"/>
      <c r="N38" s="162"/>
      <c r="O38" s="162"/>
      <c r="P38" s="162"/>
      <c r="Q38" s="162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595" t="s">
        <v>731</v>
      </c>
      <c r="E39" s="594">
        <f>E11-D11</f>
        <v>969066.05999999866</v>
      </c>
      <c r="F39" s="594">
        <f t="shared" ref="F39:P39" si="7">F11-E11</f>
        <v>919054.6799999997</v>
      </c>
      <c r="G39" s="594">
        <f t="shared" si="7"/>
        <v>884828.72000000253</v>
      </c>
      <c r="H39" s="594">
        <f t="shared" si="7"/>
        <v>927340.56000000238</v>
      </c>
      <c r="I39" s="594">
        <f t="shared" si="7"/>
        <v>963781.04999999702</v>
      </c>
      <c r="J39" s="594">
        <f t="shared" si="7"/>
        <v>803709.03000000119</v>
      </c>
      <c r="K39" s="594">
        <f t="shared" si="7"/>
        <v>787650.43999999762</v>
      </c>
      <c r="L39" s="594">
        <f t="shared" si="7"/>
        <v>755285.00999999791</v>
      </c>
      <c r="M39" s="594">
        <f t="shared" si="7"/>
        <v>918273.98000000045</v>
      </c>
      <c r="N39" s="594">
        <f t="shared" si="7"/>
        <v>751218.18999999762</v>
      </c>
      <c r="O39" s="594">
        <f t="shared" si="7"/>
        <v>897259.4299999997</v>
      </c>
      <c r="P39" s="594">
        <f t="shared" si="7"/>
        <v>72473.280000001192</v>
      </c>
      <c r="Q39" s="162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159"/>
      <c r="B40" s="159"/>
      <c r="C40" s="161"/>
      <c r="D40" s="595" t="s">
        <v>732</v>
      </c>
      <c r="E40" s="594">
        <f>'Net Assets'!K14</f>
        <v>1056945.7199999988</v>
      </c>
      <c r="F40" s="594">
        <f>'Net Assets'!K15</f>
        <v>839404.91000000387</v>
      </c>
      <c r="G40" s="596">
        <f>'Net Assets'!K16</f>
        <v>2764346.5</v>
      </c>
      <c r="H40" s="596">
        <f>'Net Assets'!K17</f>
        <v>1226141.299999997</v>
      </c>
      <c r="I40" s="596">
        <f>'Net Assets'!K18</f>
        <v>1338262.0600000098</v>
      </c>
      <c r="J40" s="596">
        <f>'Net Assets'!K19</f>
        <v>1510811.4499999881</v>
      </c>
      <c r="K40" s="596">
        <f>'Net Assets'!K20</f>
        <v>1324675.3200000003</v>
      </c>
      <c r="L40" s="596">
        <f>'Net Assets'!K21</f>
        <v>1379095.6300000027</v>
      </c>
      <c r="M40" s="596">
        <f>'Net Assets'!K22</f>
        <v>1411958.7399999946</v>
      </c>
      <c r="N40" s="596">
        <f>'Net Assets'!K23</f>
        <v>1579123.0900000036</v>
      </c>
      <c r="O40" s="596">
        <f>'Net Assets'!K24</f>
        <v>1338038.5799999982</v>
      </c>
      <c r="P40" s="596">
        <f>'Net Assets'!K25</f>
        <v>970177.71999999881</v>
      </c>
      <c r="Q40" s="162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3"/>
      <c r="C41" s="163"/>
      <c r="D41" s="595" t="s">
        <v>39</v>
      </c>
      <c r="E41" s="594">
        <f>E39-E40</f>
        <v>-87879.660000000149</v>
      </c>
      <c r="F41" s="594">
        <f>F39-F40</f>
        <v>79649.769999995828</v>
      </c>
      <c r="G41" s="594">
        <f t="shared" ref="G41:P41" si="8">G39-G40</f>
        <v>-1879517.7799999975</v>
      </c>
      <c r="H41" s="594">
        <f t="shared" si="8"/>
        <v>-298800.73999999464</v>
      </c>
      <c r="I41" s="594">
        <f t="shared" si="8"/>
        <v>-374481.01000001281</v>
      </c>
      <c r="J41" s="594">
        <f t="shared" si="8"/>
        <v>-707102.41999998689</v>
      </c>
      <c r="K41" s="594">
        <f t="shared" si="8"/>
        <v>-537024.88000000268</v>
      </c>
      <c r="L41" s="594">
        <f t="shared" si="8"/>
        <v>-623810.62000000477</v>
      </c>
      <c r="M41" s="594">
        <f t="shared" si="8"/>
        <v>-493684.75999999419</v>
      </c>
      <c r="N41" s="594">
        <f t="shared" si="8"/>
        <v>-827904.90000000596</v>
      </c>
      <c r="O41" s="594">
        <f t="shared" si="8"/>
        <v>-440779.14999999851</v>
      </c>
      <c r="P41" s="594">
        <f t="shared" si="8"/>
        <v>-897704.43999999762</v>
      </c>
      <c r="Q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16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T51" s="23"/>
      <c r="U51" s="19"/>
      <c r="V51" s="20"/>
      <c r="W51" s="20"/>
      <c r="X51" s="20"/>
      <c r="Y51" s="20"/>
      <c r="Z51" s="20"/>
      <c r="AA51" s="20"/>
      <c r="AB51" s="20"/>
      <c r="AC51" s="94"/>
      <c r="AD51" s="94"/>
      <c r="AE51" s="94"/>
      <c r="AF51" s="94"/>
      <c r="AG51" s="94"/>
      <c r="AH51" s="94"/>
      <c r="AI51" s="94"/>
      <c r="AJ51" s="94"/>
    </row>
    <row r="52" spans="1:36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T52" s="23"/>
      <c r="U52" s="21"/>
      <c r="V52" s="22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T54" s="23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5"/>
      <c r="AE55" s="25"/>
      <c r="AF55" s="25"/>
      <c r="AG55" s="24"/>
      <c r="AH55" s="24"/>
      <c r="AI55" s="24"/>
      <c r="AJ55" s="24"/>
    </row>
    <row r="56" spans="1:36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T59" s="23"/>
      <c r="U59" s="21"/>
      <c r="V59" s="24"/>
      <c r="W59" s="24"/>
      <c r="X59" s="24"/>
      <c r="Y59" s="24"/>
      <c r="Z59" s="24"/>
      <c r="AA59" s="24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T61" s="23"/>
      <c r="U61" s="21"/>
      <c r="V61" s="23"/>
      <c r="W61" s="23"/>
      <c r="X61" s="23"/>
      <c r="Y61" s="23"/>
      <c r="Z61" s="23"/>
      <c r="AA61" s="23"/>
      <c r="AB61" s="25"/>
      <c r="AC61" s="24"/>
      <c r="AD61" s="24"/>
      <c r="AE61" s="24"/>
      <c r="AF61" s="25"/>
      <c r="AG61" s="24"/>
      <c r="AH61" s="24"/>
      <c r="AI61" s="24"/>
      <c r="AJ61" s="24"/>
    </row>
    <row r="62" spans="1:36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T62" s="23"/>
      <c r="U62" s="21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11" spans="1:28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7">
      <c r="N119"/>
      <c r="O119"/>
      <c r="P119"/>
      <c r="Q119"/>
    </row>
    <row r="120" spans="14:17">
      <c r="N120"/>
      <c r="O120"/>
      <c r="P120"/>
      <c r="Q120"/>
    </row>
    <row r="121" spans="14:17">
      <c r="N121"/>
      <c r="O121"/>
      <c r="P121"/>
      <c r="Q121"/>
    </row>
    <row r="122" spans="14:17">
      <c r="N122"/>
      <c r="O122"/>
      <c r="P122"/>
      <c r="Q122"/>
    </row>
    <row r="123" spans="14:17">
      <c r="N123"/>
      <c r="O123"/>
      <c r="P123"/>
      <c r="Q123"/>
    </row>
    <row r="124" spans="14:17">
      <c r="N124"/>
      <c r="O124"/>
      <c r="P124"/>
      <c r="Q124"/>
    </row>
    <row r="125" spans="14:17">
      <c r="N125"/>
      <c r="O125"/>
      <c r="P125"/>
      <c r="Q125"/>
    </row>
    <row r="126" spans="14:17">
      <c r="N126"/>
      <c r="O126"/>
      <c r="P126"/>
      <c r="Q126"/>
    </row>
    <row r="127" spans="14:17">
      <c r="N127"/>
      <c r="O127"/>
      <c r="P127"/>
      <c r="Q127"/>
    </row>
    <row r="128" spans="14:17">
      <c r="N128"/>
      <c r="O128"/>
      <c r="P128"/>
      <c r="Q128"/>
    </row>
    <row r="129" spans="14:17">
      <c r="N129"/>
      <c r="O129"/>
      <c r="P129"/>
      <c r="Q129"/>
    </row>
    <row r="130" spans="14:17">
      <c r="N130"/>
      <c r="O130"/>
      <c r="P130"/>
      <c r="Q130"/>
    </row>
    <row r="131" spans="14:17">
      <c r="N131"/>
      <c r="O131"/>
      <c r="P131"/>
      <c r="Q131"/>
    </row>
    <row r="132" spans="14:17">
      <c r="N132"/>
      <c r="O132"/>
      <c r="P132"/>
      <c r="Q132"/>
    </row>
    <row r="133" spans="14:17">
      <c r="N133"/>
      <c r="O133"/>
      <c r="P133"/>
      <c r="Q133"/>
    </row>
    <row r="134" spans="14:17">
      <c r="N134"/>
      <c r="O134"/>
      <c r="P134"/>
      <c r="Q134"/>
    </row>
    <row r="1048492" spans="19:19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3" orientation="landscape" r:id="rId1"/>
  <headerFooter scaleWithDoc="0">
    <oddFooter>&amp;R&amp;"Times New Roman,Bold"Exhibit 4
Page 1 of 18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7563-9B79-446C-8B2D-4529F4F6B6A1}">
  <sheetPr>
    <tabColor theme="6" tint="0.39997558519241921"/>
    <pageSetUpPr fitToPage="1"/>
  </sheetPr>
  <dimension ref="A1:AJ1048492"/>
  <sheetViews>
    <sheetView zoomScale="60" zoomScaleNormal="60" workbookViewId="0"/>
  </sheetViews>
  <sheetFormatPr defaultColWidth="9.140625" defaultRowHeight="20.25"/>
  <cols>
    <col min="1" max="1" width="9" style="72" customWidth="1"/>
    <col min="2" max="2" width="9.140625" style="72"/>
    <col min="3" max="3" width="60.85546875" style="72" customWidth="1"/>
    <col min="4" max="17" width="20.85546875" style="72" customWidth="1"/>
    <col min="18" max="18" width="20.85546875" style="451" bestFit="1" customWidth="1"/>
    <col min="19" max="19" width="18.85546875" style="72" customWidth="1"/>
    <col min="20" max="20" width="18" style="72" customWidth="1"/>
    <col min="21" max="21" width="17" style="72" customWidth="1"/>
    <col min="22" max="22" width="14.85546875" style="72" bestFit="1" customWidth="1"/>
    <col min="23" max="23" width="14.5703125" style="72" bestFit="1" customWidth="1"/>
    <col min="24" max="24" width="13.140625" style="72" bestFit="1" customWidth="1"/>
    <col min="25" max="25" width="14" style="72" customWidth="1"/>
    <col min="26" max="26" width="15.5703125" style="72" customWidth="1"/>
    <col min="27" max="27" width="14.42578125" style="72" bestFit="1" customWidth="1"/>
    <col min="28" max="28" width="14.85546875" style="72" customWidth="1"/>
    <col min="29" max="29" width="15.85546875" style="72" customWidth="1"/>
    <col min="30" max="30" width="13.42578125" style="72" customWidth="1"/>
    <col min="31" max="31" width="12.140625" style="72" bestFit="1" customWidth="1"/>
    <col min="32" max="32" width="16.5703125" style="72" customWidth="1"/>
    <col min="33" max="33" width="14.42578125" style="72" customWidth="1"/>
    <col min="34" max="34" width="15.140625" style="72" customWidth="1"/>
    <col min="35" max="35" width="9.42578125" style="72" bestFit="1" customWidth="1"/>
    <col min="36" max="36" width="12.85546875" style="72" customWidth="1"/>
    <col min="37" max="16384" width="9.140625" style="72"/>
  </cols>
  <sheetData>
    <row r="1" spans="1:36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6">
      <c r="A3" s="193" t="s">
        <v>591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>
      <c r="A4" s="73"/>
      <c r="D4" s="473"/>
      <c r="R4" s="451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>
      <c r="D5" s="226" t="s">
        <v>534</v>
      </c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8"/>
      <c r="Q5" s="229"/>
      <c r="R5" s="451"/>
      <c r="U5" s="15"/>
      <c r="V5" s="14"/>
      <c r="W5" s="14"/>
      <c r="X5" s="14"/>
      <c r="Y5" s="14"/>
      <c r="Z5" s="14"/>
      <c r="AA5" s="14"/>
      <c r="AB5" s="14"/>
      <c r="AC5" s="677"/>
      <c r="AD5" s="677"/>
      <c r="AE5" s="677"/>
      <c r="AF5" s="677"/>
      <c r="AG5" s="677"/>
      <c r="AH5" s="677"/>
      <c r="AI5" s="677"/>
      <c r="AJ5" s="677"/>
    </row>
    <row r="6" spans="1:36" s="31" customFormat="1">
      <c r="A6" s="224" t="s">
        <v>4</v>
      </c>
      <c r="B6" s="32"/>
      <c r="D6" s="131">
        <v>2019</v>
      </c>
      <c r="E6" s="132">
        <v>2020</v>
      </c>
      <c r="F6" s="132">
        <f>$E$6</f>
        <v>2020</v>
      </c>
      <c r="G6" s="132">
        <f>$E$6</f>
        <v>2020</v>
      </c>
      <c r="H6" s="132">
        <f>$E$6</f>
        <v>2020</v>
      </c>
      <c r="I6" s="132">
        <f>$E$6</f>
        <v>2020</v>
      </c>
      <c r="J6" s="132">
        <f>$E$6</f>
        <v>2020</v>
      </c>
      <c r="K6" s="132">
        <f t="shared" ref="K6:Q6" si="0">$E$6</f>
        <v>2020</v>
      </c>
      <c r="L6" s="132">
        <f t="shared" si="0"/>
        <v>2020</v>
      </c>
      <c r="M6" s="132">
        <f t="shared" si="0"/>
        <v>2020</v>
      </c>
      <c r="N6" s="132">
        <f t="shared" si="0"/>
        <v>2020</v>
      </c>
      <c r="O6" s="132">
        <f t="shared" si="0"/>
        <v>2020</v>
      </c>
      <c r="P6" s="132">
        <f t="shared" si="0"/>
        <v>2020</v>
      </c>
      <c r="Q6" s="133">
        <f t="shared" si="0"/>
        <v>2020</v>
      </c>
      <c r="R6" s="451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347</v>
      </c>
      <c r="R7" s="451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 s="451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 s="451"/>
      <c r="S9" s="567" t="s">
        <v>685</v>
      </c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7"/>
      <c r="Q10" s="123"/>
      <c r="R10" s="451"/>
      <c r="S10" s="567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>
      <c r="A11" s="32">
        <v>1</v>
      </c>
      <c r="B11" s="32"/>
      <c r="C11" s="78" t="s">
        <v>590</v>
      </c>
      <c r="D11" s="370">
        <f>'Rev Req 2019-Trans'!P11</f>
        <v>0</v>
      </c>
      <c r="E11" s="371">
        <f>'Cap&amp;OpEx 2020'!C11+'Cap&amp;OpEx 2020'!C18+D11</f>
        <v>0</v>
      </c>
      <c r="F11" s="371">
        <f>'Cap&amp;OpEx 2020'!D11+'Cap&amp;OpEx 2020'!D18+E11</f>
        <v>0</v>
      </c>
      <c r="G11" s="371">
        <f>'Cap&amp;OpEx 2020'!E11+'Cap&amp;OpEx 2020'!E18+F11</f>
        <v>0</v>
      </c>
      <c r="H11" s="371">
        <f>'Cap&amp;OpEx 2020'!F11+'Cap&amp;OpEx 2020'!F18+G11</f>
        <v>0</v>
      </c>
      <c r="I11" s="371">
        <f>'Cap&amp;OpEx 2020'!G11+'Cap&amp;OpEx 2020'!G18+H11</f>
        <v>0</v>
      </c>
      <c r="J11" s="371">
        <f>'Cap&amp;OpEx 2020'!H11+'Cap&amp;OpEx 2020'!H18+I11</f>
        <v>0</v>
      </c>
      <c r="K11" s="371">
        <f>'Cap&amp;OpEx 2020'!I11+'Cap&amp;OpEx 2020'!I18+J11</f>
        <v>0</v>
      </c>
      <c r="L11" s="371">
        <f>'Cap&amp;OpEx 2020'!J11+'Cap&amp;OpEx 2020'!J18+K11</f>
        <v>0</v>
      </c>
      <c r="M11" s="371">
        <f>'Cap&amp;OpEx 2020'!K11+'Cap&amp;OpEx 2020'!K18+L11</f>
        <v>0</v>
      </c>
      <c r="N11" s="371">
        <f>'Cap&amp;OpEx 2020'!L11+'Cap&amp;OpEx 2020'!L18+M11</f>
        <v>0</v>
      </c>
      <c r="O11" s="371">
        <f>'Cap&amp;OpEx 2020'!M11+'Cap&amp;OpEx 2020'!M18+N11</f>
        <v>0</v>
      </c>
      <c r="P11" s="371">
        <f>'Cap&amp;OpEx 2020'!N11+'Cap&amp;OpEx 2020'!N18+O11</f>
        <v>0</v>
      </c>
      <c r="Q11" s="372">
        <f>AVERAGE(D11:P11)</f>
        <v>0</v>
      </c>
      <c r="R11" s="508"/>
      <c r="S11" s="574">
        <f>Q11-AVERAGE('Net Assets'!B36:B49)+AVERAGE('Net Assets'!F36:F49)</f>
        <v>-67965886.754615396</v>
      </c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>
      <c r="A12" s="32">
        <v>2</v>
      </c>
      <c r="B12" s="32"/>
      <c r="C12" s="31" t="s">
        <v>19</v>
      </c>
      <c r="D12" s="370">
        <f>'Cap&amp;OpEx 2019'!N26</f>
        <v>0</v>
      </c>
      <c r="E12" s="371">
        <f>'Cap&amp;OpEx 2020'!C32+D12</f>
        <v>0</v>
      </c>
      <c r="F12" s="371">
        <f>'Cap&amp;OpEx 2020'!D32+E12</f>
        <v>0</v>
      </c>
      <c r="G12" s="371">
        <f>'Cap&amp;OpEx 2020'!E32+F12</f>
        <v>0</v>
      </c>
      <c r="H12" s="371">
        <f>'Cap&amp;OpEx 2020'!F32+G12</f>
        <v>0</v>
      </c>
      <c r="I12" s="371">
        <f>'Cap&amp;OpEx 2020'!G32+H12</f>
        <v>0</v>
      </c>
      <c r="J12" s="371">
        <f>'Cap&amp;OpEx 2020'!H32+I12</f>
        <v>0</v>
      </c>
      <c r="K12" s="371">
        <f>'Cap&amp;OpEx 2020'!I32+J12</f>
        <v>0</v>
      </c>
      <c r="L12" s="371">
        <f>'Cap&amp;OpEx 2020'!J32+K12</f>
        <v>0</v>
      </c>
      <c r="M12" s="371">
        <f>'Cap&amp;OpEx 2020'!K32+L12</f>
        <v>0</v>
      </c>
      <c r="N12" s="371">
        <f>'Cap&amp;OpEx 2020'!L32+M12</f>
        <v>0</v>
      </c>
      <c r="O12" s="371">
        <f>'Cap&amp;OpEx 2020'!M32+N12</f>
        <v>0</v>
      </c>
      <c r="P12" s="371">
        <f>'Cap&amp;OpEx 2020'!N32+O12</f>
        <v>0</v>
      </c>
      <c r="Q12" s="372">
        <f t="shared" ref="Q12:Q13" si="1">AVERAGE(D12:P12)</f>
        <v>0</v>
      </c>
      <c r="R12" s="451"/>
      <c r="S12" s="574">
        <f>Q12-AVERAGE('Net Assets'!D36:D49)</f>
        <v>-10040.685384615384</v>
      </c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>
      <c r="A13" s="32">
        <v>3</v>
      </c>
      <c r="B13" s="32"/>
      <c r="C13" s="31" t="s">
        <v>52</v>
      </c>
      <c r="D13" s="378">
        <v>0</v>
      </c>
      <c r="E13" s="379">
        <f>SUM('Cap&amp;OpEx 2020'!C25)-SUM('202001 Bk Depr'!$P$14)+D13</f>
        <v>0</v>
      </c>
      <c r="F13" s="379">
        <f>SUM('Cap&amp;OpEx 2020'!D25)-SUM('202002 Bk Depr'!$P$14)+E13</f>
        <v>0</v>
      </c>
      <c r="G13" s="379">
        <f>SUM('Cap&amp;OpEx 2020'!E25)-SUM('202003 Bk Depr'!$P$14)+F13</f>
        <v>0</v>
      </c>
      <c r="H13" s="379">
        <f>SUM('Cap&amp;OpEx 2020'!F25)-SUM('202004 Bk Depr'!$P$14)+G13</f>
        <v>0</v>
      </c>
      <c r="I13" s="379">
        <f>SUM('Cap&amp;OpEx 2020'!G25)-SUM('202005 Bk Depr'!$P$14)+H13</f>
        <v>0</v>
      </c>
      <c r="J13" s="379">
        <f>SUM('Cap&amp;OpEx 2020'!H25)-SUM('202006 Bk Depr'!$P$14)+I13</f>
        <v>0</v>
      </c>
      <c r="K13" s="379">
        <f>SUM('Cap&amp;OpEx 2020'!I25)-SUM('202007 Bk Depr'!$P$14)+J13</f>
        <v>0</v>
      </c>
      <c r="L13" s="379">
        <f>SUM('Cap&amp;OpEx 2020'!J25)-SUM('202008 Bk Depr'!$P$14)+K13</f>
        <v>0</v>
      </c>
      <c r="M13" s="379">
        <f>SUM('Cap&amp;OpEx 2020'!K25)-SUM('202009 Bk Depr'!$P$14)+L13</f>
        <v>0</v>
      </c>
      <c r="N13" s="379">
        <f>SUM('Cap&amp;OpEx 2020'!L25)-SUM('202010 Bk Depr'!$P$14)+M13</f>
        <v>0</v>
      </c>
      <c r="O13" s="379">
        <f>SUM('Cap&amp;OpEx 2020'!M25)-SUM('202011 Bk Depr'!$P$14)+N13</f>
        <v>0</v>
      </c>
      <c r="P13" s="379">
        <f>SUM('Cap&amp;OpEx 2020'!N25)-SUM('202012 Bk Depr'!$P$14)+O13</f>
        <v>0</v>
      </c>
      <c r="Q13" s="377">
        <f t="shared" si="1"/>
        <v>0</v>
      </c>
      <c r="R13" s="451"/>
      <c r="S13" s="574">
        <f>Q13-AVERAGE('Net Assets'!C36:C49)+AVERAGE('Net Assets'!G36:G49)</f>
        <v>900.63692307692691</v>
      </c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>
      <c r="A14" s="32">
        <v>4</v>
      </c>
      <c r="B14" s="32"/>
      <c r="C14" s="31" t="s">
        <v>53</v>
      </c>
      <c r="D14" s="370">
        <f>SUM(D11:D13)</f>
        <v>0</v>
      </c>
      <c r="E14" s="371">
        <f t="shared" ref="E14:Q14" si="2">SUM(E11:E13)</f>
        <v>0</v>
      </c>
      <c r="F14" s="371">
        <f t="shared" si="2"/>
        <v>0</v>
      </c>
      <c r="G14" s="371">
        <f t="shared" si="2"/>
        <v>0</v>
      </c>
      <c r="H14" s="371">
        <f t="shared" si="2"/>
        <v>0</v>
      </c>
      <c r="I14" s="371">
        <f t="shared" si="2"/>
        <v>0</v>
      </c>
      <c r="J14" s="371">
        <f t="shared" si="2"/>
        <v>0</v>
      </c>
      <c r="K14" s="371">
        <f t="shared" si="2"/>
        <v>0</v>
      </c>
      <c r="L14" s="371">
        <f t="shared" si="2"/>
        <v>0</v>
      </c>
      <c r="M14" s="371">
        <f t="shared" si="2"/>
        <v>0</v>
      </c>
      <c r="N14" s="371">
        <f t="shared" si="2"/>
        <v>0</v>
      </c>
      <c r="O14" s="371">
        <f t="shared" si="2"/>
        <v>0</v>
      </c>
      <c r="P14" s="371">
        <f t="shared" si="2"/>
        <v>0</v>
      </c>
      <c r="Q14" s="372">
        <f t="shared" si="2"/>
        <v>0</v>
      </c>
      <c r="R14" s="451"/>
      <c r="S14" s="567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 s="451"/>
      <c r="S15" s="567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>
      <c r="A16" s="32">
        <v>5</v>
      </c>
      <c r="B16" s="32"/>
      <c r="C16" s="31" t="s">
        <v>54</v>
      </c>
      <c r="D16" s="378">
        <f>'Rev Req 2019-Trans'!P16</f>
        <v>0</v>
      </c>
      <c r="E16" s="379">
        <f>'Tax Depr 2020-Trans'!Q17</f>
        <v>0</v>
      </c>
      <c r="F16" s="379">
        <f>'Tax Depr 2020-Trans'!Q18</f>
        <v>0</v>
      </c>
      <c r="G16" s="379">
        <f>'Tax Depr 2020-Trans'!Q19</f>
        <v>0</v>
      </c>
      <c r="H16" s="379">
        <f>'Tax Depr 2020-Trans'!Q20</f>
        <v>0</v>
      </c>
      <c r="I16" s="379">
        <f>-'Tax Depr 2020-Trans'!Q21</f>
        <v>0</v>
      </c>
      <c r="J16" s="379">
        <f>-'Tax Depr 2020-Trans'!Q22</f>
        <v>0</v>
      </c>
      <c r="K16" s="379">
        <f>-'Tax Depr 2020-Trans'!Q23</f>
        <v>0</v>
      </c>
      <c r="L16" s="379">
        <f>-'Tax Depr 2020-Trans'!Q24</f>
        <v>0</v>
      </c>
      <c r="M16" s="379">
        <f>-'Tax Depr 2020-Trans'!Q25</f>
        <v>0</v>
      </c>
      <c r="N16" s="379">
        <f>-'Tax Depr 2020-Trans'!Q26</f>
        <v>0</v>
      </c>
      <c r="O16" s="379">
        <f>-'Tax Depr 2020-Trans'!Q27</f>
        <v>0</v>
      </c>
      <c r="P16" s="379">
        <f>-'Tax Depr 2020-Trans'!Q28</f>
        <v>0</v>
      </c>
      <c r="Q16" s="377">
        <f t="shared" ref="Q16" si="3">AVERAGE(D16:P16)</f>
        <v>0</v>
      </c>
      <c r="R16" s="451"/>
      <c r="S16" s="574">
        <f>AVERAGE(D16:P16)-AVERAGE('Net Assets'!E36:E49)+AVERAGE('Net Assets'!H36:H49)</f>
        <v>186958.90615384612</v>
      </c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 s="451"/>
      <c r="S17" s="567"/>
    </row>
    <row r="18" spans="1:19" s="31" customFormat="1">
      <c r="A18" s="32">
        <v>6</v>
      </c>
      <c r="B18" s="32"/>
      <c r="C18" s="78" t="s">
        <v>55</v>
      </c>
      <c r="D18" s="370">
        <f>SUM(D14:D16)</f>
        <v>0</v>
      </c>
      <c r="E18" s="371">
        <f t="shared" ref="E18:O18" si="4">SUM(E14:E16)</f>
        <v>0</v>
      </c>
      <c r="F18" s="371">
        <f t="shared" si="4"/>
        <v>0</v>
      </c>
      <c r="G18" s="371">
        <f t="shared" si="4"/>
        <v>0</v>
      </c>
      <c r="H18" s="371">
        <f t="shared" si="4"/>
        <v>0</v>
      </c>
      <c r="I18" s="371">
        <f t="shared" si="4"/>
        <v>0</v>
      </c>
      <c r="J18" s="371">
        <f t="shared" si="4"/>
        <v>0</v>
      </c>
      <c r="K18" s="371">
        <f t="shared" si="4"/>
        <v>0</v>
      </c>
      <c r="L18" s="371">
        <f t="shared" si="4"/>
        <v>0</v>
      </c>
      <c r="M18" s="371">
        <f t="shared" si="4"/>
        <v>0</v>
      </c>
      <c r="N18" s="371">
        <f t="shared" si="4"/>
        <v>0</v>
      </c>
      <c r="O18" s="371">
        <f t="shared" si="4"/>
        <v>0</v>
      </c>
      <c r="P18" s="371">
        <f>SUM(P14:P16)</f>
        <v>0</v>
      </c>
      <c r="Q18" s="372">
        <f>SUM(Q14:Q16)</f>
        <v>0</v>
      </c>
      <c r="R18" s="451"/>
      <c r="S18" s="573"/>
    </row>
    <row r="19" spans="1:19" s="31" customFormat="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 s="451"/>
      <c r="S19" s="567"/>
    </row>
    <row r="20" spans="1:19" s="31" customFormat="1">
      <c r="A20" s="32">
        <v>7</v>
      </c>
      <c r="B20" s="32"/>
      <c r="C20" s="31" t="s">
        <v>56</v>
      </c>
      <c r="D20" s="126">
        <f>'ROR 2020'!$G$12/12</f>
        <v>7.4333333333333335E-3</v>
      </c>
      <c r="E20" s="37">
        <f>'ROR 2020'!$G$12/12</f>
        <v>7.4333333333333335E-3</v>
      </c>
      <c r="F20" s="37">
        <f>'ROR 2020'!$G$12/12</f>
        <v>7.4333333333333335E-3</v>
      </c>
      <c r="G20" s="37">
        <f>'ROR 2020'!$G$12/12</f>
        <v>7.4333333333333335E-3</v>
      </c>
      <c r="H20" s="37">
        <f>'ROR 2020'!$G$12/12</f>
        <v>7.4333333333333335E-3</v>
      </c>
      <c r="I20" s="37">
        <f>'ROR 2020'!$G$12/12</f>
        <v>7.4333333333333335E-3</v>
      </c>
      <c r="J20" s="37">
        <f>'ROR 2020'!$G$12/12</f>
        <v>7.4333333333333335E-3</v>
      </c>
      <c r="K20" s="37">
        <f>'ROR 2020'!$G$12/12</f>
        <v>7.4333333333333335E-3</v>
      </c>
      <c r="L20" s="37">
        <f>'ROR 2020'!$G$12/12</f>
        <v>7.4333333333333335E-3</v>
      </c>
      <c r="M20" s="37">
        <f>'ROR 2020'!$G$12/12</f>
        <v>7.4333333333333335E-3</v>
      </c>
      <c r="N20" s="37">
        <f>'ROR 2020'!$G$12/12</f>
        <v>7.4333333333333335E-3</v>
      </c>
      <c r="O20" s="37">
        <f>'ROR 2020'!$G$12/12</f>
        <v>7.4333333333333335E-3</v>
      </c>
      <c r="P20" s="37">
        <f>'ROR 2020'!$G$12/12</f>
        <v>7.4333333333333335E-3</v>
      </c>
      <c r="Q20" s="127">
        <f>SUM(E20:P20)</f>
        <v>8.9200000000000002E-2</v>
      </c>
      <c r="R20" s="451"/>
      <c r="S20" s="567"/>
    </row>
    <row r="21" spans="1:19" s="31" customFormat="1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 s="451"/>
      <c r="S21" s="567"/>
    </row>
    <row r="22" spans="1:19" s="31" customFormat="1">
      <c r="A22" s="32">
        <v>8</v>
      </c>
      <c r="B22" s="32"/>
      <c r="C22" s="31" t="s">
        <v>57</v>
      </c>
      <c r="D22" s="401">
        <f t="shared" ref="D22:O22" si="5">D18*D20</f>
        <v>0</v>
      </c>
      <c r="E22" s="402">
        <f>E18*E20</f>
        <v>0</v>
      </c>
      <c r="F22" s="402">
        <f t="shared" si="5"/>
        <v>0</v>
      </c>
      <c r="G22" s="402">
        <f t="shared" si="5"/>
        <v>0</v>
      </c>
      <c r="H22" s="402">
        <f t="shared" si="5"/>
        <v>0</v>
      </c>
      <c r="I22" s="402">
        <f t="shared" si="5"/>
        <v>0</v>
      </c>
      <c r="J22" s="402">
        <f t="shared" si="5"/>
        <v>0</v>
      </c>
      <c r="K22" s="402">
        <f t="shared" si="5"/>
        <v>0</v>
      </c>
      <c r="L22" s="402">
        <f t="shared" si="5"/>
        <v>0</v>
      </c>
      <c r="M22" s="402">
        <f t="shared" si="5"/>
        <v>0</v>
      </c>
      <c r="N22" s="402">
        <f t="shared" si="5"/>
        <v>0</v>
      </c>
      <c r="O22" s="402">
        <f t="shared" si="5"/>
        <v>0</v>
      </c>
      <c r="P22" s="402">
        <f>P18*P20</f>
        <v>0</v>
      </c>
      <c r="Q22" s="403">
        <f>Q18*Q20</f>
        <v>0</v>
      </c>
      <c r="R22" s="451"/>
      <c r="S22" s="574">
        <f>Q22-RevReq!G50</f>
        <v>-6046695.6564055383</v>
      </c>
    </row>
    <row r="23" spans="1:19" s="31" customFormat="1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 s="451"/>
      <c r="S23" s="567"/>
    </row>
    <row r="24" spans="1:19" s="31" customFormat="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 s="451"/>
      <c r="S24" s="567"/>
    </row>
    <row r="25" spans="1:19" s="31" customFormat="1">
      <c r="A25" s="32">
        <v>9</v>
      </c>
      <c r="B25" s="32"/>
      <c r="C25" s="31" t="s">
        <v>0</v>
      </c>
      <c r="D25" s="370">
        <v>0</v>
      </c>
      <c r="E25" s="371">
        <f>'202001 Bk Depr'!P14+'202001 Bk Depr'!P23</f>
        <v>0</v>
      </c>
      <c r="F25" s="371">
        <f>'202002 Bk Depr'!P14+'202002 Bk Depr'!P23</f>
        <v>0</v>
      </c>
      <c r="G25" s="371">
        <f>'202003 Bk Depr'!P14+'202003 Bk Depr'!P23</f>
        <v>0</v>
      </c>
      <c r="H25" s="371">
        <f>'202004 Bk Depr'!P14+'202004 Bk Depr'!P23</f>
        <v>0</v>
      </c>
      <c r="I25" s="371">
        <f>'202005 Bk Depr'!P14+'202005 Bk Depr'!P23</f>
        <v>0</v>
      </c>
      <c r="J25" s="371">
        <f>'202006 Bk Depr'!P14+'202006 Bk Depr'!P23</f>
        <v>0</v>
      </c>
      <c r="K25" s="371">
        <f>'202007 Bk Depr'!P14+'202007 Bk Depr'!P23</f>
        <v>0</v>
      </c>
      <c r="L25" s="371">
        <f>'202008 Bk Depr'!P14+'202008 Bk Depr'!P23</f>
        <v>0</v>
      </c>
      <c r="M25" s="371">
        <f>'202009 Bk Depr'!P14+'202009 Bk Depr'!P23</f>
        <v>0</v>
      </c>
      <c r="N25" s="371">
        <f>'202010 Bk Depr'!P14+'202010 Bk Depr'!P23</f>
        <v>0</v>
      </c>
      <c r="O25" s="371">
        <f>'202011 Bk Depr'!P14+'202011 Bk Depr'!P23</f>
        <v>0</v>
      </c>
      <c r="P25" s="371">
        <f>'202012 Bk Depr'!P14+'202012 Bk Depr'!P23</f>
        <v>0</v>
      </c>
      <c r="Q25" s="372">
        <f>SUM(E25:P25)</f>
        <v>0</v>
      </c>
      <c r="R25" s="451"/>
      <c r="S25" s="573">
        <f>Q25-OpEx!C44-OpEx!D44</f>
        <v>-316346.89999999997</v>
      </c>
    </row>
    <row r="26" spans="1:19" s="31" customFormat="1">
      <c r="A26" s="32">
        <v>10</v>
      </c>
      <c r="B26" s="32"/>
      <c r="C26" s="13" t="s">
        <v>59</v>
      </c>
      <c r="D26" s="370">
        <v>0</v>
      </c>
      <c r="E26" s="371">
        <f>'COS Budget 2020'!H34</f>
        <v>0</v>
      </c>
      <c r="F26" s="371">
        <f>'COS Budget 2020'!I34</f>
        <v>0</v>
      </c>
      <c r="G26" s="371">
        <f>'COS Budget 2020'!J34</f>
        <v>0</v>
      </c>
      <c r="H26" s="371">
        <f>'COS Budget 2020'!K34</f>
        <v>0</v>
      </c>
      <c r="I26" s="371">
        <f>'COS Budget 2020'!L34</f>
        <v>0</v>
      </c>
      <c r="J26" s="371">
        <f>'COS Budget 2020'!M34</f>
        <v>0</v>
      </c>
      <c r="K26" s="371">
        <f>'COS Budget 2020'!N34</f>
        <v>0</v>
      </c>
      <c r="L26" s="371">
        <f>'COS Budget 2020'!O34</f>
        <v>0</v>
      </c>
      <c r="M26" s="371">
        <f>'COS Budget 2020'!P34</f>
        <v>0</v>
      </c>
      <c r="N26" s="371">
        <f>'COS Budget 2020'!Q34</f>
        <v>0</v>
      </c>
      <c r="O26" s="371">
        <f>'COS Budget 2020'!R34</f>
        <v>0</v>
      </c>
      <c r="P26" s="371">
        <f>'COS Budget 2020'!S34</f>
        <v>0</v>
      </c>
      <c r="Q26" s="372">
        <f>SUM(E26:P26)</f>
        <v>0</v>
      </c>
      <c r="R26" s="451"/>
      <c r="S26" s="573">
        <f>Q26-OpEx!B44</f>
        <v>0</v>
      </c>
    </row>
    <row r="27" spans="1:19" s="31" customFormat="1">
      <c r="A27" s="32">
        <v>11</v>
      </c>
      <c r="B27" s="32"/>
      <c r="C27" s="31" t="s">
        <v>178</v>
      </c>
      <c r="D27" s="370">
        <f>'Cap&amp;OpEx 2019'!N33</f>
        <v>7144.99</v>
      </c>
      <c r="E27" s="371">
        <f>'Cap&amp;OpEx 2020'!C41</f>
        <v>20186.2</v>
      </c>
      <c r="F27" s="371">
        <f>'Cap&amp;OpEx 2020'!D41</f>
        <v>20186.2</v>
      </c>
      <c r="G27" s="371">
        <f>'Cap&amp;OpEx 2020'!E41</f>
        <v>20186.2</v>
      </c>
      <c r="H27" s="371">
        <f>'Cap&amp;OpEx 2020'!F41</f>
        <v>20186.2</v>
      </c>
      <c r="I27" s="371">
        <f>'Cap&amp;OpEx 2020'!G41</f>
        <v>20186.2</v>
      </c>
      <c r="J27" s="371">
        <f>'Cap&amp;OpEx 2020'!H41</f>
        <v>20186.2</v>
      </c>
      <c r="K27" s="371">
        <f>'Cap&amp;OpEx 2020'!I41</f>
        <v>20186.2</v>
      </c>
      <c r="L27" s="371">
        <f>'Cap&amp;OpEx 2020'!J41</f>
        <v>20186.2</v>
      </c>
      <c r="M27" s="371">
        <f>'Cap&amp;OpEx 2020'!K41</f>
        <v>20186.2</v>
      </c>
      <c r="N27" s="371">
        <f>'Cap&amp;OpEx 2020'!L41</f>
        <v>20186.2</v>
      </c>
      <c r="O27" s="371">
        <f>'Cap&amp;OpEx 2020'!M41</f>
        <v>64595</v>
      </c>
      <c r="P27" s="371">
        <f>'Cap&amp;OpEx 2020'!N41</f>
        <v>64595</v>
      </c>
      <c r="Q27" s="372">
        <f>SUM(E27:P27)</f>
        <v>331052</v>
      </c>
      <c r="R27" s="451"/>
      <c r="S27" s="573">
        <f>Q27-OpEx!E44</f>
        <v>0</v>
      </c>
    </row>
    <row r="28" spans="1:19" s="31" customFormat="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 s="451"/>
      <c r="S28" s="567"/>
    </row>
    <row r="29" spans="1:19" s="31" customFormat="1">
      <c r="A29" s="32">
        <v>12</v>
      </c>
      <c r="B29" s="32"/>
      <c r="C29" s="31" t="s">
        <v>60</v>
      </c>
      <c r="D29" s="370">
        <f>SUM(D25:D28)</f>
        <v>7144.99</v>
      </c>
      <c r="E29" s="371">
        <f t="shared" ref="E29:Q29" si="6">SUM(E25:E28)</f>
        <v>20186.2</v>
      </c>
      <c r="F29" s="371">
        <f t="shared" si="6"/>
        <v>20186.2</v>
      </c>
      <c r="G29" s="371">
        <f t="shared" si="6"/>
        <v>20186.2</v>
      </c>
      <c r="H29" s="371">
        <f t="shared" si="6"/>
        <v>20186.2</v>
      </c>
      <c r="I29" s="371">
        <f t="shared" si="6"/>
        <v>20186.2</v>
      </c>
      <c r="J29" s="371">
        <f t="shared" si="6"/>
        <v>20186.2</v>
      </c>
      <c r="K29" s="371">
        <f t="shared" si="6"/>
        <v>20186.2</v>
      </c>
      <c r="L29" s="371">
        <f t="shared" si="6"/>
        <v>20186.2</v>
      </c>
      <c r="M29" s="371">
        <f t="shared" si="6"/>
        <v>20186.2</v>
      </c>
      <c r="N29" s="371">
        <f t="shared" si="6"/>
        <v>20186.2</v>
      </c>
      <c r="O29" s="371">
        <f t="shared" si="6"/>
        <v>64595</v>
      </c>
      <c r="P29" s="371">
        <f t="shared" si="6"/>
        <v>64595</v>
      </c>
      <c r="Q29" s="372">
        <f t="shared" si="6"/>
        <v>331052</v>
      </c>
      <c r="R29" s="451"/>
      <c r="S29" s="574">
        <f>Q29-RevReq!H50</f>
        <v>-316346.90000000002</v>
      </c>
    </row>
    <row r="30" spans="1:19" s="31" customFormat="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 s="451"/>
      <c r="S30" s="567"/>
    </row>
    <row r="31" spans="1:19" s="31" customFormat="1">
      <c r="A31" s="32">
        <v>13</v>
      </c>
      <c r="B31" s="77" t="s">
        <v>165</v>
      </c>
      <c r="D31" s="407">
        <f>D22+D29</f>
        <v>7144.99</v>
      </c>
      <c r="E31" s="408">
        <f>E22+E29</f>
        <v>20186.2</v>
      </c>
      <c r="F31" s="408">
        <f t="shared" ref="F31:Q31" si="7">F22+F29</f>
        <v>20186.2</v>
      </c>
      <c r="G31" s="408">
        <f t="shared" si="7"/>
        <v>20186.2</v>
      </c>
      <c r="H31" s="408">
        <f t="shared" si="7"/>
        <v>20186.2</v>
      </c>
      <c r="I31" s="408">
        <f t="shared" si="7"/>
        <v>20186.2</v>
      </c>
      <c r="J31" s="408">
        <f t="shared" si="7"/>
        <v>20186.2</v>
      </c>
      <c r="K31" s="408">
        <f t="shared" si="7"/>
        <v>20186.2</v>
      </c>
      <c r="L31" s="408">
        <f t="shared" si="7"/>
        <v>20186.2</v>
      </c>
      <c r="M31" s="408">
        <f t="shared" si="7"/>
        <v>20186.2</v>
      </c>
      <c r="N31" s="408">
        <f t="shared" si="7"/>
        <v>20186.2</v>
      </c>
      <c r="O31" s="408">
        <f t="shared" si="7"/>
        <v>64595</v>
      </c>
      <c r="P31" s="408">
        <f>P22+P29</f>
        <v>64595</v>
      </c>
      <c r="Q31" s="409">
        <f t="shared" si="7"/>
        <v>331052</v>
      </c>
      <c r="R31" s="451"/>
      <c r="S31" s="574">
        <f>Q31-RevReq!I50</f>
        <v>-6363042.5564055378</v>
      </c>
    </row>
    <row r="32" spans="1:19" s="31" customFormat="1">
      <c r="A32" s="32"/>
      <c r="B32" s="32"/>
      <c r="D32" s="80"/>
      <c r="P32" s="80"/>
      <c r="R32" s="451"/>
    </row>
    <row r="33" spans="1:18" s="451" customFormat="1" ht="21" customHeight="1"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</row>
    <row r="34" spans="1:18" s="31" customFormat="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 s="451"/>
    </row>
    <row r="35" spans="1:18" s="31" customFormat="1">
      <c r="A35" s="79"/>
      <c r="B35" s="30" t="s">
        <v>535</v>
      </c>
      <c r="Q35" s="80"/>
      <c r="R35" s="451"/>
    </row>
    <row r="1048492" spans="19:19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3" orientation="landscape" r:id="rId1"/>
  <headerFooter scaleWithDoc="0">
    <oddFooter>&amp;R&amp;"Times New Roman,Bold"Exhibit 4
Page 2 of 18</oddFooter>
  </headerFooter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C11:I20"/>
  <sheetViews>
    <sheetView zoomScaleNormal="100" workbookViewId="0"/>
  </sheetViews>
  <sheetFormatPr defaultRowHeight="12.75"/>
  <cols>
    <col min="1" max="1" width="9.140625" style="254"/>
    <col min="2" max="2" width="2.42578125" style="254" customWidth="1"/>
    <col min="3" max="9" width="12.140625" style="254" customWidth="1"/>
    <col min="10" max="10" width="2.140625" style="254" customWidth="1"/>
    <col min="11" max="257" width="9.140625" style="254"/>
    <col min="258" max="258" width="2.42578125" style="254" customWidth="1"/>
    <col min="259" max="265" width="12.140625" style="254" customWidth="1"/>
    <col min="266" max="266" width="2.140625" style="254" customWidth="1"/>
    <col min="267" max="513" width="9.140625" style="254"/>
    <col min="514" max="514" width="2.42578125" style="254" customWidth="1"/>
    <col min="515" max="521" width="12.140625" style="254" customWidth="1"/>
    <col min="522" max="522" width="2.140625" style="254" customWidth="1"/>
    <col min="523" max="769" width="9.140625" style="254"/>
    <col min="770" max="770" width="2.42578125" style="254" customWidth="1"/>
    <col min="771" max="777" width="12.140625" style="254" customWidth="1"/>
    <col min="778" max="778" width="2.140625" style="254" customWidth="1"/>
    <col min="779" max="1025" width="9.140625" style="254"/>
    <col min="1026" max="1026" width="2.42578125" style="254" customWidth="1"/>
    <col min="1027" max="1033" width="12.140625" style="254" customWidth="1"/>
    <col min="1034" max="1034" width="2.140625" style="254" customWidth="1"/>
    <col min="1035" max="1281" width="9.140625" style="254"/>
    <col min="1282" max="1282" width="2.42578125" style="254" customWidth="1"/>
    <col min="1283" max="1289" width="12.140625" style="254" customWidth="1"/>
    <col min="1290" max="1290" width="2.140625" style="254" customWidth="1"/>
    <col min="1291" max="1537" width="9.140625" style="254"/>
    <col min="1538" max="1538" width="2.42578125" style="254" customWidth="1"/>
    <col min="1539" max="1545" width="12.140625" style="254" customWidth="1"/>
    <col min="1546" max="1546" width="2.140625" style="254" customWidth="1"/>
    <col min="1547" max="1793" width="9.140625" style="254"/>
    <col min="1794" max="1794" width="2.42578125" style="254" customWidth="1"/>
    <col min="1795" max="1801" width="12.140625" style="254" customWidth="1"/>
    <col min="1802" max="1802" width="2.140625" style="254" customWidth="1"/>
    <col min="1803" max="2049" width="9.140625" style="254"/>
    <col min="2050" max="2050" width="2.42578125" style="254" customWidth="1"/>
    <col min="2051" max="2057" width="12.140625" style="254" customWidth="1"/>
    <col min="2058" max="2058" width="2.140625" style="254" customWidth="1"/>
    <col min="2059" max="2305" width="9.140625" style="254"/>
    <col min="2306" max="2306" width="2.42578125" style="254" customWidth="1"/>
    <col min="2307" max="2313" width="12.140625" style="254" customWidth="1"/>
    <col min="2314" max="2314" width="2.140625" style="254" customWidth="1"/>
    <col min="2315" max="2561" width="9.140625" style="254"/>
    <col min="2562" max="2562" width="2.42578125" style="254" customWidth="1"/>
    <col min="2563" max="2569" width="12.140625" style="254" customWidth="1"/>
    <col min="2570" max="2570" width="2.140625" style="254" customWidth="1"/>
    <col min="2571" max="2817" width="9.140625" style="254"/>
    <col min="2818" max="2818" width="2.42578125" style="254" customWidth="1"/>
    <col min="2819" max="2825" width="12.140625" style="254" customWidth="1"/>
    <col min="2826" max="2826" width="2.140625" style="254" customWidth="1"/>
    <col min="2827" max="3073" width="9.140625" style="254"/>
    <col min="3074" max="3074" width="2.42578125" style="254" customWidth="1"/>
    <col min="3075" max="3081" width="12.140625" style="254" customWidth="1"/>
    <col min="3082" max="3082" width="2.140625" style="254" customWidth="1"/>
    <col min="3083" max="3329" width="9.140625" style="254"/>
    <col min="3330" max="3330" width="2.42578125" style="254" customWidth="1"/>
    <col min="3331" max="3337" width="12.140625" style="254" customWidth="1"/>
    <col min="3338" max="3338" width="2.140625" style="254" customWidth="1"/>
    <col min="3339" max="3585" width="9.140625" style="254"/>
    <col min="3586" max="3586" width="2.42578125" style="254" customWidth="1"/>
    <col min="3587" max="3593" width="12.140625" style="254" customWidth="1"/>
    <col min="3594" max="3594" width="2.140625" style="254" customWidth="1"/>
    <col min="3595" max="3841" width="9.140625" style="254"/>
    <col min="3842" max="3842" width="2.42578125" style="254" customWidth="1"/>
    <col min="3843" max="3849" width="12.140625" style="254" customWidth="1"/>
    <col min="3850" max="3850" width="2.140625" style="254" customWidth="1"/>
    <col min="3851" max="4097" width="9.140625" style="254"/>
    <col min="4098" max="4098" width="2.42578125" style="254" customWidth="1"/>
    <col min="4099" max="4105" width="12.140625" style="254" customWidth="1"/>
    <col min="4106" max="4106" width="2.140625" style="254" customWidth="1"/>
    <col min="4107" max="4353" width="9.140625" style="254"/>
    <col min="4354" max="4354" width="2.42578125" style="254" customWidth="1"/>
    <col min="4355" max="4361" width="12.140625" style="254" customWidth="1"/>
    <col min="4362" max="4362" width="2.140625" style="254" customWidth="1"/>
    <col min="4363" max="4609" width="9.140625" style="254"/>
    <col min="4610" max="4610" width="2.42578125" style="254" customWidth="1"/>
    <col min="4611" max="4617" width="12.140625" style="254" customWidth="1"/>
    <col min="4618" max="4618" width="2.140625" style="254" customWidth="1"/>
    <col min="4619" max="4865" width="9.140625" style="254"/>
    <col min="4866" max="4866" width="2.42578125" style="254" customWidth="1"/>
    <col min="4867" max="4873" width="12.140625" style="254" customWidth="1"/>
    <col min="4874" max="4874" width="2.140625" style="254" customWidth="1"/>
    <col min="4875" max="5121" width="9.140625" style="254"/>
    <col min="5122" max="5122" width="2.42578125" style="254" customWidth="1"/>
    <col min="5123" max="5129" width="12.140625" style="254" customWidth="1"/>
    <col min="5130" max="5130" width="2.140625" style="254" customWidth="1"/>
    <col min="5131" max="5377" width="9.140625" style="254"/>
    <col min="5378" max="5378" width="2.42578125" style="254" customWidth="1"/>
    <col min="5379" max="5385" width="12.140625" style="254" customWidth="1"/>
    <col min="5386" max="5386" width="2.140625" style="254" customWidth="1"/>
    <col min="5387" max="5633" width="9.140625" style="254"/>
    <col min="5634" max="5634" width="2.42578125" style="254" customWidth="1"/>
    <col min="5635" max="5641" width="12.140625" style="254" customWidth="1"/>
    <col min="5642" max="5642" width="2.140625" style="254" customWidth="1"/>
    <col min="5643" max="5889" width="9.140625" style="254"/>
    <col min="5890" max="5890" width="2.42578125" style="254" customWidth="1"/>
    <col min="5891" max="5897" width="12.140625" style="254" customWidth="1"/>
    <col min="5898" max="5898" width="2.140625" style="254" customWidth="1"/>
    <col min="5899" max="6145" width="9.140625" style="254"/>
    <col min="6146" max="6146" width="2.42578125" style="254" customWidth="1"/>
    <col min="6147" max="6153" width="12.140625" style="254" customWidth="1"/>
    <col min="6154" max="6154" width="2.140625" style="254" customWidth="1"/>
    <col min="6155" max="6401" width="9.140625" style="254"/>
    <col min="6402" max="6402" width="2.42578125" style="254" customWidth="1"/>
    <col min="6403" max="6409" width="12.140625" style="254" customWidth="1"/>
    <col min="6410" max="6410" width="2.140625" style="254" customWidth="1"/>
    <col min="6411" max="6657" width="9.140625" style="254"/>
    <col min="6658" max="6658" width="2.42578125" style="254" customWidth="1"/>
    <col min="6659" max="6665" width="12.140625" style="254" customWidth="1"/>
    <col min="6666" max="6666" width="2.140625" style="254" customWidth="1"/>
    <col min="6667" max="6913" width="9.140625" style="254"/>
    <col min="6914" max="6914" width="2.42578125" style="254" customWidth="1"/>
    <col min="6915" max="6921" width="12.140625" style="254" customWidth="1"/>
    <col min="6922" max="6922" width="2.140625" style="254" customWidth="1"/>
    <col min="6923" max="7169" width="9.140625" style="254"/>
    <col min="7170" max="7170" width="2.42578125" style="254" customWidth="1"/>
    <col min="7171" max="7177" width="12.140625" style="254" customWidth="1"/>
    <col min="7178" max="7178" width="2.140625" style="254" customWidth="1"/>
    <col min="7179" max="7425" width="9.140625" style="254"/>
    <col min="7426" max="7426" width="2.42578125" style="254" customWidth="1"/>
    <col min="7427" max="7433" width="12.140625" style="254" customWidth="1"/>
    <col min="7434" max="7434" width="2.140625" style="254" customWidth="1"/>
    <col min="7435" max="7681" width="9.140625" style="254"/>
    <col min="7682" max="7682" width="2.42578125" style="254" customWidth="1"/>
    <col min="7683" max="7689" width="12.140625" style="254" customWidth="1"/>
    <col min="7690" max="7690" width="2.140625" style="254" customWidth="1"/>
    <col min="7691" max="7937" width="9.140625" style="254"/>
    <col min="7938" max="7938" width="2.42578125" style="254" customWidth="1"/>
    <col min="7939" max="7945" width="12.140625" style="254" customWidth="1"/>
    <col min="7946" max="7946" width="2.140625" style="254" customWidth="1"/>
    <col min="7947" max="8193" width="9.140625" style="254"/>
    <col min="8194" max="8194" width="2.42578125" style="254" customWidth="1"/>
    <col min="8195" max="8201" width="12.140625" style="254" customWidth="1"/>
    <col min="8202" max="8202" width="2.140625" style="254" customWidth="1"/>
    <col min="8203" max="8449" width="9.140625" style="254"/>
    <col min="8450" max="8450" width="2.42578125" style="254" customWidth="1"/>
    <col min="8451" max="8457" width="12.140625" style="254" customWidth="1"/>
    <col min="8458" max="8458" width="2.140625" style="254" customWidth="1"/>
    <col min="8459" max="8705" width="9.140625" style="254"/>
    <col min="8706" max="8706" width="2.42578125" style="254" customWidth="1"/>
    <col min="8707" max="8713" width="12.140625" style="254" customWidth="1"/>
    <col min="8714" max="8714" width="2.140625" style="254" customWidth="1"/>
    <col min="8715" max="8961" width="9.140625" style="254"/>
    <col min="8962" max="8962" width="2.42578125" style="254" customWidth="1"/>
    <col min="8963" max="8969" width="12.140625" style="254" customWidth="1"/>
    <col min="8970" max="8970" width="2.140625" style="254" customWidth="1"/>
    <col min="8971" max="9217" width="9.140625" style="254"/>
    <col min="9218" max="9218" width="2.42578125" style="254" customWidth="1"/>
    <col min="9219" max="9225" width="12.140625" style="254" customWidth="1"/>
    <col min="9226" max="9226" width="2.140625" style="254" customWidth="1"/>
    <col min="9227" max="9473" width="9.140625" style="254"/>
    <col min="9474" max="9474" width="2.42578125" style="254" customWidth="1"/>
    <col min="9475" max="9481" width="12.140625" style="254" customWidth="1"/>
    <col min="9482" max="9482" width="2.140625" style="254" customWidth="1"/>
    <col min="9483" max="9729" width="9.140625" style="254"/>
    <col min="9730" max="9730" width="2.42578125" style="254" customWidth="1"/>
    <col min="9731" max="9737" width="12.140625" style="254" customWidth="1"/>
    <col min="9738" max="9738" width="2.140625" style="254" customWidth="1"/>
    <col min="9739" max="9985" width="9.140625" style="254"/>
    <col min="9986" max="9986" width="2.42578125" style="254" customWidth="1"/>
    <col min="9987" max="9993" width="12.140625" style="254" customWidth="1"/>
    <col min="9994" max="9994" width="2.140625" style="254" customWidth="1"/>
    <col min="9995" max="10241" width="9.140625" style="254"/>
    <col min="10242" max="10242" width="2.42578125" style="254" customWidth="1"/>
    <col min="10243" max="10249" width="12.140625" style="254" customWidth="1"/>
    <col min="10250" max="10250" width="2.140625" style="254" customWidth="1"/>
    <col min="10251" max="10497" width="9.140625" style="254"/>
    <col min="10498" max="10498" width="2.42578125" style="254" customWidth="1"/>
    <col min="10499" max="10505" width="12.140625" style="254" customWidth="1"/>
    <col min="10506" max="10506" width="2.140625" style="254" customWidth="1"/>
    <col min="10507" max="10753" width="9.140625" style="254"/>
    <col min="10754" max="10754" width="2.42578125" style="254" customWidth="1"/>
    <col min="10755" max="10761" width="12.140625" style="254" customWidth="1"/>
    <col min="10762" max="10762" width="2.140625" style="254" customWidth="1"/>
    <col min="10763" max="11009" width="9.140625" style="254"/>
    <col min="11010" max="11010" width="2.42578125" style="254" customWidth="1"/>
    <col min="11011" max="11017" width="12.140625" style="254" customWidth="1"/>
    <col min="11018" max="11018" width="2.140625" style="254" customWidth="1"/>
    <col min="11019" max="11265" width="9.140625" style="254"/>
    <col min="11266" max="11266" width="2.42578125" style="254" customWidth="1"/>
    <col min="11267" max="11273" width="12.140625" style="254" customWidth="1"/>
    <col min="11274" max="11274" width="2.140625" style="254" customWidth="1"/>
    <col min="11275" max="11521" width="9.140625" style="254"/>
    <col min="11522" max="11522" width="2.42578125" style="254" customWidth="1"/>
    <col min="11523" max="11529" width="12.140625" style="254" customWidth="1"/>
    <col min="11530" max="11530" width="2.140625" style="254" customWidth="1"/>
    <col min="11531" max="11777" width="9.140625" style="254"/>
    <col min="11778" max="11778" width="2.42578125" style="254" customWidth="1"/>
    <col min="11779" max="11785" width="12.140625" style="254" customWidth="1"/>
    <col min="11786" max="11786" width="2.140625" style="254" customWidth="1"/>
    <col min="11787" max="12033" width="9.140625" style="254"/>
    <col min="12034" max="12034" width="2.42578125" style="254" customWidth="1"/>
    <col min="12035" max="12041" width="12.140625" style="254" customWidth="1"/>
    <col min="12042" max="12042" width="2.140625" style="254" customWidth="1"/>
    <col min="12043" max="12289" width="9.140625" style="254"/>
    <col min="12290" max="12290" width="2.42578125" style="254" customWidth="1"/>
    <col min="12291" max="12297" width="12.140625" style="254" customWidth="1"/>
    <col min="12298" max="12298" width="2.140625" style="254" customWidth="1"/>
    <col min="12299" max="12545" width="9.140625" style="254"/>
    <col min="12546" max="12546" width="2.42578125" style="254" customWidth="1"/>
    <col min="12547" max="12553" width="12.140625" style="254" customWidth="1"/>
    <col min="12554" max="12554" width="2.140625" style="254" customWidth="1"/>
    <col min="12555" max="12801" width="9.140625" style="254"/>
    <col min="12802" max="12802" width="2.42578125" style="254" customWidth="1"/>
    <col min="12803" max="12809" width="12.140625" style="254" customWidth="1"/>
    <col min="12810" max="12810" width="2.140625" style="254" customWidth="1"/>
    <col min="12811" max="13057" width="9.140625" style="254"/>
    <col min="13058" max="13058" width="2.42578125" style="254" customWidth="1"/>
    <col min="13059" max="13065" width="12.140625" style="254" customWidth="1"/>
    <col min="13066" max="13066" width="2.140625" style="254" customWidth="1"/>
    <col min="13067" max="13313" width="9.140625" style="254"/>
    <col min="13314" max="13314" width="2.42578125" style="254" customWidth="1"/>
    <col min="13315" max="13321" width="12.140625" style="254" customWidth="1"/>
    <col min="13322" max="13322" width="2.140625" style="254" customWidth="1"/>
    <col min="13323" max="13569" width="9.140625" style="254"/>
    <col min="13570" max="13570" width="2.42578125" style="254" customWidth="1"/>
    <col min="13571" max="13577" width="12.140625" style="254" customWidth="1"/>
    <col min="13578" max="13578" width="2.140625" style="254" customWidth="1"/>
    <col min="13579" max="13825" width="9.140625" style="254"/>
    <col min="13826" max="13826" width="2.42578125" style="254" customWidth="1"/>
    <col min="13827" max="13833" width="12.140625" style="254" customWidth="1"/>
    <col min="13834" max="13834" width="2.140625" style="254" customWidth="1"/>
    <col min="13835" max="14081" width="9.140625" style="254"/>
    <col min="14082" max="14082" width="2.42578125" style="254" customWidth="1"/>
    <col min="14083" max="14089" width="12.140625" style="254" customWidth="1"/>
    <col min="14090" max="14090" width="2.140625" style="254" customWidth="1"/>
    <col min="14091" max="14337" width="9.140625" style="254"/>
    <col min="14338" max="14338" width="2.42578125" style="254" customWidth="1"/>
    <col min="14339" max="14345" width="12.140625" style="254" customWidth="1"/>
    <col min="14346" max="14346" width="2.140625" style="254" customWidth="1"/>
    <col min="14347" max="14593" width="9.140625" style="254"/>
    <col min="14594" max="14594" width="2.42578125" style="254" customWidth="1"/>
    <col min="14595" max="14601" width="12.140625" style="254" customWidth="1"/>
    <col min="14602" max="14602" width="2.140625" style="254" customWidth="1"/>
    <col min="14603" max="14849" width="9.140625" style="254"/>
    <col min="14850" max="14850" width="2.42578125" style="254" customWidth="1"/>
    <col min="14851" max="14857" width="12.140625" style="254" customWidth="1"/>
    <col min="14858" max="14858" width="2.140625" style="254" customWidth="1"/>
    <col min="14859" max="15105" width="9.140625" style="254"/>
    <col min="15106" max="15106" width="2.42578125" style="254" customWidth="1"/>
    <col min="15107" max="15113" width="12.140625" style="254" customWidth="1"/>
    <col min="15114" max="15114" width="2.140625" style="254" customWidth="1"/>
    <col min="15115" max="15361" width="9.140625" style="254"/>
    <col min="15362" max="15362" width="2.42578125" style="254" customWidth="1"/>
    <col min="15363" max="15369" width="12.140625" style="254" customWidth="1"/>
    <col min="15370" max="15370" width="2.140625" style="254" customWidth="1"/>
    <col min="15371" max="15617" width="9.140625" style="254"/>
    <col min="15618" max="15618" width="2.42578125" style="254" customWidth="1"/>
    <col min="15619" max="15625" width="12.140625" style="254" customWidth="1"/>
    <col min="15626" max="15626" width="2.140625" style="254" customWidth="1"/>
    <col min="15627" max="15873" width="9.140625" style="254"/>
    <col min="15874" max="15874" width="2.42578125" style="254" customWidth="1"/>
    <col min="15875" max="15881" width="12.140625" style="254" customWidth="1"/>
    <col min="15882" max="15882" width="2.140625" style="254" customWidth="1"/>
    <col min="15883" max="16129" width="9.140625" style="254"/>
    <col min="16130" max="16130" width="2.42578125" style="254" customWidth="1"/>
    <col min="16131" max="16137" width="12.140625" style="254" customWidth="1"/>
    <col min="16138" max="16138" width="2.140625" style="254" customWidth="1"/>
    <col min="16139" max="16384" width="9.140625" style="254"/>
  </cols>
  <sheetData>
    <row r="11" spans="3:9" ht="15.75">
      <c r="C11" s="417" t="s">
        <v>67</v>
      </c>
      <c r="D11" s="418"/>
      <c r="E11" s="417"/>
      <c r="F11" s="417"/>
      <c r="G11" s="417"/>
      <c r="H11" s="417"/>
      <c r="I11" s="418"/>
    </row>
    <row r="12" spans="3:9" ht="12.75" customHeight="1"/>
    <row r="13" spans="3:9" ht="12.75" customHeight="1"/>
    <row r="14" spans="3:9" ht="12.75" customHeight="1"/>
    <row r="15" spans="3:9" ht="12.75" customHeight="1"/>
    <row r="16" spans="3:9" ht="12.75" customHeight="1">
      <c r="D16" s="668"/>
      <c r="E16" s="668"/>
      <c r="F16" s="668"/>
      <c r="G16" s="668"/>
      <c r="H16" s="668"/>
    </row>
    <row r="17" spans="3:9" ht="12.75" customHeight="1">
      <c r="D17" s="255"/>
      <c r="F17" s="255"/>
      <c r="G17" s="255"/>
    </row>
    <row r="18" spans="3:9" ht="15.75">
      <c r="C18" s="417" t="s">
        <v>462</v>
      </c>
      <c r="D18" s="418"/>
      <c r="E18" s="417"/>
      <c r="F18" s="418"/>
      <c r="G18" s="417"/>
      <c r="H18" s="417"/>
      <c r="I18" s="418"/>
    </row>
    <row r="19" spans="3:9" ht="12.75" customHeight="1">
      <c r="D19" s="415"/>
      <c r="E19" s="415"/>
      <c r="F19" s="415"/>
      <c r="G19" s="415"/>
      <c r="H19" s="415"/>
    </row>
    <row r="20" spans="3:9" ht="15.75">
      <c r="C20" s="417" t="s">
        <v>460</v>
      </c>
      <c r="D20" s="418"/>
      <c r="E20" s="417"/>
      <c r="F20" s="417"/>
      <c r="G20" s="417"/>
      <c r="H20" s="417"/>
      <c r="I20" s="418"/>
    </row>
  </sheetData>
  <mergeCells count="1">
    <mergeCell ref="D16:H16"/>
  </mergeCells>
  <pageMargins left="0.75" right="0.75" top="1" bottom="1" header="0.5" footer="0.5"/>
  <pageSetup orientation="portrait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39997558519241921"/>
    <pageSetUpPr fitToPage="1"/>
  </sheetPr>
  <dimension ref="A1:V19"/>
  <sheetViews>
    <sheetView workbookViewId="0"/>
  </sheetViews>
  <sheetFormatPr defaultColWidth="9.140625" defaultRowHeight="12.75"/>
  <cols>
    <col min="1" max="1" width="5.85546875" style="479" customWidth="1"/>
    <col min="2" max="2" width="22.85546875" style="473" customWidth="1"/>
    <col min="3" max="3" width="12.85546875" style="473" customWidth="1"/>
    <col min="4" max="4" width="9.85546875" style="473" customWidth="1"/>
    <col min="5" max="5" width="11.85546875" style="473" customWidth="1"/>
    <col min="6" max="6" width="14.85546875" style="473" customWidth="1"/>
    <col min="7" max="7" width="15.85546875" style="473" customWidth="1"/>
    <col min="8" max="14" width="9.140625" style="473" customWidth="1"/>
    <col min="15" max="16384" width="9.140625" style="473"/>
  </cols>
  <sheetData>
    <row r="1" spans="1:22" ht="18.75">
      <c r="A1" s="191" t="s">
        <v>67</v>
      </c>
      <c r="B1" s="191"/>
      <c r="C1" s="191"/>
      <c r="D1" s="191"/>
      <c r="E1" s="191"/>
      <c r="F1" s="191"/>
      <c r="G1" s="191"/>
      <c r="H1" s="41"/>
      <c r="I1" s="41"/>
      <c r="J1" s="41"/>
    </row>
    <row r="2" spans="1:22" ht="20.25">
      <c r="A2" s="191" t="s">
        <v>255</v>
      </c>
      <c r="B2" s="191"/>
      <c r="C2" s="191"/>
      <c r="D2" s="191"/>
      <c r="E2" s="191"/>
      <c r="F2" s="191"/>
      <c r="G2" s="191"/>
      <c r="H2" s="39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8.75">
      <c r="A3" s="191" t="s">
        <v>68</v>
      </c>
      <c r="B3" s="191"/>
      <c r="C3" s="191"/>
      <c r="D3" s="191"/>
      <c r="E3" s="191"/>
      <c r="F3" s="191"/>
      <c r="G3" s="191"/>
      <c r="H3" s="41"/>
      <c r="I3" s="41"/>
      <c r="J3" s="41"/>
    </row>
    <row r="4" spans="1:22" ht="15.75">
      <c r="A4" s="66"/>
      <c r="B4" s="26"/>
      <c r="C4" s="26"/>
      <c r="D4" s="26"/>
      <c r="E4" s="26"/>
      <c r="F4" s="26"/>
      <c r="G4" s="26"/>
    </row>
    <row r="5" spans="1:22" ht="15.75">
      <c r="A5" s="66"/>
      <c r="B5" s="26"/>
      <c r="C5" s="26"/>
      <c r="D5" s="26"/>
      <c r="E5" s="26"/>
      <c r="F5" s="26"/>
      <c r="G5" s="43" t="s">
        <v>56</v>
      </c>
    </row>
    <row r="6" spans="1:22" ht="15.75">
      <c r="A6" s="43" t="s">
        <v>4</v>
      </c>
      <c r="B6" s="26"/>
      <c r="C6" s="26"/>
      <c r="D6" s="26"/>
      <c r="E6" s="43" t="s">
        <v>46</v>
      </c>
      <c r="F6" s="43" t="s">
        <v>47</v>
      </c>
      <c r="G6" s="67" t="s">
        <v>77</v>
      </c>
    </row>
    <row r="7" spans="1:22" ht="15.75">
      <c r="A7" s="189" t="s">
        <v>5</v>
      </c>
      <c r="B7" s="189" t="s">
        <v>44</v>
      </c>
      <c r="C7" s="189" t="s">
        <v>45</v>
      </c>
      <c r="D7" s="189" t="s">
        <v>35</v>
      </c>
      <c r="E7" s="189" t="s">
        <v>35</v>
      </c>
      <c r="F7" s="432" t="s">
        <v>498</v>
      </c>
      <c r="G7" s="189" t="s">
        <v>78</v>
      </c>
    </row>
    <row r="8" spans="1:22" ht="15.75">
      <c r="A8" s="66"/>
      <c r="B8" s="26"/>
      <c r="C8" s="26"/>
      <c r="D8" s="26"/>
      <c r="E8" s="26"/>
      <c r="F8" s="26"/>
      <c r="G8" s="26"/>
      <c r="K8" s="68"/>
    </row>
    <row r="9" spans="1:22" ht="15.75">
      <c r="A9" s="66">
        <v>1</v>
      </c>
      <c r="B9" s="26" t="s">
        <v>48</v>
      </c>
      <c r="C9" s="69">
        <v>1.4005040758411292E-2</v>
      </c>
      <c r="D9" s="70">
        <v>3.3598855017064826E-2</v>
      </c>
      <c r="E9" s="70">
        <f>C9*D9</f>
        <v>4.7055333394994459E-4</v>
      </c>
      <c r="F9" s="69"/>
      <c r="G9" s="69">
        <f>E9</f>
        <v>4.7055333394994459E-4</v>
      </c>
      <c r="K9" s="474"/>
      <c r="L9" s="475"/>
      <c r="M9" s="476"/>
    </row>
    <row r="10" spans="1:22" ht="15.75">
      <c r="A10" s="66">
        <v>2</v>
      </c>
      <c r="B10" s="71" t="s">
        <v>50</v>
      </c>
      <c r="C10" s="69">
        <v>0.45497001497241335</v>
      </c>
      <c r="D10" s="70">
        <v>4.3744370689708191E-2</v>
      </c>
      <c r="E10" s="70">
        <f>C10*D10</f>
        <v>1.9902376987655335E-2</v>
      </c>
      <c r="F10" s="69"/>
      <c r="G10" s="69">
        <f>E10</f>
        <v>1.9902376987655335E-2</v>
      </c>
      <c r="K10" s="474"/>
      <c r="L10" s="475"/>
      <c r="M10" s="476"/>
    </row>
    <row r="11" spans="1:22" ht="15.75">
      <c r="A11" s="188">
        <v>3</v>
      </c>
      <c r="B11" s="185" t="s">
        <v>49</v>
      </c>
      <c r="C11" s="187">
        <v>0.53102494426917535</v>
      </c>
      <c r="D11" s="477">
        <v>9.7250000000000003E-2</v>
      </c>
      <c r="E11" s="186">
        <f>C11*D11</f>
        <v>5.1642175830177307E-2</v>
      </c>
      <c r="F11" s="187">
        <f>E11*(0.2495/(1-0.2495))</f>
        <v>1.7168185036148219E-2</v>
      </c>
      <c r="G11" s="187">
        <f>E11/(1-0.2495)</f>
        <v>6.8810360866325526E-2</v>
      </c>
      <c r="K11" s="474"/>
      <c r="L11" s="475"/>
      <c r="M11" s="476"/>
    </row>
    <row r="12" spans="1:22" ht="15.75">
      <c r="A12" s="66">
        <v>4</v>
      </c>
      <c r="B12" s="26" t="s">
        <v>3</v>
      </c>
      <c r="C12" s="69">
        <f>SUM(C9:C11)</f>
        <v>1</v>
      </c>
      <c r="D12" s="26"/>
      <c r="E12" s="69">
        <f>SUM(E9:E11)</f>
        <v>7.2015106151782582E-2</v>
      </c>
      <c r="F12" s="69">
        <f>SUM(F9:F11)</f>
        <v>1.7168185036148219E-2</v>
      </c>
      <c r="G12" s="69">
        <f>ROUND(SUM(G9:G11),4)</f>
        <v>8.9200000000000002E-2</v>
      </c>
      <c r="K12" s="478"/>
      <c r="L12" s="475"/>
      <c r="M12" s="475"/>
    </row>
    <row r="13" spans="1:22" ht="15.75">
      <c r="A13" s="66"/>
      <c r="B13" s="26"/>
      <c r="C13" s="69"/>
      <c r="D13" s="26"/>
      <c r="E13" s="69"/>
      <c r="F13" s="69"/>
      <c r="G13" s="69"/>
      <c r="K13" s="478"/>
      <c r="L13" s="475"/>
      <c r="M13" s="475"/>
    </row>
    <row r="14" spans="1:22" ht="15.75">
      <c r="A14" s="66"/>
      <c r="B14" s="26"/>
      <c r="C14" s="26"/>
      <c r="D14" s="26"/>
      <c r="E14" s="26"/>
      <c r="F14" s="26"/>
      <c r="G14" s="26"/>
    </row>
    <row r="15" spans="1:22" ht="15.75">
      <c r="A15" s="190" t="s">
        <v>533</v>
      </c>
      <c r="B15" s="26"/>
      <c r="C15" s="26"/>
      <c r="D15" s="26"/>
      <c r="E15" s="26"/>
      <c r="F15" s="26"/>
      <c r="G15" s="26"/>
    </row>
    <row r="16" spans="1:22" ht="15.75">
      <c r="C16" s="26"/>
      <c r="D16" s="26"/>
      <c r="E16" s="26"/>
      <c r="F16" s="26"/>
      <c r="G16" s="26"/>
    </row>
    <row r="17" spans="1:7" ht="15.75">
      <c r="A17" s="66"/>
      <c r="B17" s="26"/>
      <c r="C17" s="26"/>
      <c r="D17" s="26"/>
      <c r="E17" s="26"/>
      <c r="F17" s="26"/>
      <c r="G17" s="26"/>
    </row>
    <row r="18" spans="1:7" ht="15.75">
      <c r="A18" s="66"/>
      <c r="B18" s="26"/>
      <c r="C18" s="26"/>
      <c r="D18" s="26"/>
      <c r="E18" s="26"/>
      <c r="F18" s="26"/>
      <c r="G18" s="26"/>
    </row>
    <row r="19" spans="1:7">
      <c r="D19" s="29"/>
    </row>
  </sheetData>
  <hyperlinks>
    <hyperlink ref="G7" r:id="rId1" display="^@ 38.9%" xr:uid="{00000000-0004-0000-1000-000000000000}"/>
  </hyperlinks>
  <printOptions horizontalCentered="1"/>
  <pageMargins left="0.5" right="0.62187499999999996" top="1" bottom="0.75" header="0.3" footer="0.3"/>
  <pageSetup orientation="landscape" r:id="rId2"/>
  <headerFooter>
    <oddFooter>&amp;R&amp;"Times New Roman,Bold"Exhibit 4
Page 3 of 18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7622-E1B9-4F03-8F6C-852EFB6EB32B}">
  <sheetPr>
    <tabColor theme="6" tint="0.39997558519241921"/>
    <pageSetUpPr fitToPage="1"/>
  </sheetPr>
  <dimension ref="A1:AD58"/>
  <sheetViews>
    <sheetView zoomScale="80" zoomScaleNormal="80" workbookViewId="0"/>
  </sheetViews>
  <sheetFormatPr defaultColWidth="9.140625" defaultRowHeight="15.75"/>
  <cols>
    <col min="1" max="1" width="9.140625" style="473"/>
    <col min="2" max="2" width="44.7109375" style="26" customWidth="1"/>
    <col min="3" max="15" width="15.85546875" style="26" customWidth="1"/>
    <col min="16" max="16" width="12.140625" style="473" bestFit="1" customWidth="1"/>
    <col min="17" max="17" width="16.140625" style="473" bestFit="1" customWidth="1"/>
    <col min="18" max="30" width="14.85546875" style="473" customWidth="1"/>
    <col min="31" max="31" width="9.140625" style="473"/>
    <col min="32" max="32" width="10.5703125" style="473" bestFit="1" customWidth="1"/>
    <col min="33" max="16384" width="9.140625" style="473"/>
  </cols>
  <sheetData>
    <row r="1" spans="1:30" ht="18.75">
      <c r="A1" s="191" t="s">
        <v>67</v>
      </c>
      <c r="B1" s="197"/>
      <c r="C1" s="197"/>
      <c r="D1" s="197"/>
      <c r="E1" s="197"/>
      <c r="F1" s="197"/>
      <c r="G1" s="197"/>
      <c r="H1" s="197"/>
      <c r="I1" s="191"/>
      <c r="J1" s="191"/>
      <c r="K1" s="191"/>
      <c r="L1" s="191"/>
      <c r="M1" s="191"/>
      <c r="N1" s="191"/>
      <c r="O1" s="191"/>
      <c r="Q1" s="39"/>
      <c r="R1" s="39"/>
      <c r="S1" s="39"/>
      <c r="T1" s="39"/>
      <c r="U1" s="39"/>
      <c r="V1" s="39"/>
      <c r="W1" s="39"/>
      <c r="X1" s="480"/>
      <c r="Y1" s="480"/>
      <c r="Z1" s="480"/>
      <c r="AA1" s="480"/>
      <c r="AB1" s="480"/>
      <c r="AC1" s="480"/>
      <c r="AD1" s="480"/>
    </row>
    <row r="2" spans="1:30" ht="18.75">
      <c r="A2" s="191" t="s">
        <v>255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"/>
      <c r="Q2" s="39"/>
      <c r="R2" s="39"/>
      <c r="S2" s="39"/>
      <c r="T2" s="39"/>
      <c r="U2" s="39"/>
      <c r="V2" s="39"/>
      <c r="W2" s="39"/>
      <c r="X2" s="480"/>
      <c r="Y2" s="480"/>
      <c r="Z2" s="480"/>
      <c r="AA2" s="480"/>
      <c r="AB2" s="480"/>
      <c r="AC2" s="480"/>
      <c r="AD2" s="480"/>
    </row>
    <row r="3" spans="1:30" ht="18.75">
      <c r="A3" s="191" t="s">
        <v>161</v>
      </c>
      <c r="B3" s="197"/>
      <c r="C3" s="197"/>
      <c r="D3" s="197"/>
      <c r="E3" s="197"/>
      <c r="F3" s="197"/>
      <c r="G3" s="197"/>
      <c r="H3" s="197"/>
      <c r="I3" s="191"/>
      <c r="J3" s="191"/>
      <c r="K3" s="191"/>
      <c r="L3" s="191"/>
      <c r="M3" s="191"/>
      <c r="N3" s="191"/>
      <c r="O3" s="191"/>
      <c r="Q3" s="39"/>
      <c r="R3" s="39"/>
      <c r="S3" s="39"/>
      <c r="T3" s="39"/>
      <c r="U3" s="39"/>
      <c r="V3" s="39"/>
      <c r="W3" s="39"/>
      <c r="X3" s="480"/>
      <c r="Y3" s="480"/>
      <c r="Z3" s="480"/>
      <c r="AA3" s="480"/>
      <c r="AB3" s="480"/>
      <c r="AC3" s="480"/>
      <c r="AD3" s="480"/>
    </row>
    <row r="4" spans="1:30">
      <c r="Q4" s="480"/>
      <c r="R4" s="480"/>
      <c r="S4" s="480"/>
      <c r="T4" s="480"/>
      <c r="U4" s="480"/>
      <c r="V4" s="480"/>
      <c r="X4" s="480"/>
      <c r="Y4" s="480"/>
      <c r="Z4" s="480"/>
      <c r="AA4" s="480"/>
      <c r="AB4" s="480"/>
      <c r="AC4" s="480"/>
      <c r="AD4" s="480"/>
    </row>
    <row r="5" spans="1:30">
      <c r="Q5" s="480"/>
      <c r="R5" s="480"/>
      <c r="S5" s="480"/>
      <c r="T5" s="480"/>
      <c r="U5" s="480"/>
      <c r="V5" s="480"/>
      <c r="X5" s="480"/>
      <c r="Y5" s="480"/>
      <c r="Z5" s="480"/>
      <c r="AA5" s="480"/>
      <c r="AB5" s="480"/>
      <c r="AC5" s="480"/>
      <c r="AD5" s="480"/>
    </row>
    <row r="6" spans="1:30" s="29" customFormat="1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69</v>
      </c>
      <c r="Q6" s="473"/>
      <c r="R6" s="473"/>
      <c r="S6" s="473"/>
      <c r="T6" s="473"/>
      <c r="U6" s="473"/>
      <c r="V6" s="473"/>
      <c r="W6" s="473"/>
    </row>
    <row r="7" spans="1:30" ht="16.5" thickBot="1">
      <c r="A7" s="44" t="s">
        <v>5</v>
      </c>
      <c r="B7" s="44" t="s">
        <v>6</v>
      </c>
      <c r="C7" s="44" t="s">
        <v>86</v>
      </c>
      <c r="D7" s="44" t="s">
        <v>87</v>
      </c>
      <c r="E7" s="44" t="s">
        <v>259</v>
      </c>
      <c r="F7" s="44" t="s">
        <v>260</v>
      </c>
      <c r="G7" s="44" t="s">
        <v>88</v>
      </c>
      <c r="H7" s="44" t="s">
        <v>261</v>
      </c>
      <c r="I7" s="44" t="s">
        <v>89</v>
      </c>
      <c r="J7" s="44" t="s">
        <v>90</v>
      </c>
      <c r="K7" s="44" t="s">
        <v>91</v>
      </c>
      <c r="L7" s="44" t="s">
        <v>92</v>
      </c>
      <c r="M7" s="44" t="s">
        <v>93</v>
      </c>
      <c r="N7" s="44" t="s">
        <v>94</v>
      </c>
      <c r="O7" s="44">
        <v>2020</v>
      </c>
    </row>
    <row r="8" spans="1:3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479">
        <v>1</v>
      </c>
      <c r="B10" s="26" t="s">
        <v>250</v>
      </c>
      <c r="C10" s="456">
        <f>'2020 Capital Budget'!F27</f>
        <v>0</v>
      </c>
      <c r="D10" s="456">
        <f>'2020 Capital Budget'!G27</f>
        <v>0</v>
      </c>
      <c r="E10" s="456">
        <f>'2020 Capital Budget'!H27</f>
        <v>0</v>
      </c>
      <c r="F10" s="456">
        <f>'2020 Capital Budget'!I27</f>
        <v>0</v>
      </c>
      <c r="G10" s="456">
        <f>'2020 Capital Budget'!J27</f>
        <v>0</v>
      </c>
      <c r="H10" s="456">
        <f>'2020 Capital Budget'!K27</f>
        <v>0</v>
      </c>
      <c r="I10" s="456">
        <f>'2020 Capital Budget'!L27</f>
        <v>0</v>
      </c>
      <c r="J10" s="456">
        <f>'2020 Capital Budget'!M27</f>
        <v>0</v>
      </c>
      <c r="K10" s="456">
        <f>'2020 Capital Budget'!N27</f>
        <v>0</v>
      </c>
      <c r="L10" s="456">
        <f>'2020 Capital Budget'!O27</f>
        <v>0</v>
      </c>
      <c r="M10" s="456">
        <f>'2020 Capital Budget'!P27</f>
        <v>0</v>
      </c>
      <c r="N10" s="456">
        <f>'2020 Capital Budget'!Q27</f>
        <v>0</v>
      </c>
      <c r="O10" s="456">
        <f>SUM(C10:N10)</f>
        <v>0</v>
      </c>
      <c r="P10" s="481"/>
    </row>
    <row r="11" spans="1:30">
      <c r="A11" s="479">
        <f>A10+1</f>
        <v>2</v>
      </c>
      <c r="B11" s="26" t="s">
        <v>251</v>
      </c>
      <c r="C11" s="456">
        <f>SUM('2020 Capital Budget'!F22:F24,'2020 Capital Budget'!F28)</f>
        <v>0</v>
      </c>
      <c r="D11" s="456">
        <f>SUM('2020 Capital Budget'!G22:G24,'2020 Capital Budget'!G28)</f>
        <v>0</v>
      </c>
      <c r="E11" s="456">
        <f>SUM('2020 Capital Budget'!H22:H24,'2020 Capital Budget'!H28)</f>
        <v>0</v>
      </c>
      <c r="F11" s="456">
        <f>SUM('2020 Capital Budget'!I22:I24,'2020 Capital Budget'!I28)</f>
        <v>0</v>
      </c>
      <c r="G11" s="456">
        <f>SUM('2020 Capital Budget'!J22:J24,'2020 Capital Budget'!J28)</f>
        <v>0</v>
      </c>
      <c r="H11" s="456">
        <f>SUM('2020 Capital Budget'!K22:K24,'2020 Capital Budget'!K28)</f>
        <v>0</v>
      </c>
      <c r="I11" s="456">
        <f>SUM('2020 Capital Budget'!L22:L24,'2020 Capital Budget'!L28)</f>
        <v>0</v>
      </c>
      <c r="J11" s="456">
        <f>SUM('2020 Capital Budget'!M22:M24,'2020 Capital Budget'!M28)</f>
        <v>0</v>
      </c>
      <c r="K11" s="456">
        <f>SUM('2020 Capital Budget'!N22:N24,'2020 Capital Budget'!N28)</f>
        <v>0</v>
      </c>
      <c r="L11" s="456">
        <f>SUM('2020 Capital Budget'!O22:O24,'2020 Capital Budget'!O28)</f>
        <v>0</v>
      </c>
      <c r="M11" s="456">
        <f>SUM('2020 Capital Budget'!P22:P24,'2020 Capital Budget'!P28)</f>
        <v>0</v>
      </c>
      <c r="N11" s="456">
        <f>SUM('2020 Capital Budget'!Q22:Q24,'2020 Capital Budget'!Q28)</f>
        <v>0</v>
      </c>
      <c r="O11" s="456">
        <f t="shared" ref="O11:O14" si="0">SUM(C11:N11)</f>
        <v>0</v>
      </c>
      <c r="P11" s="481"/>
    </row>
    <row r="12" spans="1:30">
      <c r="A12" s="479">
        <f>A11+1</f>
        <v>3</v>
      </c>
      <c r="B12" s="26" t="s">
        <v>80</v>
      </c>
      <c r="C12" s="456">
        <f>'2020 Capital Budget'!F20+'2020 Capital Budget'!F21+'2020 Capital Budget'!F29</f>
        <v>271854.46999999788</v>
      </c>
      <c r="D12" s="456">
        <f>'2020 Capital Budget'!G20+'2020 Capital Budget'!G21+'2020 Capital Budget'!G29</f>
        <v>278586.05000000069</v>
      </c>
      <c r="E12" s="456">
        <f>'2020 Capital Budget'!H20+'2020 Capital Budget'!H21+'2020 Capital Budget'!H29</f>
        <v>293231.37000000011</v>
      </c>
      <c r="F12" s="456">
        <f>'2020 Capital Budget'!I20+'2020 Capital Budget'!I21+'2020 Capital Budget'!I29</f>
        <v>317329.32000000059</v>
      </c>
      <c r="G12" s="456">
        <f>'2020 Capital Budget'!J20+'2020 Capital Budget'!J21+'2020 Capital Budget'!J29</f>
        <v>261456.31000000023</v>
      </c>
      <c r="H12" s="456">
        <f>'2020 Capital Budget'!K20+'2020 Capital Budget'!K21+'2020 Capital Budget'!K29</f>
        <v>159639.23000000045</v>
      </c>
      <c r="I12" s="456">
        <f>'2020 Capital Budget'!L20+'2020 Capital Budget'!L21+'2020 Capital Budget'!L29</f>
        <v>189742.54999999888</v>
      </c>
      <c r="J12" s="456">
        <f>'2020 Capital Budget'!M20+'2020 Capital Budget'!M21+'2020 Capital Budget'!M29</f>
        <v>172596.26999999955</v>
      </c>
      <c r="K12" s="456">
        <f>'2020 Capital Budget'!N20+'2020 Capital Budget'!N21+'2020 Capital Budget'!N29</f>
        <v>246946.22000000044</v>
      </c>
      <c r="L12" s="456">
        <f>'2020 Capital Budget'!O20+'2020 Capital Budget'!O21+'2020 Capital Budget'!O29</f>
        <v>162124.74999999933</v>
      </c>
      <c r="M12" s="456">
        <f>'2020 Capital Budget'!P20+'2020 Capital Budget'!P21+'2020 Capital Budget'!P29</f>
        <v>261338.85000000306</v>
      </c>
      <c r="N12" s="456">
        <f>'2020 Capital Budget'!Q20+'2020 Capital Budget'!Q21+'2020 Capital Budget'!Q29</f>
        <v>-57042.10000000149</v>
      </c>
      <c r="O12" s="456">
        <f t="shared" si="0"/>
        <v>2557803.29</v>
      </c>
      <c r="P12" s="481"/>
    </row>
    <row r="13" spans="1:30">
      <c r="A13" s="479">
        <f>A12+1</f>
        <v>4</v>
      </c>
      <c r="B13" s="26" t="s">
        <v>81</v>
      </c>
      <c r="C13" s="456">
        <v>0</v>
      </c>
      <c r="D13" s="456">
        <v>0</v>
      </c>
      <c r="E13" s="456">
        <v>0</v>
      </c>
      <c r="F13" s="456">
        <v>0</v>
      </c>
      <c r="G13" s="456">
        <v>0</v>
      </c>
      <c r="H13" s="456">
        <v>0</v>
      </c>
      <c r="I13" s="456">
        <v>0</v>
      </c>
      <c r="J13" s="456">
        <v>0</v>
      </c>
      <c r="K13" s="456">
        <v>0</v>
      </c>
      <c r="L13" s="456">
        <v>0</v>
      </c>
      <c r="M13" s="456">
        <v>0</v>
      </c>
      <c r="N13" s="456">
        <v>0</v>
      </c>
      <c r="O13" s="456">
        <f t="shared" si="0"/>
        <v>0</v>
      </c>
      <c r="P13" s="481"/>
    </row>
    <row r="14" spans="1:30">
      <c r="A14" s="479">
        <f>A13+1</f>
        <v>5</v>
      </c>
      <c r="B14" s="26" t="s">
        <v>162</v>
      </c>
      <c r="C14" s="429">
        <f>SUM('2020 Capital Budget'!F9:F15,'2020 Capital Budget'!F25:F26)</f>
        <v>697211.59000000043</v>
      </c>
      <c r="D14" s="429">
        <f>SUM('2020 Capital Budget'!G9:G15,'2020 Capital Budget'!G25:G26)</f>
        <v>640468.62999999814</v>
      </c>
      <c r="E14" s="429">
        <f>SUM('2020 Capital Budget'!H9:H15,'2020 Capital Budget'!H25:H26)</f>
        <v>591597.35000000219</v>
      </c>
      <c r="F14" s="429">
        <f>SUM('2020 Capital Budget'!I9:I15,'2020 Capital Budget'!I25:I26)</f>
        <v>610011.24000000011</v>
      </c>
      <c r="G14" s="429">
        <f>SUM('2020 Capital Budget'!J9:J15,'2020 Capital Budget'!J25:J26)</f>
        <v>702324.73999999836</v>
      </c>
      <c r="H14" s="429">
        <f>SUM('2020 Capital Budget'!K9:K15,'2020 Capital Budget'!K25:K26)</f>
        <v>644069.79999999981</v>
      </c>
      <c r="I14" s="429">
        <f>SUM('2020 Capital Budget'!L9:L15,'2020 Capital Budget'!L25:L26)</f>
        <v>597907.8899999999</v>
      </c>
      <c r="J14" s="429">
        <f>SUM('2020 Capital Budget'!M9:M15,'2020 Capital Budget'!M25:M26)</f>
        <v>582688.73999999906</v>
      </c>
      <c r="K14" s="429">
        <f>SUM('2020 Capital Budget'!N9:N15,'2020 Capital Budget'!N25:N26)</f>
        <v>671327.76000000176</v>
      </c>
      <c r="L14" s="429">
        <f>SUM('2020 Capital Budget'!O9:O15,'2020 Capital Budget'!O25:O26)</f>
        <v>589093.44000000029</v>
      </c>
      <c r="M14" s="429">
        <f>SUM('2020 Capital Budget'!P9:P15,'2020 Capital Budget'!P25:P26)</f>
        <v>635920.57999999868</v>
      </c>
      <c r="N14" s="429">
        <f>SUM('2020 Capital Budget'!Q9:Q15,'2020 Capital Budget'!Q25:Q26)</f>
        <v>129515.38000000149</v>
      </c>
      <c r="O14" s="429">
        <f t="shared" si="0"/>
        <v>7092137.1400000015</v>
      </c>
      <c r="P14" s="482"/>
    </row>
    <row r="15" spans="1:30">
      <c r="A15" s="479">
        <f>A14+1</f>
        <v>6</v>
      </c>
      <c r="B15" s="26" t="s">
        <v>82</v>
      </c>
      <c r="C15" s="452">
        <f t="shared" ref="C15:N15" si="1">SUM(C10:C14)</f>
        <v>969066.05999999831</v>
      </c>
      <c r="D15" s="452">
        <f t="shared" si="1"/>
        <v>919054.67999999877</v>
      </c>
      <c r="E15" s="452">
        <f t="shared" si="1"/>
        <v>884828.7200000023</v>
      </c>
      <c r="F15" s="452">
        <f t="shared" si="1"/>
        <v>927340.56000000075</v>
      </c>
      <c r="G15" s="452">
        <f t="shared" si="1"/>
        <v>963781.04999999865</v>
      </c>
      <c r="H15" s="452">
        <f t="shared" si="1"/>
        <v>803709.03000000026</v>
      </c>
      <c r="I15" s="452">
        <f t="shared" si="1"/>
        <v>787650.43999999878</v>
      </c>
      <c r="J15" s="452">
        <f t="shared" si="1"/>
        <v>755285.00999999861</v>
      </c>
      <c r="K15" s="452">
        <f t="shared" si="1"/>
        <v>918273.98000000219</v>
      </c>
      <c r="L15" s="452">
        <f t="shared" si="1"/>
        <v>751218.18999999959</v>
      </c>
      <c r="M15" s="452">
        <f t="shared" si="1"/>
        <v>897259.4300000018</v>
      </c>
      <c r="N15" s="452">
        <f t="shared" si="1"/>
        <v>72473.279999999999</v>
      </c>
      <c r="O15" s="452">
        <f>SUM(O10:O14)</f>
        <v>9649940.4300000016</v>
      </c>
      <c r="P15" s="481"/>
      <c r="Q15" s="481"/>
    </row>
    <row r="16" spans="1:30">
      <c r="I16" s="452"/>
      <c r="J16" s="452"/>
      <c r="K16" s="452"/>
      <c r="L16" s="452"/>
      <c r="M16" s="452"/>
      <c r="N16" s="452"/>
      <c r="O16" s="452"/>
      <c r="P16" s="481"/>
    </row>
    <row r="17" spans="1:17">
      <c r="A17" s="479">
        <f>A15+1</f>
        <v>7</v>
      </c>
      <c r="B17" s="26" t="s">
        <v>252</v>
      </c>
      <c r="C17" s="35">
        <f>-'Base Rate Retirements 2020'!B6</f>
        <v>0</v>
      </c>
      <c r="D17" s="35">
        <f>-'Base Rate Retirements 2020'!C6</f>
        <v>0</v>
      </c>
      <c r="E17" s="35">
        <f>-'Base Rate Retirements 2020'!D6</f>
        <v>0</v>
      </c>
      <c r="F17" s="35">
        <f>-'Base Rate Retirements 2020'!E6</f>
        <v>0</v>
      </c>
      <c r="G17" s="35">
        <f>-'Base Rate Retirements 2020'!F6</f>
        <v>0</v>
      </c>
      <c r="H17" s="35">
        <f>-'Base Rate Retirements 2020'!G6</f>
        <v>0</v>
      </c>
      <c r="I17" s="35">
        <f>-'Base Rate Retirements 2020'!H6</f>
        <v>0</v>
      </c>
      <c r="J17" s="35">
        <f>-'Base Rate Retirements 2020'!I6</f>
        <v>0</v>
      </c>
      <c r="K17" s="35">
        <f>-'Base Rate Retirements 2020'!J6</f>
        <v>0</v>
      </c>
      <c r="L17" s="35">
        <f>-'Base Rate Retirements 2020'!K6</f>
        <v>0</v>
      </c>
      <c r="M17" s="35">
        <f>-'Base Rate Retirements 2020'!L6</f>
        <v>0</v>
      </c>
      <c r="N17" s="35">
        <f>-'Base Rate Retirements 2020'!M6</f>
        <v>0</v>
      </c>
      <c r="O17" s="456">
        <f>SUM(C17:N17)</f>
        <v>0</v>
      </c>
      <c r="P17" s="481"/>
    </row>
    <row r="18" spans="1:17" ht="16.5">
      <c r="A18" s="479">
        <f t="shared" ref="A18:A19" si="2">A17+1</f>
        <v>8</v>
      </c>
      <c r="B18" s="26" t="s">
        <v>756</v>
      </c>
      <c r="C18" s="368">
        <f>-'Base Rate Retirements 2020'!B7</f>
        <v>0</v>
      </c>
      <c r="D18" s="368">
        <f>-'Base Rate Retirements 2020'!C7</f>
        <v>0</v>
      </c>
      <c r="E18" s="368">
        <f>-'Base Rate Retirements 2020'!D7</f>
        <v>0</v>
      </c>
      <c r="F18" s="368">
        <f>-'Base Rate Retirements 2020'!E7</f>
        <v>0</v>
      </c>
      <c r="G18" s="368">
        <f>-'Base Rate Retirements 2020'!F7</f>
        <v>0</v>
      </c>
      <c r="H18" s="368">
        <f>-'Base Rate Retirements 2020'!G7</f>
        <v>0</v>
      </c>
      <c r="I18" s="368">
        <f>-'Base Rate Retirements 2020'!H7</f>
        <v>0</v>
      </c>
      <c r="J18" s="368">
        <f>-'Base Rate Retirements 2020'!I7</f>
        <v>0</v>
      </c>
      <c r="K18" s="368">
        <f>-'Base Rate Retirements 2020'!J7</f>
        <v>0</v>
      </c>
      <c r="L18" s="368">
        <f>-'Base Rate Retirements 2020'!K7</f>
        <v>0</v>
      </c>
      <c r="M18" s="368">
        <f>-'Base Rate Retirements 2020'!L7</f>
        <v>0</v>
      </c>
      <c r="N18" s="368">
        <f>-'Base Rate Retirements 2020'!M7</f>
        <v>0</v>
      </c>
      <c r="O18" s="368">
        <f>SUM(C18:N18)</f>
        <v>0</v>
      </c>
      <c r="P18" s="481"/>
    </row>
    <row r="19" spans="1:17">
      <c r="A19" s="479">
        <f t="shared" si="2"/>
        <v>9</v>
      </c>
      <c r="B19" s="26" t="s">
        <v>72</v>
      </c>
      <c r="C19" s="35">
        <f>-'Base Rate Retirements 2020'!B8</f>
        <v>0</v>
      </c>
      <c r="D19" s="35">
        <f>-'Base Rate Retirements 2020'!C8</f>
        <v>0</v>
      </c>
      <c r="E19" s="35">
        <f>-'Base Rate Retirements 2020'!D8</f>
        <v>0</v>
      </c>
      <c r="F19" s="35">
        <f>-'Base Rate Retirements 2020'!E8</f>
        <v>0</v>
      </c>
      <c r="G19" s="35">
        <f>-'Base Rate Retirements 2020'!F8</f>
        <v>0</v>
      </c>
      <c r="H19" s="35">
        <f>-'Base Rate Retirements 2020'!G8</f>
        <v>0</v>
      </c>
      <c r="I19" s="35">
        <f>-'Base Rate Retirements 2020'!H8</f>
        <v>0</v>
      </c>
      <c r="J19" s="35">
        <f>-'Base Rate Retirements 2020'!I8</f>
        <v>0</v>
      </c>
      <c r="K19" s="35">
        <f>-'Base Rate Retirements 2020'!J8</f>
        <v>0</v>
      </c>
      <c r="L19" s="35">
        <f>-'Base Rate Retirements 2020'!K8</f>
        <v>0</v>
      </c>
      <c r="M19" s="35">
        <f>-'Base Rate Retirements 2020'!L8</f>
        <v>0</v>
      </c>
      <c r="N19" s="35">
        <f>-'Base Rate Retirements 2020'!M8</f>
        <v>0</v>
      </c>
      <c r="O19" s="456">
        <f>SUM(C19:N19)</f>
        <v>0</v>
      </c>
      <c r="P19" s="481"/>
    </row>
    <row r="20" spans="1:17" s="487" customFormat="1">
      <c r="A20" s="485">
        <f>A19+1</f>
        <v>10</v>
      </c>
      <c r="B20" s="486" t="s">
        <v>73</v>
      </c>
      <c r="C20" s="35">
        <f>-'Base Rate Retirements 2020'!B9</f>
        <v>0</v>
      </c>
      <c r="D20" s="35">
        <f>-'Base Rate Retirements 2020'!C9</f>
        <v>0</v>
      </c>
      <c r="E20" s="35">
        <f>-'Base Rate Retirements 2020'!D9</f>
        <v>0</v>
      </c>
      <c r="F20" s="35">
        <f>-'Base Rate Retirements 2020'!E9</f>
        <v>0</v>
      </c>
      <c r="G20" s="35">
        <f>-'Base Rate Retirements 2020'!F9</f>
        <v>0</v>
      </c>
      <c r="H20" s="35">
        <f>-'Base Rate Retirements 2020'!G9</f>
        <v>0</v>
      </c>
      <c r="I20" s="35">
        <f>-'Base Rate Retirements 2020'!H9</f>
        <v>0</v>
      </c>
      <c r="J20" s="35">
        <f>-'Base Rate Retirements 2020'!I9</f>
        <v>0</v>
      </c>
      <c r="K20" s="35">
        <f>-'Base Rate Retirements 2020'!J9</f>
        <v>0</v>
      </c>
      <c r="L20" s="35">
        <f>-'Base Rate Retirements 2020'!K9</f>
        <v>0</v>
      </c>
      <c r="M20" s="35">
        <f>-'Base Rate Retirements 2020'!L9</f>
        <v>0</v>
      </c>
      <c r="N20" s="35">
        <f>-'Base Rate Retirements 2020'!M9</f>
        <v>0</v>
      </c>
      <c r="O20" s="456">
        <f>SUM(C20:N20)</f>
        <v>0</v>
      </c>
      <c r="P20" s="482"/>
    </row>
    <row r="21" spans="1:17">
      <c r="A21" s="483">
        <f>A20+1</f>
        <v>11</v>
      </c>
      <c r="B21" s="484" t="s">
        <v>597</v>
      </c>
      <c r="C21" s="359">
        <f>-'Base Rate Retirements 2020'!B10</f>
        <v>0</v>
      </c>
      <c r="D21" s="359">
        <f>-'Base Rate Retirements 2020'!C10</f>
        <v>0</v>
      </c>
      <c r="E21" s="359">
        <f>-'Base Rate Retirements 2020'!D10</f>
        <v>0</v>
      </c>
      <c r="F21" s="359">
        <f>-'Base Rate Retirements 2020'!E10</f>
        <v>0</v>
      </c>
      <c r="G21" s="359">
        <f>-'Base Rate Retirements 2020'!F10</f>
        <v>0</v>
      </c>
      <c r="H21" s="359">
        <f>-'Base Rate Retirements 2020'!G10</f>
        <v>0</v>
      </c>
      <c r="I21" s="359">
        <f>-'Base Rate Retirements 2020'!H10</f>
        <v>0</v>
      </c>
      <c r="J21" s="359">
        <f>-'Base Rate Retirements 2020'!I10</f>
        <v>0</v>
      </c>
      <c r="K21" s="359">
        <f>-'Base Rate Retirements 2020'!J10</f>
        <v>0</v>
      </c>
      <c r="L21" s="359">
        <f>-'Base Rate Retirements 2020'!K10</f>
        <v>0</v>
      </c>
      <c r="M21" s="359">
        <f>-'Base Rate Retirements 2020'!L10</f>
        <v>0</v>
      </c>
      <c r="N21" s="359">
        <f>-'Base Rate Retirements 2020'!M10</f>
        <v>0</v>
      </c>
      <c r="O21" s="359">
        <f>SUM(C21:N21)</f>
        <v>0</v>
      </c>
      <c r="P21" s="481"/>
    </row>
    <row r="22" spans="1:17">
      <c r="A22" s="479">
        <f>A21+1</f>
        <v>12</v>
      </c>
      <c r="B22" s="26" t="s">
        <v>180</v>
      </c>
      <c r="C22" s="368">
        <f>SUM(C17:C21)</f>
        <v>0</v>
      </c>
      <c r="D22" s="368">
        <f t="shared" ref="D22:N22" si="3">SUM(D17:D21)</f>
        <v>0</v>
      </c>
      <c r="E22" s="368">
        <f t="shared" si="3"/>
        <v>0</v>
      </c>
      <c r="F22" s="368">
        <f t="shared" si="3"/>
        <v>0</v>
      </c>
      <c r="G22" s="368">
        <f t="shared" si="3"/>
        <v>0</v>
      </c>
      <c r="H22" s="368">
        <f t="shared" si="3"/>
        <v>0</v>
      </c>
      <c r="I22" s="368">
        <f t="shared" si="3"/>
        <v>0</v>
      </c>
      <c r="J22" s="368">
        <f t="shared" si="3"/>
        <v>0</v>
      </c>
      <c r="K22" s="368">
        <f t="shared" si="3"/>
        <v>0</v>
      </c>
      <c r="L22" s="368">
        <f t="shared" si="3"/>
        <v>0</v>
      </c>
      <c r="M22" s="368">
        <f t="shared" si="3"/>
        <v>0</v>
      </c>
      <c r="N22" s="368">
        <f t="shared" si="3"/>
        <v>0</v>
      </c>
      <c r="O22" s="368">
        <f>SUM(O17:O21)</f>
        <v>0</v>
      </c>
      <c r="P22" s="481"/>
    </row>
    <row r="23" spans="1:17">
      <c r="A23" s="479"/>
      <c r="I23" s="456"/>
      <c r="J23" s="456"/>
      <c r="K23" s="456"/>
      <c r="L23" s="456"/>
      <c r="M23" s="456"/>
      <c r="N23" s="456"/>
      <c r="O23" s="456"/>
      <c r="P23" s="481"/>
    </row>
    <row r="24" spans="1:17">
      <c r="A24" s="479">
        <f>A22+1</f>
        <v>13</v>
      </c>
      <c r="B24" s="26" t="s">
        <v>709</v>
      </c>
      <c r="C24" s="452">
        <f>-'Base Rate Retirements 2020'!B17</f>
        <v>0</v>
      </c>
      <c r="D24" s="452">
        <f>-'Base Rate Retirements 2020'!C17</f>
        <v>0</v>
      </c>
      <c r="E24" s="452">
        <f>-'Base Rate Retirements 2020'!D17</f>
        <v>0</v>
      </c>
      <c r="F24" s="452">
        <f>-'Base Rate Retirements 2020'!E17</f>
        <v>0</v>
      </c>
      <c r="G24" s="452">
        <f>-'Base Rate Retirements 2020'!F17</f>
        <v>0</v>
      </c>
      <c r="H24" s="452">
        <f>-'Base Rate Retirements 2020'!G17</f>
        <v>0</v>
      </c>
      <c r="I24" s="452">
        <f>-'Base Rate Retirements 2020'!H17</f>
        <v>0</v>
      </c>
      <c r="J24" s="452">
        <f>-'Base Rate Retirements 2020'!I17</f>
        <v>0</v>
      </c>
      <c r="K24" s="452">
        <f>-'Base Rate Retirements 2020'!J17</f>
        <v>0</v>
      </c>
      <c r="L24" s="452">
        <f>-'Base Rate Retirements 2020'!K17</f>
        <v>0</v>
      </c>
      <c r="M24" s="452">
        <f>-'Base Rate Retirements 2020'!L17</f>
        <v>0</v>
      </c>
      <c r="N24" s="452">
        <f>-'Base Rate Retirements 2020'!M17</f>
        <v>0</v>
      </c>
      <c r="O24" s="452">
        <f>SUM(C24:N24)</f>
        <v>0</v>
      </c>
      <c r="P24" s="481"/>
    </row>
    <row r="25" spans="1:17">
      <c r="A25" s="479">
        <f>A24+1</f>
        <v>14</v>
      </c>
      <c r="B25" s="26" t="s">
        <v>758</v>
      </c>
      <c r="C25" s="452">
        <f>-'Base Rate Retirements 2020'!B18</f>
        <v>0</v>
      </c>
      <c r="D25" s="452">
        <f>-'Base Rate Retirements 2020'!C18</f>
        <v>0</v>
      </c>
      <c r="E25" s="452">
        <f>-'Base Rate Retirements 2020'!D18</f>
        <v>0</v>
      </c>
      <c r="F25" s="452">
        <f>-'Base Rate Retirements 2020'!E18</f>
        <v>0</v>
      </c>
      <c r="G25" s="452">
        <f>-'Base Rate Retirements 2020'!F18</f>
        <v>0</v>
      </c>
      <c r="H25" s="452">
        <f>-'Base Rate Retirements 2020'!G18</f>
        <v>0</v>
      </c>
      <c r="I25" s="452">
        <f>-'Base Rate Retirements 2020'!H18</f>
        <v>0</v>
      </c>
      <c r="J25" s="452">
        <f>-'Base Rate Retirements 2020'!I18</f>
        <v>0</v>
      </c>
      <c r="K25" s="452">
        <f>-'Base Rate Retirements 2020'!J18</f>
        <v>0</v>
      </c>
      <c r="L25" s="452">
        <f>-'Base Rate Retirements 2020'!K18</f>
        <v>0</v>
      </c>
      <c r="M25" s="452">
        <f>-'Base Rate Retirements 2020'!L18</f>
        <v>0</v>
      </c>
      <c r="N25" s="452">
        <f>-'Base Rate Retirements 2020'!M18</f>
        <v>0</v>
      </c>
      <c r="O25" s="452">
        <f>SUM(C25:N25)</f>
        <v>0</v>
      </c>
      <c r="P25" s="481"/>
    </row>
    <row r="26" spans="1:17">
      <c r="A26" s="479">
        <f t="shared" ref="A26:A29" si="4">A25+1</f>
        <v>15</v>
      </c>
      <c r="B26" s="26" t="s">
        <v>710</v>
      </c>
      <c r="C26" s="452">
        <f>-'Base Rate Retirements 2020'!B19</f>
        <v>0</v>
      </c>
      <c r="D26" s="452">
        <f>-'Base Rate Retirements 2020'!C19</f>
        <v>0</v>
      </c>
      <c r="E26" s="452">
        <f>-'Base Rate Retirements 2020'!D19</f>
        <v>0</v>
      </c>
      <c r="F26" s="452">
        <f>-'Base Rate Retirements 2020'!E19</f>
        <v>0</v>
      </c>
      <c r="G26" s="452">
        <f>-'Base Rate Retirements 2020'!F19</f>
        <v>0</v>
      </c>
      <c r="H26" s="452">
        <f>-'Base Rate Retirements 2020'!G19</f>
        <v>0</v>
      </c>
      <c r="I26" s="452">
        <f>-'Base Rate Retirements 2020'!H19</f>
        <v>0</v>
      </c>
      <c r="J26" s="452">
        <f>-'Base Rate Retirements 2020'!I19</f>
        <v>0</v>
      </c>
      <c r="K26" s="452">
        <f>-'Base Rate Retirements 2020'!J19</f>
        <v>0</v>
      </c>
      <c r="L26" s="452">
        <f>-'Base Rate Retirements 2020'!K19</f>
        <v>0</v>
      </c>
      <c r="M26" s="452">
        <f>-'Base Rate Retirements 2020'!L19</f>
        <v>0</v>
      </c>
      <c r="N26" s="452">
        <f>-'Base Rate Retirements 2020'!M19</f>
        <v>0</v>
      </c>
      <c r="O26" s="452">
        <f>SUM(C26:N26)</f>
        <v>0</v>
      </c>
      <c r="P26" s="481"/>
    </row>
    <row r="27" spans="1:17">
      <c r="A27" s="479">
        <f t="shared" si="4"/>
        <v>16</v>
      </c>
      <c r="B27" s="26" t="s">
        <v>711</v>
      </c>
      <c r="C27" s="452">
        <f>-'Base Rate Retirements 2020'!B20</f>
        <v>0</v>
      </c>
      <c r="D27" s="452">
        <f>-'Base Rate Retirements 2020'!C20</f>
        <v>0</v>
      </c>
      <c r="E27" s="452">
        <f>-'Base Rate Retirements 2020'!D20</f>
        <v>0</v>
      </c>
      <c r="F27" s="452">
        <f>-'Base Rate Retirements 2020'!E20</f>
        <v>0</v>
      </c>
      <c r="G27" s="452">
        <f>-'Base Rate Retirements 2020'!F20</f>
        <v>0</v>
      </c>
      <c r="H27" s="452">
        <f>-'Base Rate Retirements 2020'!G20</f>
        <v>0</v>
      </c>
      <c r="I27" s="452">
        <f>-'Base Rate Retirements 2020'!H20</f>
        <v>0</v>
      </c>
      <c r="J27" s="452">
        <f>-'Base Rate Retirements 2020'!I20</f>
        <v>0</v>
      </c>
      <c r="K27" s="452">
        <f>-'Base Rate Retirements 2020'!J20</f>
        <v>0</v>
      </c>
      <c r="L27" s="452">
        <f>-'Base Rate Retirements 2020'!K20</f>
        <v>0</v>
      </c>
      <c r="M27" s="452">
        <f>-'Base Rate Retirements 2020'!L20</f>
        <v>0</v>
      </c>
      <c r="N27" s="452">
        <f>-'Base Rate Retirements 2020'!M20</f>
        <v>0</v>
      </c>
      <c r="O27" s="452">
        <f>SUM(C27:N27)</f>
        <v>0</v>
      </c>
      <c r="P27" s="481"/>
    </row>
    <row r="28" spans="1:17">
      <c r="A28" s="479">
        <f t="shared" si="4"/>
        <v>17</v>
      </c>
      <c r="B28" s="26" t="s">
        <v>712</v>
      </c>
      <c r="C28" s="452">
        <f>-'Base Rate Retirements 2020'!B21</f>
        <v>0</v>
      </c>
      <c r="D28" s="452">
        <f>-'Base Rate Retirements 2020'!C21</f>
        <v>0</v>
      </c>
      <c r="E28" s="452">
        <f>-'Base Rate Retirements 2020'!D21</f>
        <v>0</v>
      </c>
      <c r="F28" s="452">
        <f>-'Base Rate Retirements 2020'!E21</f>
        <v>0</v>
      </c>
      <c r="G28" s="452">
        <f>-'Base Rate Retirements 2020'!F21</f>
        <v>0</v>
      </c>
      <c r="H28" s="452">
        <f>-'Base Rate Retirements 2020'!G21</f>
        <v>0</v>
      </c>
      <c r="I28" s="452">
        <f>-'Base Rate Retirements 2020'!H21</f>
        <v>0</v>
      </c>
      <c r="J28" s="452">
        <f>-'Base Rate Retirements 2020'!I21</f>
        <v>0</v>
      </c>
      <c r="K28" s="452">
        <f>-'Base Rate Retirements 2020'!J21</f>
        <v>0</v>
      </c>
      <c r="L28" s="452">
        <f>-'Base Rate Retirements 2020'!K21</f>
        <v>0</v>
      </c>
      <c r="M28" s="452">
        <f>-'Base Rate Retirements 2020'!L21</f>
        <v>0</v>
      </c>
      <c r="N28" s="452">
        <f>-'Base Rate Retirements 2020'!M21</f>
        <v>0</v>
      </c>
      <c r="O28" s="452">
        <f>SUM(C28:N28)</f>
        <v>0</v>
      </c>
      <c r="P28" s="481"/>
    </row>
    <row r="29" spans="1:17">
      <c r="A29" s="479">
        <f t="shared" si="4"/>
        <v>18</v>
      </c>
      <c r="B29" s="26" t="s">
        <v>82</v>
      </c>
      <c r="C29" s="584">
        <f>SUM(C24:C28)</f>
        <v>0</v>
      </c>
      <c r="D29" s="584">
        <f t="shared" ref="D29:N29" si="5">SUM(D24:D28)</f>
        <v>0</v>
      </c>
      <c r="E29" s="584">
        <f t="shared" si="5"/>
        <v>0</v>
      </c>
      <c r="F29" s="584">
        <f t="shared" si="5"/>
        <v>0</v>
      </c>
      <c r="G29" s="584">
        <f t="shared" si="5"/>
        <v>0</v>
      </c>
      <c r="H29" s="584">
        <f t="shared" si="5"/>
        <v>0</v>
      </c>
      <c r="I29" s="584">
        <f t="shared" si="5"/>
        <v>0</v>
      </c>
      <c r="J29" s="584">
        <f t="shared" si="5"/>
        <v>0</v>
      </c>
      <c r="K29" s="584">
        <f t="shared" si="5"/>
        <v>0</v>
      </c>
      <c r="L29" s="584">
        <f t="shared" si="5"/>
        <v>0</v>
      </c>
      <c r="M29" s="584">
        <f t="shared" si="5"/>
        <v>0</v>
      </c>
      <c r="N29" s="584">
        <f t="shared" si="5"/>
        <v>0</v>
      </c>
      <c r="O29" s="584">
        <f>SUM(O24:O28)</f>
        <v>0</v>
      </c>
      <c r="P29" s="481"/>
      <c r="Q29" s="481"/>
    </row>
    <row r="30" spans="1:17">
      <c r="A30" s="479"/>
      <c r="I30" s="452"/>
      <c r="J30" s="452"/>
      <c r="K30" s="452"/>
      <c r="L30" s="452"/>
      <c r="M30" s="452"/>
      <c r="N30" s="452"/>
      <c r="O30" s="452"/>
      <c r="P30" s="481"/>
    </row>
    <row r="31" spans="1:17" ht="16.5" customHeight="1">
      <c r="A31" s="479">
        <f>A29+1</f>
        <v>19</v>
      </c>
      <c r="B31" s="26" t="s">
        <v>253</v>
      </c>
      <c r="C31" s="452">
        <v>0</v>
      </c>
      <c r="D31" s="452">
        <v>0</v>
      </c>
      <c r="E31" s="452">
        <v>0</v>
      </c>
      <c r="F31" s="452">
        <v>0</v>
      </c>
      <c r="G31" s="452">
        <v>0</v>
      </c>
      <c r="H31" s="452">
        <v>0</v>
      </c>
      <c r="I31" s="452">
        <v>0</v>
      </c>
      <c r="J31" s="452">
        <v>0</v>
      </c>
      <c r="K31" s="452">
        <v>0</v>
      </c>
      <c r="L31" s="452">
        <v>0</v>
      </c>
      <c r="M31" s="452">
        <v>0</v>
      </c>
      <c r="N31" s="452">
        <v>0</v>
      </c>
      <c r="O31" s="456">
        <f>SUM(C31:N31)</f>
        <v>0</v>
      </c>
      <c r="P31" s="481"/>
    </row>
    <row r="32" spans="1:17" ht="16.5" customHeight="1">
      <c r="A32" s="479">
        <f>A31+1</f>
        <v>20</v>
      </c>
      <c r="B32" s="26" t="s">
        <v>328</v>
      </c>
      <c r="C32" s="452">
        <f>SUM('2020 Capital Budget'!F38:F41)</f>
        <v>0</v>
      </c>
      <c r="D32" s="452">
        <f>SUM('2020 Capital Budget'!G38:G41)</f>
        <v>0</v>
      </c>
      <c r="E32" s="452">
        <f>SUM('2020 Capital Budget'!H38:H41)</f>
        <v>0</v>
      </c>
      <c r="F32" s="452">
        <f>SUM('2020 Capital Budget'!I38:I41)</f>
        <v>0</v>
      </c>
      <c r="G32" s="452">
        <f>SUM('2020 Capital Budget'!J38:J41)</f>
        <v>0</v>
      </c>
      <c r="H32" s="452">
        <f>SUM('2020 Capital Budget'!K38:K41)</f>
        <v>0</v>
      </c>
      <c r="I32" s="452">
        <f>SUM('2020 Capital Budget'!L38:L41)</f>
        <v>0</v>
      </c>
      <c r="J32" s="452">
        <f>SUM('2020 Capital Budget'!M38:M41)</f>
        <v>0</v>
      </c>
      <c r="K32" s="452">
        <f>SUM('2020 Capital Budget'!N38:N41)</f>
        <v>0</v>
      </c>
      <c r="L32" s="452">
        <f>SUM('2020 Capital Budget'!O38:O41)</f>
        <v>0</v>
      </c>
      <c r="M32" s="452">
        <f>SUM('2020 Capital Budget'!P38:P41)</f>
        <v>0</v>
      </c>
      <c r="N32" s="452">
        <f>SUM('2020 Capital Budget'!Q38:Q41)</f>
        <v>0</v>
      </c>
      <c r="O32" s="456">
        <f>SUM(C32:N32)</f>
        <v>0</v>
      </c>
      <c r="P32" s="481"/>
    </row>
    <row r="33" spans="1:30">
      <c r="A33" s="479">
        <f t="shared" ref="A33:A35" si="6">A32+1</f>
        <v>21</v>
      </c>
      <c r="B33" s="26" t="s">
        <v>83</v>
      </c>
      <c r="C33" s="509">
        <f>SUM('2020 Capital Budget'!F36:F37,'2020 Capital Budget'!F44)</f>
        <v>42155.369999999995</v>
      </c>
      <c r="D33" s="509">
        <f>SUM('2020 Capital Budget'!G36:G37,'2020 Capital Budget'!G44)</f>
        <v>100571.17</v>
      </c>
      <c r="E33" s="509">
        <f>SUM('2020 Capital Budget'!H36:H37,'2020 Capital Budget'!H44)</f>
        <v>175695.94</v>
      </c>
      <c r="F33" s="509">
        <f>SUM('2020 Capital Budget'!I36:I37,'2020 Capital Budget'!I44)</f>
        <v>111533.73</v>
      </c>
      <c r="G33" s="509">
        <f>SUM('2020 Capital Budget'!J36:J37,'2020 Capital Budget'!J44)</f>
        <v>112107.56</v>
      </c>
      <c r="H33" s="509">
        <f>SUM('2020 Capital Budget'!K36:K37,'2020 Capital Budget'!K44)</f>
        <v>129396.25</v>
      </c>
      <c r="I33" s="509">
        <f>SUM('2020 Capital Budget'!L36:L37,'2020 Capital Budget'!L44)</f>
        <v>45603.539999999994</v>
      </c>
      <c r="J33" s="509">
        <f>SUM('2020 Capital Budget'!M36:M37,'2020 Capital Budget'!M44)</f>
        <v>46588.78</v>
      </c>
      <c r="K33" s="509">
        <f>SUM('2020 Capital Budget'!N36:N37,'2020 Capital Budget'!N44)</f>
        <v>43699.11</v>
      </c>
      <c r="L33" s="509">
        <f>SUM('2020 Capital Budget'!O36:O37,'2020 Capital Budget'!O44)</f>
        <v>186553.30000000002</v>
      </c>
      <c r="M33" s="509">
        <f>SUM('2020 Capital Budget'!P36:P37,'2020 Capital Budget'!P44)</f>
        <v>110719.84</v>
      </c>
      <c r="N33" s="509">
        <f>SUM('2020 Capital Budget'!Q36:Q37,'2020 Capital Budget'!Q44)</f>
        <v>-4495.0799999999981</v>
      </c>
      <c r="O33" s="510">
        <f t="shared" ref="O33:O34" si="7">SUM(C33:N33)</f>
        <v>1100129.51</v>
      </c>
      <c r="P33" s="489"/>
    </row>
    <row r="34" spans="1:30" s="487" customFormat="1">
      <c r="A34" s="485">
        <f t="shared" si="6"/>
        <v>22</v>
      </c>
      <c r="B34" s="486" t="s">
        <v>84</v>
      </c>
      <c r="C34" s="510">
        <v>0</v>
      </c>
      <c r="D34" s="510">
        <v>0</v>
      </c>
      <c r="E34" s="510">
        <v>0</v>
      </c>
      <c r="F34" s="510">
        <v>0</v>
      </c>
      <c r="G34" s="510">
        <v>0</v>
      </c>
      <c r="H34" s="510">
        <v>0</v>
      </c>
      <c r="I34" s="510">
        <v>0</v>
      </c>
      <c r="J34" s="510">
        <v>0</v>
      </c>
      <c r="K34" s="510">
        <v>0</v>
      </c>
      <c r="L34" s="510">
        <v>0</v>
      </c>
      <c r="M34" s="510">
        <v>0</v>
      </c>
      <c r="N34" s="510">
        <v>0</v>
      </c>
      <c r="O34" s="510">
        <f t="shared" si="7"/>
        <v>0</v>
      </c>
      <c r="P34" s="488"/>
    </row>
    <row r="35" spans="1:30">
      <c r="A35" s="483">
        <f t="shared" si="6"/>
        <v>23</v>
      </c>
      <c r="B35" s="484" t="s">
        <v>596</v>
      </c>
      <c r="C35" s="511">
        <f>SUM('2020 Capital Budget'!F33:F35,'2020 Capital Budget'!F42:F43)</f>
        <v>0</v>
      </c>
      <c r="D35" s="511">
        <f>SUM('2020 Capital Budget'!G33:G35,'2020 Capital Budget'!G42:G43)</f>
        <v>0</v>
      </c>
      <c r="E35" s="511">
        <f>SUM('2020 Capital Budget'!H33:H35,'2020 Capital Budget'!H42:H43)</f>
        <v>0</v>
      </c>
      <c r="F35" s="511">
        <f>SUM('2020 Capital Budget'!I33:I35,'2020 Capital Budget'!I42:I43)</f>
        <v>0</v>
      </c>
      <c r="G35" s="511">
        <f>SUM('2020 Capital Budget'!J33:J35,'2020 Capital Budget'!J42:J43)</f>
        <v>2263.0500000000002</v>
      </c>
      <c r="H35" s="511">
        <f>SUM('2020 Capital Budget'!K33:K35,'2020 Capital Budget'!K42:K43)</f>
        <v>0</v>
      </c>
      <c r="I35" s="511">
        <f>SUM('2020 Capital Budget'!L33:L35,'2020 Capital Budget'!L42:L43)</f>
        <v>0</v>
      </c>
      <c r="J35" s="511">
        <f>SUM('2020 Capital Budget'!M33:M35,'2020 Capital Budget'!M42:M43)</f>
        <v>31868.400000000001</v>
      </c>
      <c r="K35" s="511">
        <f>SUM('2020 Capital Budget'!N33:N35,'2020 Capital Budget'!N42:N43)</f>
        <v>-31868.400000000001</v>
      </c>
      <c r="L35" s="511">
        <f>SUM('2020 Capital Budget'!O33:O35,'2020 Capital Budget'!O42:O43)</f>
        <v>0</v>
      </c>
      <c r="M35" s="511">
        <f>SUM('2020 Capital Budget'!P33:P35,'2020 Capital Budget'!P42:P43)</f>
        <v>0</v>
      </c>
      <c r="N35" s="511">
        <f>SUM('2020 Capital Budget'!Q33:Q35,'2020 Capital Budget'!Q42:Q43)</f>
        <v>0</v>
      </c>
      <c r="O35" s="511">
        <f>SUM(C35:N35)</f>
        <v>2263.0500000000029</v>
      </c>
      <c r="P35" s="482"/>
    </row>
    <row r="36" spans="1:30">
      <c r="A36" s="479">
        <f>A35+1</f>
        <v>24</v>
      </c>
      <c r="B36" s="26" t="s">
        <v>85</v>
      </c>
      <c r="C36" s="369">
        <f>SUM(C31:C35)</f>
        <v>42155.369999999995</v>
      </c>
      <c r="D36" s="369">
        <f t="shared" ref="D36:N36" si="8">SUM(D31:D35)</f>
        <v>100571.17</v>
      </c>
      <c r="E36" s="369">
        <f t="shared" si="8"/>
        <v>175695.94</v>
      </c>
      <c r="F36" s="369">
        <f t="shared" si="8"/>
        <v>111533.73</v>
      </c>
      <c r="G36" s="369">
        <f t="shared" si="8"/>
        <v>114370.61</v>
      </c>
      <c r="H36" s="369">
        <f t="shared" si="8"/>
        <v>129396.25</v>
      </c>
      <c r="I36" s="369">
        <f t="shared" si="8"/>
        <v>45603.539999999994</v>
      </c>
      <c r="J36" s="369">
        <f t="shared" si="8"/>
        <v>78457.179999999993</v>
      </c>
      <c r="K36" s="369">
        <f t="shared" si="8"/>
        <v>11830.71</v>
      </c>
      <c r="L36" s="369">
        <f t="shared" si="8"/>
        <v>186553.30000000002</v>
      </c>
      <c r="M36" s="369">
        <f t="shared" si="8"/>
        <v>110719.84</v>
      </c>
      <c r="N36" s="369">
        <f t="shared" si="8"/>
        <v>-4495.0799999999981</v>
      </c>
      <c r="O36" s="369">
        <f>SUM(O31:O35)</f>
        <v>1102392.56</v>
      </c>
      <c r="P36" s="481"/>
    </row>
    <row r="37" spans="1:30">
      <c r="A37" s="479"/>
      <c r="I37" s="452"/>
      <c r="J37" s="452"/>
      <c r="K37" s="452"/>
      <c r="L37" s="452"/>
      <c r="M37" s="452"/>
      <c r="N37" s="452"/>
      <c r="O37" s="452"/>
      <c r="P37" s="481"/>
    </row>
    <row r="38" spans="1:30">
      <c r="A38" s="479">
        <f>A36+1</f>
        <v>25</v>
      </c>
      <c r="B38" s="26" t="s">
        <v>587</v>
      </c>
      <c r="C38" s="452">
        <f>'COS Budget 2020'!H33</f>
        <v>191850.95</v>
      </c>
      <c r="D38" s="452">
        <f>'COS Budget 2020'!I33</f>
        <v>109915.09</v>
      </c>
      <c r="E38" s="452">
        <f>'COS Budget 2020'!J33</f>
        <v>77236.679999999993</v>
      </c>
      <c r="F38" s="452">
        <f>'COS Budget 2020'!K33</f>
        <v>89067.53</v>
      </c>
      <c r="G38" s="452">
        <f>'COS Budget 2020'!L33</f>
        <v>200109.46</v>
      </c>
      <c r="H38" s="452">
        <f>'COS Budget 2020'!M33</f>
        <v>82944.179999999993</v>
      </c>
      <c r="I38" s="452">
        <f>'COS Budget 2020'!N33</f>
        <v>127792.47</v>
      </c>
      <c r="J38" s="452">
        <f>'COS Budget 2020'!O33</f>
        <v>102549.29999999999</v>
      </c>
      <c r="K38" s="452">
        <f>'COS Budget 2020'!P33</f>
        <v>144152.28</v>
      </c>
      <c r="L38" s="452">
        <f>'COS Budget 2020'!Q33</f>
        <v>128711.62</v>
      </c>
      <c r="M38" s="452">
        <f>'COS Budget 2020'!R33</f>
        <v>107195.41</v>
      </c>
      <c r="N38" s="452">
        <f>'COS Budget 2020'!S33</f>
        <v>99030.180000000008</v>
      </c>
      <c r="O38" s="452">
        <f>SUM(C38:N38)</f>
        <v>1460555.15</v>
      </c>
      <c r="P38" s="481"/>
    </row>
    <row r="39" spans="1:30">
      <c r="A39" s="479">
        <f t="shared" ref="A39:A41" si="9">A38+1</f>
        <v>26</v>
      </c>
      <c r="B39" s="26" t="s">
        <v>588</v>
      </c>
      <c r="C39" s="452">
        <f>'COS Budget 2020'!H34</f>
        <v>0</v>
      </c>
      <c r="D39" s="452">
        <f>'COS Budget 2020'!I34</f>
        <v>0</v>
      </c>
      <c r="E39" s="452">
        <f>'COS Budget 2020'!J34</f>
        <v>0</v>
      </c>
      <c r="F39" s="452">
        <f>'COS Budget 2020'!K34</f>
        <v>0</v>
      </c>
      <c r="G39" s="452">
        <f>'COS Budget 2020'!L34</f>
        <v>0</v>
      </c>
      <c r="H39" s="452">
        <f>'COS Budget 2020'!M34</f>
        <v>0</v>
      </c>
      <c r="I39" s="452">
        <f>'COS Budget 2020'!N34</f>
        <v>0</v>
      </c>
      <c r="J39" s="452">
        <f>'COS Budget 2020'!O34</f>
        <v>0</v>
      </c>
      <c r="K39" s="452">
        <f>'COS Budget 2020'!P34</f>
        <v>0</v>
      </c>
      <c r="L39" s="452">
        <f>'COS Budget 2020'!Q34</f>
        <v>0</v>
      </c>
      <c r="M39" s="452">
        <f>'COS Budget 2020'!R34</f>
        <v>0</v>
      </c>
      <c r="N39" s="452">
        <f>'COS Budget 2020'!S34</f>
        <v>0</v>
      </c>
      <c r="O39" s="452">
        <f>SUM(C39:N39)</f>
        <v>0</v>
      </c>
      <c r="P39" s="481"/>
    </row>
    <row r="40" spans="1:30">
      <c r="A40" s="479">
        <f t="shared" si="9"/>
        <v>27</v>
      </c>
      <c r="B40" s="26" t="s">
        <v>457</v>
      </c>
      <c r="C40" s="452">
        <f>'COS Budget 2020'!H36</f>
        <v>68347</v>
      </c>
      <c r="D40" s="452">
        <f>'COS Budget 2020'!I36</f>
        <v>68347</v>
      </c>
      <c r="E40" s="452">
        <f>'COS Budget 2020'!J36</f>
        <v>68347</v>
      </c>
      <c r="F40" s="452">
        <f>'COS Budget 2020'!K36</f>
        <v>68347</v>
      </c>
      <c r="G40" s="452">
        <f>'COS Budget 2020'!L36</f>
        <v>68347</v>
      </c>
      <c r="H40" s="452">
        <f>'COS Budget 2020'!M36</f>
        <v>68347</v>
      </c>
      <c r="I40" s="452">
        <f>'COS Budget 2020'!N36</f>
        <v>68347</v>
      </c>
      <c r="J40" s="452">
        <f>'COS Budget 2020'!O36</f>
        <v>68347</v>
      </c>
      <c r="K40" s="452">
        <f>'COS Budget 2020'!P36</f>
        <v>68347</v>
      </c>
      <c r="L40" s="452">
        <f>'COS Budget 2020'!Q36</f>
        <v>68347</v>
      </c>
      <c r="M40" s="452">
        <f>'COS Budget 2020'!R36</f>
        <v>68347</v>
      </c>
      <c r="N40" s="452">
        <f>'COS Budget 2020'!S36</f>
        <v>68347</v>
      </c>
      <c r="O40" s="452">
        <f>SUM(C40:N40)</f>
        <v>820164</v>
      </c>
      <c r="P40" s="481"/>
    </row>
    <row r="41" spans="1:30">
      <c r="A41" s="479">
        <f t="shared" si="9"/>
        <v>28</v>
      </c>
      <c r="B41" s="26" t="s">
        <v>458</v>
      </c>
      <c r="C41" s="452">
        <f>'COS Budget 2020'!H37</f>
        <v>20186.2</v>
      </c>
      <c r="D41" s="452">
        <f>'COS Budget 2020'!I37</f>
        <v>20186.2</v>
      </c>
      <c r="E41" s="452">
        <f>'COS Budget 2020'!J37</f>
        <v>20186.2</v>
      </c>
      <c r="F41" s="452">
        <f>'COS Budget 2020'!K37</f>
        <v>20186.2</v>
      </c>
      <c r="G41" s="452">
        <f>'COS Budget 2020'!L37</f>
        <v>20186.2</v>
      </c>
      <c r="H41" s="452">
        <f>'COS Budget 2020'!M37</f>
        <v>20186.2</v>
      </c>
      <c r="I41" s="452">
        <f>'COS Budget 2020'!N37</f>
        <v>20186.2</v>
      </c>
      <c r="J41" s="452">
        <f>'COS Budget 2020'!O37</f>
        <v>20186.2</v>
      </c>
      <c r="K41" s="452">
        <f>'COS Budget 2020'!P37</f>
        <v>20186.2</v>
      </c>
      <c r="L41" s="452">
        <f>'COS Budget 2020'!Q37</f>
        <v>20186.2</v>
      </c>
      <c r="M41" s="452">
        <f>'COS Budget 2020'!R37</f>
        <v>64595</v>
      </c>
      <c r="N41" s="452">
        <f>'COS Budget 2020'!S37</f>
        <v>64595</v>
      </c>
      <c r="O41" s="452">
        <f>SUM(C41:N41)</f>
        <v>331052</v>
      </c>
    </row>
    <row r="42" spans="1:30">
      <c r="L42" s="63"/>
      <c r="M42" s="452"/>
    </row>
    <row r="43" spans="1:30">
      <c r="B43" s="26" t="s">
        <v>757</v>
      </c>
      <c r="L43" s="63"/>
      <c r="M43" s="452"/>
    </row>
    <row r="44" spans="1:30">
      <c r="B44" s="631" t="s">
        <v>760</v>
      </c>
    </row>
    <row r="45" spans="1:30" s="26" customFormat="1">
      <c r="A45" s="473"/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</row>
    <row r="46" spans="1:30" s="26" customFormat="1">
      <c r="A46" s="473"/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</row>
    <row r="47" spans="1:30" s="26" customFormat="1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</row>
    <row r="48" spans="1:30" s="26" customFormat="1">
      <c r="A48" s="473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</row>
    <row r="49" spans="1:30" s="26" customFormat="1">
      <c r="A49" s="473"/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P49" s="473"/>
      <c r="Q49" s="473"/>
      <c r="R49" s="473"/>
      <c r="S49" s="473"/>
      <c r="T49" s="473"/>
      <c r="U49" s="473"/>
      <c r="V49" s="473"/>
      <c r="W49" s="473"/>
      <c r="X49" s="473"/>
      <c r="Y49" s="473"/>
      <c r="Z49" s="473"/>
      <c r="AA49" s="473"/>
      <c r="AB49" s="473"/>
      <c r="AC49" s="473"/>
      <c r="AD49" s="473"/>
    </row>
    <row r="50" spans="1:30" s="26" customFormat="1">
      <c r="A50" s="473"/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</row>
    <row r="51" spans="1:30" s="26" customFormat="1">
      <c r="A51" s="473"/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</row>
    <row r="52" spans="1:30" s="26" customFormat="1">
      <c r="A52" s="473"/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</row>
    <row r="53" spans="1:30" s="26" customFormat="1">
      <c r="A53" s="473"/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</row>
    <row r="54" spans="1:30" s="26" customFormat="1">
      <c r="A54" s="473"/>
      <c r="B54" s="473"/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</row>
    <row r="55" spans="1:30" s="26" customFormat="1">
      <c r="A55" s="473"/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</row>
    <row r="56" spans="1:30" s="26" customFormat="1">
      <c r="A56" s="473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</row>
    <row r="57" spans="1:30" s="26" customFormat="1">
      <c r="A57" s="473"/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</row>
    <row r="58" spans="1:30" s="26" customFormat="1">
      <c r="A58" s="473"/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</row>
  </sheetData>
  <pageMargins left="0.7" right="0.7" top="0.75" bottom="0.75" header="0.3" footer="0.3"/>
  <pageSetup scale="48" orientation="landscape" r:id="rId1"/>
  <headerFooter>
    <oddFooter>&amp;R&amp;"Times New Roman,Bold"&amp;18Exhibit 4
Page 4 of 18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9973F-4492-4144-BE75-DEDEC2D158D9}">
  <sheetPr>
    <tabColor theme="6" tint="0.39997558519241921"/>
    <pageSetUpPr fitToPage="1"/>
  </sheetPr>
  <dimension ref="A1:R42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570312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537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95</v>
      </c>
      <c r="G6" s="12"/>
      <c r="H6" s="12"/>
      <c r="I6" s="12"/>
      <c r="J6" s="12" t="s">
        <v>95</v>
      </c>
      <c r="K6" s="12"/>
      <c r="L6" s="12" t="s">
        <v>95</v>
      </c>
      <c r="M6" s="12"/>
      <c r="N6" s="12"/>
      <c r="O6" s="12"/>
      <c r="P6" s="12"/>
      <c r="Q6" s="12"/>
      <c r="R6" s="12" t="s">
        <v>95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'201912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2020'!C10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8" si="4">A13+1</f>
        <v>2</v>
      </c>
      <c r="B14" s="4"/>
      <c r="C14" s="4" t="s">
        <v>578</v>
      </c>
      <c r="D14" s="6">
        <v>367</v>
      </c>
      <c r="F14" s="360">
        <v>0</v>
      </c>
      <c r="H14" s="1">
        <f>2.05%/12</f>
        <v>1.7083333333333332E-3</v>
      </c>
      <c r="J14" s="364">
        <f t="shared" si="0"/>
        <v>0</v>
      </c>
      <c r="L14" s="365"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5">
        <f>'2019 Capital Budget'!R19*0+'2018 Capital Budget'!R28*0+SUM('Capital Budget 2017'!K17:P17)*0</f>
        <v>0</v>
      </c>
      <c r="H15" s="1">
        <f>1.62%/12</f>
        <v>1.3500000000000003E-3</v>
      </c>
      <c r="J15" s="364">
        <f t="shared" si="0"/>
        <v>0</v>
      </c>
      <c r="L15" s="365">
        <f>'2020 Capital Budget'!F29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5">
        <f>'201912 Bk Depr'!R14-'2019 Capital Budget'!R19*0-'2018 Capital Budget'!R28*0-SUM('Capital Budget 2017'!K17:P17)*0+62</f>
        <v>6944428.6000000006</v>
      </c>
      <c r="H16" s="1">
        <f t="shared" ref="H16:H18" si="5">3.24%/12</f>
        <v>2.7000000000000006E-3</v>
      </c>
      <c r="J16" s="364">
        <f t="shared" si="0"/>
        <v>18749.957220000004</v>
      </c>
      <c r="L16" s="365">
        <f>'Cap&amp;OpEx 2020'!C12-L15-'2020 Capital Budget'!F86</f>
        <v>271811.78000000009</v>
      </c>
      <c r="N16" s="364">
        <f t="shared" si="1"/>
        <v>366.94590300000021</v>
      </c>
      <c r="P16" s="364">
        <f t="shared" si="2"/>
        <v>19116.903123000004</v>
      </c>
      <c r="R16" s="364">
        <f t="shared" si="3"/>
        <v>7216240.3800000008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'201912 Bk Depr'!R15</f>
        <v>0</v>
      </c>
      <c r="H17" s="1">
        <f t="shared" si="5"/>
        <v>2.7000000000000006E-3</v>
      </c>
      <c r="J17" s="364">
        <f t="shared" si="0"/>
        <v>0</v>
      </c>
      <c r="L17" s="365">
        <f>'Cap&amp;OpEx 2020'!C13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'201912 Bk Depr'!R16</f>
        <v>18947331.309999999</v>
      </c>
      <c r="H18" s="1">
        <f t="shared" si="5"/>
        <v>2.7000000000000006E-3</v>
      </c>
      <c r="J18" s="364">
        <f t="shared" si="0"/>
        <v>51157.794537000009</v>
      </c>
      <c r="L18" s="366">
        <f>'Cap&amp;OpEx 2020'!C14-'2020 Capital Budget'!F89</f>
        <v>697211.59000000043</v>
      </c>
      <c r="N18" s="364">
        <f t="shared" si="1"/>
        <v>941.23564650000083</v>
      </c>
      <c r="P18" s="364">
        <f t="shared" si="2"/>
        <v>52099.030183500006</v>
      </c>
      <c r="R18" s="364">
        <f t="shared" si="3"/>
        <v>19644542.899999999</v>
      </c>
    </row>
    <row r="19" spans="1:18">
      <c r="A19" s="6">
        <f>A18+1</f>
        <v>7</v>
      </c>
      <c r="B19" s="4"/>
      <c r="C19" s="4" t="s">
        <v>21</v>
      </c>
      <c r="F19" s="362">
        <f>SUM(F13:F18)</f>
        <v>25891759.91</v>
      </c>
      <c r="J19" s="362">
        <f>SUM(J13:J18)</f>
        <v>69907.75175700002</v>
      </c>
      <c r="L19" s="362">
        <f>SUM(L13:L18)</f>
        <v>969023.37000000058</v>
      </c>
      <c r="N19" s="362">
        <f>SUM(N13:N18)</f>
        <v>1308.181549500001</v>
      </c>
      <c r="P19" s="362">
        <f>SUM(P13:P18)</f>
        <v>71215.93330650001</v>
      </c>
      <c r="R19" s="362">
        <f>SUM(R13:R18)</f>
        <v>26860783.280000001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'201912 Bk Depr'!R20</f>
        <v>0</v>
      </c>
      <c r="H22" s="1">
        <f>1.62%/12</f>
        <v>1.3500000000000003E-3</v>
      </c>
      <c r="J22" s="364">
        <f>F22*H22</f>
        <v>0</v>
      </c>
      <c r="L22" s="365">
        <f>'Cap&amp;OpEx 2020'!C17</f>
        <v>0</v>
      </c>
      <c r="N22" s="601">
        <f>H22*L22*0.5</f>
        <v>0</v>
      </c>
      <c r="P22" s="364">
        <f>J22+N22</f>
        <v>0</v>
      </c>
      <c r="R22" s="364">
        <f>L22+F22</f>
        <v>0</v>
      </c>
    </row>
    <row r="23" spans="1:18">
      <c r="A23" s="490">
        <f>A22+1</f>
        <v>9</v>
      </c>
      <c r="B23" s="491"/>
      <c r="C23" s="491" t="s">
        <v>578</v>
      </c>
      <c r="D23" s="490">
        <v>367</v>
      </c>
      <c r="E23" s="490"/>
      <c r="F23" s="492">
        <v>0</v>
      </c>
      <c r="G23" s="490"/>
      <c r="H23" s="493">
        <f>2.05%/12</f>
        <v>1.7083333333333332E-3</v>
      </c>
      <c r="I23" s="490"/>
      <c r="J23" s="412">
        <f>F23*H23</f>
        <v>0</v>
      </c>
      <c r="K23" s="490"/>
      <c r="L23" s="494">
        <f>'Cap&amp;OpEx 2020'!C18</f>
        <v>0</v>
      </c>
      <c r="M23" s="490"/>
      <c r="N23" s="602">
        <f t="shared" ref="N23:N27" si="6">H23*L23*0.5</f>
        <v>0</v>
      </c>
      <c r="O23" s="490"/>
      <c r="P23" s="412">
        <f>J23+N23</f>
        <v>0</v>
      </c>
      <c r="Q23" s="490"/>
      <c r="R23" s="412">
        <f>L23+F23</f>
        <v>0</v>
      </c>
    </row>
    <row r="24" spans="1:18">
      <c r="A24" s="6">
        <f>A23+1</f>
        <v>10</v>
      </c>
      <c r="B24" s="491"/>
      <c r="C24" s="9" t="s">
        <v>62</v>
      </c>
      <c r="D24" s="6">
        <v>376</v>
      </c>
      <c r="E24" s="490"/>
      <c r="F24" s="360">
        <v>0</v>
      </c>
      <c r="H24" s="1">
        <f>1.62%/12</f>
        <v>1.3500000000000003E-3</v>
      </c>
      <c r="J24" s="364">
        <f>F24*H24</f>
        <v>0</v>
      </c>
      <c r="L24" s="365">
        <v>0</v>
      </c>
      <c r="N24" s="601">
        <f t="shared" si="6"/>
        <v>0</v>
      </c>
      <c r="P24" s="364">
        <f>J24+N24</f>
        <v>0</v>
      </c>
      <c r="R24" s="364">
        <f>L24+F24</f>
        <v>0</v>
      </c>
    </row>
    <row r="25" spans="1:18">
      <c r="A25" s="6">
        <f>A24+1</f>
        <v>11</v>
      </c>
      <c r="B25" s="4"/>
      <c r="C25" s="9" t="s">
        <v>62</v>
      </c>
      <c r="D25" s="6">
        <v>380</v>
      </c>
      <c r="F25" s="360">
        <f>'201912 Bk Depr'!R21</f>
        <v>0</v>
      </c>
      <c r="H25" s="1">
        <f>3.24%/12</f>
        <v>2.7000000000000006E-3</v>
      </c>
      <c r="J25" s="364">
        <f t="shared" ref="J25:J26" si="7">F25*H25</f>
        <v>0</v>
      </c>
      <c r="L25" s="365">
        <f>'Cap&amp;OpEx 2020'!C19</f>
        <v>0</v>
      </c>
      <c r="N25" s="601">
        <f t="shared" si="6"/>
        <v>0</v>
      </c>
      <c r="P25" s="364">
        <f t="shared" ref="P25:P26" si="8">J25+N25</f>
        <v>0</v>
      </c>
      <c r="R25" s="364">
        <f t="shared" ref="R25:R26" si="9">L25+F25</f>
        <v>0</v>
      </c>
    </row>
    <row r="26" spans="1:18" s="499" customFormat="1">
      <c r="A26" s="498">
        <f t="shared" ref="A26" si="10">A25+1</f>
        <v>12</v>
      </c>
      <c r="C26" s="500" t="s">
        <v>63</v>
      </c>
      <c r="D26" s="498">
        <v>380</v>
      </c>
      <c r="E26" s="498"/>
      <c r="F26" s="360">
        <f>'201912 Bk Depr'!R22</f>
        <v>0</v>
      </c>
      <c r="G26" s="498"/>
      <c r="H26" s="501">
        <f>3.24%/12</f>
        <v>2.7000000000000006E-3</v>
      </c>
      <c r="I26" s="498"/>
      <c r="J26" s="360">
        <f t="shared" si="7"/>
        <v>0</v>
      </c>
      <c r="K26" s="498"/>
      <c r="L26" s="365">
        <f>'Cap&amp;OpEx 2020'!C20</f>
        <v>0</v>
      </c>
      <c r="M26" s="498"/>
      <c r="N26" s="601">
        <f t="shared" si="6"/>
        <v>0</v>
      </c>
      <c r="O26" s="498"/>
      <c r="P26" s="360">
        <f t="shared" si="8"/>
        <v>0</v>
      </c>
      <c r="Q26" s="498"/>
      <c r="R26" s="360">
        <f t="shared" si="9"/>
        <v>0</v>
      </c>
    </row>
    <row r="27" spans="1:18">
      <c r="A27" s="490">
        <f>A26+1</f>
        <v>13</v>
      </c>
      <c r="B27" s="491"/>
      <c r="C27" s="495" t="s">
        <v>163</v>
      </c>
      <c r="D27" s="490">
        <v>380</v>
      </c>
      <c r="E27" s="490"/>
      <c r="F27" s="496">
        <v>0</v>
      </c>
      <c r="G27" s="490"/>
      <c r="H27" s="493">
        <f>3.24%/12</f>
        <v>2.7000000000000006E-3</v>
      </c>
      <c r="I27" s="490"/>
      <c r="J27" s="412">
        <f t="shared" ref="J27" si="11">F27*H27</f>
        <v>0</v>
      </c>
      <c r="K27" s="490"/>
      <c r="L27" s="497">
        <f>'Cap&amp;OpEx 2020'!C21</f>
        <v>0</v>
      </c>
      <c r="M27" s="490"/>
      <c r="N27" s="602">
        <f t="shared" si="6"/>
        <v>0</v>
      </c>
      <c r="O27" s="490"/>
      <c r="P27" s="412">
        <f t="shared" ref="P27" si="12">J27+N27</f>
        <v>0</v>
      </c>
      <c r="Q27" s="490"/>
      <c r="R27" s="412">
        <f t="shared" ref="R27" si="13">L27+F27</f>
        <v>0</v>
      </c>
    </row>
    <row r="28" spans="1:18">
      <c r="A28" s="6">
        <f>A27+1</f>
        <v>14</v>
      </c>
      <c r="B28" s="4"/>
      <c r="C28" s="4" t="s">
        <v>22</v>
      </c>
      <c r="F28" s="502">
        <f>SUM(F22:F27)</f>
        <v>0</v>
      </c>
      <c r="J28" s="502">
        <f>SUM(J22:J27)</f>
        <v>0</v>
      </c>
      <c r="L28" s="502">
        <f>SUM(L22:L27)</f>
        <v>0</v>
      </c>
      <c r="N28" s="502">
        <f>SUM(N22:N27)</f>
        <v>0</v>
      </c>
      <c r="P28" s="502">
        <f>SUM(P22:P27)</f>
        <v>0</v>
      </c>
      <c r="R28" s="50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25891759.91</v>
      </c>
      <c r="G30" s="512"/>
      <c r="I30" s="512"/>
      <c r="J30" s="514">
        <f>J19+J28</f>
        <v>69907.75175700002</v>
      </c>
      <c r="K30" s="512"/>
      <c r="L30" s="514">
        <f>L19+L28</f>
        <v>969023.37000000058</v>
      </c>
      <c r="M30" s="512"/>
      <c r="N30" s="514">
        <f>N19+N28</f>
        <v>1308.181549500001</v>
      </c>
      <c r="O30" s="512"/>
      <c r="P30" s="514">
        <f>P19+P28</f>
        <v>71215.93330650001</v>
      </c>
      <c r="Q30" s="512"/>
      <c r="R30" s="514">
        <f>R19+R28</f>
        <v>26860783.280000001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'201912 Bk Depr'!R28</f>
        <v>0</v>
      </c>
      <c r="J33" s="364"/>
      <c r="L33" s="365">
        <f>'Cap&amp;OpEx 2020'!C31</f>
        <v>0</v>
      </c>
      <c r="N33" s="364"/>
      <c r="P33" s="364"/>
      <c r="R33" s="364">
        <f t="shared" ref="R33:R38" si="14">L33+F33</f>
        <v>0</v>
      </c>
    </row>
    <row r="34" spans="1:18">
      <c r="A34" s="490">
        <f>A33+1</f>
        <v>17</v>
      </c>
      <c r="B34" s="491"/>
      <c r="C34" s="491" t="s">
        <v>578</v>
      </c>
      <c r="D34" s="490">
        <v>367</v>
      </c>
      <c r="E34" s="490"/>
      <c r="F34" s="492">
        <v>0</v>
      </c>
      <c r="G34" s="490"/>
      <c r="H34" s="491"/>
      <c r="I34" s="490"/>
      <c r="J34" s="412"/>
      <c r="K34" s="490"/>
      <c r="L34" s="494">
        <f>'Cap&amp;OpEx 2020'!C32</f>
        <v>0</v>
      </c>
      <c r="M34" s="490"/>
      <c r="N34" s="412"/>
      <c r="O34" s="490"/>
      <c r="P34" s="412"/>
      <c r="Q34" s="490"/>
      <c r="R34" s="412">
        <f t="shared" si="14"/>
        <v>0</v>
      </c>
    </row>
    <row r="35" spans="1:18">
      <c r="A35" s="6">
        <f>A34+1</f>
        <v>18</v>
      </c>
      <c r="B35" s="491"/>
      <c r="C35" s="9" t="s">
        <v>62</v>
      </c>
      <c r="D35" s="6">
        <v>376</v>
      </c>
      <c r="E35" s="490"/>
      <c r="F35" s="360">
        <v>0</v>
      </c>
      <c r="J35" s="364"/>
      <c r="L35" s="365">
        <v>0</v>
      </c>
      <c r="N35" s="364"/>
      <c r="P35" s="364"/>
      <c r="R35" s="364">
        <f t="shared" si="14"/>
        <v>0</v>
      </c>
    </row>
    <row r="36" spans="1:18">
      <c r="A36" s="6">
        <f>A35+1</f>
        <v>19</v>
      </c>
      <c r="B36" s="4"/>
      <c r="C36" s="9" t="s">
        <v>62</v>
      </c>
      <c r="D36" s="6">
        <v>380</v>
      </c>
      <c r="F36" s="360">
        <f>'201912 Bk Depr'!R29</f>
        <v>1632771.6099999999</v>
      </c>
      <c r="J36" s="364"/>
      <c r="L36" s="516">
        <f>'Cap&amp;OpEx 2020'!C33</f>
        <v>42155.369999999995</v>
      </c>
      <c r="N36" s="364"/>
      <c r="P36" s="364"/>
      <c r="R36" s="518">
        <f t="shared" si="14"/>
        <v>1674926.98</v>
      </c>
    </row>
    <row r="37" spans="1:18" s="499" customFormat="1">
      <c r="A37" s="498">
        <f t="shared" ref="A37:A38" si="15">A36+1</f>
        <v>20</v>
      </c>
      <c r="C37" s="500" t="s">
        <v>63</v>
      </c>
      <c r="D37" s="498">
        <v>380</v>
      </c>
      <c r="E37" s="498"/>
      <c r="F37" s="360">
        <f>'201912 Bk Depr'!R30</f>
        <v>0</v>
      </c>
      <c r="G37" s="498"/>
      <c r="I37" s="498"/>
      <c r="J37" s="360"/>
      <c r="K37" s="498"/>
      <c r="L37" s="519">
        <f>'Cap&amp;OpEx 2020'!C34</f>
        <v>0</v>
      </c>
      <c r="M37" s="498"/>
      <c r="N37" s="360"/>
      <c r="O37" s="498"/>
      <c r="P37" s="360"/>
      <c r="Q37" s="498"/>
      <c r="R37" s="360">
        <f t="shared" si="14"/>
        <v>0</v>
      </c>
    </row>
    <row r="38" spans="1:18">
      <c r="A38" s="490">
        <f t="shared" si="15"/>
        <v>21</v>
      </c>
      <c r="B38" s="491"/>
      <c r="C38" s="495" t="s">
        <v>163</v>
      </c>
      <c r="D38" s="490">
        <v>380</v>
      </c>
      <c r="E38" s="490"/>
      <c r="F38" s="496">
        <v>0</v>
      </c>
      <c r="G38" s="490"/>
      <c r="H38" s="491"/>
      <c r="I38" s="490"/>
      <c r="J38" s="412"/>
      <c r="K38" s="490"/>
      <c r="L38" s="517">
        <f>'Cap&amp;OpEx 2020'!C35</f>
        <v>0</v>
      </c>
      <c r="M38" s="490"/>
      <c r="N38" s="412"/>
      <c r="O38" s="490"/>
      <c r="P38" s="412"/>
      <c r="Q38" s="490"/>
      <c r="R38" s="518">
        <f t="shared" si="14"/>
        <v>0</v>
      </c>
    </row>
    <row r="39" spans="1:18">
      <c r="A39" s="6">
        <f>A38+1</f>
        <v>22</v>
      </c>
      <c r="B39" s="4"/>
      <c r="C39" s="4" t="s">
        <v>23</v>
      </c>
      <c r="F39" s="502">
        <f>SUM(F33:F38)</f>
        <v>1632771.6099999999</v>
      </c>
      <c r="G39" s="490"/>
      <c r="H39" s="491"/>
      <c r="I39" s="490"/>
      <c r="J39" s="502">
        <f>SUM(J33:J38)</f>
        <v>0</v>
      </c>
      <c r="K39" s="490"/>
      <c r="L39" s="502">
        <f>SUM(L33:L38)</f>
        <v>42155.369999999995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1674926.98</v>
      </c>
    </row>
    <row r="41" spans="1:18">
      <c r="P41" s="459"/>
    </row>
    <row r="42" spans="1:18">
      <c r="P42" s="459"/>
    </row>
  </sheetData>
  <pageMargins left="0.7" right="0.7" top="0.75" bottom="0.75" header="0.3" footer="0.3"/>
  <pageSetup scale="82" orientation="landscape" r:id="rId1"/>
  <headerFooter>
    <oddFooter>&amp;R&amp;"Times New Roman,Bold"&amp;12Exhibit 4
Page 5 of 18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6E36-0697-4581-BC45-678AB61535B1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538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'202001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2020'!D10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v>0</v>
      </c>
      <c r="H14" s="1">
        <f>2.05%/12</f>
        <v>1.7083333333333332E-3</v>
      </c>
      <c r="J14" s="364">
        <f t="shared" si="0"/>
        <v>0</v>
      </c>
      <c r="L14" s="365"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5">
        <f>'202001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Budget'!G29</f>
        <v>0</v>
      </c>
      <c r="N15" s="364">
        <f>H15*L15*0.5</f>
        <v>0</v>
      </c>
      <c r="P15" s="364">
        <f>J15+N15</f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'202001 Bk Depr'!R16</f>
        <v>7216240.3800000008</v>
      </c>
      <c r="H16" s="1">
        <f t="shared" ref="H16:H18" si="5">3.24%/12</f>
        <v>2.7000000000000006E-3</v>
      </c>
      <c r="J16" s="364">
        <f t="shared" si="0"/>
        <v>19483.849026000007</v>
      </c>
      <c r="L16" s="365">
        <f>'Cap&amp;OpEx 2020'!D12-L15-'2020 Capital Budget'!G86</f>
        <v>278612.85000000068</v>
      </c>
      <c r="N16" s="364">
        <f t="shared" si="1"/>
        <v>376.12734750000101</v>
      </c>
      <c r="P16" s="364">
        <f t="shared" si="2"/>
        <v>19859.976373500009</v>
      </c>
      <c r="R16" s="364">
        <f t="shared" si="3"/>
        <v>7494853.2300000014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'202001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2020'!D13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'202001 Bk Depr'!R18</f>
        <v>19644542.899999999</v>
      </c>
      <c r="H18" s="1">
        <f t="shared" si="5"/>
        <v>2.7000000000000006E-3</v>
      </c>
      <c r="J18" s="364">
        <f t="shared" si="0"/>
        <v>53040.265830000004</v>
      </c>
      <c r="L18" s="366">
        <f>'Cap&amp;OpEx 2020'!D14-'2020 Capital Budget'!G89</f>
        <v>628628.3699999965</v>
      </c>
      <c r="N18" s="364">
        <f t="shared" si="1"/>
        <v>848.64829949999546</v>
      </c>
      <c r="P18" s="364">
        <f t="shared" si="2"/>
        <v>53888.914129500001</v>
      </c>
      <c r="R18" s="364">
        <f t="shared" si="3"/>
        <v>20273171.269999996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26860783.280000001</v>
      </c>
      <c r="J19" s="362">
        <f>SUM(J13:J18)</f>
        <v>72524.114856000015</v>
      </c>
      <c r="L19" s="362">
        <f>SUM(L13:L18)</f>
        <v>907241.21999999718</v>
      </c>
      <c r="N19" s="362">
        <f>SUM(N13:N18)</f>
        <v>1224.7756469999965</v>
      </c>
      <c r="P19" s="362">
        <f>SUM(P13:P18)</f>
        <v>73748.890503000002</v>
      </c>
      <c r="R19" s="362">
        <f>SUM(R13:R18)</f>
        <v>27768024.499999996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'202001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2020'!D17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18">
      <c r="A23" s="490">
        <f t="shared" ref="A23:A28" si="9">A22+1</f>
        <v>9</v>
      </c>
      <c r="B23" s="491"/>
      <c r="C23" s="491" t="s">
        <v>578</v>
      </c>
      <c r="D23" s="490">
        <v>367</v>
      </c>
      <c r="E23" s="490"/>
      <c r="F23" s="492">
        <f>'202001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2020'!D18</f>
        <v>0</v>
      </c>
      <c r="M23" s="490"/>
      <c r="N23" s="602">
        <f t="shared" ref="N23:N27" si="10">H23*L23*0.5</f>
        <v>0</v>
      </c>
      <c r="O23" s="490"/>
      <c r="P23" s="412">
        <f t="shared" si="7"/>
        <v>0</v>
      </c>
      <c r="Q23" s="490"/>
      <c r="R23" s="412">
        <f t="shared" si="8"/>
        <v>0</v>
      </c>
    </row>
    <row r="24" spans="1:18">
      <c r="A24" s="6">
        <f t="shared" si="9"/>
        <v>10</v>
      </c>
      <c r="B24" s="491"/>
      <c r="C24" s="9" t="s">
        <v>62</v>
      </c>
      <c r="D24" s="6">
        <v>376</v>
      </c>
      <c r="E24" s="490"/>
      <c r="F24" s="360">
        <f>'202001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60">
        <f>'202001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2020'!D19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18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'202001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2020'!D20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18">
      <c r="A27" s="490">
        <f t="shared" si="9"/>
        <v>13</v>
      </c>
      <c r="B27" s="491"/>
      <c r="C27" s="495" t="s">
        <v>163</v>
      </c>
      <c r="D27" s="490">
        <v>380</v>
      </c>
      <c r="E27" s="490"/>
      <c r="F27" s="496">
        <f>'202001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2020'!D21</f>
        <v>0</v>
      </c>
      <c r="M27" s="490"/>
      <c r="N27" s="602">
        <f t="shared" si="10"/>
        <v>0</v>
      </c>
      <c r="O27" s="490"/>
      <c r="P27" s="412">
        <f t="shared" si="7"/>
        <v>0</v>
      </c>
      <c r="Q27" s="490"/>
      <c r="R27" s="412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26860783.280000001</v>
      </c>
      <c r="G30" s="512"/>
      <c r="I30" s="512"/>
      <c r="J30" s="514">
        <f>J19+J28</f>
        <v>72524.114856000015</v>
      </c>
      <c r="K30" s="512"/>
      <c r="L30" s="514">
        <f>L19+L28</f>
        <v>907241.21999999718</v>
      </c>
      <c r="M30" s="512"/>
      <c r="N30" s="514">
        <f>N19+N28</f>
        <v>1224.7756469999965</v>
      </c>
      <c r="O30" s="512"/>
      <c r="P30" s="514">
        <f>P19+P28</f>
        <v>73748.890503000002</v>
      </c>
      <c r="Q30" s="512"/>
      <c r="R30" s="514">
        <f>R19+R28</f>
        <v>27768024.499999996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'202001 Bk Depr'!R33</f>
        <v>0</v>
      </c>
      <c r="J33" s="364"/>
      <c r="L33" s="365">
        <f>'Cap&amp;OpEx 2020'!D31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'202001 Bk Depr'!R34</f>
        <v>0</v>
      </c>
      <c r="G34" s="490"/>
      <c r="H34" s="491"/>
      <c r="I34" s="490"/>
      <c r="J34" s="412"/>
      <c r="K34" s="490"/>
      <c r="L34" s="494">
        <f>'Cap&amp;OpEx 2020'!D32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'202001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'202001 Bk Depr'!R36</f>
        <v>1674926.98</v>
      </c>
      <c r="J36" s="364"/>
      <c r="L36" s="516">
        <f>'Cap&amp;OpEx 2020'!D33</f>
        <v>100571.17</v>
      </c>
      <c r="N36" s="364"/>
      <c r="P36" s="364"/>
      <c r="R36" s="518">
        <f t="shared" si="11"/>
        <v>1775498.15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360">
        <f>'202001 Bk Depr'!R37</f>
        <v>0</v>
      </c>
      <c r="G37" s="498"/>
      <c r="I37" s="498"/>
      <c r="J37" s="360"/>
      <c r="K37" s="498"/>
      <c r="L37" s="516">
        <f>'Cap&amp;OpEx 2020'!D34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'202001 Bk Depr'!R38</f>
        <v>0</v>
      </c>
      <c r="G38" s="490"/>
      <c r="H38" s="491"/>
      <c r="I38" s="490"/>
      <c r="J38" s="412"/>
      <c r="K38" s="490"/>
      <c r="L38" s="517">
        <f>'Cap&amp;OpEx 2020'!D35</f>
        <v>0</v>
      </c>
      <c r="M38" s="490"/>
      <c r="N38" s="412"/>
      <c r="O38" s="490"/>
      <c r="P38" s="412"/>
      <c r="Q38" s="490"/>
      <c r="R38" s="518">
        <f t="shared" si="11"/>
        <v>0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1674926.98</v>
      </c>
      <c r="G39" s="490"/>
      <c r="H39" s="491"/>
      <c r="I39" s="490"/>
      <c r="J39" s="502">
        <f>SUM(J33:J38)</f>
        <v>0</v>
      </c>
      <c r="K39" s="490"/>
      <c r="L39" s="502">
        <f>SUM(L33:L38)</f>
        <v>100571.17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1775498.15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6 of 18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831AA-7392-4D57-BBD2-BEC4C18AF432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539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'202002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2020'!E10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v>0</v>
      </c>
      <c r="H14" s="1">
        <f>2.05%/12</f>
        <v>1.7083333333333332E-3</v>
      </c>
      <c r="J14" s="364">
        <f t="shared" si="0"/>
        <v>0</v>
      </c>
      <c r="L14" s="365"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5">
        <f>'202002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Budget'!H29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'202002 Bk Depr'!R16</f>
        <v>7494853.2300000014</v>
      </c>
      <c r="H16" s="1">
        <f t="shared" ref="H16:H18" si="5">3.24%/12</f>
        <v>2.7000000000000006E-3</v>
      </c>
      <c r="J16" s="364">
        <f t="shared" si="0"/>
        <v>20236.103721000007</v>
      </c>
      <c r="L16" s="365">
        <f>'Cap&amp;OpEx 2020'!E12-L15-'2020 Capital Budget'!H86</f>
        <v>293198.46000000014</v>
      </c>
      <c r="N16" s="364">
        <f t="shared" si="1"/>
        <v>395.8179210000003</v>
      </c>
      <c r="P16" s="364">
        <f t="shared" si="2"/>
        <v>20631.921642000008</v>
      </c>
      <c r="R16" s="364">
        <f t="shared" si="3"/>
        <v>7788051.6900000013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'202002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2020'!E13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'202002 Bk Depr'!R18</f>
        <v>20273171.269999996</v>
      </c>
      <c r="H18" s="1">
        <f t="shared" si="5"/>
        <v>2.7000000000000006E-3</v>
      </c>
      <c r="J18" s="364">
        <f t="shared" si="0"/>
        <v>54737.562428999998</v>
      </c>
      <c r="L18" s="366">
        <f>'Cap&amp;OpEx 2020'!E14-'2020 Capital Budget'!H89</f>
        <v>596727.14000000386</v>
      </c>
      <c r="N18" s="364">
        <f t="shared" si="1"/>
        <v>805.58163900000534</v>
      </c>
      <c r="P18" s="364">
        <f t="shared" si="2"/>
        <v>55543.144068000001</v>
      </c>
      <c r="R18" s="364">
        <f t="shared" si="3"/>
        <v>20869898.41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27768024.499999996</v>
      </c>
      <c r="J19" s="362">
        <f>SUM(J13:J18)</f>
        <v>74973.666150000005</v>
      </c>
      <c r="L19" s="362">
        <f>SUM(L13:L18)</f>
        <v>889925.60000000405</v>
      </c>
      <c r="N19" s="362">
        <f>SUM(N13:N18)</f>
        <v>1201.3995600000057</v>
      </c>
      <c r="P19" s="362">
        <f>SUM(P13:P18)</f>
        <v>76175.06571000001</v>
      </c>
      <c r="R19" s="362">
        <f>SUM(R13:R18)</f>
        <v>28657950.100000001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'202002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2020'!E17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18">
      <c r="A23" s="490">
        <f t="shared" ref="A23:A28" si="9">A22+1</f>
        <v>9</v>
      </c>
      <c r="B23" s="491"/>
      <c r="C23" s="491" t="s">
        <v>578</v>
      </c>
      <c r="D23" s="490">
        <v>367</v>
      </c>
      <c r="E23" s="490"/>
      <c r="F23" s="492">
        <f>'202002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2020'!E18</f>
        <v>0</v>
      </c>
      <c r="M23" s="490"/>
      <c r="N23" s="602">
        <f t="shared" ref="N23:N27" si="10">H23*L23*0.5</f>
        <v>0</v>
      </c>
      <c r="O23" s="490"/>
      <c r="P23" s="412">
        <f t="shared" si="7"/>
        <v>0</v>
      </c>
      <c r="Q23" s="490"/>
      <c r="R23" s="412">
        <f t="shared" si="8"/>
        <v>0</v>
      </c>
    </row>
    <row r="24" spans="1:18">
      <c r="A24" s="6">
        <f t="shared" si="9"/>
        <v>10</v>
      </c>
      <c r="B24" s="491"/>
      <c r="C24" s="9" t="s">
        <v>62</v>
      </c>
      <c r="D24" s="6">
        <v>376</v>
      </c>
      <c r="E24" s="490"/>
      <c r="F24" s="360">
        <f>'202002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60">
        <f>'202002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2020'!E19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18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'202002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2020'!E20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18">
      <c r="A27" s="490">
        <f t="shared" si="9"/>
        <v>13</v>
      </c>
      <c r="B27" s="491"/>
      <c r="C27" s="495" t="s">
        <v>163</v>
      </c>
      <c r="D27" s="490">
        <v>380</v>
      </c>
      <c r="E27" s="490"/>
      <c r="F27" s="496">
        <f>'202002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2020'!E21</f>
        <v>0</v>
      </c>
      <c r="M27" s="490"/>
      <c r="N27" s="602">
        <f t="shared" si="10"/>
        <v>0</v>
      </c>
      <c r="O27" s="490"/>
      <c r="P27" s="412">
        <f t="shared" si="7"/>
        <v>0</v>
      </c>
      <c r="Q27" s="490"/>
      <c r="R27" s="412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27768024.499999996</v>
      </c>
      <c r="G30" s="512"/>
      <c r="I30" s="512"/>
      <c r="J30" s="514">
        <f>J19+J28</f>
        <v>74973.666150000005</v>
      </c>
      <c r="K30" s="512"/>
      <c r="L30" s="514">
        <f>L19+L28</f>
        <v>889925.60000000405</v>
      </c>
      <c r="M30" s="512"/>
      <c r="N30" s="514">
        <f>N19+N28</f>
        <v>1201.3995600000057</v>
      </c>
      <c r="O30" s="512"/>
      <c r="P30" s="514">
        <f>P19+P28</f>
        <v>76175.06571000001</v>
      </c>
      <c r="Q30" s="512"/>
      <c r="R30" s="514">
        <f>R19+R28</f>
        <v>28657950.100000001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'202002 Bk Depr'!R33</f>
        <v>0</v>
      </c>
      <c r="J33" s="364"/>
      <c r="L33" s="365">
        <f>'Cap&amp;OpEx 2020'!E31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'202002 Bk Depr'!R34</f>
        <v>0</v>
      </c>
      <c r="G34" s="490"/>
      <c r="H34" s="491"/>
      <c r="I34" s="490"/>
      <c r="J34" s="412"/>
      <c r="K34" s="490"/>
      <c r="L34" s="494">
        <f>'Cap&amp;OpEx 2020'!E32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'202002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'202002 Bk Depr'!R36</f>
        <v>1775498.15</v>
      </c>
      <c r="J36" s="364"/>
      <c r="L36" s="516">
        <f>'Cap&amp;OpEx 2020'!E33</f>
        <v>175695.94</v>
      </c>
      <c r="N36" s="364"/>
      <c r="P36" s="364"/>
      <c r="R36" s="518">
        <f t="shared" si="11"/>
        <v>1951194.0899999999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520">
        <f>'202002 Bk Depr'!R37</f>
        <v>0</v>
      </c>
      <c r="G37" s="498"/>
      <c r="I37" s="498"/>
      <c r="J37" s="360"/>
      <c r="K37" s="498"/>
      <c r="L37" s="516">
        <f>'Cap&amp;OpEx 2020'!E34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'202002 Bk Depr'!R38</f>
        <v>0</v>
      </c>
      <c r="G38" s="490"/>
      <c r="H38" s="491"/>
      <c r="I38" s="490"/>
      <c r="J38" s="412"/>
      <c r="K38" s="490"/>
      <c r="L38" s="517">
        <f>'Cap&amp;OpEx 2020'!E35</f>
        <v>0</v>
      </c>
      <c r="M38" s="490"/>
      <c r="N38" s="412"/>
      <c r="O38" s="490"/>
      <c r="P38" s="412"/>
      <c r="Q38" s="490"/>
      <c r="R38" s="518">
        <f t="shared" si="11"/>
        <v>0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1775498.15</v>
      </c>
      <c r="G39" s="490"/>
      <c r="H39" s="491"/>
      <c r="I39" s="490"/>
      <c r="J39" s="502">
        <f>SUM(J33:J38)</f>
        <v>0</v>
      </c>
      <c r="K39" s="490"/>
      <c r="L39" s="502">
        <f>SUM(L33:L38)</f>
        <v>175695.94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1951194.0899999999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8748-58F9-427B-B5A0-17B9851522F5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540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'202003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2020'!F10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v>0</v>
      </c>
      <c r="H14" s="1">
        <f>2.05%/12</f>
        <v>1.7083333333333332E-3</v>
      </c>
      <c r="J14" s="364">
        <f t="shared" si="0"/>
        <v>0</v>
      </c>
      <c r="L14" s="365"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5">
        <f>'202003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Budget'!I29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'202003 Bk Depr'!R16</f>
        <v>7788051.6900000013</v>
      </c>
      <c r="H16" s="1">
        <f t="shared" ref="H16:H18" si="5">3.24%/12</f>
        <v>2.7000000000000006E-3</v>
      </c>
      <c r="J16" s="364">
        <f t="shared" si="0"/>
        <v>21027.739563000006</v>
      </c>
      <c r="L16" s="365">
        <f>'Cap&amp;OpEx 2020'!F12-L15-'2020 Capital Budget'!I86</f>
        <v>317329.32000000059</v>
      </c>
      <c r="N16" s="364">
        <f t="shared" si="1"/>
        <v>428.39458200000087</v>
      </c>
      <c r="P16" s="364">
        <f t="shared" si="2"/>
        <v>21456.134145000007</v>
      </c>
      <c r="R16" s="364">
        <f t="shared" si="3"/>
        <v>8105381.0100000016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'202003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2020'!F13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'202003 Bk Depr'!R18</f>
        <v>20869898.41</v>
      </c>
      <c r="H18" s="1">
        <f t="shared" si="5"/>
        <v>2.7000000000000006E-3</v>
      </c>
      <c r="J18" s="364">
        <f t="shared" si="0"/>
        <v>56348.725707000012</v>
      </c>
      <c r="L18" s="366">
        <f>'Cap&amp;OpEx 2020'!F14-'2020 Capital Budget'!I89</f>
        <v>610011.24000000011</v>
      </c>
      <c r="N18" s="364">
        <f t="shared" si="1"/>
        <v>823.51517400000034</v>
      </c>
      <c r="P18" s="364">
        <f t="shared" si="2"/>
        <v>57172.240881000012</v>
      </c>
      <c r="R18" s="364">
        <f t="shared" si="3"/>
        <v>21479909.649999999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28657950.100000001</v>
      </c>
      <c r="J19" s="362">
        <f>SUM(J13:J18)</f>
        <v>77376.465270000015</v>
      </c>
      <c r="L19" s="362">
        <f>SUM(L13:L18)</f>
        <v>927340.56000000075</v>
      </c>
      <c r="N19" s="362">
        <f>SUM(N13:N18)</f>
        <v>1251.9097560000012</v>
      </c>
      <c r="P19" s="362">
        <f>SUM(P13:P18)</f>
        <v>78628.375026000023</v>
      </c>
      <c r="R19" s="362">
        <f>SUM(R13:R18)</f>
        <v>29585290.66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'202003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2020'!F17</f>
        <v>0</v>
      </c>
      <c r="N22" s="601">
        <f>H22*L22*0.5</f>
        <v>0</v>
      </c>
      <c r="P22" s="364">
        <f t="shared" ref="P22:P27" si="7">J22+N22</f>
        <v>0</v>
      </c>
      <c r="R22" s="364">
        <f>L22+F22</f>
        <v>0</v>
      </c>
    </row>
    <row r="23" spans="1:18">
      <c r="A23" s="490">
        <f t="shared" ref="A23:A28" si="8">A22+1</f>
        <v>9</v>
      </c>
      <c r="B23" s="491"/>
      <c r="C23" s="491" t="s">
        <v>578</v>
      </c>
      <c r="D23" s="490">
        <v>367</v>
      </c>
      <c r="E23" s="490"/>
      <c r="F23" s="492">
        <f>'202003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2020'!F18</f>
        <v>0</v>
      </c>
      <c r="M23" s="490"/>
      <c r="N23" s="602">
        <f t="shared" ref="N23:N27" si="9">H23*L23*0.5</f>
        <v>0</v>
      </c>
      <c r="O23" s="490"/>
      <c r="P23" s="412">
        <f t="shared" si="7"/>
        <v>0</v>
      </c>
      <c r="Q23" s="490"/>
      <c r="R23" s="412">
        <f>L23+F23</f>
        <v>0</v>
      </c>
    </row>
    <row r="24" spans="1:18">
      <c r="A24" s="6">
        <f t="shared" si="8"/>
        <v>10</v>
      </c>
      <c r="B24" s="491"/>
      <c r="C24" s="9" t="s">
        <v>62</v>
      </c>
      <c r="D24" s="6">
        <v>376</v>
      </c>
      <c r="E24" s="490"/>
      <c r="F24" s="360">
        <f>'202003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9"/>
        <v>0</v>
      </c>
      <c r="P24" s="364">
        <f t="shared" si="7"/>
        <v>0</v>
      </c>
      <c r="R24" s="364">
        <f>L24+F24</f>
        <v>0</v>
      </c>
    </row>
    <row r="25" spans="1:18">
      <c r="A25" s="6">
        <f t="shared" si="8"/>
        <v>11</v>
      </c>
      <c r="B25" s="4"/>
      <c r="C25" s="9" t="s">
        <v>62</v>
      </c>
      <c r="D25" s="6">
        <v>380</v>
      </c>
      <c r="F25" s="360">
        <f>'202003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2020'!F19</f>
        <v>0</v>
      </c>
      <c r="N25" s="601">
        <f t="shared" si="9"/>
        <v>0</v>
      </c>
      <c r="P25" s="364">
        <f t="shared" si="7"/>
        <v>0</v>
      </c>
      <c r="R25" s="364">
        <f t="shared" ref="R25" si="10">L25+F25</f>
        <v>0</v>
      </c>
    </row>
    <row r="26" spans="1:18" s="499" customFormat="1">
      <c r="A26" s="498">
        <f t="shared" si="8"/>
        <v>12</v>
      </c>
      <c r="C26" s="500" t="s">
        <v>63</v>
      </c>
      <c r="D26" s="498">
        <v>380</v>
      </c>
      <c r="E26" s="498"/>
      <c r="F26" s="360">
        <f>'202003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2020'!F20</f>
        <v>0</v>
      </c>
      <c r="M26" s="498"/>
      <c r="N26" s="601">
        <f t="shared" si="9"/>
        <v>0</v>
      </c>
      <c r="O26" s="498"/>
      <c r="P26" s="360">
        <f t="shared" si="7"/>
        <v>0</v>
      </c>
      <c r="Q26" s="498"/>
      <c r="R26" s="360">
        <f>L26+F26</f>
        <v>0</v>
      </c>
    </row>
    <row r="27" spans="1:18">
      <c r="A27" s="490">
        <f t="shared" si="8"/>
        <v>13</v>
      </c>
      <c r="B27" s="491"/>
      <c r="C27" s="495" t="s">
        <v>163</v>
      </c>
      <c r="D27" s="490">
        <v>380</v>
      </c>
      <c r="E27" s="490"/>
      <c r="F27" s="496">
        <f>'202003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2020'!F21</f>
        <v>0</v>
      </c>
      <c r="M27" s="490"/>
      <c r="N27" s="602">
        <f t="shared" si="9"/>
        <v>0</v>
      </c>
      <c r="O27" s="490"/>
      <c r="P27" s="412">
        <f t="shared" si="7"/>
        <v>0</v>
      </c>
      <c r="Q27" s="490"/>
      <c r="R27" s="412">
        <f>L27+F27</f>
        <v>0</v>
      </c>
    </row>
    <row r="28" spans="1:18">
      <c r="A28" s="6">
        <f t="shared" si="8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28657950.100000001</v>
      </c>
      <c r="G30" s="512"/>
      <c r="I30" s="512"/>
      <c r="J30" s="514">
        <f>J19+J28</f>
        <v>77376.465270000015</v>
      </c>
      <c r="K30" s="512"/>
      <c r="L30" s="514">
        <f>L19+L28</f>
        <v>927340.56000000075</v>
      </c>
      <c r="M30" s="512"/>
      <c r="N30" s="514">
        <f>N19+N28</f>
        <v>1251.9097560000012</v>
      </c>
      <c r="O30" s="512"/>
      <c r="P30" s="514">
        <f>P19+P28</f>
        <v>78628.375026000023</v>
      </c>
      <c r="Q30" s="512"/>
      <c r="R30" s="514">
        <f>R19+R28</f>
        <v>29585290.66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'202003 Bk Depr'!R33</f>
        <v>0</v>
      </c>
      <c r="J33" s="364"/>
      <c r="L33" s="365">
        <f>'Cap&amp;OpEx 2020'!F31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'202003 Bk Depr'!R34</f>
        <v>0</v>
      </c>
      <c r="G34" s="490"/>
      <c r="H34" s="491"/>
      <c r="I34" s="490"/>
      <c r="J34" s="412"/>
      <c r="K34" s="490"/>
      <c r="L34" s="494">
        <f>'Cap&amp;OpEx 2020'!F32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'202003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'202003 Bk Depr'!R36</f>
        <v>1951194.0899999999</v>
      </c>
      <c r="J36" s="364"/>
      <c r="L36" s="516">
        <f>'Cap&amp;OpEx 2020'!F33</f>
        <v>111533.73</v>
      </c>
      <c r="N36" s="364"/>
      <c r="P36" s="364"/>
      <c r="R36" s="518">
        <f t="shared" si="11"/>
        <v>2062727.8199999998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520">
        <f>'202003 Bk Depr'!R37</f>
        <v>0</v>
      </c>
      <c r="G37" s="498"/>
      <c r="I37" s="498"/>
      <c r="J37" s="360"/>
      <c r="K37" s="498"/>
      <c r="L37" s="516">
        <f>'Cap&amp;OpEx 2020'!F34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'202003 Bk Depr'!R38</f>
        <v>0</v>
      </c>
      <c r="G38" s="490"/>
      <c r="H38" s="491"/>
      <c r="I38" s="490"/>
      <c r="J38" s="412"/>
      <c r="K38" s="490"/>
      <c r="L38" s="517">
        <f>'Cap&amp;OpEx 2020'!F35</f>
        <v>0</v>
      </c>
      <c r="M38" s="490"/>
      <c r="N38" s="412"/>
      <c r="O38" s="490"/>
      <c r="P38" s="412"/>
      <c r="Q38" s="490"/>
      <c r="R38" s="518">
        <f t="shared" si="11"/>
        <v>0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1951194.0899999999</v>
      </c>
      <c r="G39" s="490"/>
      <c r="H39" s="491"/>
      <c r="I39" s="490"/>
      <c r="J39" s="502">
        <f>SUM(J33:J38)</f>
        <v>0</v>
      </c>
      <c r="K39" s="490"/>
      <c r="L39" s="502">
        <f>SUM(L33:L38)</f>
        <v>111533.73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2062727.8199999998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F65CB-B7C2-4FE3-8513-6CD04C997CA6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541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88</v>
      </c>
      <c r="G6" s="12"/>
      <c r="H6" s="12"/>
      <c r="I6" s="12"/>
      <c r="J6" s="12" t="s">
        <v>88</v>
      </c>
      <c r="K6" s="12"/>
      <c r="L6" s="12" t="s">
        <v>88</v>
      </c>
      <c r="M6" s="12"/>
      <c r="N6" s="12"/>
      <c r="O6" s="12"/>
      <c r="P6" s="12"/>
      <c r="Q6" s="12"/>
      <c r="R6" s="12" t="s">
        <v>88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'202004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2020'!G10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v>0</v>
      </c>
      <c r="H14" s="1">
        <f>2.05%/12</f>
        <v>1.7083333333333332E-3</v>
      </c>
      <c r="J14" s="364">
        <f t="shared" si="0"/>
        <v>0</v>
      </c>
      <c r="L14" s="365"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5">
        <f>'202004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Budget'!J29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'202004 Bk Depr'!R16</f>
        <v>8105381.0100000016</v>
      </c>
      <c r="H16" s="1">
        <f t="shared" ref="H16:H18" si="5">3.24%/12</f>
        <v>2.7000000000000006E-3</v>
      </c>
      <c r="J16" s="364">
        <f t="shared" si="0"/>
        <v>21884.528727000008</v>
      </c>
      <c r="L16" s="365">
        <f>'Cap&amp;OpEx 2020'!G12-L15-'2020 Capital Budget'!J86</f>
        <v>261504.31999999986</v>
      </c>
      <c r="N16" s="364">
        <f t="shared" si="1"/>
        <v>353.03083199999986</v>
      </c>
      <c r="P16" s="364">
        <f t="shared" si="2"/>
        <v>22237.559559000008</v>
      </c>
      <c r="R16" s="364">
        <f t="shared" si="3"/>
        <v>8366885.3300000019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'202004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2020'!G13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'202004 Bk Depr'!R18</f>
        <v>21479909.649999999</v>
      </c>
      <c r="H18" s="1">
        <f t="shared" si="5"/>
        <v>2.7000000000000006E-3</v>
      </c>
      <c r="J18" s="364">
        <f t="shared" si="0"/>
        <v>57995.756055000005</v>
      </c>
      <c r="L18" s="366">
        <f>'Cap&amp;OpEx 2020'!G14-'2020 Capital Budget'!J89</f>
        <v>704168.05999999819</v>
      </c>
      <c r="N18" s="364">
        <f t="shared" si="1"/>
        <v>950.62688099999775</v>
      </c>
      <c r="P18" s="364">
        <f t="shared" si="2"/>
        <v>58946.382936000002</v>
      </c>
      <c r="R18" s="364">
        <f t="shared" si="3"/>
        <v>22184077.709999997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29585290.66</v>
      </c>
      <c r="J19" s="362">
        <f>SUM(J13:J18)</f>
        <v>79880.284782000017</v>
      </c>
      <c r="L19" s="362">
        <f>SUM(L13:L18)</f>
        <v>965672.37999999803</v>
      </c>
      <c r="N19" s="362">
        <f>SUM(N13:N18)</f>
        <v>1303.6577129999976</v>
      </c>
      <c r="P19" s="362">
        <f>SUM(P13:P18)</f>
        <v>81183.94249500001</v>
      </c>
      <c r="R19" s="362">
        <f>SUM(R13:R18)</f>
        <v>30550963.039999999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'202004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2020'!G17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18">
      <c r="A23" s="490">
        <f t="shared" ref="A23:A28" si="9">A22+1</f>
        <v>9</v>
      </c>
      <c r="B23" s="491"/>
      <c r="C23" s="491" t="s">
        <v>578</v>
      </c>
      <c r="D23" s="490">
        <v>367</v>
      </c>
      <c r="E23" s="490"/>
      <c r="F23" s="492">
        <f>'202004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2020'!G18</f>
        <v>0</v>
      </c>
      <c r="M23" s="490"/>
      <c r="N23" s="602">
        <f t="shared" ref="N23:N27" si="10">H23*L23*0.5</f>
        <v>0</v>
      </c>
      <c r="O23" s="490"/>
      <c r="P23" s="412">
        <f t="shared" si="7"/>
        <v>0</v>
      </c>
      <c r="Q23" s="490"/>
      <c r="R23" s="412">
        <f t="shared" si="8"/>
        <v>0</v>
      </c>
    </row>
    <row r="24" spans="1:18">
      <c r="A24" s="6">
        <f t="shared" si="9"/>
        <v>10</v>
      </c>
      <c r="B24" s="491"/>
      <c r="C24" s="9" t="s">
        <v>62</v>
      </c>
      <c r="D24" s="6">
        <v>376</v>
      </c>
      <c r="E24" s="490"/>
      <c r="F24" s="360">
        <f>'202004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60">
        <f>'202004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2020'!G19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18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'202004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2020'!G20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18">
      <c r="A27" s="490">
        <f t="shared" si="9"/>
        <v>13</v>
      </c>
      <c r="B27" s="491"/>
      <c r="C27" s="495" t="s">
        <v>163</v>
      </c>
      <c r="D27" s="490">
        <v>380</v>
      </c>
      <c r="E27" s="490"/>
      <c r="F27" s="496">
        <f>'202004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2020'!G21</f>
        <v>0</v>
      </c>
      <c r="M27" s="490"/>
      <c r="N27" s="602">
        <f t="shared" si="10"/>
        <v>0</v>
      </c>
      <c r="O27" s="490"/>
      <c r="P27" s="412">
        <f t="shared" si="7"/>
        <v>0</v>
      </c>
      <c r="Q27" s="490"/>
      <c r="R27" s="412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29585290.66</v>
      </c>
      <c r="G30" s="512"/>
      <c r="I30" s="512"/>
      <c r="J30" s="514">
        <f>J19+J28</f>
        <v>79880.284782000017</v>
      </c>
      <c r="K30" s="512"/>
      <c r="L30" s="514">
        <f>L19+L28</f>
        <v>965672.37999999803</v>
      </c>
      <c r="M30" s="512"/>
      <c r="N30" s="514">
        <f>N19+N28</f>
        <v>1303.6577129999976</v>
      </c>
      <c r="O30" s="512"/>
      <c r="P30" s="514">
        <f>P19+P28</f>
        <v>81183.94249500001</v>
      </c>
      <c r="Q30" s="512"/>
      <c r="R30" s="514">
        <f>R19+R28</f>
        <v>30550963.039999999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'202004 Bk Depr'!R33</f>
        <v>0</v>
      </c>
      <c r="J33" s="364"/>
      <c r="L33" s="365">
        <f>'Cap&amp;OpEx 2020'!G31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'202004 Bk Depr'!R34</f>
        <v>0</v>
      </c>
      <c r="G34" s="490"/>
      <c r="H34" s="491"/>
      <c r="I34" s="490"/>
      <c r="J34" s="412"/>
      <c r="K34" s="490"/>
      <c r="L34" s="494">
        <f>'Cap&amp;OpEx 2020'!G32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'202004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'202004 Bk Depr'!R36</f>
        <v>2062727.8199999998</v>
      </c>
      <c r="J36" s="364"/>
      <c r="L36" s="516">
        <f>'Cap&amp;OpEx 2020'!G33</f>
        <v>112107.56</v>
      </c>
      <c r="N36" s="364"/>
      <c r="P36" s="364"/>
      <c r="R36" s="518">
        <f t="shared" si="11"/>
        <v>2174835.38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520">
        <f>'202004 Bk Depr'!R37</f>
        <v>0</v>
      </c>
      <c r="G37" s="498"/>
      <c r="I37" s="498"/>
      <c r="J37" s="360"/>
      <c r="K37" s="498"/>
      <c r="L37" s="516">
        <f>'Cap&amp;OpEx 2020'!G34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'202004 Bk Depr'!R38</f>
        <v>0</v>
      </c>
      <c r="G38" s="490"/>
      <c r="H38" s="491"/>
      <c r="I38" s="490"/>
      <c r="J38" s="412"/>
      <c r="K38" s="490"/>
      <c r="L38" s="517">
        <f>'Cap&amp;OpEx 2020'!G35</f>
        <v>2263.0500000000002</v>
      </c>
      <c r="M38" s="490"/>
      <c r="N38" s="412"/>
      <c r="O38" s="490"/>
      <c r="P38" s="412"/>
      <c r="Q38" s="490"/>
      <c r="R38" s="518">
        <f t="shared" si="11"/>
        <v>2263.0500000000002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2062727.8199999998</v>
      </c>
      <c r="G39" s="490"/>
      <c r="H39" s="491"/>
      <c r="I39" s="490"/>
      <c r="J39" s="502">
        <f>SUM(J33:J38)</f>
        <v>0</v>
      </c>
      <c r="K39" s="490"/>
      <c r="L39" s="502">
        <f>SUM(L33:L38)</f>
        <v>114370.61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2177098.4299999997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62556-0541-4115-B584-77A36689AB93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542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'202005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2020'!H10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'202005 Bk Depr'!R14</f>
        <v>0</v>
      </c>
      <c r="H14" s="1">
        <f>2.05%/12</f>
        <v>1.7083333333333332E-3</v>
      </c>
      <c r="J14" s="364">
        <f t="shared" si="0"/>
        <v>0</v>
      </c>
      <c r="L14" s="365"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0">
        <f>'202005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Budget'!K29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'202005 Bk Depr'!R16</f>
        <v>8366885.3300000019</v>
      </c>
      <c r="H16" s="1">
        <f t="shared" ref="H16:H18" si="5">3.24%/12</f>
        <v>2.7000000000000006E-3</v>
      </c>
      <c r="J16" s="364">
        <f t="shared" si="0"/>
        <v>22590.590391000009</v>
      </c>
      <c r="L16" s="365">
        <f>'Cap&amp;OpEx 2020'!H12-L15-'2020 Capital Budget'!K86</f>
        <v>159615.02999999933</v>
      </c>
      <c r="N16" s="364">
        <f t="shared" si="1"/>
        <v>215.48029049999914</v>
      </c>
      <c r="P16" s="364">
        <f t="shared" si="2"/>
        <v>22806.070681500009</v>
      </c>
      <c r="R16" s="364">
        <f t="shared" si="3"/>
        <v>8526500.3600000013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'202005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2020'!H13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'202005 Bk Depr'!R18</f>
        <v>22184077.709999997</v>
      </c>
      <c r="H18" s="1">
        <f t="shared" si="5"/>
        <v>2.7000000000000006E-3</v>
      </c>
      <c r="J18" s="364">
        <f t="shared" si="0"/>
        <v>59897.009817000006</v>
      </c>
      <c r="L18" s="366">
        <f>'Cap&amp;OpEx 2020'!H14-'2020 Capital Budget'!K89</f>
        <v>644569.21</v>
      </c>
      <c r="N18" s="364">
        <f t="shared" si="1"/>
        <v>870.16843350000011</v>
      </c>
      <c r="P18" s="364">
        <f t="shared" si="2"/>
        <v>60767.178250500008</v>
      </c>
      <c r="R18" s="364">
        <f t="shared" si="3"/>
        <v>22828646.919999998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30550963.039999999</v>
      </c>
      <c r="J19" s="362">
        <f>SUM(J13:J18)</f>
        <v>82487.600208000018</v>
      </c>
      <c r="L19" s="362">
        <f>SUM(L13:L18)</f>
        <v>804184.23999999929</v>
      </c>
      <c r="N19" s="362">
        <f>SUM(N13:N18)</f>
        <v>1085.6487239999992</v>
      </c>
      <c r="P19" s="362">
        <f>SUM(P13:P18)</f>
        <v>83573.248932000017</v>
      </c>
      <c r="R19" s="362">
        <f>SUM(R13:R18)</f>
        <v>31355147.280000001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'202005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2020'!H17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18">
      <c r="A23" s="490">
        <f t="shared" ref="A23:A28" si="9">A22+1</f>
        <v>9</v>
      </c>
      <c r="B23" s="491"/>
      <c r="C23" s="491" t="s">
        <v>578</v>
      </c>
      <c r="D23" s="490">
        <v>367</v>
      </c>
      <c r="E23" s="490"/>
      <c r="F23" s="492">
        <f>'202005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2020'!H18</f>
        <v>0</v>
      </c>
      <c r="M23" s="490"/>
      <c r="N23" s="602">
        <f t="shared" ref="N23:N27" si="10">H23*L23*0.5</f>
        <v>0</v>
      </c>
      <c r="O23" s="490"/>
      <c r="P23" s="412">
        <f t="shared" si="7"/>
        <v>0</v>
      </c>
      <c r="Q23" s="490"/>
      <c r="R23" s="412">
        <f t="shared" si="8"/>
        <v>0</v>
      </c>
    </row>
    <row r="24" spans="1:18">
      <c r="A24" s="6">
        <f t="shared" si="9"/>
        <v>10</v>
      </c>
      <c r="B24" s="491"/>
      <c r="C24" s="9" t="s">
        <v>62</v>
      </c>
      <c r="D24" s="6">
        <v>376</v>
      </c>
      <c r="E24" s="490"/>
      <c r="F24" s="360">
        <f>'202005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60">
        <f>'202005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2020'!H19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18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'202005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2020'!H20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18">
      <c r="A27" s="490">
        <f t="shared" si="9"/>
        <v>13</v>
      </c>
      <c r="B27" s="491"/>
      <c r="C27" s="495" t="s">
        <v>163</v>
      </c>
      <c r="D27" s="490">
        <v>380</v>
      </c>
      <c r="E27" s="490"/>
      <c r="F27" s="496">
        <f>'202005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2020'!H21</f>
        <v>0</v>
      </c>
      <c r="M27" s="490"/>
      <c r="N27" s="602">
        <f t="shared" si="10"/>
        <v>0</v>
      </c>
      <c r="O27" s="490"/>
      <c r="P27" s="412">
        <f t="shared" si="7"/>
        <v>0</v>
      </c>
      <c r="Q27" s="490"/>
      <c r="R27" s="412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30550963.039999999</v>
      </c>
      <c r="G30" s="512"/>
      <c r="I30" s="512"/>
      <c r="J30" s="514">
        <f>J19+J28</f>
        <v>82487.600208000018</v>
      </c>
      <c r="K30" s="512"/>
      <c r="L30" s="514">
        <f>L19+L28</f>
        <v>804184.23999999929</v>
      </c>
      <c r="M30" s="512"/>
      <c r="N30" s="514">
        <f>N19+N28</f>
        <v>1085.6487239999992</v>
      </c>
      <c r="O30" s="512"/>
      <c r="P30" s="514">
        <f>P19+P28</f>
        <v>83573.248932000017</v>
      </c>
      <c r="Q30" s="512"/>
      <c r="R30" s="514">
        <f>R19+R28</f>
        <v>31355147.280000001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'202005 Bk Depr'!R33</f>
        <v>0</v>
      </c>
      <c r="J33" s="364"/>
      <c r="L33" s="365">
        <f>'Cap&amp;OpEx 2020'!H31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'202005 Bk Depr'!R34</f>
        <v>0</v>
      </c>
      <c r="G34" s="490"/>
      <c r="H34" s="491"/>
      <c r="I34" s="490"/>
      <c r="J34" s="412"/>
      <c r="K34" s="490"/>
      <c r="L34" s="494">
        <f>'Cap&amp;OpEx 2020'!H32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'202005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'202005 Bk Depr'!R36</f>
        <v>2174835.38</v>
      </c>
      <c r="J36" s="364"/>
      <c r="L36" s="516">
        <f>'Cap&amp;OpEx 2020'!H33</f>
        <v>129396.25</v>
      </c>
      <c r="N36" s="364"/>
      <c r="P36" s="364"/>
      <c r="R36" s="518">
        <f t="shared" si="11"/>
        <v>2304231.63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520">
        <f>'202005 Bk Depr'!R37</f>
        <v>0</v>
      </c>
      <c r="G37" s="498"/>
      <c r="I37" s="498"/>
      <c r="J37" s="360"/>
      <c r="K37" s="498"/>
      <c r="L37" s="516">
        <f>'Cap&amp;OpEx 2020'!H34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'202005 Bk Depr'!R38</f>
        <v>2263.0500000000002</v>
      </c>
      <c r="G38" s="490"/>
      <c r="H38" s="491"/>
      <c r="I38" s="490"/>
      <c r="J38" s="412"/>
      <c r="K38" s="490"/>
      <c r="L38" s="517">
        <f>'Cap&amp;OpEx 2020'!H35</f>
        <v>0</v>
      </c>
      <c r="M38" s="490"/>
      <c r="N38" s="412"/>
      <c r="O38" s="490"/>
      <c r="P38" s="412"/>
      <c r="Q38" s="490"/>
      <c r="R38" s="518">
        <f t="shared" si="11"/>
        <v>2263.0500000000002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2177098.4299999997</v>
      </c>
      <c r="G39" s="490"/>
      <c r="H39" s="491"/>
      <c r="I39" s="490"/>
      <c r="J39" s="502">
        <f>SUM(J33:J38)</f>
        <v>0</v>
      </c>
      <c r="K39" s="490"/>
      <c r="L39" s="502">
        <f>SUM(L33:L38)</f>
        <v>129396.25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2306494.6799999997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18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8E3A-69F7-404C-84EA-5DA849F73BA0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543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'202006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2020'!I10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6" si="4">A13+1</f>
        <v>2</v>
      </c>
      <c r="B14" s="4"/>
      <c r="C14" s="4" t="s">
        <v>578</v>
      </c>
      <c r="D14" s="6">
        <v>367</v>
      </c>
      <c r="F14" s="360">
        <f>'202006 Bk Depr'!R14</f>
        <v>0</v>
      </c>
      <c r="H14" s="1">
        <f>2.05%/12</f>
        <v>1.7083333333333332E-3</v>
      </c>
      <c r="J14" s="364">
        <f t="shared" si="0"/>
        <v>0</v>
      </c>
      <c r="L14" s="365"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0">
        <f>'202006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Budget'!L29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'202006 Bk Depr'!R16</f>
        <v>8526500.3600000013</v>
      </c>
      <c r="H16" s="1">
        <f t="shared" ref="H16:H18" si="5">3.24%/12</f>
        <v>2.7000000000000006E-3</v>
      </c>
      <c r="J16" s="364">
        <f t="shared" si="0"/>
        <v>23021.550972000008</v>
      </c>
      <c r="L16" s="365">
        <f>'Cap&amp;OpEx 2020'!I12-L15-'2020 Capital Budget'!L86</f>
        <v>189746.25</v>
      </c>
      <c r="N16" s="364">
        <f t="shared" si="1"/>
        <v>256.15743750000007</v>
      </c>
      <c r="P16" s="364">
        <f t="shared" si="2"/>
        <v>23277.70840950001</v>
      </c>
      <c r="R16" s="364">
        <f t="shared" si="3"/>
        <v>8716246.6100000013</v>
      </c>
    </row>
    <row r="17" spans="1:18">
      <c r="A17" s="6">
        <f t="shared" ref="A17:A19" si="6">A16+1</f>
        <v>5</v>
      </c>
      <c r="B17" s="4"/>
      <c r="C17" s="9" t="s">
        <v>63</v>
      </c>
      <c r="D17" s="6">
        <v>380</v>
      </c>
      <c r="F17" s="360">
        <f>'202006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2020'!I13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6"/>
        <v>6</v>
      </c>
      <c r="B18" s="4"/>
      <c r="C18" s="4" t="s">
        <v>163</v>
      </c>
      <c r="D18" s="6">
        <v>380</v>
      </c>
      <c r="F18" s="361">
        <f>'202006 Bk Depr'!R18</f>
        <v>22828646.919999998</v>
      </c>
      <c r="H18" s="1">
        <f t="shared" si="5"/>
        <v>2.7000000000000006E-3</v>
      </c>
      <c r="J18" s="364">
        <f t="shared" si="0"/>
        <v>61637.346684000011</v>
      </c>
      <c r="L18" s="366">
        <f>'Cap&amp;OpEx 2020'!I14-'2020 Capital Budget'!L89</f>
        <v>602275.62999999989</v>
      </c>
      <c r="N18" s="364">
        <f t="shared" si="1"/>
        <v>813.07210050000003</v>
      </c>
      <c r="P18" s="364">
        <f t="shared" si="2"/>
        <v>62450.418784500012</v>
      </c>
      <c r="R18" s="364">
        <f t="shared" si="3"/>
        <v>23430922.549999997</v>
      </c>
    </row>
    <row r="19" spans="1:18">
      <c r="A19" s="6">
        <f t="shared" si="6"/>
        <v>7</v>
      </c>
      <c r="B19" s="4"/>
      <c r="C19" s="4" t="s">
        <v>21</v>
      </c>
      <c r="F19" s="362">
        <f>SUM(F13:F18)</f>
        <v>31355147.280000001</v>
      </c>
      <c r="J19" s="362">
        <f>SUM(J13:J18)</f>
        <v>84658.897656000016</v>
      </c>
      <c r="L19" s="362">
        <f>SUM(L13:L18)</f>
        <v>792021.87999999989</v>
      </c>
      <c r="N19" s="362">
        <f>SUM(N13:N18)</f>
        <v>1069.229538</v>
      </c>
      <c r="P19" s="362">
        <f>SUM(P13:P18)</f>
        <v>85728.12719400003</v>
      </c>
      <c r="R19" s="362">
        <f>SUM(R13:R18)</f>
        <v>32147169.159999996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'202006 Bk Depr'!R22</f>
        <v>0</v>
      </c>
      <c r="H22" s="1">
        <f>1.62%/12</f>
        <v>1.3500000000000003E-3</v>
      </c>
      <c r="J22" s="364">
        <f t="shared" ref="J22:J27" si="7">F22*H22</f>
        <v>0</v>
      </c>
      <c r="L22" s="365">
        <f>'Cap&amp;OpEx 2020'!I17</f>
        <v>0</v>
      </c>
      <c r="N22" s="601">
        <f>H22*L22*0.5</f>
        <v>0</v>
      </c>
      <c r="P22" s="364">
        <f t="shared" ref="P22:P27" si="8">J22+N22</f>
        <v>0</v>
      </c>
      <c r="R22" s="364">
        <f t="shared" ref="R22:R27" si="9">L22+F22</f>
        <v>0</v>
      </c>
    </row>
    <row r="23" spans="1:18">
      <c r="A23" s="490">
        <f t="shared" ref="A23:A28" si="10">A22+1</f>
        <v>9</v>
      </c>
      <c r="B23" s="491"/>
      <c r="C23" s="491" t="s">
        <v>578</v>
      </c>
      <c r="D23" s="490">
        <v>367</v>
      </c>
      <c r="E23" s="490"/>
      <c r="F23" s="492">
        <f>'202006 Bk Depr'!R23</f>
        <v>0</v>
      </c>
      <c r="G23" s="490"/>
      <c r="H23" s="493">
        <f>2.05%/12</f>
        <v>1.7083333333333332E-3</v>
      </c>
      <c r="I23" s="490"/>
      <c r="J23" s="412">
        <f t="shared" si="7"/>
        <v>0</v>
      </c>
      <c r="K23" s="490"/>
      <c r="L23" s="494">
        <f>'Cap&amp;OpEx 2020'!I18</f>
        <v>0</v>
      </c>
      <c r="M23" s="490"/>
      <c r="N23" s="602">
        <f t="shared" ref="N23:N27" si="11">H23*L23*0.5</f>
        <v>0</v>
      </c>
      <c r="O23" s="490"/>
      <c r="P23" s="412">
        <f t="shared" si="8"/>
        <v>0</v>
      </c>
      <c r="Q23" s="490"/>
      <c r="R23" s="412">
        <f t="shared" si="9"/>
        <v>0</v>
      </c>
    </row>
    <row r="24" spans="1:18">
      <c r="A24" s="6">
        <f t="shared" si="10"/>
        <v>10</v>
      </c>
      <c r="B24" s="491"/>
      <c r="C24" s="9" t="s">
        <v>62</v>
      </c>
      <c r="D24" s="6">
        <v>376</v>
      </c>
      <c r="E24" s="490"/>
      <c r="F24" s="360">
        <f>'202006 Bk Depr'!R24</f>
        <v>0</v>
      </c>
      <c r="H24" s="1">
        <f>1.62%/12</f>
        <v>1.3500000000000003E-3</v>
      </c>
      <c r="J24" s="364">
        <f t="shared" si="7"/>
        <v>0</v>
      </c>
      <c r="L24" s="365">
        <v>0</v>
      </c>
      <c r="N24" s="601">
        <f t="shared" si="11"/>
        <v>0</v>
      </c>
      <c r="P24" s="364">
        <f t="shared" si="8"/>
        <v>0</v>
      </c>
      <c r="R24" s="364">
        <f t="shared" si="9"/>
        <v>0</v>
      </c>
    </row>
    <row r="25" spans="1:18">
      <c r="A25" s="6">
        <f t="shared" si="10"/>
        <v>11</v>
      </c>
      <c r="B25" s="4"/>
      <c r="C25" s="9" t="s">
        <v>62</v>
      </c>
      <c r="D25" s="6">
        <v>380</v>
      </c>
      <c r="F25" s="360">
        <f>'202006 Bk Depr'!R25</f>
        <v>0</v>
      </c>
      <c r="H25" s="1">
        <f>3.24%/12</f>
        <v>2.7000000000000006E-3</v>
      </c>
      <c r="J25" s="364">
        <f t="shared" si="7"/>
        <v>0</v>
      </c>
      <c r="L25" s="365">
        <f>'Cap&amp;OpEx 2020'!I19</f>
        <v>0</v>
      </c>
      <c r="N25" s="601">
        <f t="shared" si="11"/>
        <v>0</v>
      </c>
      <c r="P25" s="364">
        <f t="shared" si="8"/>
        <v>0</v>
      </c>
      <c r="R25" s="364">
        <f t="shared" si="9"/>
        <v>0</v>
      </c>
    </row>
    <row r="26" spans="1:18" s="499" customFormat="1">
      <c r="A26" s="498">
        <f t="shared" si="10"/>
        <v>12</v>
      </c>
      <c r="C26" s="500" t="s">
        <v>63</v>
      </c>
      <c r="D26" s="498">
        <v>380</v>
      </c>
      <c r="E26" s="498"/>
      <c r="F26" s="360">
        <f>'202006 Bk Depr'!R26</f>
        <v>0</v>
      </c>
      <c r="G26" s="498"/>
      <c r="H26" s="501">
        <f>3.24%/12</f>
        <v>2.7000000000000006E-3</v>
      </c>
      <c r="I26" s="498"/>
      <c r="J26" s="360">
        <f t="shared" si="7"/>
        <v>0</v>
      </c>
      <c r="K26" s="498"/>
      <c r="L26" s="365">
        <f>'Cap&amp;OpEx 2020'!I20</f>
        <v>0</v>
      </c>
      <c r="M26" s="498"/>
      <c r="N26" s="601">
        <f t="shared" si="11"/>
        <v>0</v>
      </c>
      <c r="O26" s="498"/>
      <c r="P26" s="360">
        <f t="shared" si="8"/>
        <v>0</v>
      </c>
      <c r="Q26" s="498"/>
      <c r="R26" s="360">
        <f t="shared" si="9"/>
        <v>0</v>
      </c>
    </row>
    <row r="27" spans="1:18">
      <c r="A27" s="490">
        <f t="shared" si="10"/>
        <v>13</v>
      </c>
      <c r="B27" s="491"/>
      <c r="C27" s="495" t="s">
        <v>163</v>
      </c>
      <c r="D27" s="490">
        <v>380</v>
      </c>
      <c r="E27" s="490"/>
      <c r="F27" s="496">
        <f>'202006 Bk Depr'!R27</f>
        <v>0</v>
      </c>
      <c r="G27" s="490"/>
      <c r="H27" s="493">
        <f>3.24%/12</f>
        <v>2.7000000000000006E-3</v>
      </c>
      <c r="I27" s="490"/>
      <c r="J27" s="412">
        <f t="shared" si="7"/>
        <v>0</v>
      </c>
      <c r="K27" s="490"/>
      <c r="L27" s="497">
        <f>'Cap&amp;OpEx 2020'!I21</f>
        <v>0</v>
      </c>
      <c r="M27" s="490"/>
      <c r="N27" s="602">
        <f t="shared" si="11"/>
        <v>0</v>
      </c>
      <c r="O27" s="490"/>
      <c r="P27" s="412">
        <f t="shared" si="8"/>
        <v>0</v>
      </c>
      <c r="Q27" s="490"/>
      <c r="R27" s="412">
        <f t="shared" si="9"/>
        <v>0</v>
      </c>
    </row>
    <row r="28" spans="1:18">
      <c r="A28" s="6">
        <f t="shared" si="10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31355147.280000001</v>
      </c>
      <c r="G30" s="512"/>
      <c r="I30" s="512"/>
      <c r="J30" s="514">
        <f>J19+J28</f>
        <v>84658.897656000016</v>
      </c>
      <c r="K30" s="512"/>
      <c r="L30" s="514">
        <f>L19+L28</f>
        <v>792021.87999999989</v>
      </c>
      <c r="M30" s="512"/>
      <c r="N30" s="514">
        <f>N19+N28</f>
        <v>1069.229538</v>
      </c>
      <c r="O30" s="512"/>
      <c r="P30" s="514">
        <f>P19+P28</f>
        <v>85728.12719400003</v>
      </c>
      <c r="Q30" s="512"/>
      <c r="R30" s="514">
        <f>R19+R28</f>
        <v>32147169.159999996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'202006 Bk Depr'!R33</f>
        <v>0</v>
      </c>
      <c r="J33" s="364"/>
      <c r="L33" s="365">
        <f>'Cap&amp;OpEx 2020'!I31</f>
        <v>0</v>
      </c>
      <c r="N33" s="364"/>
      <c r="P33" s="364"/>
      <c r="R33" s="364">
        <f t="shared" ref="R33:R38" si="12">L33+F33</f>
        <v>0</v>
      </c>
    </row>
    <row r="34" spans="1:18">
      <c r="A34" s="490">
        <f t="shared" ref="A34:A39" si="13">A33+1</f>
        <v>17</v>
      </c>
      <c r="B34" s="491"/>
      <c r="C34" s="491" t="s">
        <v>578</v>
      </c>
      <c r="D34" s="490">
        <v>367</v>
      </c>
      <c r="E34" s="490"/>
      <c r="F34" s="492">
        <f>'202006 Bk Depr'!R34</f>
        <v>0</v>
      </c>
      <c r="G34" s="490"/>
      <c r="H34" s="491"/>
      <c r="I34" s="490"/>
      <c r="J34" s="412"/>
      <c r="K34" s="490"/>
      <c r="L34" s="494">
        <f>'Cap&amp;OpEx 2020'!I32</f>
        <v>0</v>
      </c>
      <c r="M34" s="490"/>
      <c r="N34" s="412"/>
      <c r="O34" s="490"/>
      <c r="P34" s="412"/>
      <c r="Q34" s="490"/>
      <c r="R34" s="412">
        <f t="shared" si="12"/>
        <v>0</v>
      </c>
    </row>
    <row r="35" spans="1:18">
      <c r="A35" s="6">
        <f t="shared" si="13"/>
        <v>18</v>
      </c>
      <c r="B35" s="491"/>
      <c r="C35" s="9" t="s">
        <v>62</v>
      </c>
      <c r="D35" s="6">
        <v>376</v>
      </c>
      <c r="E35" s="490"/>
      <c r="F35" s="360">
        <f>'202006 Bk Depr'!R35</f>
        <v>0</v>
      </c>
      <c r="J35" s="364"/>
      <c r="L35" s="365">
        <v>0</v>
      </c>
      <c r="N35" s="364"/>
      <c r="P35" s="364"/>
      <c r="R35" s="364">
        <f t="shared" si="12"/>
        <v>0</v>
      </c>
    </row>
    <row r="36" spans="1:18">
      <c r="A36" s="6">
        <f t="shared" si="13"/>
        <v>19</v>
      </c>
      <c r="B36" s="4"/>
      <c r="C36" s="9" t="s">
        <v>62</v>
      </c>
      <c r="D36" s="6">
        <v>380</v>
      </c>
      <c r="F36" s="520">
        <f>'202006 Bk Depr'!R36</f>
        <v>2304231.63</v>
      </c>
      <c r="J36" s="364"/>
      <c r="L36" s="516">
        <f>'Cap&amp;OpEx 2020'!I33</f>
        <v>45603.539999999994</v>
      </c>
      <c r="N36" s="364"/>
      <c r="P36" s="364"/>
      <c r="R36" s="518">
        <f t="shared" si="12"/>
        <v>2349835.17</v>
      </c>
    </row>
    <row r="37" spans="1:18" s="499" customFormat="1">
      <c r="A37" s="498">
        <f t="shared" si="13"/>
        <v>20</v>
      </c>
      <c r="C37" s="500" t="s">
        <v>63</v>
      </c>
      <c r="D37" s="498">
        <v>380</v>
      </c>
      <c r="E37" s="498"/>
      <c r="F37" s="520">
        <f>'202006 Bk Depr'!R37</f>
        <v>0</v>
      </c>
      <c r="G37" s="498"/>
      <c r="I37" s="498"/>
      <c r="J37" s="360"/>
      <c r="K37" s="498"/>
      <c r="L37" s="516">
        <f>'Cap&amp;OpEx 2020'!I34</f>
        <v>0</v>
      </c>
      <c r="M37" s="498"/>
      <c r="N37" s="360"/>
      <c r="O37" s="498"/>
      <c r="P37" s="360"/>
      <c r="Q37" s="498"/>
      <c r="R37" s="520">
        <f t="shared" si="12"/>
        <v>0</v>
      </c>
    </row>
    <row r="38" spans="1:18">
      <c r="A38" s="490">
        <f t="shared" si="13"/>
        <v>21</v>
      </c>
      <c r="B38" s="491"/>
      <c r="C38" s="495" t="s">
        <v>163</v>
      </c>
      <c r="D38" s="490">
        <v>380</v>
      </c>
      <c r="E38" s="490"/>
      <c r="F38" s="521">
        <f>'202006 Bk Depr'!R38</f>
        <v>2263.0500000000002</v>
      </c>
      <c r="G38" s="490"/>
      <c r="H38" s="491"/>
      <c r="I38" s="490"/>
      <c r="J38" s="412"/>
      <c r="K38" s="490"/>
      <c r="L38" s="517">
        <f>'Cap&amp;OpEx 2020'!I35</f>
        <v>0</v>
      </c>
      <c r="M38" s="490"/>
      <c r="N38" s="412"/>
      <c r="O38" s="490"/>
      <c r="P38" s="412"/>
      <c r="Q38" s="490"/>
      <c r="R38" s="518">
        <f t="shared" si="12"/>
        <v>2263.0500000000002</v>
      </c>
    </row>
    <row r="39" spans="1:18">
      <c r="A39" s="6">
        <f t="shared" si="13"/>
        <v>22</v>
      </c>
      <c r="B39" s="4"/>
      <c r="C39" s="4" t="s">
        <v>23</v>
      </c>
      <c r="F39" s="502">
        <f>SUM(F33:F38)</f>
        <v>2306494.6799999997</v>
      </c>
      <c r="G39" s="490"/>
      <c r="H39" s="491"/>
      <c r="I39" s="490"/>
      <c r="J39" s="502">
        <f>SUM(J33:J38)</f>
        <v>0</v>
      </c>
      <c r="K39" s="490"/>
      <c r="L39" s="502">
        <f>SUM(L33:L38)</f>
        <v>45603.539999999994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2352098.2199999997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B3F3-6D0B-4696-AC69-0C3964C99064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544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'202007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2020'!J10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'202007 Bk Depr'!R14</f>
        <v>0</v>
      </c>
      <c r="H14" s="1">
        <f>2.05%/12</f>
        <v>1.7083333333333332E-3</v>
      </c>
      <c r="J14" s="364">
        <f t="shared" si="0"/>
        <v>0</v>
      </c>
      <c r="L14" s="365"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0">
        <f>'202007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Budget'!M29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'202007 Bk Depr'!R16</f>
        <v>8716246.6100000013</v>
      </c>
      <c r="H16" s="1">
        <f t="shared" ref="H16:H18" si="5">3.24%/12</f>
        <v>2.7000000000000006E-3</v>
      </c>
      <c r="J16" s="364">
        <f t="shared" si="0"/>
        <v>23533.865847000008</v>
      </c>
      <c r="L16" s="365">
        <f>'Cap&amp;OpEx 2020'!J12-L15-'2020 Capital Budget'!M86</f>
        <v>172604.47000000067</v>
      </c>
      <c r="N16" s="364">
        <f t="shared" si="1"/>
        <v>233.01603450000096</v>
      </c>
      <c r="P16" s="364">
        <f t="shared" si="2"/>
        <v>23766.881881500009</v>
      </c>
      <c r="R16" s="364">
        <f t="shared" si="3"/>
        <v>8888851.0800000019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'202007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2020'!J13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'202007 Bk Depr'!R18</f>
        <v>23430922.549999997</v>
      </c>
      <c r="H18" s="1">
        <f t="shared" si="5"/>
        <v>2.7000000000000006E-3</v>
      </c>
      <c r="J18" s="364">
        <f t="shared" si="0"/>
        <v>63263.490885000007</v>
      </c>
      <c r="L18" s="366">
        <f>'Cap&amp;OpEx 2020'!J14-'2020 Capital Budget'!M89</f>
        <v>582688.73999999906</v>
      </c>
      <c r="N18" s="364">
        <f t="shared" si="1"/>
        <v>786.62979899999891</v>
      </c>
      <c r="P18" s="364">
        <f t="shared" si="2"/>
        <v>64050.120684000009</v>
      </c>
      <c r="R18" s="364">
        <f t="shared" si="3"/>
        <v>24013611.289999995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32147169.159999996</v>
      </c>
      <c r="J19" s="362">
        <f>SUM(J13:J18)</f>
        <v>86797.356732000015</v>
      </c>
      <c r="L19" s="362">
        <f>SUM(L13:L18)</f>
        <v>755293.20999999973</v>
      </c>
      <c r="N19" s="362">
        <f>SUM(N13:N18)</f>
        <v>1019.6458334999999</v>
      </c>
      <c r="P19" s="362">
        <f>SUM(P13:P18)</f>
        <v>87817.002565500021</v>
      </c>
      <c r="R19" s="362">
        <f>SUM(R13:R18)</f>
        <v>32902462.369999997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'202007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2020'!J17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18">
      <c r="A23" s="490">
        <f t="shared" ref="A23:A28" si="9">A22+1</f>
        <v>9</v>
      </c>
      <c r="B23" s="491"/>
      <c r="C23" s="491" t="s">
        <v>578</v>
      </c>
      <c r="D23" s="490">
        <v>367</v>
      </c>
      <c r="E23" s="490"/>
      <c r="F23" s="492">
        <f>'202007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2020'!J18</f>
        <v>0</v>
      </c>
      <c r="M23" s="490"/>
      <c r="N23" s="602">
        <f t="shared" ref="N23:N27" si="10">H23*L23*0.5</f>
        <v>0</v>
      </c>
      <c r="O23" s="490"/>
      <c r="P23" s="412">
        <f t="shared" si="7"/>
        <v>0</v>
      </c>
      <c r="Q23" s="490"/>
      <c r="R23" s="412">
        <f t="shared" si="8"/>
        <v>0</v>
      </c>
    </row>
    <row r="24" spans="1:18">
      <c r="A24" s="6">
        <f t="shared" si="9"/>
        <v>10</v>
      </c>
      <c r="B24" s="491"/>
      <c r="C24" s="9" t="s">
        <v>62</v>
      </c>
      <c r="D24" s="6">
        <v>376</v>
      </c>
      <c r="E24" s="490"/>
      <c r="F24" s="360">
        <f>'202007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60">
        <f>'202007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2020'!J19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18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'202007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2020'!J20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18">
      <c r="A27" s="490">
        <f t="shared" si="9"/>
        <v>13</v>
      </c>
      <c r="B27" s="491"/>
      <c r="C27" s="495" t="s">
        <v>163</v>
      </c>
      <c r="D27" s="490">
        <v>380</v>
      </c>
      <c r="E27" s="490"/>
      <c r="F27" s="496">
        <f>'202007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2020'!J21</f>
        <v>0</v>
      </c>
      <c r="M27" s="490"/>
      <c r="N27" s="602">
        <f t="shared" si="10"/>
        <v>0</v>
      </c>
      <c r="O27" s="490"/>
      <c r="P27" s="412">
        <f t="shared" si="7"/>
        <v>0</v>
      </c>
      <c r="Q27" s="490"/>
      <c r="R27" s="412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32147169.159999996</v>
      </c>
      <c r="G30" s="512"/>
      <c r="I30" s="512"/>
      <c r="J30" s="514">
        <f>J19+J28</f>
        <v>86797.356732000015</v>
      </c>
      <c r="K30" s="512"/>
      <c r="L30" s="514">
        <f>L19+L28</f>
        <v>755293.20999999973</v>
      </c>
      <c r="M30" s="512"/>
      <c r="N30" s="514">
        <f>N19+N28</f>
        <v>1019.6458334999999</v>
      </c>
      <c r="O30" s="512"/>
      <c r="P30" s="514">
        <f>P19+P28</f>
        <v>87817.002565500021</v>
      </c>
      <c r="Q30" s="512"/>
      <c r="R30" s="514">
        <f>R19+R28</f>
        <v>32902462.369999997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'202007 Bk Depr'!R33</f>
        <v>0</v>
      </c>
      <c r="J33" s="364"/>
      <c r="L33" s="365">
        <f>'Cap&amp;OpEx 2020'!J31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'202007 Bk Depr'!R34</f>
        <v>0</v>
      </c>
      <c r="G34" s="490"/>
      <c r="H34" s="491"/>
      <c r="I34" s="490"/>
      <c r="J34" s="412"/>
      <c r="K34" s="490"/>
      <c r="L34" s="494">
        <f>'Cap&amp;OpEx 2020'!J32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'202007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'202007 Bk Depr'!R36</f>
        <v>2349835.17</v>
      </c>
      <c r="J36" s="364"/>
      <c r="L36" s="516">
        <f>'Cap&amp;OpEx 2020'!J33</f>
        <v>46588.78</v>
      </c>
      <c r="N36" s="364"/>
      <c r="P36" s="364"/>
      <c r="R36" s="518">
        <f t="shared" si="11"/>
        <v>2396423.9499999997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520">
        <f>'202007 Bk Depr'!R37</f>
        <v>0</v>
      </c>
      <c r="G37" s="498"/>
      <c r="I37" s="498"/>
      <c r="J37" s="360"/>
      <c r="K37" s="498"/>
      <c r="L37" s="516">
        <f>'Cap&amp;OpEx 2020'!J34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'202007 Bk Depr'!R38</f>
        <v>2263.0500000000002</v>
      </c>
      <c r="G38" s="490"/>
      <c r="H38" s="491"/>
      <c r="I38" s="490"/>
      <c r="J38" s="412"/>
      <c r="K38" s="490"/>
      <c r="L38" s="517">
        <f>'Cap&amp;OpEx 2020'!J35</f>
        <v>31868.400000000001</v>
      </c>
      <c r="M38" s="490"/>
      <c r="N38" s="412"/>
      <c r="O38" s="490"/>
      <c r="P38" s="412"/>
      <c r="Q38" s="490"/>
      <c r="R38" s="518">
        <f t="shared" si="11"/>
        <v>34131.450000000004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2352098.2199999997</v>
      </c>
      <c r="G39" s="490"/>
      <c r="H39" s="491"/>
      <c r="I39" s="490"/>
      <c r="J39" s="502">
        <f>SUM(J33:J38)</f>
        <v>0</v>
      </c>
      <c r="K39" s="490"/>
      <c r="L39" s="502">
        <f>SUM(L33:L38)</f>
        <v>78457.179999999993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2430555.4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Z45"/>
  <sheetViews>
    <sheetView zoomScaleNormal="100" workbookViewId="0"/>
  </sheetViews>
  <sheetFormatPr defaultColWidth="9.140625" defaultRowHeight="20.25"/>
  <cols>
    <col min="1" max="1" width="7" style="261" customWidth="1"/>
    <col min="2" max="2" width="54.85546875" style="460" customWidth="1"/>
    <col min="3" max="3" width="18.85546875" style="460" customWidth="1"/>
    <col min="4" max="5" width="14.85546875" style="460" customWidth="1"/>
    <col min="6" max="8" width="17.85546875" style="460" customWidth="1"/>
    <col min="9" max="9" width="15.85546875" style="460" customWidth="1"/>
    <col min="10" max="10" width="6.140625" style="460" customWidth="1"/>
    <col min="11" max="12" width="9.140625" style="460"/>
    <col min="13" max="13" width="12.5703125" style="460" customWidth="1"/>
    <col min="14" max="14" width="15.5703125" style="460" customWidth="1"/>
    <col min="15" max="15" width="16" style="460" bestFit="1" customWidth="1"/>
    <col min="16" max="16" width="15.140625" style="460" bestFit="1" customWidth="1"/>
    <col min="17" max="19" width="11.5703125" style="460" customWidth="1"/>
    <col min="20" max="20" width="9.140625" style="460"/>
    <col min="21" max="22" width="16.5703125" style="460" bestFit="1" customWidth="1"/>
    <col min="23" max="23" width="18.140625" style="460" bestFit="1" customWidth="1"/>
    <col min="24" max="16384" width="9.140625" style="460"/>
  </cols>
  <sheetData>
    <row r="1" spans="1:26">
      <c r="A1" s="256" t="s">
        <v>67</v>
      </c>
      <c r="B1" s="256"/>
      <c r="C1" s="256"/>
      <c r="D1" s="256"/>
      <c r="E1" s="256"/>
      <c r="F1" s="256"/>
      <c r="G1" s="256"/>
      <c r="H1" s="256"/>
      <c r="I1" s="256"/>
    </row>
    <row r="2" spans="1:26">
      <c r="A2" s="257" t="s">
        <v>255</v>
      </c>
      <c r="B2" s="257"/>
      <c r="C2" s="257"/>
      <c r="D2" s="257"/>
      <c r="E2" s="257"/>
      <c r="F2" s="257"/>
      <c r="G2" s="257"/>
      <c r="H2" s="257"/>
      <c r="I2" s="257"/>
      <c r="J2" s="258"/>
      <c r="K2" s="259"/>
    </row>
    <row r="3" spans="1:26">
      <c r="A3" s="256" t="s">
        <v>75</v>
      </c>
      <c r="B3" s="256"/>
      <c r="C3" s="256"/>
      <c r="D3" s="256"/>
      <c r="E3" s="256"/>
      <c r="F3" s="256"/>
      <c r="G3" s="256"/>
      <c r="H3" s="256"/>
      <c r="I3" s="256"/>
      <c r="J3" s="259"/>
    </row>
    <row r="4" spans="1:26" ht="15.75" customHeight="1">
      <c r="A4" s="260"/>
    </row>
    <row r="5" spans="1:26" ht="15.75" customHeight="1">
      <c r="N5" s="669" t="s">
        <v>674</v>
      </c>
      <c r="O5" s="669"/>
      <c r="P5" s="669"/>
      <c r="Q5" s="560"/>
      <c r="R5" s="560"/>
      <c r="S5" s="560"/>
      <c r="U5" s="669" t="s">
        <v>772</v>
      </c>
      <c r="V5" s="669"/>
      <c r="W5" s="669"/>
    </row>
    <row r="6" spans="1:26" s="461" customFormat="1" ht="78.75">
      <c r="A6" s="262" t="s">
        <v>66</v>
      </c>
      <c r="B6" s="262" t="s">
        <v>241</v>
      </c>
      <c r="C6" s="263" t="s">
        <v>670</v>
      </c>
      <c r="D6" s="262" t="s">
        <v>64</v>
      </c>
      <c r="E6" s="262" t="s">
        <v>160</v>
      </c>
      <c r="F6" s="262" t="s">
        <v>65</v>
      </c>
      <c r="G6" s="264" t="s">
        <v>671</v>
      </c>
      <c r="H6" s="265" t="s">
        <v>609</v>
      </c>
      <c r="I6" s="265" t="s">
        <v>257</v>
      </c>
      <c r="N6" s="561" t="s">
        <v>672</v>
      </c>
      <c r="O6" s="561" t="s">
        <v>673</v>
      </c>
      <c r="P6" s="561" t="s">
        <v>257</v>
      </c>
      <c r="Q6" s="577" t="s">
        <v>695</v>
      </c>
      <c r="R6" s="577" t="s">
        <v>696</v>
      </c>
      <c r="S6" s="577" t="s">
        <v>694</v>
      </c>
      <c r="U6" s="561" t="s">
        <v>671</v>
      </c>
      <c r="V6" s="561" t="s">
        <v>609</v>
      </c>
      <c r="W6" s="561" t="s">
        <v>257</v>
      </c>
      <c r="X6" s="577" t="s">
        <v>695</v>
      </c>
      <c r="Y6" s="577" t="s">
        <v>696</v>
      </c>
      <c r="Z6" s="577" t="s">
        <v>694</v>
      </c>
    </row>
    <row r="7" spans="1:26" s="461" customFormat="1" ht="15.75">
      <c r="A7" s="266"/>
      <c r="B7" s="267"/>
      <c r="C7" s="268"/>
      <c r="D7" s="269"/>
      <c r="E7" s="269"/>
      <c r="F7" s="270"/>
      <c r="G7" s="270"/>
      <c r="H7" s="271"/>
      <c r="I7" s="271"/>
      <c r="J7" s="272"/>
      <c r="K7" s="272"/>
      <c r="N7" s="562"/>
      <c r="O7" s="562"/>
      <c r="P7" s="562"/>
      <c r="Q7" s="562"/>
      <c r="R7" s="562"/>
      <c r="S7" s="562"/>
    </row>
    <row r="8" spans="1:26" s="461" customFormat="1" ht="15.75">
      <c r="B8" s="273" t="s">
        <v>610</v>
      </c>
      <c r="C8" s="434"/>
      <c r="D8" s="269"/>
      <c r="E8" s="269"/>
      <c r="F8" s="270"/>
      <c r="G8" s="270"/>
      <c r="H8" s="271"/>
      <c r="I8" s="271"/>
      <c r="J8" s="272"/>
      <c r="K8" s="272"/>
      <c r="N8" s="562"/>
      <c r="O8" s="562"/>
      <c r="P8" s="562"/>
      <c r="Q8" s="562"/>
      <c r="R8" s="562"/>
      <c r="S8" s="562"/>
    </row>
    <row r="9" spans="1:26" s="461" customFormat="1" ht="15.75">
      <c r="A9" s="274">
        <v>1</v>
      </c>
      <c r="B9" s="275" t="s">
        <v>449</v>
      </c>
      <c r="C9" s="462">
        <v>231221838.02025786</v>
      </c>
      <c r="D9" s="276">
        <f>C9/$C$12</f>
        <v>0.68190874821622838</v>
      </c>
      <c r="E9" s="277">
        <f>D9*E$12</f>
        <v>5849183.2473605154</v>
      </c>
      <c r="F9" s="463">
        <v>3587761</v>
      </c>
      <c r="G9" s="278">
        <f>E9/F9</f>
        <v>1.630315744934101</v>
      </c>
      <c r="H9" s="279">
        <f>G30</f>
        <v>0.286270947020348</v>
      </c>
      <c r="I9" s="279">
        <f>SUM(G9:H9)</f>
        <v>1.916586691954449</v>
      </c>
      <c r="J9" s="272"/>
      <c r="K9" s="272"/>
      <c r="N9" s="563">
        <v>1.7892606927708348</v>
      </c>
      <c r="O9" s="563">
        <v>8.1806262861226456E-2</v>
      </c>
      <c r="P9" s="563">
        <v>1.8710669556320612</v>
      </c>
      <c r="Q9" s="576">
        <f t="shared" ref="Q9:S11" si="0">(G9-N9)/N9</f>
        <v>-8.8832750017323006E-2</v>
      </c>
      <c r="R9" s="576">
        <f t="shared" si="0"/>
        <v>2.499376905970744</v>
      </c>
      <c r="S9" s="576">
        <f t="shared" si="0"/>
        <v>2.4328224163956171E-2</v>
      </c>
      <c r="U9" s="563">
        <v>2.2237176250180979</v>
      </c>
      <c r="V9" s="563">
        <v>0.286270947020348</v>
      </c>
      <c r="W9" s="563">
        <v>2.5099885720384458</v>
      </c>
      <c r="X9" s="576">
        <f t="shared" ref="X9:Z11" si="1">(G9-U9)/U9</f>
        <v>-0.26685127347460197</v>
      </c>
      <c r="Y9" s="576">
        <f t="shared" si="1"/>
        <v>0</v>
      </c>
      <c r="Z9" s="576">
        <f t="shared" si="1"/>
        <v>-0.23641616806329732</v>
      </c>
    </row>
    <row r="10" spans="1:26" s="461" customFormat="1" ht="15.75">
      <c r="A10" s="274">
        <v>2</v>
      </c>
      <c r="B10" s="275" t="s">
        <v>493</v>
      </c>
      <c r="C10" s="462">
        <v>96042056.63315475</v>
      </c>
      <c r="D10" s="276">
        <f t="shared" ref="D10:D11" si="2">C10/$C$12</f>
        <v>0.28324279045428558</v>
      </c>
      <c r="E10" s="277">
        <f>D10*E$12</f>
        <v>2429561.1241161432</v>
      </c>
      <c r="F10" s="463">
        <f>300937+12</f>
        <v>300949</v>
      </c>
      <c r="G10" s="278">
        <f>E10/F10</f>
        <v>8.0729994919941355</v>
      </c>
      <c r="H10" s="279">
        <f t="shared" ref="H10:H11" si="3">G31</f>
        <v>1.4175568242220253</v>
      </c>
      <c r="I10" s="279">
        <f>SUM(G10:H10)</f>
        <v>9.4905563162161606</v>
      </c>
      <c r="J10" s="272"/>
      <c r="K10" s="272"/>
      <c r="N10" s="563">
        <v>8.8600632783362432</v>
      </c>
      <c r="O10" s="563">
        <v>0.40508835210158317</v>
      </c>
      <c r="P10" s="563">
        <v>9.2651516304378259</v>
      </c>
      <c r="Q10" s="576">
        <f t="shared" si="0"/>
        <v>-8.8832750017323103E-2</v>
      </c>
      <c r="R10" s="576">
        <f t="shared" si="0"/>
        <v>2.499376905970744</v>
      </c>
      <c r="S10" s="576">
        <f t="shared" si="0"/>
        <v>2.4328224163956094E-2</v>
      </c>
      <c r="U10" s="563">
        <v>11.011407644741329</v>
      </c>
      <c r="V10" s="563">
        <v>1.4175568242220253</v>
      </c>
      <c r="W10" s="563">
        <v>12.428964468963354</v>
      </c>
      <c r="X10" s="576">
        <f t="shared" si="1"/>
        <v>-0.26685127347460219</v>
      </c>
      <c r="Y10" s="576">
        <f t="shared" si="1"/>
        <v>0</v>
      </c>
      <c r="Z10" s="576">
        <f t="shared" si="1"/>
        <v>-0.23641616806329749</v>
      </c>
    </row>
    <row r="11" spans="1:26" s="461" customFormat="1" ht="15.75">
      <c r="A11" s="274">
        <v>3</v>
      </c>
      <c r="B11" s="275" t="s">
        <v>450</v>
      </c>
      <c r="C11" s="464">
        <v>11816427.493941773</v>
      </c>
      <c r="D11" s="280">
        <f t="shared" si="2"/>
        <v>3.4848461329486116E-2</v>
      </c>
      <c r="E11" s="281">
        <f>D11*E$12</f>
        <v>298918.34756178595</v>
      </c>
      <c r="F11" s="302">
        <f>3006+60+24</f>
        <v>3090</v>
      </c>
      <c r="G11" s="278">
        <f>E11/F11</f>
        <v>96.737329308021344</v>
      </c>
      <c r="H11" s="279">
        <f t="shared" si="3"/>
        <v>16.986333450607702</v>
      </c>
      <c r="I11" s="279">
        <f>SUM(G11:H11)</f>
        <v>113.72366275862905</v>
      </c>
      <c r="J11" s="272"/>
      <c r="K11" s="272"/>
      <c r="N11" s="563">
        <v>106.16857586777896</v>
      </c>
      <c r="O11" s="563">
        <v>4.8541022893604575</v>
      </c>
      <c r="P11" s="563">
        <v>111.02267815713941</v>
      </c>
      <c r="Q11" s="576">
        <f t="shared" si="0"/>
        <v>-8.8832750017323103E-2</v>
      </c>
      <c r="R11" s="576">
        <f t="shared" si="0"/>
        <v>2.4993769059707436</v>
      </c>
      <c r="S11" s="576">
        <f t="shared" si="0"/>
        <v>2.432822416395607E-2</v>
      </c>
      <c r="U11" s="563">
        <v>131.94775603919726</v>
      </c>
      <c r="V11" s="563">
        <v>16.986333450607702</v>
      </c>
      <c r="W11" s="563">
        <v>148.93408948980496</v>
      </c>
      <c r="X11" s="576">
        <f t="shared" si="1"/>
        <v>-0.26685127347460214</v>
      </c>
      <c r="Y11" s="576">
        <f t="shared" si="1"/>
        <v>0</v>
      </c>
      <c r="Z11" s="576">
        <f t="shared" si="1"/>
        <v>-0.23641616806329746</v>
      </c>
    </row>
    <row r="12" spans="1:26" s="461" customFormat="1" ht="16.5" thickBot="1">
      <c r="A12" s="282">
        <v>4</v>
      </c>
      <c r="B12" s="283" t="s">
        <v>3</v>
      </c>
      <c r="C12" s="284">
        <f>SUM(C9:C11)</f>
        <v>339080322.14735436</v>
      </c>
      <c r="D12" s="285">
        <f>SUM(D9:D11)</f>
        <v>1</v>
      </c>
      <c r="E12" s="355">
        <f>'Rev Req 2021-Distr'!T31</f>
        <v>8577662.7190384436</v>
      </c>
      <c r="F12" s="286">
        <f>SUM(F9:F11)</f>
        <v>3891800</v>
      </c>
      <c r="G12" s="287"/>
      <c r="H12" s="288"/>
      <c r="I12" s="287"/>
      <c r="J12" s="272"/>
      <c r="K12" s="272"/>
      <c r="N12" s="562"/>
      <c r="O12" s="562"/>
      <c r="P12" s="562"/>
      <c r="Q12" s="562"/>
      <c r="R12" s="562"/>
      <c r="S12" s="562"/>
    </row>
    <row r="13" spans="1:26" s="461" customFormat="1" ht="16.5" thickTop="1">
      <c r="A13" s="274"/>
      <c r="E13" s="465"/>
      <c r="H13" s="466"/>
      <c r="J13" s="272"/>
      <c r="K13" s="272"/>
      <c r="M13" s="562" t="s">
        <v>675</v>
      </c>
      <c r="N13" s="564">
        <v>9413927.8153396342</v>
      </c>
      <c r="O13" s="565">
        <f>E12/N13-1</f>
        <v>-8.8832750017323159E-2</v>
      </c>
      <c r="P13" s="562" t="str">
        <f>IF(O13&lt;0,"decrease","increase")</f>
        <v>decrease</v>
      </c>
      <c r="Q13" s="562"/>
      <c r="R13" s="562"/>
      <c r="S13" s="562"/>
      <c r="T13" s="562" t="s">
        <v>675</v>
      </c>
      <c r="U13" s="564">
        <v>11699758.055490933</v>
      </c>
      <c r="V13" s="565">
        <f>E12/U13-1</f>
        <v>-0.26685127347460214</v>
      </c>
      <c r="W13" s="562" t="str">
        <f>IF(V13&lt;0,"decrease","increase")</f>
        <v>decrease</v>
      </c>
    </row>
    <row r="14" spans="1:26" s="461" customFormat="1" ht="15.75">
      <c r="A14" s="274"/>
      <c r="E14" s="465"/>
      <c r="H14" s="466"/>
      <c r="J14" s="272"/>
      <c r="K14" s="272"/>
      <c r="N14" s="562"/>
      <c r="O14" s="562"/>
      <c r="P14" s="562"/>
      <c r="Q14" s="562"/>
      <c r="R14" s="562"/>
      <c r="S14" s="562"/>
    </row>
    <row r="15" spans="1:26" s="461" customFormat="1">
      <c r="A15" s="274"/>
      <c r="E15" s="465"/>
      <c r="H15" s="466"/>
      <c r="J15" s="272"/>
      <c r="K15" s="272"/>
      <c r="N15" s="669" t="s">
        <v>674</v>
      </c>
      <c r="O15" s="669"/>
      <c r="P15" s="669"/>
      <c r="Q15" s="562"/>
      <c r="R15" s="562"/>
      <c r="S15" s="562"/>
      <c r="U15" s="669" t="s">
        <v>772</v>
      </c>
      <c r="V15" s="669"/>
      <c r="W15" s="669"/>
    </row>
    <row r="16" spans="1:26" s="461" customFormat="1" ht="63" customHeight="1">
      <c r="A16" s="262" t="s">
        <v>66</v>
      </c>
      <c r="B16" s="262" t="s">
        <v>240</v>
      </c>
      <c r="C16" s="263" t="s">
        <v>670</v>
      </c>
      <c r="D16" s="262" t="s">
        <v>64</v>
      </c>
      <c r="E16" s="262" t="s">
        <v>160</v>
      </c>
      <c r="F16" s="263" t="s">
        <v>256</v>
      </c>
      <c r="G16" s="265" t="s">
        <v>676</v>
      </c>
      <c r="H16" s="264" t="s">
        <v>677</v>
      </c>
      <c r="I16" s="265" t="s">
        <v>461</v>
      </c>
      <c r="J16" s="272"/>
      <c r="K16" s="272"/>
      <c r="N16" s="561" t="s">
        <v>697</v>
      </c>
      <c r="O16" s="561" t="s">
        <v>698</v>
      </c>
      <c r="P16" s="561" t="s">
        <v>699</v>
      </c>
      <c r="Q16" s="577" t="s">
        <v>695</v>
      </c>
      <c r="R16" s="577" t="s">
        <v>696</v>
      </c>
      <c r="S16" s="577" t="s">
        <v>694</v>
      </c>
      <c r="U16" s="561" t="s">
        <v>770</v>
      </c>
      <c r="V16" s="561" t="s">
        <v>771</v>
      </c>
      <c r="W16" s="561" t="s">
        <v>699</v>
      </c>
      <c r="X16" s="577" t="s">
        <v>695</v>
      </c>
      <c r="Y16" s="577" t="s">
        <v>696</v>
      </c>
      <c r="Z16" s="577" t="s">
        <v>694</v>
      </c>
    </row>
    <row r="17" spans="1:26" s="461" customFormat="1" ht="15.75">
      <c r="A17" s="290"/>
      <c r="B17" s="290"/>
      <c r="C17" s="291"/>
      <c r="D17" s="290"/>
      <c r="E17" s="290"/>
      <c r="F17" s="290"/>
      <c r="G17" s="289"/>
      <c r="H17" s="289"/>
      <c r="I17" s="289"/>
      <c r="J17" s="272"/>
      <c r="K17" s="272"/>
      <c r="N17" s="562"/>
      <c r="O17" s="562"/>
      <c r="P17" s="562"/>
      <c r="Q17" s="562"/>
      <c r="R17" s="562"/>
      <c r="S17" s="562"/>
    </row>
    <row r="18" spans="1:26" s="461" customFormat="1" ht="15.75">
      <c r="A18" s="290"/>
      <c r="B18" s="273" t="s">
        <v>610</v>
      </c>
      <c r="C18" s="291"/>
      <c r="D18" s="290"/>
      <c r="E18" s="290"/>
      <c r="F18" s="290"/>
      <c r="G18" s="289"/>
      <c r="H18" s="289"/>
      <c r="I18" s="289"/>
      <c r="J18" s="272"/>
      <c r="K18" s="272"/>
      <c r="N18" s="562"/>
      <c r="O18" s="562"/>
      <c r="P18" s="562"/>
      <c r="Q18" s="562"/>
      <c r="R18" s="562"/>
      <c r="S18" s="562"/>
    </row>
    <row r="19" spans="1:26" s="461" customFormat="1" ht="15.75">
      <c r="A19" s="274">
        <v>5</v>
      </c>
      <c r="B19" s="275" t="s">
        <v>449</v>
      </c>
      <c r="C19" s="292">
        <f>C9</f>
        <v>231221838.02025786</v>
      </c>
      <c r="D19" s="276">
        <f>C19/$C$23</f>
        <v>0.66898076300140608</v>
      </c>
      <c r="E19" s="277">
        <f>D19*E$23</f>
        <v>4177924.9838102413</v>
      </c>
      <c r="F19" s="463">
        <v>19344464.899848823</v>
      </c>
      <c r="G19" s="293">
        <f>E19/F19</f>
        <v>0.21597521593077987</v>
      </c>
      <c r="H19" s="467">
        <f>G40</f>
        <v>8.2790339671820673E-2</v>
      </c>
      <c r="I19" s="467">
        <f>G19+H19</f>
        <v>0.29876555560260054</v>
      </c>
      <c r="J19" s="272"/>
      <c r="K19" s="272"/>
      <c r="N19" s="566">
        <v>0.23605104939445404</v>
      </c>
      <c r="O19" s="566">
        <v>1.7146784963562082E-3</v>
      </c>
      <c r="P19" s="566">
        <v>0.23776572789081024</v>
      </c>
      <c r="Q19" s="576">
        <f t="shared" ref="Q19:S22" si="4">(G19-N19)/N19</f>
        <v>-8.5048693980285459E-2</v>
      </c>
      <c r="R19" s="576">
        <f t="shared" si="4"/>
        <v>47.283301999619745</v>
      </c>
      <c r="S19" s="576">
        <f t="shared" si="4"/>
        <v>0.25655433292641489</v>
      </c>
      <c r="U19" s="566">
        <v>0.4780354354160114</v>
      </c>
      <c r="V19" s="566">
        <v>8.2790339671820673E-2</v>
      </c>
      <c r="W19" s="566">
        <v>0.56082577508783205</v>
      </c>
      <c r="X19" s="576">
        <f t="shared" ref="X19:Z22" si="5">(G19-U19)/U19</f>
        <v>-0.54820249728385306</v>
      </c>
      <c r="Y19" s="576">
        <f t="shared" si="5"/>
        <v>0</v>
      </c>
      <c r="Z19" s="576">
        <f t="shared" si="5"/>
        <v>-0.46727563376378295</v>
      </c>
    </row>
    <row r="20" spans="1:26" s="461" customFormat="1" ht="15.75">
      <c r="A20" s="274">
        <v>6</v>
      </c>
      <c r="B20" s="275" t="s">
        <v>493</v>
      </c>
      <c r="C20" s="292">
        <f>C10</f>
        <v>96042056.63315475</v>
      </c>
      <c r="D20" s="276">
        <f t="shared" ref="D20:D22" si="6">C20/$C$23</f>
        <v>0.27787292444688122</v>
      </c>
      <c r="E20" s="277">
        <f>D20*E$23</f>
        <v>1735374.6140060541</v>
      </c>
      <c r="F20" s="463">
        <v>9952828.3076364025</v>
      </c>
      <c r="G20" s="293">
        <f t="shared" ref="G20:G22" si="7">E20/F20</f>
        <v>0.17435994677759803</v>
      </c>
      <c r="H20" s="467">
        <f t="shared" ref="H20:H22" si="8">G41</f>
        <v>6.6837850614787392E-2</v>
      </c>
      <c r="I20" s="467">
        <f t="shared" ref="I20:I22" si="9">G20+H20</f>
        <v>0.24119779739238542</v>
      </c>
      <c r="J20" s="272"/>
      <c r="K20" s="272"/>
      <c r="N20" s="566">
        <v>0.19056746039973529</v>
      </c>
      <c r="O20" s="566">
        <v>1.3842849980582061E-3</v>
      </c>
      <c r="P20" s="566">
        <v>0.1919517453977935</v>
      </c>
      <c r="Q20" s="576">
        <f t="shared" si="4"/>
        <v>-8.5048693980285514E-2</v>
      </c>
      <c r="R20" s="576">
        <f t="shared" si="4"/>
        <v>47.283301999619738</v>
      </c>
      <c r="S20" s="576">
        <f t="shared" si="4"/>
        <v>0.25655433292641477</v>
      </c>
      <c r="U20" s="566">
        <v>0.38592499013245768</v>
      </c>
      <c r="V20" s="566">
        <v>6.6837850614787392E-2</v>
      </c>
      <c r="W20" s="566">
        <v>0.45276284074724504</v>
      </c>
      <c r="X20" s="576">
        <f t="shared" si="5"/>
        <v>-0.54820249728385306</v>
      </c>
      <c r="Y20" s="576">
        <f t="shared" si="5"/>
        <v>0</v>
      </c>
      <c r="Z20" s="576">
        <f t="shared" si="5"/>
        <v>-0.46727563376378289</v>
      </c>
    </row>
    <row r="21" spans="1:26" s="461" customFormat="1" ht="15.75">
      <c r="A21" s="274">
        <v>7</v>
      </c>
      <c r="B21" s="275" t="s">
        <v>450</v>
      </c>
      <c r="C21" s="292">
        <f>C11</f>
        <v>11816427.493941773</v>
      </c>
      <c r="D21" s="276">
        <f t="shared" si="6"/>
        <v>3.4187785844671768E-2</v>
      </c>
      <c r="E21" s="277">
        <f>D21*E$23</f>
        <v>213509.8832749367</v>
      </c>
      <c r="F21" s="463">
        <v>2009575.3421721507</v>
      </c>
      <c r="G21" s="293">
        <f t="shared" si="7"/>
        <v>0.10624626944524199</v>
      </c>
      <c r="H21" s="467">
        <f t="shared" si="8"/>
        <v>4.0727658024680674E-2</v>
      </c>
      <c r="I21" s="467">
        <f t="shared" si="9"/>
        <v>0.14697392746992266</v>
      </c>
      <c r="J21" s="272"/>
      <c r="K21" s="272"/>
      <c r="N21" s="566">
        <v>0.11612232120575026</v>
      </c>
      <c r="O21" s="566">
        <v>8.4351434839732831E-4</v>
      </c>
      <c r="P21" s="566">
        <v>0.11696583555414759</v>
      </c>
      <c r="Q21" s="576">
        <f t="shared" si="4"/>
        <v>-8.5048693980285556E-2</v>
      </c>
      <c r="R21" s="576">
        <f t="shared" si="4"/>
        <v>47.283301999619752</v>
      </c>
      <c r="S21" s="576">
        <f t="shared" si="4"/>
        <v>0.25655433292641483</v>
      </c>
      <c r="U21" s="566">
        <v>0.23516347214516115</v>
      </c>
      <c r="V21" s="566">
        <v>4.0727658024680674E-2</v>
      </c>
      <c r="W21" s="566">
        <v>0.27589113016984179</v>
      </c>
      <c r="X21" s="576">
        <f t="shared" si="5"/>
        <v>-0.54820249728385306</v>
      </c>
      <c r="Y21" s="576">
        <f t="shared" si="5"/>
        <v>0</v>
      </c>
      <c r="Z21" s="576">
        <f t="shared" si="5"/>
        <v>-0.46727563376378284</v>
      </c>
    </row>
    <row r="22" spans="1:26" s="461" customFormat="1" ht="15.75">
      <c r="A22" s="274">
        <v>8</v>
      </c>
      <c r="B22" s="275" t="s">
        <v>451</v>
      </c>
      <c r="C22" s="281">
        <v>6552692.7436461346</v>
      </c>
      <c r="D22" s="280">
        <f t="shared" si="6"/>
        <v>1.8958526707041005E-2</v>
      </c>
      <c r="E22" s="281">
        <f>D22*E$23</f>
        <v>118399.9701728551</v>
      </c>
      <c r="F22" s="302">
        <v>13291726.750302574</v>
      </c>
      <c r="G22" s="293">
        <f t="shared" si="7"/>
        <v>8.9077944797623706E-3</v>
      </c>
      <c r="H22" s="467">
        <f t="shared" si="8"/>
        <v>3.4146479610079805E-3</v>
      </c>
      <c r="I22" s="467">
        <f t="shared" si="9"/>
        <v>1.232244244077035E-2</v>
      </c>
      <c r="J22" s="272"/>
      <c r="K22" s="272"/>
      <c r="N22" s="566">
        <v>9.7358126286672952E-3</v>
      </c>
      <c r="O22" s="566">
        <v>7.0721094448653762E-5</v>
      </c>
      <c r="P22" s="566">
        <v>9.8065337231159483E-3</v>
      </c>
      <c r="Q22" s="576">
        <f t="shared" si="4"/>
        <v>-8.5048693980285597E-2</v>
      </c>
      <c r="R22" s="576">
        <f t="shared" si="4"/>
        <v>47.283301999619738</v>
      </c>
      <c r="S22" s="576">
        <f t="shared" si="4"/>
        <v>0.25655433292641466</v>
      </c>
      <c r="U22" s="566">
        <v>1.9716342888594751E-2</v>
      </c>
      <c r="V22" s="566">
        <v>3.4146479610079805E-3</v>
      </c>
      <c r="W22" s="566">
        <v>2.3130990849602732E-2</v>
      </c>
      <c r="X22" s="576">
        <f t="shared" si="5"/>
        <v>-0.54820249728385306</v>
      </c>
      <c r="Y22" s="576">
        <f t="shared" si="5"/>
        <v>0</v>
      </c>
      <c r="Z22" s="576">
        <f t="shared" si="5"/>
        <v>-0.467275633763783</v>
      </c>
    </row>
    <row r="23" spans="1:26" s="461" customFormat="1" ht="16.5" thickBot="1">
      <c r="A23" s="282">
        <v>9</v>
      </c>
      <c r="B23" s="283" t="s">
        <v>3</v>
      </c>
      <c r="C23" s="284">
        <f>SUM(C19:C22)</f>
        <v>345633014.89100051</v>
      </c>
      <c r="D23" s="285">
        <f>SUM(D19:D22)</f>
        <v>1</v>
      </c>
      <c r="E23" s="355">
        <f>'Rev Req 2021-Trans'!T31</f>
        <v>6245209.4512640871</v>
      </c>
      <c r="F23" s="286">
        <f>SUM(F19:F22)</f>
        <v>44598595.29995995</v>
      </c>
      <c r="H23" s="466"/>
      <c r="J23" s="272"/>
      <c r="K23" s="272"/>
      <c r="N23" s="562"/>
      <c r="O23" s="562"/>
      <c r="P23" s="562"/>
      <c r="Q23" s="562"/>
      <c r="R23" s="562"/>
      <c r="S23" s="562"/>
    </row>
    <row r="24" spans="1:26" s="461" customFormat="1" ht="16.5" thickTop="1">
      <c r="A24" s="274"/>
      <c r="E24" s="465"/>
      <c r="H24" s="466"/>
      <c r="J24" s="272"/>
      <c r="K24" s="272"/>
      <c r="M24" s="562" t="s">
        <v>675</v>
      </c>
      <c r="N24" s="564">
        <v>6825728.768487622</v>
      </c>
      <c r="O24" s="565">
        <f>E23/N24-1</f>
        <v>-8.5048693980285472E-2</v>
      </c>
      <c r="P24" s="562" t="str">
        <f>IF(O24&lt;0,"decrease","increase")</f>
        <v>decrease</v>
      </c>
      <c r="Q24" s="562"/>
      <c r="R24" s="562"/>
      <c r="S24" s="562"/>
      <c r="T24" s="562" t="s">
        <v>675</v>
      </c>
      <c r="U24" s="564">
        <v>13823027.82489658</v>
      </c>
      <c r="V24" s="565">
        <f>E23/U24-1</f>
        <v>-0.54820249728385306</v>
      </c>
      <c r="W24" s="562" t="str">
        <f>IF(V24&lt;0,"decrease","increase")</f>
        <v>decrease</v>
      </c>
    </row>
    <row r="25" spans="1:26" s="461" customFormat="1" ht="15.75">
      <c r="A25" s="274"/>
      <c r="E25" s="465"/>
      <c r="H25" s="466"/>
      <c r="J25" s="272"/>
      <c r="K25" s="272"/>
      <c r="N25" s="562"/>
      <c r="O25" s="562"/>
      <c r="P25" s="562"/>
      <c r="Q25" s="562"/>
      <c r="R25" s="562"/>
      <c r="S25" s="562"/>
    </row>
    <row r="26" spans="1:26" s="461" customFormat="1" ht="15.75">
      <c r="A26" s="274"/>
      <c r="E26" s="465"/>
      <c r="H26" s="466"/>
      <c r="J26" s="272"/>
      <c r="K26" s="272"/>
    </row>
    <row r="27" spans="1:26" s="461" customFormat="1" ht="63" customHeight="1">
      <c r="A27" s="262" t="s">
        <v>66</v>
      </c>
      <c r="B27" s="262" t="s">
        <v>241</v>
      </c>
      <c r="C27" s="263" t="s">
        <v>670</v>
      </c>
      <c r="D27" s="262" t="s">
        <v>64</v>
      </c>
      <c r="E27" s="262" t="s">
        <v>495</v>
      </c>
      <c r="F27" s="262" t="s">
        <v>65</v>
      </c>
      <c r="G27" s="264" t="s">
        <v>609</v>
      </c>
      <c r="H27" s="466"/>
      <c r="J27" s="272"/>
      <c r="K27" s="272"/>
    </row>
    <row r="28" spans="1:26" s="461" customFormat="1" ht="15.75">
      <c r="A28" s="274"/>
      <c r="E28" s="465"/>
      <c r="H28" s="466"/>
      <c r="J28" s="272"/>
      <c r="K28" s="272"/>
    </row>
    <row r="29" spans="1:26" s="461" customFormat="1" ht="15.75">
      <c r="B29" s="273" t="s">
        <v>612</v>
      </c>
      <c r="C29" s="268"/>
      <c r="D29" s="269"/>
      <c r="E29" s="294"/>
      <c r="F29" s="270"/>
      <c r="G29" s="270"/>
      <c r="H29" s="295"/>
      <c r="I29" s="270"/>
      <c r="J29" s="272"/>
      <c r="K29" s="272"/>
    </row>
    <row r="30" spans="1:26" s="461" customFormat="1" ht="15.75">
      <c r="A30" s="274">
        <v>10</v>
      </c>
      <c r="B30" s="275" t="s">
        <v>449</v>
      </c>
      <c r="C30" s="296">
        <f>C9</f>
        <v>231221838.02025786</v>
      </c>
      <c r="D30" s="276">
        <f>C30/$C$33</f>
        <v>0.68190874821622838</v>
      </c>
      <c r="E30" s="296">
        <f>D30*E$33</f>
        <v>1027071.7391526707</v>
      </c>
      <c r="F30" s="357">
        <f>F9</f>
        <v>3587761</v>
      </c>
      <c r="G30" s="278">
        <f>IF(E30=0,0,E30/F30)</f>
        <v>0.286270947020348</v>
      </c>
      <c r="H30" s="278"/>
      <c r="I30" s="278"/>
      <c r="J30" s="272"/>
      <c r="K30" s="272"/>
    </row>
    <row r="31" spans="1:26" s="461" customFormat="1" ht="15.75">
      <c r="A31" s="274">
        <v>11</v>
      </c>
      <c r="B31" s="275" t="s">
        <v>493</v>
      </c>
      <c r="C31" s="296">
        <f>C10</f>
        <v>96042056.63315475</v>
      </c>
      <c r="D31" s="276">
        <f>C31/$C$33</f>
        <v>0.28324279045428558</v>
      </c>
      <c r="E31" s="296">
        <f>D31*E$33</f>
        <v>426612.30869279429</v>
      </c>
      <c r="F31" s="357">
        <f t="shared" ref="F31:F32" si="10">F10</f>
        <v>300949</v>
      </c>
      <c r="G31" s="278">
        <f t="shared" ref="G31:G32" si="11">IF(E31=0,0,E31/F31)</f>
        <v>1.4175568242220253</v>
      </c>
      <c r="H31" s="278"/>
      <c r="I31" s="278"/>
      <c r="J31" s="297"/>
      <c r="K31" s="272"/>
    </row>
    <row r="32" spans="1:26" s="461" customFormat="1" ht="15.75">
      <c r="A32" s="274">
        <v>12</v>
      </c>
      <c r="B32" s="275" t="s">
        <v>450</v>
      </c>
      <c r="C32" s="281">
        <f>C11</f>
        <v>11816427.493941773</v>
      </c>
      <c r="D32" s="280">
        <f>C32/$C$33</f>
        <v>3.4848461329486116E-2</v>
      </c>
      <c r="E32" s="281">
        <f>D32*E$33</f>
        <v>52487.7703623778</v>
      </c>
      <c r="F32" s="358">
        <f t="shared" si="10"/>
        <v>3090</v>
      </c>
      <c r="G32" s="278">
        <f t="shared" si="11"/>
        <v>16.986333450607702</v>
      </c>
      <c r="H32" s="278"/>
      <c r="I32" s="278"/>
      <c r="J32" s="297"/>
      <c r="K32" s="272"/>
    </row>
    <row r="33" spans="1:9" s="461" customFormat="1" ht="16.5" thickBot="1">
      <c r="A33" s="282">
        <v>13</v>
      </c>
      <c r="B33" s="283" t="s">
        <v>3</v>
      </c>
      <c r="C33" s="284">
        <f>SUM(C30:C32)</f>
        <v>339080322.14735436</v>
      </c>
      <c r="D33" s="285">
        <f>SUM(D30:D32)</f>
        <v>1</v>
      </c>
      <c r="E33" s="356">
        <f>'OU Collection'!G23</f>
        <v>1506171.8182078428</v>
      </c>
      <c r="F33" s="286">
        <f>SUM(F30:F32)</f>
        <v>3891800</v>
      </c>
      <c r="H33" s="287"/>
      <c r="I33" s="287"/>
    </row>
    <row r="34" spans="1:9" s="461" customFormat="1" ht="16.5" thickTop="1">
      <c r="A34" s="274"/>
      <c r="E34" s="465"/>
    </row>
    <row r="35" spans="1:9" ht="15.75" customHeight="1"/>
    <row r="36" spans="1:9" ht="15.75" customHeight="1"/>
    <row r="37" spans="1:9" ht="63" customHeight="1">
      <c r="A37" s="262" t="s">
        <v>66</v>
      </c>
      <c r="B37" s="262" t="s">
        <v>240</v>
      </c>
      <c r="C37" s="263" t="s">
        <v>670</v>
      </c>
      <c r="D37" s="262" t="s">
        <v>64</v>
      </c>
      <c r="E37" s="262" t="s">
        <v>495</v>
      </c>
      <c r="F37" s="262" t="s">
        <v>256</v>
      </c>
      <c r="G37" s="264" t="s">
        <v>611</v>
      </c>
    </row>
    <row r="38" spans="1:9" ht="15.75" customHeight="1">
      <c r="A38" s="290"/>
      <c r="B38" s="290"/>
      <c r="C38" s="291"/>
      <c r="D38" s="290"/>
      <c r="E38" s="290"/>
      <c r="F38" s="290"/>
      <c r="G38" s="289"/>
    </row>
    <row r="39" spans="1:9" ht="15.75" customHeight="1">
      <c r="A39" s="290"/>
      <c r="B39" s="273" t="s">
        <v>612</v>
      </c>
      <c r="C39" s="291"/>
      <c r="D39" s="290"/>
      <c r="E39" s="290"/>
      <c r="F39" s="290"/>
      <c r="G39" s="289"/>
    </row>
    <row r="40" spans="1:9" ht="15.75" customHeight="1">
      <c r="A40" s="274">
        <v>14</v>
      </c>
      <c r="B40" s="275" t="s">
        <v>449</v>
      </c>
      <c r="C40" s="292">
        <f>C19</f>
        <v>231221838.02025786</v>
      </c>
      <c r="D40" s="276">
        <f>C40/$C$44</f>
        <v>0.66898076300140608</v>
      </c>
      <c r="E40" s="298">
        <f>D40*E$44</f>
        <v>1601534.8198280965</v>
      </c>
      <c r="F40" s="299">
        <f>F19</f>
        <v>19344464.899848823</v>
      </c>
      <c r="G40" s="293">
        <f>IF(E40=0,0,E40/F40)</f>
        <v>8.2790339671820673E-2</v>
      </c>
    </row>
    <row r="41" spans="1:9" ht="15.75" customHeight="1">
      <c r="A41" s="274">
        <v>15</v>
      </c>
      <c r="B41" s="275" t="s">
        <v>493</v>
      </c>
      <c r="C41" s="292">
        <f>C20</f>
        <v>96042056.63315475</v>
      </c>
      <c r="D41" s="276">
        <f>C41/$C$44</f>
        <v>0.27787292444688122</v>
      </c>
      <c r="E41" s="298">
        <f>D41*E$44</f>
        <v>665225.65162042913</v>
      </c>
      <c r="F41" s="299">
        <f>F20</f>
        <v>9952828.3076364025</v>
      </c>
      <c r="G41" s="293">
        <f>IF(E41=0,0,E41/F41)</f>
        <v>6.6837850614787392E-2</v>
      </c>
    </row>
    <row r="42" spans="1:9" ht="15.75" customHeight="1">
      <c r="A42" s="274">
        <v>16</v>
      </c>
      <c r="B42" s="275" t="s">
        <v>450</v>
      </c>
      <c r="C42" s="292">
        <f>C21</f>
        <v>11816427.493941773</v>
      </c>
      <c r="D42" s="276">
        <f t="shared" ref="D42:D43" si="12">C42/$C$44</f>
        <v>3.4187785844671768E-2</v>
      </c>
      <c r="E42" s="298">
        <f>D42*E$44</f>
        <v>81845.297310818001</v>
      </c>
      <c r="F42" s="299">
        <f>F21</f>
        <v>2009575.3421721507</v>
      </c>
      <c r="G42" s="293">
        <f>IF(E42=0,0,E42/F42)</f>
        <v>4.0727658024680674E-2</v>
      </c>
    </row>
    <row r="43" spans="1:9" ht="15.75" customHeight="1">
      <c r="A43" s="274">
        <v>17</v>
      </c>
      <c r="B43" s="275" t="s">
        <v>451</v>
      </c>
      <c r="C43" s="300">
        <f>C22</f>
        <v>6552692.7436461346</v>
      </c>
      <c r="D43" s="280">
        <f t="shared" si="12"/>
        <v>1.8958526707041005E-2</v>
      </c>
      <c r="E43" s="301">
        <f>D43*E$44</f>
        <v>45386.567646195916</v>
      </c>
      <c r="F43" s="302">
        <f>F22</f>
        <v>13291726.750302574</v>
      </c>
      <c r="G43" s="293">
        <f>IF(E43=0,0,E43/F43)</f>
        <v>3.4146479610079805E-3</v>
      </c>
    </row>
    <row r="44" spans="1:9" ht="16.5" customHeight="1" thickBot="1">
      <c r="A44" s="282">
        <v>18</v>
      </c>
      <c r="B44" s="283" t="s">
        <v>3</v>
      </c>
      <c r="C44" s="284">
        <f>SUM(C40:C43)</f>
        <v>345633014.89100051</v>
      </c>
      <c r="D44" s="285">
        <f>SUM(D40:D43)</f>
        <v>1</v>
      </c>
      <c r="E44" s="356">
        <f>'OU Collection'!G44</f>
        <v>2393992.3364055394</v>
      </c>
      <c r="F44" s="286">
        <f>SUM(F40:F43)</f>
        <v>44598595.29995995</v>
      </c>
      <c r="G44" s="461"/>
    </row>
    <row r="45" spans="1:9" ht="15.75" customHeight="1" thickTop="1"/>
  </sheetData>
  <mergeCells count="4">
    <mergeCell ref="N5:P5"/>
    <mergeCell ref="N15:P15"/>
    <mergeCell ref="U5:W5"/>
    <mergeCell ref="U15:W15"/>
  </mergeCells>
  <printOptions horizontalCentered="1"/>
  <pageMargins left="0.5" right="0.5" top="1" bottom="0.75" header="0.3" footer="0.3"/>
  <pageSetup scale="54" orientation="landscape" r:id="rId1"/>
  <headerFooter scaleWithDoc="0" alignWithMargins="0">
    <oddFooter>&amp;R&amp;"Times New Roman,Bold"Exhibit 2
Page 1 of 1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8E5AE-BE23-432D-8619-6EDEE7921E40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545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'202008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2020'!K10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'202008 Bk Depr'!R14</f>
        <v>0</v>
      </c>
      <c r="H14" s="1">
        <f>2.05%/12</f>
        <v>1.7083333333333332E-3</v>
      </c>
      <c r="J14" s="364">
        <f t="shared" si="0"/>
        <v>0</v>
      </c>
      <c r="L14" s="365"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0">
        <f>'202008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Budget'!N29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'202008 Bk Depr'!R16</f>
        <v>8888851.0800000019</v>
      </c>
      <c r="H16" s="1">
        <f t="shared" ref="H16:H18" si="5">3.24%/12</f>
        <v>2.7000000000000006E-3</v>
      </c>
      <c r="J16" s="364">
        <f t="shared" si="0"/>
        <v>23999.897916000009</v>
      </c>
      <c r="L16" s="365">
        <f>'Cap&amp;OpEx 2020'!K12-L15-'2020 Capital Budget'!N86</f>
        <v>246947.12000000081</v>
      </c>
      <c r="N16" s="364">
        <f t="shared" si="1"/>
        <v>333.37861200000117</v>
      </c>
      <c r="P16" s="364">
        <f t="shared" si="2"/>
        <v>24333.276528000009</v>
      </c>
      <c r="R16" s="364">
        <f t="shared" si="3"/>
        <v>9135798.200000003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'202008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2020'!K13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'202008 Bk Depr'!R18</f>
        <v>24013611.289999995</v>
      </c>
      <c r="H18" s="1">
        <f t="shared" si="5"/>
        <v>2.7000000000000006E-3</v>
      </c>
      <c r="J18" s="364">
        <f t="shared" si="0"/>
        <v>64836.750483000003</v>
      </c>
      <c r="L18" s="366">
        <f>'Cap&amp;OpEx 2020'!K14-'2020 Capital Budget'!N89</f>
        <v>671327.76000000176</v>
      </c>
      <c r="N18" s="364">
        <f t="shared" si="1"/>
        <v>906.29247600000258</v>
      </c>
      <c r="P18" s="364">
        <f t="shared" si="2"/>
        <v>65743.042959000013</v>
      </c>
      <c r="R18" s="364">
        <f t="shared" si="3"/>
        <v>24684939.049999997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32902462.369999997</v>
      </c>
      <c r="J19" s="362">
        <f>SUM(J13:J18)</f>
        <v>88836.648399000012</v>
      </c>
      <c r="L19" s="362">
        <f>SUM(L13:L18)</f>
        <v>918274.88000000257</v>
      </c>
      <c r="N19" s="362">
        <f>SUM(N13:N18)</f>
        <v>1239.6710880000037</v>
      </c>
      <c r="P19" s="362">
        <f>SUM(P13:P18)</f>
        <v>90076.31948700003</v>
      </c>
      <c r="R19" s="362">
        <f>SUM(R13:R18)</f>
        <v>33820737.25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'202008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2020'!K17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18">
      <c r="A23" s="490">
        <f t="shared" ref="A23:A28" si="9">A22+1</f>
        <v>9</v>
      </c>
      <c r="B23" s="491"/>
      <c r="C23" s="491" t="s">
        <v>578</v>
      </c>
      <c r="D23" s="490">
        <v>367</v>
      </c>
      <c r="E23" s="490"/>
      <c r="F23" s="492">
        <f>'202008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2020'!K18</f>
        <v>0</v>
      </c>
      <c r="M23" s="490"/>
      <c r="N23" s="602">
        <f t="shared" ref="N23:N27" si="10">H23*L23*0.5</f>
        <v>0</v>
      </c>
      <c r="O23" s="490"/>
      <c r="P23" s="412">
        <f t="shared" si="7"/>
        <v>0</v>
      </c>
      <c r="Q23" s="490"/>
      <c r="R23" s="412">
        <f t="shared" si="8"/>
        <v>0</v>
      </c>
    </row>
    <row r="24" spans="1:18">
      <c r="A24" s="6">
        <f t="shared" si="9"/>
        <v>10</v>
      </c>
      <c r="B24" s="491"/>
      <c r="C24" s="9" t="s">
        <v>62</v>
      </c>
      <c r="D24" s="6">
        <v>376</v>
      </c>
      <c r="E24" s="490"/>
      <c r="F24" s="360">
        <f>'202008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60">
        <f>'202008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2020'!K19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18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'202008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2020'!K20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18">
      <c r="A27" s="490">
        <f t="shared" si="9"/>
        <v>13</v>
      </c>
      <c r="B27" s="491"/>
      <c r="C27" s="495" t="s">
        <v>163</v>
      </c>
      <c r="D27" s="490">
        <v>380</v>
      </c>
      <c r="E27" s="490"/>
      <c r="F27" s="496">
        <f>'202008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2020'!K21</f>
        <v>0</v>
      </c>
      <c r="M27" s="490"/>
      <c r="N27" s="602">
        <f t="shared" si="10"/>
        <v>0</v>
      </c>
      <c r="O27" s="490"/>
      <c r="P27" s="412">
        <f t="shared" si="7"/>
        <v>0</v>
      </c>
      <c r="Q27" s="490"/>
      <c r="R27" s="412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32902462.369999997</v>
      </c>
      <c r="G30" s="512"/>
      <c r="I30" s="512"/>
      <c r="J30" s="514">
        <f>J19+J28</f>
        <v>88836.648399000012</v>
      </c>
      <c r="K30" s="512"/>
      <c r="L30" s="514">
        <f>L19+L28</f>
        <v>918274.88000000257</v>
      </c>
      <c r="M30" s="512"/>
      <c r="N30" s="514">
        <f>N19+N28</f>
        <v>1239.6710880000037</v>
      </c>
      <c r="O30" s="512"/>
      <c r="P30" s="514">
        <f>P19+P28</f>
        <v>90076.31948700003</v>
      </c>
      <c r="Q30" s="512"/>
      <c r="R30" s="514">
        <f>R19+R28</f>
        <v>33820737.25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'202008 Bk Depr'!R33</f>
        <v>0</v>
      </c>
      <c r="J33" s="364"/>
      <c r="L33" s="365">
        <f>'Cap&amp;OpEx 2020'!K31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'202008 Bk Depr'!R34</f>
        <v>0</v>
      </c>
      <c r="G34" s="490"/>
      <c r="H34" s="491"/>
      <c r="I34" s="490"/>
      <c r="J34" s="412"/>
      <c r="K34" s="490"/>
      <c r="L34" s="494">
        <f>'Cap&amp;OpEx 2020'!K32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'202008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'202008 Bk Depr'!R36</f>
        <v>2396423.9499999997</v>
      </c>
      <c r="J36" s="364"/>
      <c r="L36" s="516">
        <f>'Cap&amp;OpEx 2020'!K33</f>
        <v>43699.11</v>
      </c>
      <c r="N36" s="364"/>
      <c r="P36" s="364"/>
      <c r="R36" s="518">
        <f t="shared" si="11"/>
        <v>2440123.0599999996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520">
        <f>'202008 Bk Depr'!R37</f>
        <v>0</v>
      </c>
      <c r="G37" s="498"/>
      <c r="I37" s="498"/>
      <c r="J37" s="360"/>
      <c r="K37" s="498"/>
      <c r="L37" s="516">
        <f>'Cap&amp;OpEx 2020'!K34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'202008 Bk Depr'!R38</f>
        <v>34131.450000000004</v>
      </c>
      <c r="G38" s="490"/>
      <c r="H38" s="491"/>
      <c r="I38" s="490"/>
      <c r="J38" s="412"/>
      <c r="K38" s="490"/>
      <c r="L38" s="517">
        <f>'Cap&amp;OpEx 2020'!K35</f>
        <v>-31868.400000000001</v>
      </c>
      <c r="M38" s="490"/>
      <c r="N38" s="412"/>
      <c r="O38" s="490"/>
      <c r="P38" s="412"/>
      <c r="Q38" s="490"/>
      <c r="R38" s="518">
        <f t="shared" si="11"/>
        <v>2263.0500000000029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2430555.4</v>
      </c>
      <c r="G39" s="490"/>
      <c r="H39" s="491"/>
      <c r="I39" s="490"/>
      <c r="J39" s="502">
        <f>SUM(J33:J38)</f>
        <v>0</v>
      </c>
      <c r="K39" s="490"/>
      <c r="L39" s="502">
        <f>SUM(L33:L38)</f>
        <v>11830.71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2442386.1099999994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18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2455-CBD5-4268-8ACE-7E1012FBCE53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546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'202009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2020'!L10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'202009 Bk Depr'!R14</f>
        <v>0</v>
      </c>
      <c r="H14" s="1">
        <f>2.05%/12</f>
        <v>1.7083333333333332E-3</v>
      </c>
      <c r="J14" s="364">
        <f t="shared" si="0"/>
        <v>0</v>
      </c>
      <c r="L14" s="365">
        <f>SUM('2020 Capital Budget'!F23:O24)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0">
        <f>'202009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Budget'!O29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'202009 Bk Depr'!R16</f>
        <v>9135798.200000003</v>
      </c>
      <c r="H16" s="1">
        <f t="shared" ref="H16:H18" si="5">3.24%/12</f>
        <v>2.7000000000000006E-3</v>
      </c>
      <c r="J16" s="364">
        <f t="shared" si="0"/>
        <v>24666.655140000013</v>
      </c>
      <c r="L16" s="365">
        <f>'Cap&amp;OpEx 2020'!L12-L15-'2020 Capital Budget'!O86</f>
        <v>162136.1499999997</v>
      </c>
      <c r="N16" s="364">
        <f t="shared" si="1"/>
        <v>218.88380249999963</v>
      </c>
      <c r="P16" s="364">
        <f t="shared" si="2"/>
        <v>24885.538942500014</v>
      </c>
      <c r="R16" s="364">
        <f t="shared" si="3"/>
        <v>9297934.3500000034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'202009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2020'!L13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'202009 Bk Depr'!R18</f>
        <v>24684939.049999997</v>
      </c>
      <c r="H18" s="1">
        <f t="shared" si="5"/>
        <v>2.7000000000000006E-3</v>
      </c>
      <c r="J18" s="364">
        <f t="shared" si="0"/>
        <v>66649.335435000001</v>
      </c>
      <c r="L18" s="366">
        <f>'Cap&amp;OpEx 2020'!L14-'2020 Capital Budget'!O89</f>
        <v>589093.44000000029</v>
      </c>
      <c r="N18" s="364">
        <f t="shared" si="1"/>
        <v>795.27614400000061</v>
      </c>
      <c r="P18" s="364">
        <f t="shared" si="2"/>
        <v>67444.611579000004</v>
      </c>
      <c r="R18" s="364">
        <f t="shared" si="3"/>
        <v>25274032.489999998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33820737.25</v>
      </c>
      <c r="J19" s="362">
        <f>SUM(J13:J18)</f>
        <v>91315.990575000018</v>
      </c>
      <c r="L19" s="362">
        <f>SUM(L13:L18)</f>
        <v>751229.59</v>
      </c>
      <c r="N19" s="362">
        <f>SUM(N13:N18)</f>
        <v>1014.1599465000003</v>
      </c>
      <c r="P19" s="362">
        <f>SUM(P13:P18)</f>
        <v>92330.150521500022</v>
      </c>
      <c r="R19" s="362">
        <f>SUM(R13:R18)</f>
        <v>34571966.840000004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'202009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2020'!L17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18">
      <c r="A23" s="490">
        <f t="shared" ref="A23:A28" si="9">A22+1</f>
        <v>9</v>
      </c>
      <c r="B23" s="491"/>
      <c r="C23" s="491" t="s">
        <v>578</v>
      </c>
      <c r="D23" s="490">
        <v>367</v>
      </c>
      <c r="E23" s="490"/>
      <c r="F23" s="492">
        <f>'202009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2020'!L18</f>
        <v>0</v>
      </c>
      <c r="M23" s="490"/>
      <c r="N23" s="602">
        <f t="shared" ref="N23:N27" si="10">H23*L23*0.5</f>
        <v>0</v>
      </c>
      <c r="O23" s="490"/>
      <c r="P23" s="412">
        <f t="shared" si="7"/>
        <v>0</v>
      </c>
      <c r="Q23" s="490"/>
      <c r="R23" s="412">
        <f t="shared" si="8"/>
        <v>0</v>
      </c>
    </row>
    <row r="24" spans="1:18">
      <c r="A24" s="6">
        <f t="shared" si="9"/>
        <v>10</v>
      </c>
      <c r="B24" s="491"/>
      <c r="C24" s="9" t="s">
        <v>62</v>
      </c>
      <c r="D24" s="6">
        <v>376</v>
      </c>
      <c r="E24" s="490"/>
      <c r="F24" s="360">
        <f>'202009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60">
        <f>'202009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2020'!L19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18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'202009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2020'!L20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18">
      <c r="A27" s="490">
        <f t="shared" si="9"/>
        <v>13</v>
      </c>
      <c r="B27" s="491"/>
      <c r="C27" s="495" t="s">
        <v>163</v>
      </c>
      <c r="D27" s="490">
        <v>380</v>
      </c>
      <c r="E27" s="490"/>
      <c r="F27" s="496">
        <f>'202009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2020'!L21</f>
        <v>0</v>
      </c>
      <c r="M27" s="490"/>
      <c r="N27" s="602">
        <f t="shared" si="10"/>
        <v>0</v>
      </c>
      <c r="O27" s="490"/>
      <c r="P27" s="412">
        <f t="shared" si="7"/>
        <v>0</v>
      </c>
      <c r="Q27" s="490"/>
      <c r="R27" s="412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33820737.25</v>
      </c>
      <c r="G30" s="512"/>
      <c r="I30" s="512"/>
      <c r="J30" s="514">
        <f>J19+J28</f>
        <v>91315.990575000018</v>
      </c>
      <c r="K30" s="512"/>
      <c r="L30" s="514">
        <f>L19+L28</f>
        <v>751229.59</v>
      </c>
      <c r="M30" s="512"/>
      <c r="N30" s="514">
        <f>N19+N28</f>
        <v>1014.1599465000003</v>
      </c>
      <c r="O30" s="512"/>
      <c r="P30" s="514">
        <f>P19+P28</f>
        <v>92330.150521500022</v>
      </c>
      <c r="Q30" s="512"/>
      <c r="R30" s="514">
        <f>R19+R28</f>
        <v>34571966.840000004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'202009 Bk Depr'!R33</f>
        <v>0</v>
      </c>
      <c r="J33" s="364"/>
      <c r="L33" s="365">
        <f>'Cap&amp;OpEx 2020'!L31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'202009 Bk Depr'!R34</f>
        <v>0</v>
      </c>
      <c r="G34" s="490"/>
      <c r="H34" s="491"/>
      <c r="I34" s="490"/>
      <c r="J34" s="412"/>
      <c r="K34" s="490"/>
      <c r="L34" s="494">
        <f>'Cap&amp;OpEx 2020'!L32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'202009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'202009 Bk Depr'!R36</f>
        <v>2440123.0599999996</v>
      </c>
      <c r="J36" s="364"/>
      <c r="L36" s="516">
        <f>'Cap&amp;OpEx 2020'!L33</f>
        <v>186553.30000000002</v>
      </c>
      <c r="N36" s="364"/>
      <c r="P36" s="364"/>
      <c r="R36" s="518">
        <f t="shared" si="11"/>
        <v>2626676.3599999994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520">
        <f>'202009 Bk Depr'!R37</f>
        <v>0</v>
      </c>
      <c r="G37" s="498"/>
      <c r="I37" s="498"/>
      <c r="J37" s="360"/>
      <c r="K37" s="498"/>
      <c r="L37" s="516">
        <f>'Cap&amp;OpEx 2020'!L34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'202009 Bk Depr'!R38</f>
        <v>2263.0500000000029</v>
      </c>
      <c r="G38" s="490"/>
      <c r="H38" s="491"/>
      <c r="I38" s="490"/>
      <c r="J38" s="412"/>
      <c r="K38" s="490"/>
      <c r="L38" s="517">
        <f>'Cap&amp;OpEx 2020'!L35</f>
        <v>0</v>
      </c>
      <c r="M38" s="490"/>
      <c r="N38" s="412"/>
      <c r="O38" s="490"/>
      <c r="P38" s="412"/>
      <c r="Q38" s="490"/>
      <c r="R38" s="518">
        <f t="shared" si="11"/>
        <v>2263.0500000000029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2442386.1099999994</v>
      </c>
      <c r="G39" s="490"/>
      <c r="H39" s="491"/>
      <c r="I39" s="490"/>
      <c r="J39" s="502">
        <f>SUM(J33:J38)</f>
        <v>0</v>
      </c>
      <c r="K39" s="490"/>
      <c r="L39" s="502">
        <f>SUM(L33:L38)</f>
        <v>186553.30000000002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2628939.4099999992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18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3431-F00B-4099-B4E5-53EF1AF4BAFE}">
  <sheetPr>
    <tabColor theme="6" tint="0.39997558519241921"/>
    <pageSetUpPr fitToPage="1"/>
  </sheetPr>
  <dimension ref="A1:R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547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'202010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2020'!M10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8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'202010 Bk Depr'!R14</f>
        <v>0</v>
      </c>
      <c r="H14" s="1">
        <f>2.05%/12</f>
        <v>1.7083333333333332E-3</v>
      </c>
      <c r="J14" s="364">
        <f t="shared" si="0"/>
        <v>0</v>
      </c>
      <c r="L14" s="365">
        <f>SUM('2020 Capital Budget'!P23:P24)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</row>
    <row r="15" spans="1:18">
      <c r="A15" s="6">
        <f t="shared" si="4"/>
        <v>3</v>
      </c>
      <c r="B15" s="4"/>
      <c r="C15" s="9" t="s">
        <v>62</v>
      </c>
      <c r="D15" s="6">
        <v>376</v>
      </c>
      <c r="F15" s="360">
        <f>'202010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Budget'!P29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</row>
    <row r="16" spans="1:18">
      <c r="A16" s="6">
        <f t="shared" si="4"/>
        <v>4</v>
      </c>
      <c r="B16" s="4"/>
      <c r="C16" s="9" t="s">
        <v>62</v>
      </c>
      <c r="D16" s="6">
        <v>380</v>
      </c>
      <c r="F16" s="360">
        <f>'202010 Bk Depr'!R16</f>
        <v>9297934.3500000034</v>
      </c>
      <c r="H16" s="1">
        <f t="shared" ref="H16:H18" si="5">3.24%/12</f>
        <v>2.7000000000000006E-3</v>
      </c>
      <c r="J16" s="364">
        <f t="shared" si="0"/>
        <v>25104.422745000014</v>
      </c>
      <c r="L16" s="365">
        <f>'Cap&amp;OpEx 2020'!M12-L15-'2020 Capital Budget'!P86</f>
        <v>261352.84999999934</v>
      </c>
      <c r="N16" s="364">
        <f t="shared" si="1"/>
        <v>352.8263474999992</v>
      </c>
      <c r="P16" s="364">
        <f t="shared" si="2"/>
        <v>25457.249092500013</v>
      </c>
      <c r="R16" s="364">
        <f t="shared" si="3"/>
        <v>9559287.200000003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'202010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2020'!M13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'202010 Bk Depr'!R18</f>
        <v>25274032.489999998</v>
      </c>
      <c r="H18" s="1">
        <f t="shared" si="5"/>
        <v>2.7000000000000006E-3</v>
      </c>
      <c r="J18" s="364">
        <f t="shared" si="0"/>
        <v>68239.887723000007</v>
      </c>
      <c r="L18" s="366">
        <f>'Cap&amp;OpEx 2020'!M14-'2020 Capital Budget'!P89</f>
        <v>635920.57999999868</v>
      </c>
      <c r="N18" s="364">
        <f t="shared" si="1"/>
        <v>858.49278299999844</v>
      </c>
      <c r="P18" s="364">
        <f t="shared" si="2"/>
        <v>69098.380506000001</v>
      </c>
      <c r="R18" s="364">
        <f t="shared" si="3"/>
        <v>25909953.069999997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34571966.840000004</v>
      </c>
      <c r="J19" s="362">
        <f>SUM(J13:J18)</f>
        <v>93344.310468000025</v>
      </c>
      <c r="L19" s="362">
        <f>SUM(L13:L18)</f>
        <v>897273.42999999807</v>
      </c>
      <c r="N19" s="362">
        <f>SUM(N13:N18)</f>
        <v>1211.3191304999978</v>
      </c>
      <c r="P19" s="362">
        <f>SUM(P13:P18)</f>
        <v>94555.629598500018</v>
      </c>
      <c r="R19" s="362">
        <f>SUM(R13:R18)</f>
        <v>35469240.269999996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'202010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2020'!M17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18">
      <c r="A23" s="490">
        <f t="shared" ref="A23:A28" si="9">A22+1</f>
        <v>9</v>
      </c>
      <c r="B23" s="491"/>
      <c r="C23" s="491" t="s">
        <v>578</v>
      </c>
      <c r="D23" s="490">
        <v>367</v>
      </c>
      <c r="E23" s="490"/>
      <c r="F23" s="492">
        <f>'202010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2020'!M18</f>
        <v>0</v>
      </c>
      <c r="M23" s="490"/>
      <c r="N23" s="602">
        <f t="shared" ref="N23:N27" si="10">H23*L23*0.5</f>
        <v>0</v>
      </c>
      <c r="O23" s="490"/>
      <c r="P23" s="412">
        <f t="shared" si="7"/>
        <v>0</v>
      </c>
      <c r="Q23" s="490"/>
      <c r="R23" s="412">
        <f t="shared" si="8"/>
        <v>0</v>
      </c>
    </row>
    <row r="24" spans="1:18">
      <c r="A24" s="6">
        <f t="shared" si="9"/>
        <v>10</v>
      </c>
      <c r="B24" s="491"/>
      <c r="C24" s="9" t="s">
        <v>62</v>
      </c>
      <c r="D24" s="6">
        <v>376</v>
      </c>
      <c r="E24" s="490"/>
      <c r="F24" s="360">
        <f>'202010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60">
        <f>'202010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2020'!M19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18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'202010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2020'!M20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18">
      <c r="A27" s="490">
        <f>A26+1</f>
        <v>13</v>
      </c>
      <c r="B27" s="491"/>
      <c r="C27" s="495" t="s">
        <v>163</v>
      </c>
      <c r="D27" s="490">
        <v>380</v>
      </c>
      <c r="E27" s="490"/>
      <c r="F27" s="496">
        <f>'202010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2020'!M21</f>
        <v>0</v>
      </c>
      <c r="M27" s="490"/>
      <c r="N27" s="602">
        <f t="shared" si="10"/>
        <v>0</v>
      </c>
      <c r="O27" s="490"/>
      <c r="P27" s="412">
        <f t="shared" si="7"/>
        <v>0</v>
      </c>
      <c r="Q27" s="490"/>
      <c r="R27" s="412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34571966.840000004</v>
      </c>
      <c r="G30" s="512"/>
      <c r="I30" s="512"/>
      <c r="J30" s="514">
        <f>J19+J28</f>
        <v>93344.310468000025</v>
      </c>
      <c r="K30" s="512"/>
      <c r="L30" s="514">
        <f>L19+L28</f>
        <v>897273.42999999807</v>
      </c>
      <c r="M30" s="512"/>
      <c r="N30" s="514">
        <f>N19+N28</f>
        <v>1211.3191304999978</v>
      </c>
      <c r="O30" s="512"/>
      <c r="P30" s="514">
        <f>P19+P28</f>
        <v>94555.629598500018</v>
      </c>
      <c r="Q30" s="512"/>
      <c r="R30" s="514">
        <f>R19+R28</f>
        <v>35469240.269999996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'202010 Bk Depr'!R33</f>
        <v>0</v>
      </c>
      <c r="J33" s="364"/>
      <c r="L33" s="365">
        <f>'Cap&amp;OpEx 2020'!M31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'202010 Bk Depr'!R34</f>
        <v>0</v>
      </c>
      <c r="G34" s="490"/>
      <c r="H34" s="491"/>
      <c r="I34" s="490"/>
      <c r="J34" s="412"/>
      <c r="K34" s="490"/>
      <c r="L34" s="494">
        <f>'Cap&amp;OpEx 2020'!M32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'202010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'202010 Bk Depr'!R36</f>
        <v>2626676.3599999994</v>
      </c>
      <c r="J36" s="364"/>
      <c r="L36" s="516">
        <f>'Cap&amp;OpEx 2020'!M33</f>
        <v>110719.84</v>
      </c>
      <c r="N36" s="364"/>
      <c r="P36" s="364"/>
      <c r="R36" s="518">
        <f t="shared" si="11"/>
        <v>2737396.1999999993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520">
        <f>'202010 Bk Depr'!R37</f>
        <v>0</v>
      </c>
      <c r="G37" s="498"/>
      <c r="I37" s="498"/>
      <c r="J37" s="360"/>
      <c r="K37" s="498"/>
      <c r="L37" s="516">
        <f>'Cap&amp;OpEx 2020'!M34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'202010 Bk Depr'!R38</f>
        <v>2263.0500000000029</v>
      </c>
      <c r="G38" s="490"/>
      <c r="H38" s="491"/>
      <c r="I38" s="490"/>
      <c r="J38" s="412"/>
      <c r="K38" s="490"/>
      <c r="L38" s="517">
        <f>'Cap&amp;OpEx 2020'!M35</f>
        <v>0</v>
      </c>
      <c r="M38" s="490"/>
      <c r="N38" s="412"/>
      <c r="O38" s="490"/>
      <c r="P38" s="412"/>
      <c r="Q38" s="490"/>
      <c r="R38" s="518">
        <f t="shared" si="11"/>
        <v>2263.0500000000029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2628939.4099999992</v>
      </c>
      <c r="G39" s="490"/>
      <c r="H39" s="491"/>
      <c r="I39" s="490"/>
      <c r="J39" s="502">
        <f>SUM(J33:J38)</f>
        <v>0</v>
      </c>
      <c r="K39" s="490"/>
      <c r="L39" s="502">
        <f>SUM(L33:L38)</f>
        <v>110719.84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2739659.2499999991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F189F-C9BF-4541-B018-ED29F20D932E}">
  <sheetPr>
    <tabColor theme="6" tint="0.39997558519241921"/>
    <pageSetUpPr fitToPage="1"/>
  </sheetPr>
  <dimension ref="A1:S39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4.85546875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9" width="12.140625" style="4" bestFit="1" customWidth="1"/>
    <col min="20" max="16384" width="9.140625" style="4"/>
  </cols>
  <sheetData>
    <row r="1" spans="1:19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9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9" ht="18.75">
      <c r="A3" s="196" t="s">
        <v>548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9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9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9">
      <c r="C6" s="12"/>
      <c r="D6" s="12"/>
      <c r="E6" s="12"/>
      <c r="F6" s="12" t="s">
        <v>107</v>
      </c>
      <c r="G6" s="12"/>
      <c r="H6" s="12"/>
      <c r="I6" s="12"/>
      <c r="J6" s="12" t="s">
        <v>107</v>
      </c>
      <c r="K6" s="12"/>
      <c r="L6" s="12" t="s">
        <v>107</v>
      </c>
      <c r="M6" s="12"/>
      <c r="N6" s="12"/>
      <c r="O6" s="12"/>
      <c r="P6" s="12"/>
      <c r="Q6" s="12"/>
      <c r="R6" s="12" t="s">
        <v>107</v>
      </c>
    </row>
    <row r="7" spans="1:19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9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9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9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9">
      <c r="B12" s="10" t="s">
        <v>20</v>
      </c>
      <c r="C12" s="10"/>
    </row>
    <row r="13" spans="1:19">
      <c r="A13" s="6">
        <v>1</v>
      </c>
      <c r="B13" s="4"/>
      <c r="C13" s="4" t="s">
        <v>453</v>
      </c>
      <c r="D13" s="6">
        <v>376</v>
      </c>
      <c r="F13" s="360">
        <f>'202011 Bk Depr'!R13</f>
        <v>0</v>
      </c>
      <c r="H13" s="1">
        <f>1.62%/12</f>
        <v>1.3500000000000003E-3</v>
      </c>
      <c r="J13" s="364">
        <f t="shared" ref="J13:J18" si="0">F13*H13</f>
        <v>0</v>
      </c>
      <c r="L13" s="365">
        <f>'Cap&amp;OpEx 2020'!N10</f>
        <v>0</v>
      </c>
      <c r="N13" s="364">
        <f t="shared" ref="N13:N18" si="1">H13*L13*0.5</f>
        <v>0</v>
      </c>
      <c r="P13" s="364">
        <f t="shared" ref="P13:P18" si="2">J13+N13</f>
        <v>0</v>
      </c>
      <c r="R13" s="364">
        <f t="shared" ref="R13:R18" si="3">L13+F13</f>
        <v>0</v>
      </c>
    </row>
    <row r="14" spans="1:19">
      <c r="A14" s="6">
        <f t="shared" ref="A14:A19" si="4">A13+1</f>
        <v>2</v>
      </c>
      <c r="B14" s="4"/>
      <c r="C14" s="4" t="s">
        <v>578</v>
      </c>
      <c r="D14" s="6">
        <v>367</v>
      </c>
      <c r="F14" s="360">
        <f>'202011 Bk Depr'!R14</f>
        <v>0</v>
      </c>
      <c r="H14" s="1">
        <f>2.05%/12</f>
        <v>1.7083333333333332E-3</v>
      </c>
      <c r="J14" s="364">
        <f t="shared" si="0"/>
        <v>0</v>
      </c>
      <c r="L14" s="365">
        <f>SUM('2020 Capital Budget'!Q23:Q24)</f>
        <v>0</v>
      </c>
      <c r="N14" s="364">
        <f t="shared" si="1"/>
        <v>0</v>
      </c>
      <c r="P14" s="364">
        <f t="shared" si="2"/>
        <v>0</v>
      </c>
      <c r="R14" s="364">
        <f t="shared" si="3"/>
        <v>0</v>
      </c>
      <c r="S14" s="459"/>
    </row>
    <row r="15" spans="1:19">
      <c r="A15" s="6">
        <f t="shared" si="4"/>
        <v>3</v>
      </c>
      <c r="B15" s="4"/>
      <c r="C15" s="9" t="s">
        <v>62</v>
      </c>
      <c r="D15" s="6">
        <v>376</v>
      </c>
      <c r="F15" s="360">
        <f>'202011 Bk Depr'!R15</f>
        <v>0</v>
      </c>
      <c r="H15" s="1">
        <f>1.62%/12</f>
        <v>1.3500000000000003E-3</v>
      </c>
      <c r="J15" s="364">
        <f t="shared" si="0"/>
        <v>0</v>
      </c>
      <c r="L15" s="365">
        <f>'2020 Capital Budget'!Q29</f>
        <v>0</v>
      </c>
      <c r="N15" s="364">
        <f t="shared" si="1"/>
        <v>0</v>
      </c>
      <c r="P15" s="364">
        <f t="shared" si="2"/>
        <v>0</v>
      </c>
      <c r="R15" s="364">
        <f t="shared" si="3"/>
        <v>0</v>
      </c>
      <c r="S15" s="459"/>
    </row>
    <row r="16" spans="1:19">
      <c r="A16" s="6">
        <f t="shared" si="4"/>
        <v>4</v>
      </c>
      <c r="B16" s="4"/>
      <c r="C16" s="9" t="s">
        <v>62</v>
      </c>
      <c r="D16" s="6">
        <v>380</v>
      </c>
      <c r="F16" s="360">
        <f>'202011 Bk Depr'!R16</f>
        <v>9559287.200000003</v>
      </c>
      <c r="H16" s="1">
        <f t="shared" ref="H16:H18" si="5">3.24%/12</f>
        <v>2.7000000000000006E-3</v>
      </c>
      <c r="J16" s="364">
        <f t="shared" si="0"/>
        <v>25810.075440000015</v>
      </c>
      <c r="L16" s="365">
        <f>'Cap&amp;OpEx 2020'!N12-L15-'2020 Capital Budget'!Q86</f>
        <v>-56901.699999999255</v>
      </c>
      <c r="N16" s="364">
        <f t="shared" si="1"/>
        <v>-76.817294999999007</v>
      </c>
      <c r="P16" s="364">
        <f t="shared" si="2"/>
        <v>25733.258145000014</v>
      </c>
      <c r="R16" s="364">
        <f t="shared" si="3"/>
        <v>9502385.5000000037</v>
      </c>
    </row>
    <row r="17" spans="1:18">
      <c r="A17" s="6">
        <f t="shared" si="4"/>
        <v>5</v>
      </c>
      <c r="B17" s="4"/>
      <c r="C17" s="9" t="s">
        <v>63</v>
      </c>
      <c r="D17" s="6">
        <v>380</v>
      </c>
      <c r="F17" s="360">
        <f>'202011 Bk Depr'!R17</f>
        <v>0</v>
      </c>
      <c r="H17" s="1">
        <f t="shared" si="5"/>
        <v>2.7000000000000006E-3</v>
      </c>
      <c r="J17" s="364">
        <f t="shared" si="0"/>
        <v>0</v>
      </c>
      <c r="L17" s="365">
        <f>'Cap&amp;OpEx 2020'!N13</f>
        <v>0</v>
      </c>
      <c r="N17" s="364">
        <f t="shared" si="1"/>
        <v>0</v>
      </c>
      <c r="P17" s="364">
        <f t="shared" si="2"/>
        <v>0</v>
      </c>
      <c r="R17" s="364">
        <f t="shared" si="3"/>
        <v>0</v>
      </c>
    </row>
    <row r="18" spans="1:18">
      <c r="A18" s="6">
        <f t="shared" si="4"/>
        <v>6</v>
      </c>
      <c r="B18" s="4"/>
      <c r="C18" s="4" t="s">
        <v>163</v>
      </c>
      <c r="D18" s="6">
        <v>380</v>
      </c>
      <c r="F18" s="361">
        <f>'202011 Bk Depr'!R18</f>
        <v>25909953.069999997</v>
      </c>
      <c r="H18" s="1">
        <f t="shared" si="5"/>
        <v>2.7000000000000006E-3</v>
      </c>
      <c r="J18" s="364">
        <f t="shared" si="0"/>
        <v>69956.87328900001</v>
      </c>
      <c r="L18" s="366">
        <f>'Cap&amp;OpEx 2020'!N14-'2020 Capital Budget'!Q89</f>
        <v>129515.38000000149</v>
      </c>
      <c r="N18" s="364">
        <f t="shared" si="1"/>
        <v>174.84576300000205</v>
      </c>
      <c r="P18" s="364">
        <f t="shared" si="2"/>
        <v>70131.719052000015</v>
      </c>
      <c r="R18" s="364">
        <f t="shared" si="3"/>
        <v>26039468.449999999</v>
      </c>
    </row>
    <row r="19" spans="1:18">
      <c r="A19" s="6">
        <f t="shared" si="4"/>
        <v>7</v>
      </c>
      <c r="B19" s="4"/>
      <c r="C19" s="4" t="s">
        <v>21</v>
      </c>
      <c r="F19" s="362">
        <f>SUM(F13:F18)</f>
        <v>35469240.269999996</v>
      </c>
      <c r="J19" s="362">
        <f>SUM(J13:J18)</f>
        <v>95766.948729000025</v>
      </c>
      <c r="L19" s="362">
        <f>SUM(L13:L18)</f>
        <v>72613.680000002234</v>
      </c>
      <c r="N19" s="362">
        <f>SUM(N13:N18)</f>
        <v>98.028468000003045</v>
      </c>
      <c r="P19" s="362">
        <f>SUM(P13:P18)</f>
        <v>95864.977197000029</v>
      </c>
      <c r="R19" s="362">
        <f>SUM(R13:R18)</f>
        <v>35541853.950000003</v>
      </c>
    </row>
    <row r="20" spans="1:18">
      <c r="B20" s="4"/>
    </row>
    <row r="21" spans="1:18">
      <c r="B21" s="10" t="s">
        <v>12</v>
      </c>
      <c r="C21" s="10"/>
    </row>
    <row r="22" spans="1:18">
      <c r="A22" s="6">
        <f>A19+1</f>
        <v>8</v>
      </c>
      <c r="B22" s="4"/>
      <c r="C22" s="4" t="s">
        <v>453</v>
      </c>
      <c r="D22" s="6">
        <v>376</v>
      </c>
      <c r="F22" s="360">
        <f>'202011 Bk Depr'!R22</f>
        <v>0</v>
      </c>
      <c r="H22" s="1">
        <f>1.62%/12</f>
        <v>1.3500000000000003E-3</v>
      </c>
      <c r="J22" s="364">
        <f t="shared" ref="J22:J27" si="6">F22*H22</f>
        <v>0</v>
      </c>
      <c r="L22" s="365">
        <f>'Cap&amp;OpEx 2020'!N17</f>
        <v>0</v>
      </c>
      <c r="N22" s="601">
        <f>H22*L22*0.5</f>
        <v>0</v>
      </c>
      <c r="P22" s="364">
        <f t="shared" ref="P22:P27" si="7">J22+N22</f>
        <v>0</v>
      </c>
      <c r="R22" s="364">
        <f t="shared" ref="R22:R27" si="8">L22+F22</f>
        <v>0</v>
      </c>
    </row>
    <row r="23" spans="1:18">
      <c r="A23" s="490">
        <f t="shared" ref="A23:A28" si="9">A22+1</f>
        <v>9</v>
      </c>
      <c r="B23" s="491"/>
      <c r="C23" s="491" t="s">
        <v>578</v>
      </c>
      <c r="D23" s="490">
        <v>367</v>
      </c>
      <c r="E23" s="490"/>
      <c r="F23" s="492">
        <f>'202011 Bk Depr'!R23</f>
        <v>0</v>
      </c>
      <c r="G23" s="490"/>
      <c r="H23" s="493">
        <f>2.05%/12</f>
        <v>1.7083333333333332E-3</v>
      </c>
      <c r="I23" s="490"/>
      <c r="J23" s="412">
        <f t="shared" si="6"/>
        <v>0</v>
      </c>
      <c r="K23" s="490"/>
      <c r="L23" s="494">
        <f>'Cap&amp;OpEx 2020'!N18</f>
        <v>0</v>
      </c>
      <c r="M23" s="490"/>
      <c r="N23" s="602">
        <f t="shared" ref="N23:N27" si="10">H23*L23*0.5</f>
        <v>0</v>
      </c>
      <c r="O23" s="490"/>
      <c r="P23" s="412">
        <f t="shared" si="7"/>
        <v>0</v>
      </c>
      <c r="Q23" s="490"/>
      <c r="R23" s="412">
        <f t="shared" si="8"/>
        <v>0</v>
      </c>
    </row>
    <row r="24" spans="1:18">
      <c r="A24" s="6">
        <f t="shared" si="9"/>
        <v>10</v>
      </c>
      <c r="B24" s="491"/>
      <c r="C24" s="9" t="s">
        <v>62</v>
      </c>
      <c r="D24" s="6">
        <v>376</v>
      </c>
      <c r="E24" s="490"/>
      <c r="F24" s="360">
        <f>'202011 Bk Depr'!R24</f>
        <v>0</v>
      </c>
      <c r="H24" s="1">
        <f>1.62%/12</f>
        <v>1.3500000000000003E-3</v>
      </c>
      <c r="J24" s="364">
        <f t="shared" si="6"/>
        <v>0</v>
      </c>
      <c r="L24" s="365">
        <v>0</v>
      </c>
      <c r="N24" s="601">
        <f t="shared" si="10"/>
        <v>0</v>
      </c>
      <c r="P24" s="364">
        <f t="shared" si="7"/>
        <v>0</v>
      </c>
      <c r="R24" s="364">
        <f t="shared" si="8"/>
        <v>0</v>
      </c>
    </row>
    <row r="25" spans="1:18">
      <c r="A25" s="6">
        <f t="shared" si="9"/>
        <v>11</v>
      </c>
      <c r="B25" s="4"/>
      <c r="C25" s="9" t="s">
        <v>62</v>
      </c>
      <c r="D25" s="6">
        <v>380</v>
      </c>
      <c r="F25" s="360">
        <f>'202011 Bk Depr'!R25</f>
        <v>0</v>
      </c>
      <c r="H25" s="1">
        <f>3.24%/12</f>
        <v>2.7000000000000006E-3</v>
      </c>
      <c r="J25" s="364">
        <f t="shared" si="6"/>
        <v>0</v>
      </c>
      <c r="L25" s="365">
        <f>'Cap&amp;OpEx 2020'!N19</f>
        <v>0</v>
      </c>
      <c r="N25" s="601">
        <f t="shared" si="10"/>
        <v>0</v>
      </c>
      <c r="P25" s="364">
        <f t="shared" si="7"/>
        <v>0</v>
      </c>
      <c r="R25" s="364">
        <f t="shared" si="8"/>
        <v>0</v>
      </c>
    </row>
    <row r="26" spans="1:18" s="499" customFormat="1">
      <c r="A26" s="498">
        <f t="shared" si="9"/>
        <v>12</v>
      </c>
      <c r="C26" s="500" t="s">
        <v>63</v>
      </c>
      <c r="D26" s="498">
        <v>380</v>
      </c>
      <c r="E26" s="498"/>
      <c r="F26" s="360">
        <f>'202011 Bk Depr'!R26</f>
        <v>0</v>
      </c>
      <c r="G26" s="498"/>
      <c r="H26" s="501">
        <f>3.24%/12</f>
        <v>2.7000000000000006E-3</v>
      </c>
      <c r="I26" s="498"/>
      <c r="J26" s="360">
        <f t="shared" si="6"/>
        <v>0</v>
      </c>
      <c r="K26" s="498"/>
      <c r="L26" s="365">
        <f>'Cap&amp;OpEx 2020'!N20</f>
        <v>0</v>
      </c>
      <c r="M26" s="498"/>
      <c r="N26" s="601">
        <f t="shared" si="10"/>
        <v>0</v>
      </c>
      <c r="O26" s="498"/>
      <c r="P26" s="360">
        <f t="shared" si="7"/>
        <v>0</v>
      </c>
      <c r="Q26" s="498"/>
      <c r="R26" s="360">
        <f t="shared" si="8"/>
        <v>0</v>
      </c>
    </row>
    <row r="27" spans="1:18">
      <c r="A27" s="490">
        <f t="shared" si="9"/>
        <v>13</v>
      </c>
      <c r="B27" s="491"/>
      <c r="C27" s="495" t="s">
        <v>163</v>
      </c>
      <c r="D27" s="490">
        <v>380</v>
      </c>
      <c r="E27" s="490"/>
      <c r="F27" s="496">
        <f>'202011 Bk Depr'!R27</f>
        <v>0</v>
      </c>
      <c r="G27" s="490"/>
      <c r="H27" s="493">
        <f>3.24%/12</f>
        <v>2.7000000000000006E-3</v>
      </c>
      <c r="I27" s="490"/>
      <c r="J27" s="412">
        <f t="shared" si="6"/>
        <v>0</v>
      </c>
      <c r="K27" s="490"/>
      <c r="L27" s="497">
        <f>'Cap&amp;OpEx 2020'!N21</f>
        <v>0</v>
      </c>
      <c r="M27" s="490"/>
      <c r="N27" s="602">
        <f t="shared" si="10"/>
        <v>0</v>
      </c>
      <c r="O27" s="490"/>
      <c r="P27" s="412">
        <f t="shared" si="7"/>
        <v>0</v>
      </c>
      <c r="Q27" s="490"/>
      <c r="R27" s="412">
        <f t="shared" si="8"/>
        <v>0</v>
      </c>
    </row>
    <row r="28" spans="1:18">
      <c r="A28" s="6">
        <f t="shared" si="9"/>
        <v>14</v>
      </c>
      <c r="B28" s="4"/>
      <c r="C28" s="4" t="s">
        <v>22</v>
      </c>
      <c r="F28" s="362">
        <f>SUM(F22:F27)</f>
        <v>0</v>
      </c>
      <c r="J28" s="362">
        <f>SUM(J22:J27)</f>
        <v>0</v>
      </c>
      <c r="L28" s="362">
        <f>SUM(L22:L27)</f>
        <v>0</v>
      </c>
      <c r="N28" s="362">
        <f>SUM(N22:N27)</f>
        <v>0</v>
      </c>
      <c r="P28" s="362">
        <f>SUM(P22:P27)</f>
        <v>0</v>
      </c>
      <c r="R28" s="362">
        <f>SUM(R22:R27)</f>
        <v>0</v>
      </c>
    </row>
    <row r="29" spans="1:18">
      <c r="B29" s="4"/>
    </row>
    <row r="30" spans="1:18" s="515" customFormat="1" ht="16.5" thickBot="1">
      <c r="A30" s="512">
        <f>A28+1</f>
        <v>15</v>
      </c>
      <c r="B30" s="513" t="s">
        <v>18</v>
      </c>
      <c r="C30" s="513"/>
      <c r="D30" s="512"/>
      <c r="E30" s="512"/>
      <c r="F30" s="514">
        <f>F19+F28</f>
        <v>35469240.269999996</v>
      </c>
      <c r="G30" s="512"/>
      <c r="I30" s="512"/>
      <c r="J30" s="514">
        <f>J19+J28</f>
        <v>95766.948729000025</v>
      </c>
      <c r="K30" s="512"/>
      <c r="L30" s="514">
        <f>L19+L28</f>
        <v>72613.680000002234</v>
      </c>
      <c r="M30" s="512"/>
      <c r="N30" s="514">
        <f>N19+N28</f>
        <v>98.028468000003045</v>
      </c>
      <c r="O30" s="512"/>
      <c r="P30" s="514">
        <f>P19+P28</f>
        <v>95864.977197000029</v>
      </c>
      <c r="Q30" s="512"/>
      <c r="R30" s="514">
        <f>R19+R28</f>
        <v>35541853.950000003</v>
      </c>
    </row>
    <row r="31" spans="1:18" ht="16.5" thickTop="1">
      <c r="B31" s="4"/>
    </row>
    <row r="32" spans="1:18">
      <c r="B32" s="11" t="s">
        <v>19</v>
      </c>
      <c r="C32" s="11"/>
    </row>
    <row r="33" spans="1:18">
      <c r="A33" s="6">
        <f>A30+1</f>
        <v>16</v>
      </c>
      <c r="B33" s="4"/>
      <c r="C33" s="4" t="s">
        <v>453</v>
      </c>
      <c r="D33" s="6">
        <v>376</v>
      </c>
      <c r="F33" s="360">
        <f>'202011 Bk Depr'!R33</f>
        <v>0</v>
      </c>
      <c r="J33" s="364"/>
      <c r="L33" s="365">
        <f>'Cap&amp;OpEx 2020'!N31</f>
        <v>0</v>
      </c>
      <c r="N33" s="364"/>
      <c r="P33" s="364"/>
      <c r="R33" s="364">
        <f t="shared" ref="R33:R38" si="11">L33+F33</f>
        <v>0</v>
      </c>
    </row>
    <row r="34" spans="1:18">
      <c r="A34" s="490">
        <f t="shared" ref="A34:A39" si="12">A33+1</f>
        <v>17</v>
      </c>
      <c r="B34" s="491"/>
      <c r="C34" s="491" t="s">
        <v>578</v>
      </c>
      <c r="D34" s="490">
        <v>367</v>
      </c>
      <c r="E34" s="490"/>
      <c r="F34" s="492">
        <f>'202011 Bk Depr'!R34</f>
        <v>0</v>
      </c>
      <c r="G34" s="490"/>
      <c r="H34" s="491"/>
      <c r="I34" s="490"/>
      <c r="J34" s="412"/>
      <c r="K34" s="490"/>
      <c r="L34" s="494">
        <f>'Cap&amp;OpEx 2020'!N32</f>
        <v>0</v>
      </c>
      <c r="M34" s="490"/>
      <c r="N34" s="412"/>
      <c r="O34" s="490"/>
      <c r="P34" s="412"/>
      <c r="Q34" s="490"/>
      <c r="R34" s="412">
        <f t="shared" si="11"/>
        <v>0</v>
      </c>
    </row>
    <row r="35" spans="1:18">
      <c r="A35" s="6">
        <f t="shared" si="12"/>
        <v>18</v>
      </c>
      <c r="B35" s="491"/>
      <c r="C35" s="9" t="s">
        <v>62</v>
      </c>
      <c r="D35" s="6">
        <v>376</v>
      </c>
      <c r="E35" s="490"/>
      <c r="F35" s="360">
        <f>'202011 Bk Depr'!R35</f>
        <v>0</v>
      </c>
      <c r="J35" s="364"/>
      <c r="L35" s="365">
        <v>0</v>
      </c>
      <c r="N35" s="364"/>
      <c r="P35" s="364"/>
      <c r="R35" s="364">
        <f t="shared" si="11"/>
        <v>0</v>
      </c>
    </row>
    <row r="36" spans="1:18">
      <c r="A36" s="6">
        <f t="shared" si="12"/>
        <v>19</v>
      </c>
      <c r="B36" s="4"/>
      <c r="C36" s="9" t="s">
        <v>62</v>
      </c>
      <c r="D36" s="6">
        <v>380</v>
      </c>
      <c r="F36" s="520">
        <f>'202011 Bk Depr'!R36</f>
        <v>2737396.1999999993</v>
      </c>
      <c r="J36" s="364"/>
      <c r="L36" s="516">
        <f>'Cap&amp;OpEx 2020'!N33</f>
        <v>-4495.0799999999981</v>
      </c>
      <c r="N36" s="364"/>
      <c r="P36" s="364"/>
      <c r="R36" s="518">
        <f t="shared" si="11"/>
        <v>2732901.1199999992</v>
      </c>
    </row>
    <row r="37" spans="1:18" s="499" customFormat="1">
      <c r="A37" s="498">
        <f t="shared" si="12"/>
        <v>20</v>
      </c>
      <c r="C37" s="500" t="s">
        <v>63</v>
      </c>
      <c r="D37" s="498">
        <v>380</v>
      </c>
      <c r="E37" s="498"/>
      <c r="F37" s="520">
        <f>'202011 Bk Depr'!R37</f>
        <v>0</v>
      </c>
      <c r="G37" s="498"/>
      <c r="I37" s="498"/>
      <c r="J37" s="360"/>
      <c r="K37" s="498"/>
      <c r="L37" s="516">
        <f>'Cap&amp;OpEx 2020'!N34</f>
        <v>0</v>
      </c>
      <c r="M37" s="498"/>
      <c r="N37" s="360"/>
      <c r="O37" s="498"/>
      <c r="P37" s="360"/>
      <c r="Q37" s="498"/>
      <c r="R37" s="520">
        <f t="shared" si="11"/>
        <v>0</v>
      </c>
    </row>
    <row r="38" spans="1:18">
      <c r="A38" s="490">
        <f t="shared" si="12"/>
        <v>21</v>
      </c>
      <c r="B38" s="491"/>
      <c r="C38" s="495" t="s">
        <v>163</v>
      </c>
      <c r="D38" s="490">
        <v>380</v>
      </c>
      <c r="E38" s="490"/>
      <c r="F38" s="521">
        <f>'202011 Bk Depr'!R38</f>
        <v>2263.0500000000029</v>
      </c>
      <c r="G38" s="490"/>
      <c r="H38" s="491"/>
      <c r="I38" s="490"/>
      <c r="J38" s="412"/>
      <c r="K38" s="490"/>
      <c r="L38" s="517">
        <f>'Cap&amp;OpEx 2020'!N35</f>
        <v>0</v>
      </c>
      <c r="M38" s="490"/>
      <c r="N38" s="412"/>
      <c r="O38" s="490"/>
      <c r="P38" s="412"/>
      <c r="Q38" s="490"/>
      <c r="R38" s="518">
        <f t="shared" si="11"/>
        <v>2263.0500000000029</v>
      </c>
    </row>
    <row r="39" spans="1:18">
      <c r="A39" s="6">
        <f t="shared" si="12"/>
        <v>22</v>
      </c>
      <c r="B39" s="4"/>
      <c r="C39" s="4" t="s">
        <v>23</v>
      </c>
      <c r="F39" s="502">
        <f>SUM(F33:F38)</f>
        <v>2739659.2499999991</v>
      </c>
      <c r="G39" s="490"/>
      <c r="H39" s="491"/>
      <c r="I39" s="490"/>
      <c r="J39" s="502">
        <f>SUM(J33:J38)</f>
        <v>0</v>
      </c>
      <c r="K39" s="490"/>
      <c r="L39" s="502">
        <f>SUM(L33:L38)</f>
        <v>-4495.0799999999981</v>
      </c>
      <c r="M39" s="490"/>
      <c r="N39" s="502">
        <f>SUM(N33:N38)</f>
        <v>0</v>
      </c>
      <c r="O39" s="490"/>
      <c r="P39" s="502">
        <f>SUM(P33:P38)</f>
        <v>0</v>
      </c>
      <c r="Q39" s="490"/>
      <c r="R39" s="502">
        <f>SUM(R33:R38)</f>
        <v>2735164.169999999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16 of 18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F16FA-8028-4D3A-B971-D55D275D72DE}">
  <sheetPr>
    <tabColor theme="6" tint="0.39997558519241921"/>
    <pageSetUpPr fitToPage="1"/>
  </sheetPr>
  <dimension ref="A1:AC93"/>
  <sheetViews>
    <sheetView zoomScale="80" zoomScaleNormal="80" workbookViewId="0"/>
  </sheetViews>
  <sheetFormatPr defaultColWidth="9.140625" defaultRowHeight="12.75"/>
  <cols>
    <col min="1" max="1" width="5.140625" style="52" customWidth="1"/>
    <col min="2" max="2" width="3.140625" style="52" customWidth="1"/>
    <col min="3" max="3" width="11.85546875" style="52" customWidth="1"/>
    <col min="4" max="4" width="11.85546875" style="52" hidden="1" customWidth="1"/>
    <col min="5" max="5" width="8.85546875" style="52" bestFit="1" customWidth="1"/>
    <col min="6" max="6" width="1.140625" style="52" customWidth="1"/>
    <col min="7" max="7" width="6.140625" style="52" bestFit="1" customWidth="1"/>
    <col min="8" max="8" width="14.140625" style="52" bestFit="1" customWidth="1"/>
    <col min="9" max="11" width="14.140625" style="52" customWidth="1"/>
    <col min="12" max="12" width="15" style="52" bestFit="1" customWidth="1"/>
    <col min="13" max="13" width="13.85546875" style="52" bestFit="1" customWidth="1"/>
    <col min="14" max="14" width="14.42578125" style="52" bestFit="1" customWidth="1"/>
    <col min="15" max="15" width="13.85546875" style="52" bestFit="1" customWidth="1"/>
    <col min="16" max="16" width="11.5703125" style="52" bestFit="1" customWidth="1"/>
    <col min="17" max="17" width="10.85546875" style="52" customWidth="1"/>
    <col min="18" max="18" width="11.42578125" style="52" customWidth="1"/>
    <col min="19" max="19" width="11.140625" style="52" customWidth="1"/>
    <col min="20" max="20" width="14.85546875" style="52" customWidth="1"/>
    <col min="21" max="21" width="12" style="52" customWidth="1"/>
    <col min="22" max="22" width="9.140625" style="52"/>
    <col min="23" max="23" width="13.85546875" style="52" customWidth="1"/>
    <col min="24" max="25" width="9.140625" style="52"/>
    <col min="26" max="26" width="9.85546875" style="52" bestFit="1" customWidth="1"/>
    <col min="27" max="27" width="11.85546875" style="52" bestFit="1" customWidth="1"/>
    <col min="28" max="28" width="10.5703125" style="52" bestFit="1" customWidth="1"/>
    <col min="29" max="29" width="9.5703125" style="52" bestFit="1" customWidth="1"/>
    <col min="30" max="16384" width="9.140625" style="52"/>
  </cols>
  <sheetData>
    <row r="1" spans="1:29" ht="18.75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9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9" ht="18.75">
      <c r="A3" s="191" t="s">
        <v>594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</row>
    <row r="4" spans="1:29">
      <c r="A4" s="53"/>
    </row>
    <row r="6" spans="1:29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54"/>
      <c r="K6" s="54"/>
      <c r="L6" s="155"/>
      <c r="M6" s="54"/>
      <c r="N6" s="54"/>
      <c r="O6" s="54"/>
      <c r="P6" s="54"/>
      <c r="Q6" s="54"/>
      <c r="R6" s="54"/>
      <c r="S6" s="54"/>
      <c r="T6" s="54"/>
    </row>
    <row r="7" spans="1:29" ht="25.5">
      <c r="A7" s="54"/>
      <c r="B7" s="54"/>
      <c r="C7" s="55"/>
      <c r="D7" s="54" t="s">
        <v>25</v>
      </c>
      <c r="E7" s="522" t="s">
        <v>598</v>
      </c>
      <c r="F7" s="54"/>
      <c r="G7" s="54"/>
      <c r="H7" s="54"/>
      <c r="I7" s="54"/>
      <c r="J7" s="54"/>
      <c r="K7" s="54"/>
      <c r="L7" s="54"/>
      <c r="M7" s="54" t="s">
        <v>35</v>
      </c>
      <c r="N7" s="54"/>
      <c r="O7" s="54"/>
      <c r="P7" s="55" t="s">
        <v>181</v>
      </c>
      <c r="Q7" s="55" t="s">
        <v>182</v>
      </c>
      <c r="R7" s="55" t="s">
        <v>187</v>
      </c>
      <c r="S7" s="55" t="s">
        <v>189</v>
      </c>
      <c r="T7" s="54" t="s">
        <v>41</v>
      </c>
      <c r="U7" s="55" t="s">
        <v>164</v>
      </c>
      <c r="V7" s="55"/>
      <c r="W7" s="55" t="s">
        <v>236</v>
      </c>
    </row>
    <row r="8" spans="1:29">
      <c r="A8" s="54" t="s">
        <v>4</v>
      </c>
      <c r="B8" s="54"/>
      <c r="C8" s="54"/>
      <c r="D8" s="54" t="s">
        <v>26</v>
      </c>
      <c r="E8" s="523" t="s">
        <v>599</v>
      </c>
      <c r="F8" s="54"/>
      <c r="G8" s="54"/>
      <c r="H8" s="523">
        <v>2017</v>
      </c>
      <c r="I8" s="523">
        <v>2018</v>
      </c>
      <c r="J8" s="523">
        <v>2019</v>
      </c>
      <c r="K8" s="523">
        <v>2020</v>
      </c>
      <c r="L8" s="54" t="s">
        <v>34</v>
      </c>
      <c r="M8" s="54" t="s">
        <v>36</v>
      </c>
      <c r="N8" s="54" t="s">
        <v>38</v>
      </c>
      <c r="O8" s="54"/>
      <c r="P8" s="54" t="s">
        <v>34</v>
      </c>
      <c r="Q8" s="54" t="s">
        <v>34</v>
      </c>
      <c r="R8" s="54" t="s">
        <v>188</v>
      </c>
      <c r="S8" s="54" t="s">
        <v>190</v>
      </c>
      <c r="T8" s="54" t="s">
        <v>40</v>
      </c>
      <c r="U8" s="54" t="s">
        <v>237</v>
      </c>
      <c r="V8" s="54" t="s">
        <v>164</v>
      </c>
      <c r="W8" s="54" t="s">
        <v>40</v>
      </c>
      <c r="Z8" s="54" t="s">
        <v>700</v>
      </c>
      <c r="AA8" s="54" t="s">
        <v>702</v>
      </c>
      <c r="AB8" s="54" t="s">
        <v>701</v>
      </c>
      <c r="AC8" s="54" t="s">
        <v>703</v>
      </c>
    </row>
    <row r="9" spans="1:29">
      <c r="A9" s="442" t="s">
        <v>5</v>
      </c>
      <c r="B9" s="442"/>
      <c r="C9" s="442"/>
      <c r="D9" s="442" t="s">
        <v>2</v>
      </c>
      <c r="E9" s="524" t="s">
        <v>600</v>
      </c>
      <c r="F9" s="442"/>
      <c r="G9" s="442" t="s">
        <v>108</v>
      </c>
      <c r="H9" s="442" t="s">
        <v>20</v>
      </c>
      <c r="I9" s="442" t="s">
        <v>20</v>
      </c>
      <c r="J9" s="442" t="s">
        <v>20</v>
      </c>
      <c r="K9" s="442" t="s">
        <v>20</v>
      </c>
      <c r="L9" s="442" t="s">
        <v>0</v>
      </c>
      <c r="M9" s="442" t="s">
        <v>37</v>
      </c>
      <c r="N9" s="442" t="s">
        <v>0</v>
      </c>
      <c r="O9" s="442" t="s">
        <v>39</v>
      </c>
      <c r="P9" s="56" t="s">
        <v>346</v>
      </c>
      <c r="Q9" s="56" t="s">
        <v>186</v>
      </c>
      <c r="R9" s="56" t="s">
        <v>346</v>
      </c>
      <c r="S9" s="56" t="s">
        <v>12</v>
      </c>
      <c r="T9" s="442" t="s">
        <v>42</v>
      </c>
      <c r="U9" s="56" t="s">
        <v>238</v>
      </c>
      <c r="V9" s="56" t="s">
        <v>239</v>
      </c>
      <c r="W9" s="442" t="s">
        <v>42</v>
      </c>
      <c r="Z9" s="56" t="s">
        <v>20</v>
      </c>
      <c r="AA9" s="56" t="s">
        <v>20</v>
      </c>
      <c r="AB9" s="56" t="s">
        <v>20</v>
      </c>
      <c r="AC9" s="56" t="s">
        <v>704</v>
      </c>
    </row>
    <row r="10" spans="1:29">
      <c r="C10" s="57"/>
      <c r="D10" s="57" t="s">
        <v>71</v>
      </c>
      <c r="E10" s="525"/>
      <c r="F10" s="58"/>
      <c r="G10" s="58"/>
      <c r="H10" s="525" t="s">
        <v>166</v>
      </c>
      <c r="I10" s="525" t="s">
        <v>167</v>
      </c>
      <c r="J10" s="525" t="s">
        <v>168</v>
      </c>
      <c r="K10" s="525" t="s">
        <v>177</v>
      </c>
    </row>
    <row r="11" spans="1:29">
      <c r="A11" s="52">
        <v>1</v>
      </c>
      <c r="C11" s="57" t="s">
        <v>70</v>
      </c>
      <c r="D11" s="59"/>
      <c r="E11" s="525"/>
      <c r="H11" s="27">
        <f>'Tax Depr 2017'!L11</f>
        <v>1255457.3250000002</v>
      </c>
      <c r="I11" s="27">
        <f>'Tax Depr 2018'!H11</f>
        <v>4755556.200000002</v>
      </c>
      <c r="J11" s="27">
        <f>'Tax Depr 2019'!I11</f>
        <v>4801920.5399999991</v>
      </c>
      <c r="K11" s="27">
        <f>'2020 Capital Budget'!R30-K12-SUM('2020 Capital Budget'!R16:R19,'2020 Capital Budget'!R22:R24,'2020 Capital Budget'!R28)</f>
        <v>4929518.120000001</v>
      </c>
    </row>
    <row r="12" spans="1:29">
      <c r="A12" s="52">
        <v>2</v>
      </c>
      <c r="C12" s="57" t="s">
        <v>74</v>
      </c>
      <c r="D12" s="59"/>
      <c r="E12" s="525"/>
      <c r="H12" s="27">
        <f>'Tax Depr 2017'!L12</f>
        <v>2278129.7399999998</v>
      </c>
      <c r="I12" s="27">
        <f>'Tax Depr 2018'!H12</f>
        <v>5069750.87</v>
      </c>
      <c r="J12" s="27">
        <f>'Tax Depr 2019'!I12</f>
        <v>6475425.9100000001</v>
      </c>
      <c r="K12" s="27">
        <f>SUM('2020 Capital Budget'!R9:R11,'2020 Capital Budget'!R20:R21,'2020 Capital Budget'!R29)</f>
        <v>4720422.3099999987</v>
      </c>
    </row>
    <row r="13" spans="1:29">
      <c r="A13" s="52">
        <v>3</v>
      </c>
      <c r="C13" s="57" t="s">
        <v>185</v>
      </c>
      <c r="D13" s="59"/>
      <c r="E13" s="525"/>
      <c r="H13" s="27">
        <f>'Tax Depr 2017'!L13</f>
        <v>1255457.3249999997</v>
      </c>
      <c r="I13" s="27">
        <f>'Tax Depr 2018'!H13</f>
        <v>0</v>
      </c>
      <c r="J13" s="27">
        <f>'Tax Depr 2019'!I13</f>
        <v>0</v>
      </c>
      <c r="K13" s="27">
        <v>0</v>
      </c>
    </row>
    <row r="14" spans="1:29">
      <c r="C14" s="59"/>
      <c r="E14" s="526"/>
      <c r="Y14" s="50"/>
      <c r="Z14" s="50"/>
      <c r="AA14" s="50"/>
      <c r="AB14" s="50"/>
    </row>
    <row r="15" spans="1:29">
      <c r="C15" s="523" t="s">
        <v>604</v>
      </c>
      <c r="E15" s="527"/>
      <c r="H15" s="195"/>
      <c r="I15" s="195"/>
      <c r="J15" s="195"/>
      <c r="K15" s="195"/>
      <c r="L15" s="195"/>
      <c r="M15" s="195"/>
      <c r="N15" s="244"/>
      <c r="Y15" s="50"/>
      <c r="Z15" s="50"/>
      <c r="AA15" s="50"/>
      <c r="AB15" s="50"/>
    </row>
    <row r="16" spans="1:29">
      <c r="C16" s="523" t="s">
        <v>605</v>
      </c>
      <c r="E16" s="527"/>
      <c r="H16" s="525" t="s">
        <v>166</v>
      </c>
      <c r="I16" s="525" t="s">
        <v>167</v>
      </c>
      <c r="J16" s="525" t="s">
        <v>168</v>
      </c>
      <c r="K16" s="525" t="s">
        <v>177</v>
      </c>
      <c r="S16" s="27">
        <v>0</v>
      </c>
      <c r="T16" s="27">
        <f>S16+'Tax Depr 2019'!R28</f>
        <v>4633446.7890585922</v>
      </c>
      <c r="U16" s="27"/>
      <c r="W16" s="27">
        <f>T16</f>
        <v>4633446.7890585922</v>
      </c>
      <c r="Y16" s="50"/>
      <c r="Z16" s="580"/>
      <c r="AA16" s="580"/>
      <c r="AB16" s="580"/>
    </row>
    <row r="17" spans="1:29">
      <c r="A17" s="52">
        <f>A13+1</f>
        <v>4</v>
      </c>
      <c r="C17" s="61">
        <v>3.7499999999999999E-2</v>
      </c>
      <c r="D17" s="61">
        <v>0.05</v>
      </c>
      <c r="E17" s="528">
        <v>1</v>
      </c>
      <c r="G17" s="52">
        <v>1</v>
      </c>
      <c r="H17" s="27">
        <f>$H$11*$C$20/12</f>
        <v>6462.4665804375009</v>
      </c>
      <c r="I17" s="27">
        <f>$I$11*$C$19/12</f>
        <v>26460.707289500013</v>
      </c>
      <c r="J17" s="27">
        <f>$J$11*$C$18/12</f>
        <v>28887.553648549994</v>
      </c>
      <c r="K17" s="27">
        <f>AC17</f>
        <v>47624.594968750025</v>
      </c>
      <c r="L17" s="27">
        <f>SUM(H17:K17)</f>
        <v>109435.32248723753</v>
      </c>
      <c r="M17" s="27">
        <f>SUM('202001 Bk Depr'!$L$33,'202001 Bk Depr'!$L$35:$L$38)+'Cap&amp;OpEx 2020'!C31</f>
        <v>42155.369999999995</v>
      </c>
      <c r="N17" s="27">
        <f>SUM('202001 Bk Depr'!P13,'202001 Bk Depr'!P15:P18)</f>
        <v>71215.93330650001</v>
      </c>
      <c r="O17" s="27">
        <f t="shared" ref="O17:O28" si="0">L17+M17-N17</f>
        <v>80374.759180737499</v>
      </c>
      <c r="P17" s="27">
        <f t="shared" ref="P17:P22" si="1">O17*0.21</f>
        <v>16878.699427954874</v>
      </c>
      <c r="Q17" s="27">
        <f t="shared" ref="Q17:Q28" si="2">P61</f>
        <v>4341.8612880587498</v>
      </c>
      <c r="R17" s="27">
        <f t="shared" ref="R17:R22" si="3">-Q17*0.21</f>
        <v>-911.79087049233738</v>
      </c>
      <c r="S17" s="27"/>
      <c r="T17" s="27">
        <f t="shared" ref="T17:T28" si="4">T16+P17+Q17+R17+S17</f>
        <v>4653755.5589041132</v>
      </c>
      <c r="U17" s="27">
        <f>T17-T16</f>
        <v>20308.769845521078</v>
      </c>
      <c r="V17" s="247" t="s">
        <v>561</v>
      </c>
      <c r="W17" s="27">
        <f>W16+U17*336/366</f>
        <v>4652090.9056380866</v>
      </c>
      <c r="Z17" s="27">
        <f>(((('202001 Bk Depr'!$L$19-'202001 Bk Depr'!$L$14-SUM('2020 Capital Budget'!$F$9:$F$11,'2020 Capital Budget'!$F$20:$F$21,'2020 Capital Budget'!$F$29)-(1/12*$K$13))*$C$17))/12)</f>
        <v>1290.537468750008</v>
      </c>
      <c r="AA17" s="27">
        <f>SUM('2020 Capital Budget'!$F$9:$F$11,'2020 Capital Budget'!$F$20:$F$21,'2020 Capital Budget'!$F$29,-'2020 Capital Budget'!$F$86)*1/12</f>
        <v>46334.057500000017</v>
      </c>
      <c r="AB17" s="27">
        <f>(1/12*$K$13)</f>
        <v>0</v>
      </c>
      <c r="AC17" s="27">
        <f>SUM(Z17:AB17)</f>
        <v>47624.594968750025</v>
      </c>
    </row>
    <row r="18" spans="1:29">
      <c r="A18" s="52">
        <f>A17+1</f>
        <v>5</v>
      </c>
      <c r="C18" s="61">
        <v>7.2190000000000004E-2</v>
      </c>
      <c r="D18" s="61">
        <v>9.5000000000000001E-2</v>
      </c>
      <c r="E18" s="528">
        <v>2</v>
      </c>
      <c r="G18" s="52">
        <v>2</v>
      </c>
      <c r="H18" s="27">
        <f t="shared" ref="H18:H28" si="5">$H$11*$C$20/12</f>
        <v>6462.4665804375009</v>
      </c>
      <c r="I18" s="27">
        <f t="shared" ref="I18:I28" si="6">$I$11*$C$19/12</f>
        <v>26460.707289500013</v>
      </c>
      <c r="J18" s="27">
        <f t="shared" ref="J18:J28" si="7">$J$11*$C$18/12</f>
        <v>28887.553648549994</v>
      </c>
      <c r="K18" s="27">
        <f t="shared" ref="K18:K28" si="8">AC18</f>
        <v>118413.64884374988</v>
      </c>
      <c r="L18" s="27">
        <f t="shared" ref="L18:L28" si="9">SUM(H18:K18)</f>
        <v>180224.37636223738</v>
      </c>
      <c r="M18" s="27">
        <f>SUM('202002 Bk Depr'!$L$33,'202002 Bk Depr'!$L$35:$L$38)+'Cap&amp;OpEx 2020'!D31</f>
        <v>100571.17</v>
      </c>
      <c r="N18" s="27">
        <f>SUM('202002 Bk Depr'!P13,'202002 Bk Depr'!P15:P18)</f>
        <v>73748.890503000002</v>
      </c>
      <c r="O18" s="27">
        <f t="shared" si="0"/>
        <v>207046.65585923736</v>
      </c>
      <c r="P18" s="27">
        <f t="shared" si="1"/>
        <v>43479.797730439845</v>
      </c>
      <c r="Q18" s="27">
        <f t="shared" si="2"/>
        <v>10675.456121983743</v>
      </c>
      <c r="R18" s="27">
        <f t="shared" si="3"/>
        <v>-2241.845785616586</v>
      </c>
      <c r="S18" s="27"/>
      <c r="T18" s="27">
        <f t="shared" si="4"/>
        <v>4705668.9669709206</v>
      </c>
      <c r="U18" s="27">
        <f t="shared" ref="U18:U28" si="10">T18-T17</f>
        <v>51913.408066807315</v>
      </c>
      <c r="V18" s="247" t="s">
        <v>551</v>
      </c>
      <c r="W18" s="27">
        <f>W17+U18*307/366</f>
        <v>4695635.7588525945</v>
      </c>
      <c r="Z18" s="27">
        <f>(((('202001 Bk Depr'!$L$19-'202001 Bk Depr'!$L$14+'202002 Bk Depr'!$L$19-'202002 Bk Depr'!$L$14-SUM('2020 Capital Budget'!$F$9:$F$11,'2020 Capital Budget'!$F$20:$F$21,'2020 Capital Budget'!$F$29,-'2020 Capital Budget'!$F$86,'2020 Capital Budget'!$G$9:$G$11,'2020 Capital Budget'!$G$20:$G$21,'2020 Capital Budget'!$G$29,-'2020 Capital Budget'!$G$86)-(1/12*$K$13))*$C$17))*2/12)-Z17</f>
        <v>4423.9763437499814</v>
      </c>
      <c r="AA18" s="27">
        <f>SUM('2020 Capital Budget'!$F$9:$F$11,'2020 Capital Budget'!$F$20:$F$21,'2020 Capital Budget'!$F$29,-'2020 Capital Budget'!$F$86,'2020 Capital Budget'!$G$9:$G$11,'2020 Capital Budget'!$G$20:$G$21,'2020 Capital Budget'!$G$29,-'2020 Capital Budget'!$G$86)*2/12-AA17</f>
        <v>113989.6724999999</v>
      </c>
      <c r="AB18" s="27">
        <f t="shared" ref="AB18:AB28" si="11">(1/12*$K$13)</f>
        <v>0</v>
      </c>
      <c r="AC18" s="27">
        <f t="shared" ref="AC18:AC28" si="12">SUM(Z18:AB18)</f>
        <v>118413.64884374988</v>
      </c>
    </row>
    <row r="19" spans="1:29">
      <c r="A19" s="52">
        <f t="shared" ref="A19:A44" si="13">A18+1</f>
        <v>6</v>
      </c>
      <c r="C19" s="61">
        <v>6.6769999999999996E-2</v>
      </c>
      <c r="D19" s="61">
        <v>8.5500000000000007E-2</v>
      </c>
      <c r="E19" s="528">
        <v>3</v>
      </c>
      <c r="G19" s="52">
        <v>3</v>
      </c>
      <c r="H19" s="27">
        <f t="shared" si="5"/>
        <v>6462.4665804375009</v>
      </c>
      <c r="I19" s="27">
        <f t="shared" si="6"/>
        <v>26460.707289500013</v>
      </c>
      <c r="J19" s="27">
        <f t="shared" si="7"/>
        <v>28887.553648549994</v>
      </c>
      <c r="K19" s="27">
        <f t="shared" si="8"/>
        <v>215478.91475000003</v>
      </c>
      <c r="L19" s="27">
        <f t="shared" si="9"/>
        <v>277289.64226848754</v>
      </c>
      <c r="M19" s="27">
        <f>SUM('202003 Bk Depr'!$L$33,'202003 Bk Depr'!$L$35:$L$38)+'Cap&amp;OpEx 2020'!E31</f>
        <v>175695.94</v>
      </c>
      <c r="N19" s="27">
        <f>SUM('202003 Bk Depr'!P13,'202003 Bk Depr'!P15:P18)</f>
        <v>76175.06571000001</v>
      </c>
      <c r="O19" s="27">
        <f t="shared" si="0"/>
        <v>376810.51655848755</v>
      </c>
      <c r="P19" s="27">
        <f t="shared" si="1"/>
        <v>79130.208477282387</v>
      </c>
      <c r="Q19" s="27">
        <f t="shared" si="2"/>
        <v>19163.649156946252</v>
      </c>
      <c r="R19" s="27">
        <f t="shared" si="3"/>
        <v>-4024.3663229587128</v>
      </c>
      <c r="S19" s="27"/>
      <c r="T19" s="27">
        <f t="shared" si="4"/>
        <v>4799938.4582821904</v>
      </c>
      <c r="U19" s="27">
        <f t="shared" si="10"/>
        <v>94269.491311269812</v>
      </c>
      <c r="V19" s="247" t="s">
        <v>552</v>
      </c>
      <c r="W19" s="27">
        <f>W18+U19*276/366</f>
        <v>4766724.2277102731</v>
      </c>
      <c r="Z19" s="27">
        <f>(((('202001 Bk Depr'!$L$19-'202001 Bk Depr'!$L$14+'202002 Bk Depr'!$L$19-'202002 Bk Depr'!$L$14+'202003 Bk Depr'!$L$19-'202003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Budget'!$H$86)-(1/12*$K$13))*$C$17))*3/12)-Z18-Z17</f>
        <v>6364.5922500000297</v>
      </c>
      <c r="AA19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Budget'!$H$86)*3/12-AA18-AA17</f>
        <v>209114.32250000001</v>
      </c>
      <c r="AB19" s="27">
        <f t="shared" si="11"/>
        <v>0</v>
      </c>
      <c r="AC19" s="27">
        <f t="shared" si="12"/>
        <v>215478.91475000003</v>
      </c>
    </row>
    <row r="20" spans="1:29">
      <c r="A20" s="52">
        <f t="shared" si="13"/>
        <v>7</v>
      </c>
      <c r="C20" s="61">
        <v>6.1769999999999999E-2</v>
      </c>
      <c r="D20" s="61">
        <v>7.6999999999999999E-2</v>
      </c>
      <c r="E20" s="528">
        <v>4</v>
      </c>
      <c r="G20" s="52">
        <v>4</v>
      </c>
      <c r="H20" s="27">
        <f t="shared" si="5"/>
        <v>6462.4665804375009</v>
      </c>
      <c r="I20" s="27">
        <f t="shared" si="6"/>
        <v>26460.707289500013</v>
      </c>
      <c r="J20" s="27">
        <f t="shared" si="7"/>
        <v>28887.553648549994</v>
      </c>
      <c r="K20" s="27">
        <f t="shared" si="8"/>
        <v>298353.50260416704</v>
      </c>
      <c r="L20" s="27">
        <f t="shared" si="9"/>
        <v>360164.23012265452</v>
      </c>
      <c r="M20" s="27">
        <f>SUM('202004 Bk Depr'!$L$33,'202004 Bk Depr'!$L$35:$L$38)+'Cap&amp;OpEx 2020'!F31</f>
        <v>111533.73</v>
      </c>
      <c r="N20" s="27">
        <f>SUM('202004 Bk Depr'!P13,'202004 Bk Depr'!P15:P18)</f>
        <v>78628.375026000023</v>
      </c>
      <c r="O20" s="27">
        <f t="shared" si="0"/>
        <v>393069.58509665448</v>
      </c>
      <c r="P20" s="27">
        <f t="shared" si="1"/>
        <v>82544.612870297438</v>
      </c>
      <c r="Q20" s="27">
        <f t="shared" si="2"/>
        <v>19976.602583854601</v>
      </c>
      <c r="R20" s="27">
        <f t="shared" si="3"/>
        <v>-4195.0865426094661</v>
      </c>
      <c r="S20" s="27"/>
      <c r="T20" s="27">
        <f t="shared" si="4"/>
        <v>4898264.5871937331</v>
      </c>
      <c r="U20" s="27">
        <f t="shared" si="10"/>
        <v>98326.128911542706</v>
      </c>
      <c r="V20" s="247" t="s">
        <v>553</v>
      </c>
      <c r="W20" s="27">
        <f>W19+U20*246/366</f>
        <v>4832812.2815688513</v>
      </c>
      <c r="Z20" s="27">
        <f>(((('202001 Bk Depr'!$L$19-'202001 Bk Depr'!$L$14+'202002 Bk Depr'!$L$19-'202002 Bk Depr'!$L$14+'202003 Bk Depr'!$L$19-'202003 Bk Depr'!$L$14+'202004 Bk Depr'!$L$19-'202004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Budget'!$I$86)-(1/12*$K$13))*$C$17))*4/12)-Z19-Z18-Z17</f>
        <v>9400.3584375000064</v>
      </c>
      <c r="AA20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Budget'!$I$86)*4/12-AA19-AA18-AA17</f>
        <v>288953.14416666701</v>
      </c>
      <c r="AB20" s="27">
        <f t="shared" si="11"/>
        <v>0</v>
      </c>
      <c r="AC20" s="27">
        <f t="shared" si="12"/>
        <v>298353.50260416704</v>
      </c>
    </row>
    <row r="21" spans="1:29">
      <c r="A21" s="52">
        <f t="shared" si="13"/>
        <v>8</v>
      </c>
      <c r="C21" s="61">
        <v>5.713E-2</v>
      </c>
      <c r="D21" s="61">
        <v>6.93E-2</v>
      </c>
      <c r="E21" s="528">
        <v>5</v>
      </c>
      <c r="G21" s="52">
        <v>5</v>
      </c>
      <c r="H21" s="27">
        <f t="shared" si="5"/>
        <v>6462.4665804375009</v>
      </c>
      <c r="I21" s="27">
        <f t="shared" si="6"/>
        <v>26460.707289500013</v>
      </c>
      <c r="J21" s="27">
        <f t="shared" si="7"/>
        <v>28887.553648549994</v>
      </c>
      <c r="K21" s="27">
        <f t="shared" si="8"/>
        <v>366866.3140416661</v>
      </c>
      <c r="L21" s="27">
        <f t="shared" si="9"/>
        <v>428677.04156015359</v>
      </c>
      <c r="M21" s="27">
        <f>SUM('202005 Bk Depr'!$L$33,'202005 Bk Depr'!$L$35:$L$38)+'Cap&amp;OpEx 2020'!G31</f>
        <v>114370.61</v>
      </c>
      <c r="N21" s="27">
        <f>SUM('202005 Bk Depr'!P13,'202005 Bk Depr'!P15:P18)</f>
        <v>81183.94249500001</v>
      </c>
      <c r="O21" s="27">
        <f t="shared" si="0"/>
        <v>461863.70906515355</v>
      </c>
      <c r="P21" s="27">
        <f t="shared" si="1"/>
        <v>96991.378903682242</v>
      </c>
      <c r="Q21" s="27">
        <f t="shared" si="2"/>
        <v>23416.308782279553</v>
      </c>
      <c r="R21" s="27">
        <f t="shared" si="3"/>
        <v>-4917.4248442787057</v>
      </c>
      <c r="S21" s="27"/>
      <c r="T21" s="27">
        <f t="shared" si="4"/>
        <v>5013754.850035416</v>
      </c>
      <c r="U21" s="27">
        <f t="shared" si="10"/>
        <v>115490.26284168288</v>
      </c>
      <c r="V21" s="247" t="s">
        <v>554</v>
      </c>
      <c r="W21" s="27">
        <f>W20+U21*215/366</f>
        <v>4900654.9223091844</v>
      </c>
      <c r="Z21" s="27">
        <f>(((('202001 Bk Depr'!$L$19-'202001 Bk Depr'!$L$14+'202002 Bk Depr'!$L$19-'202002 Bk Depr'!$L$14+'202003 Bk Depr'!$L$19-'202003 Bk Depr'!$L$14+'202004 Bk Depr'!$L$19-'202004 Bk Depr'!$L$14+'202005 Bk Depr'!$L$19-'202005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Budget'!$J$88)-(1/12*$K$13))*$C$17))*5/12)-Z20-Z19-Z18-Z17</f>
        <v>13374.989874999996</v>
      </c>
      <c r="AA21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Budget'!$J$88)*5/12-AA20-AA19-AA18-AA17</f>
        <v>353491.32416666613</v>
      </c>
      <c r="AB21" s="27">
        <f t="shared" si="11"/>
        <v>0</v>
      </c>
      <c r="AC21" s="27">
        <f t="shared" si="12"/>
        <v>366866.3140416661</v>
      </c>
    </row>
    <row r="22" spans="1:29">
      <c r="A22" s="52">
        <f t="shared" si="13"/>
        <v>9</v>
      </c>
      <c r="C22" s="61">
        <v>5.2850000000000001E-2</v>
      </c>
      <c r="D22" s="61">
        <v>6.2300000000000001E-2</v>
      </c>
      <c r="E22" s="528">
        <v>6</v>
      </c>
      <c r="G22" s="52">
        <v>6</v>
      </c>
      <c r="H22" s="27">
        <f t="shared" si="5"/>
        <v>6462.4665804375009</v>
      </c>
      <c r="I22" s="27">
        <f t="shared" si="6"/>
        <v>26460.707289500013</v>
      </c>
      <c r="J22" s="27">
        <f t="shared" si="7"/>
        <v>28887.553648549994</v>
      </c>
      <c r="K22" s="27">
        <f t="shared" si="8"/>
        <v>433142.65110416675</v>
      </c>
      <c r="L22" s="27">
        <f t="shared" si="9"/>
        <v>494953.37862265424</v>
      </c>
      <c r="M22" s="27">
        <f>SUM('202006 Bk Depr'!$L$33,'202006 Bk Depr'!$L$35:$L$38)+'Cap&amp;OpEx 2020'!H31</f>
        <v>129396.25</v>
      </c>
      <c r="N22" s="27">
        <f>SUM('202006 Bk Depr'!P13,'202006 Bk Depr'!P15:P18)</f>
        <v>83573.248932000017</v>
      </c>
      <c r="O22" s="27">
        <f t="shared" si="0"/>
        <v>540776.37969065423</v>
      </c>
      <c r="P22" s="27">
        <f t="shared" si="1"/>
        <v>113563.03973503738</v>
      </c>
      <c r="Q22" s="27">
        <f t="shared" si="2"/>
        <v>27361.942313554588</v>
      </c>
      <c r="R22" s="27">
        <f t="shared" si="3"/>
        <v>-5746.0078858464631</v>
      </c>
      <c r="S22" s="27"/>
      <c r="T22" s="27">
        <f t="shared" si="4"/>
        <v>5148933.8241981622</v>
      </c>
      <c r="U22" s="27">
        <f t="shared" si="10"/>
        <v>135178.97416274622</v>
      </c>
      <c r="V22" s="247" t="s">
        <v>555</v>
      </c>
      <c r="W22" s="27">
        <f>W21+U22*185/366</f>
        <v>4968983.0923094796</v>
      </c>
      <c r="Z22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Budget'!$J$88,'2020 Capital Budget'!$K$9:$K$11,'2020 Capital Budget'!$K$20:$K$21,'2020 Capital Budget'!$K$29,-'2020 Capital Budget'!$K$86,-'2020 Capital Budget'!$K$88)-(1/12*$K$13))*$C$17))*6/12)-Z21-Z20-Z19-Z18-Z17</f>
        <v>13917.521937499991</v>
      </c>
      <c r="AA22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Budget'!$J$88,'2020 Capital Budget'!$K$9:$K$11,'2020 Capital Budget'!$K$20:$K$21,'2020 Capital Budget'!$K$29,-'2020 Capital Budget'!$K$86,-'2020 Capital Budget'!$K$88)*6/12-AA21-AA20-AA19-AA18-AA17</f>
        <v>419225.12916666677</v>
      </c>
      <c r="AB22" s="27">
        <f t="shared" si="11"/>
        <v>0</v>
      </c>
      <c r="AC22" s="27">
        <f t="shared" si="12"/>
        <v>433142.65110416675</v>
      </c>
    </row>
    <row r="23" spans="1:29">
      <c r="A23" s="52">
        <f t="shared" si="13"/>
        <v>10</v>
      </c>
      <c r="C23" s="61">
        <v>4.888E-2</v>
      </c>
      <c r="D23" s="61">
        <v>5.8999999999999997E-2</v>
      </c>
      <c r="E23" s="528">
        <v>7</v>
      </c>
      <c r="G23" s="52">
        <v>7</v>
      </c>
      <c r="H23" s="27">
        <f>$H$11*$C$20/12</f>
        <v>6462.4665804375009</v>
      </c>
      <c r="I23" s="27">
        <f t="shared" si="6"/>
        <v>26460.707289500013</v>
      </c>
      <c r="J23" s="27">
        <f t="shared" si="7"/>
        <v>28887.553648549994</v>
      </c>
      <c r="K23" s="27">
        <f t="shared" si="8"/>
        <v>483826.88724999951</v>
      </c>
      <c r="L23" s="27">
        <f t="shared" si="9"/>
        <v>545637.61476848705</v>
      </c>
      <c r="M23" s="27">
        <f>SUM('202007 Bk Depr'!$L$33,'202007 Bk Depr'!$L$35:$L$38)+'Cap&amp;OpEx 2020'!I31</f>
        <v>45603.539999999994</v>
      </c>
      <c r="N23" s="27">
        <f>SUM('202007 Bk Depr'!P13,'202007 Bk Depr'!P15:P18)</f>
        <v>85728.12719400003</v>
      </c>
      <c r="O23" s="27">
        <f t="shared" si="0"/>
        <v>505513.02757448703</v>
      </c>
      <c r="P23" s="27">
        <f>O23*0.21</f>
        <v>106157.73579064227</v>
      </c>
      <c r="Q23" s="27">
        <f t="shared" si="2"/>
        <v>25598.774707746226</v>
      </c>
      <c r="R23" s="27">
        <f>-Q23*0.21</f>
        <v>-5375.7426886267076</v>
      </c>
      <c r="S23" s="27"/>
      <c r="T23" s="27">
        <f t="shared" si="4"/>
        <v>5275314.5920079229</v>
      </c>
      <c r="U23" s="27">
        <f t="shared" si="10"/>
        <v>126380.76780976076</v>
      </c>
      <c r="V23" s="247" t="s">
        <v>556</v>
      </c>
      <c r="W23" s="27">
        <f>W22+U23*154/366</f>
        <v>5022159.6995299803</v>
      </c>
      <c r="Z23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Budget'!$J$88,'2020 Capital Budget'!$K$9:$K$11,'2020 Capital Budget'!$K$20:$K$21,'2020 Capital Budget'!$K$29,-'2020 Capital Budget'!$K$86,-'2020 Capital Budget'!$K$88,'2020 Capital Budget'!$L$9:$L$11,'2020 Capital Budget'!$L$20:$L$21,'2020 Capital Budget'!$L$29,-'2020 Capital Budget'!$L$86,-'2020 Capital Budget'!$L$88)-(1/12*$K$13))*$C$17))*7/12)-Z22-Z21-Z20-Z19-Z18-Z17</f>
        <v>16888.369750000016</v>
      </c>
      <c r="AA23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Budget'!$J$86,-'2020 Capital Budget'!$J$88,'2020 Capital Budget'!$K$9:$K$11,'2020 Capital Budget'!$K$20:$K$21,'2020 Capital Budget'!$K$29,-'2020 Capital Budget'!$K$86,-'2020 Capital Budget'!$K$88,'2020 Capital Budget'!$L$9:$L$11,'2020 Capital Budget'!$L$20:$L$21,'2020 Capital Budget'!$L$29,-'2020 Capital Budget'!$L$86,-'2020 Capital Budget'!$L$88)*7/12-AA22-AA21-AA20-AA19-AA18-AA17</f>
        <v>466938.51749999949</v>
      </c>
      <c r="AB23" s="27">
        <f t="shared" si="11"/>
        <v>0</v>
      </c>
      <c r="AC23" s="27">
        <f t="shared" si="12"/>
        <v>483826.88724999951</v>
      </c>
    </row>
    <row r="24" spans="1:29">
      <c r="A24" s="52">
        <f t="shared" si="13"/>
        <v>11</v>
      </c>
      <c r="C24" s="61">
        <v>4.5220000000000003E-2</v>
      </c>
      <c r="D24" s="61">
        <v>5.8999999999999997E-2</v>
      </c>
      <c r="E24" s="528">
        <v>8</v>
      </c>
      <c r="G24" s="52">
        <v>8</v>
      </c>
      <c r="H24" s="27">
        <f t="shared" si="5"/>
        <v>6462.4665804375009</v>
      </c>
      <c r="I24" s="27">
        <f t="shared" si="6"/>
        <v>26460.707289500013</v>
      </c>
      <c r="J24" s="27">
        <f t="shared" si="7"/>
        <v>28887.553648549994</v>
      </c>
      <c r="K24" s="27">
        <f t="shared" si="8"/>
        <v>538797.54285416589</v>
      </c>
      <c r="L24" s="27">
        <f t="shared" si="9"/>
        <v>600608.27037265338</v>
      </c>
      <c r="M24" s="27">
        <f>SUM('202008 Bk Depr'!$L$33,'202008 Bk Depr'!$L$35:$L$38)+'Cap&amp;OpEx 2020'!J31</f>
        <v>78457.179999999993</v>
      </c>
      <c r="N24" s="27">
        <f>SUM('202008 Bk Depr'!P13,'202008 Bk Depr'!P15:P18)</f>
        <v>87817.002565500021</v>
      </c>
      <c r="O24" s="27">
        <f t="shared" si="0"/>
        <v>591248.44780715334</v>
      </c>
      <c r="P24" s="27">
        <f t="shared" ref="P24:P28" si="14">O24*0.21</f>
        <v>124162.17403950219</v>
      </c>
      <c r="Q24" s="27">
        <f t="shared" si="2"/>
        <v>29885.545719379545</v>
      </c>
      <c r="R24" s="27">
        <f t="shared" ref="R24:R28" si="15">-Q24*0.21</f>
        <v>-6275.9646010697043</v>
      </c>
      <c r="S24" s="27"/>
      <c r="T24" s="27">
        <f t="shared" si="4"/>
        <v>5423086.3471657354</v>
      </c>
      <c r="U24" s="27">
        <f t="shared" si="10"/>
        <v>147771.7551578125</v>
      </c>
      <c r="V24" s="247" t="s">
        <v>557</v>
      </c>
      <c r="W24" s="27">
        <f>W23+U24*123/366</f>
        <v>5071820.6992141632</v>
      </c>
      <c r="Z24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Budget'!$M$86)-(1/12*$K$13))*$C$17))*8/12)-Z23-Z22-Z21-Z20-Z19-Z18-Z17</f>
        <v>18935.663687500015</v>
      </c>
      <c r="AA24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Budget'!$M$86)*8/12-AA23-AA22-AA21-AA20-AA19-AA18-AA17</f>
        <v>519861.87916666584</v>
      </c>
      <c r="AB24" s="27">
        <f t="shared" si="11"/>
        <v>0</v>
      </c>
      <c r="AC24" s="27">
        <f t="shared" si="12"/>
        <v>538797.54285416589</v>
      </c>
    </row>
    <row r="25" spans="1:29">
      <c r="A25" s="52">
        <f t="shared" si="13"/>
        <v>12</v>
      </c>
      <c r="C25" s="61">
        <v>4.462E-2</v>
      </c>
      <c r="D25" s="61">
        <v>5.91E-2</v>
      </c>
      <c r="E25" s="528">
        <v>9</v>
      </c>
      <c r="G25" s="52">
        <v>9</v>
      </c>
      <c r="H25" s="27">
        <f t="shared" si="5"/>
        <v>6462.4665804375009</v>
      </c>
      <c r="I25" s="27">
        <f t="shared" si="6"/>
        <v>26460.707289500013</v>
      </c>
      <c r="J25" s="27">
        <f t="shared" si="7"/>
        <v>28887.553648549994</v>
      </c>
      <c r="K25" s="27">
        <f t="shared" si="8"/>
        <v>689205.73052083468</v>
      </c>
      <c r="L25" s="27">
        <f t="shared" si="9"/>
        <v>751016.45803932217</v>
      </c>
      <c r="M25" s="27">
        <f>SUM('202009 Bk Depr'!$L$33,'202009 Bk Depr'!$L$35:$L$38)+'Cap&amp;OpEx 2020'!K31</f>
        <v>11830.71</v>
      </c>
      <c r="N25" s="27">
        <f>SUM('202009 Bk Depr'!P13,'202009 Bk Depr'!P15:P18)</f>
        <v>90076.31948700003</v>
      </c>
      <c r="O25" s="27">
        <f t="shared" si="0"/>
        <v>672770.84855232213</v>
      </c>
      <c r="P25" s="27">
        <f t="shared" si="14"/>
        <v>141281.87819598764</v>
      </c>
      <c r="Q25" s="27">
        <f t="shared" si="2"/>
        <v>33961.66575663798</v>
      </c>
      <c r="R25" s="27">
        <f t="shared" si="15"/>
        <v>-7131.9498088939754</v>
      </c>
      <c r="S25" s="27"/>
      <c r="T25" s="27">
        <f t="shared" si="4"/>
        <v>5591197.9413094679</v>
      </c>
      <c r="U25" s="27">
        <f t="shared" si="10"/>
        <v>168111.59414373245</v>
      </c>
      <c r="V25" s="247" t="s">
        <v>558</v>
      </c>
      <c r="W25" s="27">
        <f>W24+U25*93/366</f>
        <v>5114537.5796933081</v>
      </c>
      <c r="Z25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Depr'!$L$14+'202009 Bk Depr'!$L$19-'202009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Budget'!$N$86)-(1/12*$K$13))*$C$17))*9/12)-Z24-Z23-Z22-Z21-Z20-Z19-Z18-Z17</f>
        <v>22742.55718750005</v>
      </c>
      <c r="AA25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Budget'!$N$86)*9/12-AA24-AA23-AA22-AA21-AA20-AA19-AA18-AA17</f>
        <v>666463.17333333462</v>
      </c>
      <c r="AB25" s="27">
        <f t="shared" si="11"/>
        <v>0</v>
      </c>
      <c r="AC25" s="27">
        <f t="shared" si="12"/>
        <v>689205.73052083468</v>
      </c>
    </row>
    <row r="26" spans="1:29">
      <c r="A26" s="52">
        <f t="shared" si="13"/>
        <v>13</v>
      </c>
      <c r="C26" s="61">
        <v>4.4609999999999997E-2</v>
      </c>
      <c r="D26" s="61">
        <v>5.8999999999999997E-2</v>
      </c>
      <c r="E26" s="528">
        <v>10</v>
      </c>
      <c r="G26" s="52">
        <v>10</v>
      </c>
      <c r="H26" s="27">
        <f t="shared" si="5"/>
        <v>6462.4665804375009</v>
      </c>
      <c r="I26" s="27">
        <f t="shared" si="6"/>
        <v>26460.707289500013</v>
      </c>
      <c r="J26" s="27">
        <f t="shared" si="7"/>
        <v>28887.553648549994</v>
      </c>
      <c r="K26" s="27">
        <f t="shared" si="8"/>
        <v>662025.1384791662</v>
      </c>
      <c r="L26" s="27">
        <f t="shared" si="9"/>
        <v>723835.86599765369</v>
      </c>
      <c r="M26" s="27">
        <f>SUM('202010 Bk Depr'!$L$33,'202010 Bk Depr'!$L$35:$L$38)+'Cap&amp;OpEx 2020'!L31</f>
        <v>186553.30000000002</v>
      </c>
      <c r="N26" s="27">
        <f>SUM('202010 Bk Depr'!P13,'202010 Bk Depr'!P15:P18)</f>
        <v>92330.150521500022</v>
      </c>
      <c r="O26" s="27">
        <f t="shared" si="0"/>
        <v>818059.0154761537</v>
      </c>
      <c r="P26" s="27">
        <f t="shared" si="14"/>
        <v>171792.39324999228</v>
      </c>
      <c r="Q26" s="27">
        <f t="shared" si="2"/>
        <v>41226.07410282956</v>
      </c>
      <c r="R26" s="27">
        <f t="shared" si="15"/>
        <v>-8657.4755615942067</v>
      </c>
      <c r="S26" s="27"/>
      <c r="T26" s="27">
        <f t="shared" si="4"/>
        <v>5795558.9331006948</v>
      </c>
      <c r="U26" s="27">
        <f t="shared" si="10"/>
        <v>204360.9917912269</v>
      </c>
      <c r="V26" s="247" t="s">
        <v>559</v>
      </c>
      <c r="W26" s="27">
        <f>W25+U26*62/366</f>
        <v>5149156.108357396</v>
      </c>
      <c r="Z26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Depr'!$L$14+'202009 Bk Depr'!$L$19-'202009 Bk Depr'!$L$14+'202010 Bk Depr'!$L$19-'202010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Budget'!$O$86)-(1/12*$K$13))*$C$17))*10/12)-Z25-Z24-Z23-Z22-Z21-Z20-Z19-Z18-Z17</f>
        <v>24340.816812500012</v>
      </c>
      <c r="AA26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Budget'!$O$86)*10/12-AA25-AA24-AA23-AA22-AA21-AA20-AA19-AA18-AA17</f>
        <v>637684.32166666619</v>
      </c>
      <c r="AB26" s="27">
        <f t="shared" si="11"/>
        <v>0</v>
      </c>
      <c r="AC26" s="27">
        <f t="shared" si="12"/>
        <v>662025.1384791662</v>
      </c>
    </row>
    <row r="27" spans="1:29">
      <c r="A27" s="52">
        <f t="shared" si="13"/>
        <v>14</v>
      </c>
      <c r="C27" s="61">
        <v>4.462E-2</v>
      </c>
      <c r="D27" s="61">
        <v>5.91E-2</v>
      </c>
      <c r="E27" s="528">
        <v>11</v>
      </c>
      <c r="G27" s="52">
        <v>11</v>
      </c>
      <c r="H27" s="27">
        <f t="shared" si="5"/>
        <v>6462.4665804375009</v>
      </c>
      <c r="I27" s="27">
        <f t="shared" si="6"/>
        <v>26460.707289500013</v>
      </c>
      <c r="J27" s="27">
        <f t="shared" si="7"/>
        <v>28887.553648549994</v>
      </c>
      <c r="K27" s="27">
        <f t="shared" si="8"/>
        <v>797004.13309374847</v>
      </c>
      <c r="L27" s="27">
        <f t="shared" si="9"/>
        <v>858814.86061223596</v>
      </c>
      <c r="M27" s="27">
        <f>SUM('202011 Bk Depr'!$L$33,'202011 Bk Depr'!$L$35:$L$38)+'Cap&amp;OpEx 2020'!M31</f>
        <v>110719.84</v>
      </c>
      <c r="N27" s="27">
        <f>SUM('202011 Bk Depr'!P13,'202011 Bk Depr'!P15:P18)</f>
        <v>94555.629598500018</v>
      </c>
      <c r="O27" s="27">
        <f t="shared" si="0"/>
        <v>874979.07101373596</v>
      </c>
      <c r="P27" s="27">
        <f t="shared" si="14"/>
        <v>183745.60491288453</v>
      </c>
      <c r="Q27" s="27">
        <f t="shared" si="2"/>
        <v>44072.076879708678</v>
      </c>
      <c r="R27" s="27">
        <f t="shared" si="15"/>
        <v>-9255.1361447388226</v>
      </c>
      <c r="S27" s="27"/>
      <c r="T27" s="27">
        <f t="shared" si="4"/>
        <v>6014121.4787485497</v>
      </c>
      <c r="U27" s="27">
        <f t="shared" si="10"/>
        <v>218562.54564785492</v>
      </c>
      <c r="V27" s="247" t="s">
        <v>560</v>
      </c>
      <c r="W27" s="27">
        <f>W26+U27*32/366</f>
        <v>5168265.4019659515</v>
      </c>
      <c r="Z27" s="27">
        <f>(((('202001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Depr'!$L$14+'202009 Bk Depr'!$L$19-'202009 Bk Depr'!$L$14+'202010 Bk Depr'!$L$19-'202010 Bk Depr'!$L$14+'202011 Bk Depr'!$L$19-'202011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Budget'!$O$86,'2020 Capital Budget'!$P$9:$P$11,'2020 Capital Budget'!$P$20:$P$21,'2020 Capital Budget'!$P$29,-'2020 Capital Budget'!$P$86)-(1/12*$K$13))*$C$17))*11/12)-Z26-Z25-Z24-Z23-Z22-Z21-Z20-Z19-Z18-Z17</f>
        <v>29175.86059375</v>
      </c>
      <c r="AA27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Budget'!$O$86,'2020 Capital Budget'!$P$9:$P$11,'2020 Capital Budget'!$P$20:$P$21,'2020 Capital Budget'!$P$29,-'2020 Capital Budget'!$P$86)*11/12-AA26-AA25-AA24-AA23-AA22-AA21-AA20-AA19-AA18-AA17</f>
        <v>767828.27249999845</v>
      </c>
      <c r="AB27" s="27">
        <f t="shared" si="11"/>
        <v>0</v>
      </c>
      <c r="AC27" s="27">
        <f t="shared" si="12"/>
        <v>797004.13309374847</v>
      </c>
    </row>
    <row r="28" spans="1:29">
      <c r="A28" s="52">
        <f t="shared" si="13"/>
        <v>15</v>
      </c>
      <c r="C28" s="61">
        <v>4.4609999999999997E-2</v>
      </c>
      <c r="D28" s="61">
        <v>5.8999999999999997E-2</v>
      </c>
      <c r="E28" s="528">
        <v>12</v>
      </c>
      <c r="G28" s="52">
        <v>12</v>
      </c>
      <c r="H28" s="27">
        <f t="shared" si="5"/>
        <v>6462.4665804375009</v>
      </c>
      <c r="I28" s="27">
        <f t="shared" si="6"/>
        <v>26460.707289500013</v>
      </c>
      <c r="J28" s="27">
        <f t="shared" si="7"/>
        <v>28887.553648549994</v>
      </c>
      <c r="K28" s="27">
        <f t="shared" si="8"/>
        <v>254693.79098958484</v>
      </c>
      <c r="L28" s="27">
        <f t="shared" si="9"/>
        <v>316504.51850807236</v>
      </c>
      <c r="M28" s="27">
        <f>SUM('202012 Bk Depr'!$L$33,'202012 Bk Depr'!$L$35:$L$38)+'Cap&amp;OpEx 2020'!N31</f>
        <v>-4495.0799999999981</v>
      </c>
      <c r="N28" s="27">
        <f>SUM('202012 Bk Depr'!P13,'202012 Bk Depr'!P15:P18)</f>
        <v>95864.977197000029</v>
      </c>
      <c r="O28" s="27">
        <f t="shared" si="0"/>
        <v>216144.46131107231</v>
      </c>
      <c r="P28" s="27">
        <f t="shared" si="14"/>
        <v>45390.336875325185</v>
      </c>
      <c r="Q28" s="27">
        <f t="shared" si="2"/>
        <v>11130.346394575492</v>
      </c>
      <c r="R28" s="27">
        <f t="shared" si="15"/>
        <v>-2337.3727428608531</v>
      </c>
      <c r="S28" s="27"/>
      <c r="T28" s="27">
        <f t="shared" si="4"/>
        <v>6068304.7892755894</v>
      </c>
      <c r="U28" s="27">
        <f t="shared" si="10"/>
        <v>54183.310527039692</v>
      </c>
      <c r="V28" s="247" t="s">
        <v>550</v>
      </c>
      <c r="W28" s="27">
        <f>W27+U28*1/366</f>
        <v>5168413.4437979925</v>
      </c>
      <c r="Z28" s="27">
        <f>(('202001 Bk Depr'!$L$19-'202001 Bk Depr'!$L$14+'202002 Bk Depr'!$L$19-'202002 Bk Depr'!$L$14+'202003 Bk Depr'!$L$19-'202003 Bk Depr'!$L$14+'202004 Bk Depr'!$L$19-'202004 Bk Depr'!$L$14+'202005 Bk Depr'!$L$19-'202005 Bk Depr'!$L$14+'202006 Bk Depr'!$L$19-'202006 Bk Depr'!$L$14+'202007 Bk Depr'!$L$19-'202007 Bk Depr'!$L$14+'202008 Bk Depr'!$L$19-'202008 Bk Depr'!$L$14+'202009 Bk Depr'!$L$19-'202009 Bk Depr'!$L$14+'202010 Bk Depr'!$L$19-'202010 Bk Depr'!$L$14+'202011 Bk Depr'!$L$19-'202011 Bk Depr'!$L$14+'202012 Bk Depr'!$L$19-'202012 Bk Depr'!$L$14-SUM('2020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Budget'!$O$86,'2020 Capital Budget'!$P$9:$P$11,'2020 Capital Budget'!$P$20:$P$21,'2020 Capital Budget'!$P$29,-'2020 Capital Budget'!$P$86,'2020 Capital Budget'!$Q$9:$Q$11,'2020 Capital Budget'!$Q$20:$Q$21,'2020 Capital Budget'!$Q$29,-'2020 Capital Budget'!$Q$86)-(1/12*$K$13))*$C$17)-Z27-Z26-Z25-Z24-Z23-Z22-Z21-Z20-Z19-Z18-Z17</f>
        <v>24001.685156250027</v>
      </c>
      <c r="AA28" s="27">
        <f>SUM('2020 Capital Budget'!$F$9:$F$11,'2020 Capital Budget'!$F$20:$F$21,'2020 Capital Budget'!$F$29,-'2020 Capital Budget'!$F$86,'2020 Capital Budget'!$G$9:$G$11,'2020 Capital Budget'!$G$20:$G$21,'2020 Capital Budget'!$G$29,-'2020 Capital Budget'!$G$86,'2020 Capital Budget'!$H$9:$H$11,'2020 Capital Budget'!$H$20:$H$21,'2020 Capital Budget'!$H$29,-'2020 Capital Budget'!$H$86,'2020 Capital Budget'!$I$9:$I$11,'2020 Capital Budget'!$I$20:$I$21,'2020 Capital Budget'!$I$29,-'2020 Capital Budget'!$I$86,'2020 Capital Budget'!$J$9:$J$11,'2020 Capital Budget'!$J$20:$J$21,'2020 Capital Budget'!$J$29,-'2020 Capital Budget'!$J$86,'2020 Capital Budget'!$K$9:$K$11,'2020 Capital Budget'!$K$20:$K$21,'2020 Capital Budget'!$K$29,-'2020 Capital Budget'!$K$86,'2020 Capital Budget'!$L$9:$L$11,'2020 Capital Budget'!$L$20:$L$21,'2020 Capital Budget'!$L$29,-'2020 Capital Budget'!$L$86,'2020 Capital Budget'!$M$9:$M$11,'2020 Capital Budget'!$M$20:$M$21,'2020 Capital Budget'!$M$29,-'2020 Capital Budget'!$M$86,'2020 Capital Budget'!$N$9:$N$11,'2020 Capital Budget'!$N$20:$N$21,'2020 Capital Budget'!$N$29,-'2020 Capital Budget'!$N$86,'2020 Capital Budget'!$O$9:$O$11,'2020 Capital Budget'!$O$20:$O$21,'2020 Capital Budget'!$O$29,-'2020 Capital Budget'!$O$86,'2020 Capital Budget'!$P$9:$P$11,'2020 Capital Budget'!$P$20:$P$21,'2020 Capital Budget'!$P$29,-'2020 Capital Budget'!$P$86,'2020 Capital Budget'!$Q$9:$Q$11,'2020 Capital Budget'!$Q$20:$Q$21,'2020 Capital Budget'!$Q$29,-'2020 Capital Budget'!$Q$86)*1-AA27-AA26-AA25-AA24-AA23-AA22-AA21-AA20-AA19-AA18-AA17</f>
        <v>230692.10583333482</v>
      </c>
      <c r="AB28" s="27">
        <f t="shared" si="11"/>
        <v>0</v>
      </c>
      <c r="AC28" s="27">
        <f t="shared" si="12"/>
        <v>254693.79098958484</v>
      </c>
    </row>
    <row r="29" spans="1:29">
      <c r="A29" s="52">
        <f t="shared" si="13"/>
        <v>16</v>
      </c>
      <c r="C29" s="61">
        <v>4.462E-2</v>
      </c>
      <c r="D29" s="61">
        <v>5.91E-2</v>
      </c>
      <c r="E29" s="528">
        <v>13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 t="str">
        <f t="shared" ref="S29:S43" si="16">IF(R29="","",R29*0.389)</f>
        <v/>
      </c>
      <c r="T29" s="62"/>
      <c r="W29" s="27"/>
    </row>
    <row r="30" spans="1:29">
      <c r="A30" s="52">
        <f t="shared" si="13"/>
        <v>17</v>
      </c>
      <c r="C30" s="61">
        <v>4.4609999999999997E-2</v>
      </c>
      <c r="D30" s="61">
        <v>5.8999999999999997E-2</v>
      </c>
      <c r="E30" s="528">
        <v>14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 t="str">
        <f t="shared" si="16"/>
        <v/>
      </c>
      <c r="T30" s="27" t="str">
        <f t="shared" ref="T30:T43" si="17">IF(P30="","",T29+P30)</f>
        <v/>
      </c>
    </row>
    <row r="31" spans="1:29">
      <c r="A31" s="52">
        <f t="shared" si="13"/>
        <v>18</v>
      </c>
      <c r="C31" s="61">
        <v>4.462E-2</v>
      </c>
      <c r="D31" s="61">
        <v>5.91E-2</v>
      </c>
      <c r="E31" s="528">
        <v>15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 t="str">
        <f t="shared" si="16"/>
        <v/>
      </c>
      <c r="T31" s="27" t="str">
        <f t="shared" si="17"/>
        <v/>
      </c>
    </row>
    <row r="32" spans="1:29">
      <c r="A32" s="52">
        <f t="shared" si="13"/>
        <v>19</v>
      </c>
      <c r="C32" s="61">
        <v>4.4609999999999997E-2</v>
      </c>
      <c r="D32" s="61">
        <v>2.9499999999999998E-2</v>
      </c>
      <c r="E32" s="528">
        <v>16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 t="str">
        <f t="shared" si="16"/>
        <v/>
      </c>
      <c r="T32" s="27" t="str">
        <f t="shared" si="17"/>
        <v/>
      </c>
    </row>
    <row r="33" spans="1:20">
      <c r="A33" s="52">
        <f t="shared" si="13"/>
        <v>20</v>
      </c>
      <c r="C33" s="61">
        <v>4.462E-2</v>
      </c>
      <c r="D33" s="61">
        <v>0</v>
      </c>
      <c r="E33" s="528">
        <v>17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 t="str">
        <f t="shared" si="16"/>
        <v/>
      </c>
      <c r="T33" s="27" t="str">
        <f t="shared" si="17"/>
        <v/>
      </c>
    </row>
    <row r="34" spans="1:20">
      <c r="A34" s="52">
        <f t="shared" si="13"/>
        <v>21</v>
      </c>
      <c r="C34" s="61">
        <v>4.4609999999999997E-2</v>
      </c>
      <c r="D34" s="61">
        <v>0</v>
      </c>
      <c r="E34" s="528">
        <v>18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 t="str">
        <f t="shared" si="16"/>
        <v/>
      </c>
      <c r="T34" s="27" t="str">
        <f t="shared" si="17"/>
        <v/>
      </c>
    </row>
    <row r="35" spans="1:20">
      <c r="A35" s="52">
        <f t="shared" si="13"/>
        <v>22</v>
      </c>
      <c r="C35" s="61">
        <v>4.462E-2</v>
      </c>
      <c r="D35" s="61">
        <v>0</v>
      </c>
      <c r="E35" s="528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 t="str">
        <f t="shared" si="16"/>
        <v/>
      </c>
      <c r="T35" s="27" t="str">
        <f t="shared" si="17"/>
        <v/>
      </c>
    </row>
    <row r="36" spans="1:20">
      <c r="A36" s="52">
        <f t="shared" si="13"/>
        <v>23</v>
      </c>
      <c r="C36" s="61">
        <v>4.4609999999999997E-2</v>
      </c>
      <c r="D36" s="61">
        <v>0</v>
      </c>
      <c r="E36" s="528">
        <v>20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 t="str">
        <f t="shared" si="16"/>
        <v/>
      </c>
      <c r="T36" s="27" t="str">
        <f t="shared" si="17"/>
        <v/>
      </c>
    </row>
    <row r="37" spans="1:20">
      <c r="A37" s="52">
        <f t="shared" si="13"/>
        <v>24</v>
      </c>
      <c r="C37" s="61">
        <v>2.231E-2</v>
      </c>
      <c r="D37" s="61">
        <v>0</v>
      </c>
      <c r="E37" s="528">
        <v>21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 t="str">
        <f t="shared" si="16"/>
        <v/>
      </c>
      <c r="T37" s="27" t="str">
        <f t="shared" si="17"/>
        <v/>
      </c>
    </row>
    <row r="38" spans="1:20">
      <c r="A38" s="52">
        <f t="shared" si="13"/>
        <v>25</v>
      </c>
      <c r="C38" s="61">
        <v>0</v>
      </c>
      <c r="D38" s="61">
        <v>0</v>
      </c>
      <c r="E38" s="528">
        <v>22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 t="str">
        <f t="shared" si="16"/>
        <v/>
      </c>
      <c r="T38" s="27" t="str">
        <f t="shared" si="17"/>
        <v/>
      </c>
    </row>
    <row r="39" spans="1:20">
      <c r="A39" s="52">
        <f t="shared" si="13"/>
        <v>26</v>
      </c>
      <c r="C39" s="61">
        <v>0</v>
      </c>
      <c r="E39" s="528">
        <v>23</v>
      </c>
      <c r="H39" s="27"/>
      <c r="I39" s="27"/>
      <c r="J39" s="27"/>
      <c r="K39" s="27"/>
      <c r="L39" s="27"/>
      <c r="O39" s="27"/>
      <c r="P39" s="27"/>
      <c r="Q39" s="27"/>
      <c r="R39" s="27"/>
      <c r="S39" s="27" t="str">
        <f t="shared" si="16"/>
        <v/>
      </c>
      <c r="T39" s="27" t="str">
        <f t="shared" si="17"/>
        <v/>
      </c>
    </row>
    <row r="40" spans="1:20">
      <c r="A40" s="52">
        <f t="shared" si="13"/>
        <v>27</v>
      </c>
      <c r="C40" s="61">
        <v>0</v>
      </c>
      <c r="E40" s="528">
        <v>24</v>
      </c>
      <c r="H40" s="27"/>
      <c r="I40" s="27"/>
      <c r="J40" s="27"/>
      <c r="K40" s="27"/>
      <c r="L40" s="27"/>
      <c r="O40" s="27"/>
      <c r="P40" s="27"/>
      <c r="Q40" s="27"/>
      <c r="R40" s="27"/>
      <c r="S40" s="27" t="str">
        <f t="shared" si="16"/>
        <v/>
      </c>
      <c r="T40" s="27" t="str">
        <f t="shared" si="17"/>
        <v/>
      </c>
    </row>
    <row r="41" spans="1:20">
      <c r="A41" s="52">
        <f t="shared" si="13"/>
        <v>28</v>
      </c>
      <c r="C41" s="61">
        <v>0</v>
      </c>
      <c r="E41" s="528">
        <v>25</v>
      </c>
      <c r="H41" s="27"/>
      <c r="I41" s="27"/>
      <c r="J41" s="27"/>
      <c r="K41" s="27"/>
      <c r="L41" s="27"/>
      <c r="O41" s="27"/>
      <c r="P41" s="27"/>
      <c r="Q41" s="27"/>
      <c r="R41" s="27"/>
      <c r="S41" s="27" t="str">
        <f t="shared" si="16"/>
        <v/>
      </c>
      <c r="T41" s="27" t="str">
        <f t="shared" si="17"/>
        <v/>
      </c>
    </row>
    <row r="42" spans="1:20">
      <c r="A42" s="52">
        <f t="shared" si="13"/>
        <v>29</v>
      </c>
      <c r="C42" s="61">
        <v>0</v>
      </c>
      <c r="E42" s="528">
        <v>26</v>
      </c>
      <c r="H42" s="27"/>
      <c r="I42" s="27"/>
      <c r="J42" s="27"/>
      <c r="K42" s="27"/>
      <c r="L42" s="27"/>
      <c r="O42" s="27"/>
      <c r="P42" s="27"/>
      <c r="Q42" s="27"/>
      <c r="R42" s="27"/>
      <c r="S42" s="27" t="str">
        <f t="shared" si="16"/>
        <v/>
      </c>
      <c r="T42" s="27" t="str">
        <f t="shared" si="17"/>
        <v/>
      </c>
    </row>
    <row r="43" spans="1:20">
      <c r="A43" s="52">
        <f t="shared" si="13"/>
        <v>30</v>
      </c>
      <c r="C43" s="61">
        <v>0</v>
      </c>
      <c r="E43" s="528">
        <v>27</v>
      </c>
      <c r="L43" s="27"/>
      <c r="O43" s="27"/>
      <c r="P43" s="27"/>
      <c r="Q43" s="27"/>
      <c r="R43" s="27"/>
      <c r="S43" s="27" t="str">
        <f t="shared" si="16"/>
        <v/>
      </c>
      <c r="T43" s="27" t="str">
        <f t="shared" si="17"/>
        <v/>
      </c>
    </row>
    <row r="44" spans="1:20">
      <c r="A44" s="52">
        <f t="shared" si="13"/>
        <v>31</v>
      </c>
      <c r="E44" s="504"/>
      <c r="H44" s="27">
        <f>SUM(H17:H43)</f>
        <v>77549.598965250014</v>
      </c>
      <c r="I44" s="27">
        <f>SUM(I17:I43)</f>
        <v>317528.48747400008</v>
      </c>
      <c r="J44" s="27">
        <f t="shared" ref="J44:S44" si="18">SUM(J17:J43)</f>
        <v>346650.6437826</v>
      </c>
      <c r="K44" s="27">
        <f>SUM(K17:K43)</f>
        <v>4905432.8494999995</v>
      </c>
      <c r="L44" s="27">
        <f t="shared" si="18"/>
        <v>5647161.5797218485</v>
      </c>
      <c r="M44" s="27">
        <f t="shared" si="18"/>
        <v>1102392.56</v>
      </c>
      <c r="N44" s="27">
        <f t="shared" si="18"/>
        <v>1010897.6625360001</v>
      </c>
      <c r="O44" s="27">
        <f t="shared" si="18"/>
        <v>5738656.4771858482</v>
      </c>
      <c r="P44" s="27">
        <f t="shared" si="18"/>
        <v>1205117.8602090282</v>
      </c>
      <c r="Q44" s="27">
        <f t="shared" si="18"/>
        <v>290810.303807555</v>
      </c>
      <c r="R44" s="27">
        <f t="shared" si="18"/>
        <v>-61070.163799586531</v>
      </c>
      <c r="S44" s="27">
        <f t="shared" si="18"/>
        <v>0</v>
      </c>
      <c r="T44" s="27">
        <f>AVERAGE(T16:T28)</f>
        <v>5232411.3166346988</v>
      </c>
    </row>
    <row r="45" spans="1:20">
      <c r="E45" s="504"/>
      <c r="H45" s="27"/>
      <c r="I45" s="27"/>
      <c r="J45" s="27"/>
      <c r="K45" s="579"/>
      <c r="L45" s="27"/>
      <c r="M45" s="27"/>
      <c r="N45" s="27"/>
      <c r="T45" s="27"/>
    </row>
    <row r="46" spans="1:20">
      <c r="B46" s="60" t="s">
        <v>166</v>
      </c>
      <c r="C46" s="52" t="s">
        <v>601</v>
      </c>
      <c r="E46" s="504"/>
      <c r="Q46" s="27"/>
      <c r="R46" s="27"/>
      <c r="S46" s="27"/>
    </row>
    <row r="47" spans="1:20">
      <c r="B47" s="60" t="s">
        <v>167</v>
      </c>
      <c r="C47" s="52" t="s">
        <v>602</v>
      </c>
      <c r="E47" s="504"/>
      <c r="Q47" s="54"/>
      <c r="R47" s="54"/>
      <c r="S47" s="54"/>
    </row>
    <row r="48" spans="1:20">
      <c r="B48" s="60" t="s">
        <v>168</v>
      </c>
      <c r="C48" s="52" t="s">
        <v>603</v>
      </c>
      <c r="D48" s="245"/>
      <c r="E48" s="504"/>
      <c r="Q48" s="48"/>
      <c r="R48" s="48"/>
      <c r="S48" s="48"/>
    </row>
    <row r="49" spans="1:20">
      <c r="B49" s="60" t="s">
        <v>177</v>
      </c>
      <c r="C49" s="52" t="s">
        <v>549</v>
      </c>
      <c r="D49" s="245"/>
      <c r="E49" s="504"/>
      <c r="Q49" s="48"/>
      <c r="R49" s="48"/>
      <c r="S49" s="48"/>
    </row>
    <row r="50" spans="1:20">
      <c r="A50" s="54"/>
      <c r="B50" s="54"/>
      <c r="C50" s="54"/>
      <c r="D50" s="54" t="s">
        <v>24</v>
      </c>
      <c r="E50" s="503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49"/>
      <c r="R50" s="49"/>
      <c r="S50" s="49"/>
      <c r="T50" s="54"/>
    </row>
    <row r="51" spans="1:20" ht="25.5">
      <c r="A51" s="54"/>
      <c r="B51" s="54"/>
      <c r="C51" s="55"/>
      <c r="D51" s="54" t="s">
        <v>25</v>
      </c>
      <c r="E51" s="522" t="s">
        <v>598</v>
      </c>
      <c r="F51" s="54"/>
      <c r="G51" s="54"/>
      <c r="H51" s="54">
        <v>2017</v>
      </c>
      <c r="I51" s="54">
        <v>2018</v>
      </c>
      <c r="J51" s="54">
        <v>2019</v>
      </c>
      <c r="K51" s="54">
        <v>2020</v>
      </c>
      <c r="L51" s="54"/>
      <c r="M51" s="54" t="s">
        <v>35</v>
      </c>
      <c r="N51" s="54"/>
      <c r="O51" s="54"/>
      <c r="P51" s="55" t="s">
        <v>182</v>
      </c>
      <c r="T51" s="49"/>
    </row>
    <row r="52" spans="1:20">
      <c r="A52" s="54" t="s">
        <v>4</v>
      </c>
      <c r="B52" s="54"/>
      <c r="C52" s="54"/>
      <c r="D52" s="54" t="s">
        <v>26</v>
      </c>
      <c r="E52" s="523" t="s">
        <v>599</v>
      </c>
      <c r="F52" s="54"/>
      <c r="G52" s="54"/>
      <c r="H52" s="54" t="s">
        <v>28</v>
      </c>
      <c r="I52" s="54" t="s">
        <v>29</v>
      </c>
      <c r="J52" s="54" t="s">
        <v>30</v>
      </c>
      <c r="K52" s="54" t="s">
        <v>31</v>
      </c>
      <c r="L52" s="54" t="s">
        <v>34</v>
      </c>
      <c r="M52" s="54" t="s">
        <v>36</v>
      </c>
      <c r="N52" s="54" t="s">
        <v>38</v>
      </c>
      <c r="O52" s="54"/>
      <c r="P52" s="54" t="s">
        <v>34</v>
      </c>
      <c r="T52" s="49"/>
    </row>
    <row r="53" spans="1:20">
      <c r="A53" s="442" t="s">
        <v>5</v>
      </c>
      <c r="B53" s="442"/>
      <c r="C53" s="442"/>
      <c r="D53" s="442" t="s">
        <v>2</v>
      </c>
      <c r="E53" s="524" t="s">
        <v>600</v>
      </c>
      <c r="F53" s="442"/>
      <c r="G53" s="442" t="s">
        <v>108</v>
      </c>
      <c r="H53" s="442" t="s">
        <v>20</v>
      </c>
      <c r="I53" s="442" t="s">
        <v>20</v>
      </c>
      <c r="J53" s="442" t="s">
        <v>20</v>
      </c>
      <c r="K53" s="442" t="s">
        <v>20</v>
      </c>
      <c r="L53" s="442" t="s">
        <v>0</v>
      </c>
      <c r="M53" s="442" t="s">
        <v>37</v>
      </c>
      <c r="N53" s="442" t="s">
        <v>0</v>
      </c>
      <c r="O53" s="442" t="s">
        <v>39</v>
      </c>
      <c r="P53" s="56" t="s">
        <v>494</v>
      </c>
      <c r="T53" s="49"/>
    </row>
    <row r="54" spans="1:20">
      <c r="C54" s="57"/>
      <c r="D54" s="57" t="s">
        <v>71</v>
      </c>
      <c r="E54" s="525"/>
      <c r="F54" s="58"/>
      <c r="G54" s="58"/>
      <c r="H54" s="525" t="s">
        <v>166</v>
      </c>
      <c r="I54" s="525" t="s">
        <v>167</v>
      </c>
      <c r="J54" s="525" t="s">
        <v>168</v>
      </c>
      <c r="K54" s="525" t="s">
        <v>177</v>
      </c>
      <c r="T54" s="50"/>
    </row>
    <row r="55" spans="1:20">
      <c r="A55" s="52">
        <v>1</v>
      </c>
      <c r="C55" s="57" t="s">
        <v>70</v>
      </c>
      <c r="D55" s="59"/>
      <c r="E55" s="525"/>
      <c r="H55" s="27">
        <f>H11+H13</f>
        <v>2510914.65</v>
      </c>
      <c r="I55" s="27">
        <f>I11+I13</f>
        <v>4755556.200000002</v>
      </c>
      <c r="J55" s="27">
        <f>J11</f>
        <v>4801920.5399999991</v>
      </c>
      <c r="K55" s="27">
        <f>K11</f>
        <v>4929518.120000001</v>
      </c>
      <c r="L55" s="62"/>
      <c r="T55" s="50"/>
    </row>
    <row r="56" spans="1:20">
      <c r="A56" s="52">
        <v>2</v>
      </c>
      <c r="C56" s="57" t="s">
        <v>74</v>
      </c>
      <c r="D56" s="59"/>
      <c r="E56" s="525"/>
      <c r="H56" s="27"/>
      <c r="I56" s="27"/>
      <c r="J56" s="27"/>
      <c r="K56" s="27">
        <f>K12</f>
        <v>4720422.3099999987</v>
      </c>
      <c r="T56" s="50"/>
    </row>
    <row r="57" spans="1:20">
      <c r="A57" s="52">
        <v>3</v>
      </c>
      <c r="C57" s="57" t="s">
        <v>185</v>
      </c>
      <c r="D57" s="59"/>
      <c r="E57" s="525"/>
      <c r="H57" s="27"/>
      <c r="I57" s="27"/>
      <c r="J57" s="27"/>
      <c r="K57" s="27"/>
      <c r="T57" s="50"/>
    </row>
    <row r="58" spans="1:20">
      <c r="C58" s="59"/>
      <c r="E58" s="526"/>
      <c r="T58" s="50"/>
    </row>
    <row r="59" spans="1:20">
      <c r="C59" s="523" t="s">
        <v>604</v>
      </c>
      <c r="E59" s="527"/>
      <c r="H59" s="195"/>
      <c r="I59" s="195"/>
      <c r="J59" s="195"/>
      <c r="K59" s="195"/>
      <c r="L59" s="195"/>
      <c r="M59" s="195"/>
      <c r="N59" s="244"/>
      <c r="T59" s="50"/>
    </row>
    <row r="60" spans="1:20">
      <c r="C60" s="523" t="s">
        <v>605</v>
      </c>
      <c r="E60" s="527"/>
      <c r="H60" s="525" t="s">
        <v>166</v>
      </c>
      <c r="I60" s="525" t="s">
        <v>167</v>
      </c>
      <c r="J60" s="525" t="s">
        <v>168</v>
      </c>
      <c r="K60" s="525" t="s">
        <v>177</v>
      </c>
      <c r="T60" s="51"/>
    </row>
    <row r="61" spans="1:20">
      <c r="A61" s="52">
        <f>A57+1</f>
        <v>4</v>
      </c>
      <c r="C61" s="61">
        <v>3.7499999999999999E-2</v>
      </c>
      <c r="D61" s="61">
        <v>0.05</v>
      </c>
      <c r="E61" s="528">
        <v>1</v>
      </c>
      <c r="G61" s="52">
        <v>1</v>
      </c>
      <c r="H61" s="27">
        <f>$H$55*$C$64/12</f>
        <v>12924.933160875</v>
      </c>
      <c r="I61" s="27">
        <f>$I$55*$C$63/12</f>
        <v>26460.707289500013</v>
      </c>
      <c r="J61" s="27">
        <f>$J$55*$C$62/12</f>
        <v>28887.553648549994</v>
      </c>
      <c r="K61" s="27">
        <f>K17</f>
        <v>47624.594968750025</v>
      </c>
      <c r="L61" s="27">
        <f>SUM(H61:K61)</f>
        <v>115897.78906767502</v>
      </c>
      <c r="M61" s="27">
        <f>M17</f>
        <v>42155.369999999995</v>
      </c>
      <c r="N61" s="27">
        <f>N17</f>
        <v>71215.93330650001</v>
      </c>
      <c r="O61" s="27">
        <f t="shared" ref="O61:O72" si="19">L61+M61-N61</f>
        <v>86837.225761174996</v>
      </c>
      <c r="P61" s="27">
        <f>O61*0.05</f>
        <v>4341.8612880587498</v>
      </c>
      <c r="T61" s="51"/>
    </row>
    <row r="62" spans="1:20">
      <c r="A62" s="52">
        <f>A61+1</f>
        <v>5</v>
      </c>
      <c r="C62" s="61">
        <v>7.2190000000000004E-2</v>
      </c>
      <c r="D62" s="61">
        <v>9.5000000000000001E-2</v>
      </c>
      <c r="E62" s="528">
        <v>2</v>
      </c>
      <c r="G62" s="52">
        <v>2</v>
      </c>
      <c r="H62" s="27">
        <f t="shared" ref="H62:H72" si="20">$H$55*$C$64/12</f>
        <v>12924.933160875</v>
      </c>
      <c r="I62" s="27">
        <f t="shared" ref="I62:I72" si="21">$I$55*$C$63/12</f>
        <v>26460.707289500013</v>
      </c>
      <c r="J62" s="27">
        <f t="shared" ref="J62:J72" si="22">$J$55*$C$62/12</f>
        <v>28887.553648549994</v>
      </c>
      <c r="K62" s="27">
        <f t="shared" ref="K62:K72" si="23">K18</f>
        <v>118413.64884374988</v>
      </c>
      <c r="L62" s="27">
        <f t="shared" ref="L62:L72" si="24">SUM(H62:K62)</f>
        <v>186686.84294267488</v>
      </c>
      <c r="M62" s="27">
        <f t="shared" ref="M62:N71" si="25">M18</f>
        <v>100571.17</v>
      </c>
      <c r="N62" s="27">
        <f t="shared" si="25"/>
        <v>73748.890503000002</v>
      </c>
      <c r="O62" s="27">
        <f t="shared" si="19"/>
        <v>213509.12243967486</v>
      </c>
      <c r="P62" s="27">
        <f t="shared" ref="P62:P72" si="26">O62*0.05</f>
        <v>10675.456121983743</v>
      </c>
      <c r="T62" s="51"/>
    </row>
    <row r="63" spans="1:20">
      <c r="A63" s="52">
        <f t="shared" ref="A63:A88" si="27">A62+1</f>
        <v>6</v>
      </c>
      <c r="C63" s="61">
        <v>6.6769999999999996E-2</v>
      </c>
      <c r="D63" s="61">
        <v>8.5500000000000007E-2</v>
      </c>
      <c r="E63" s="528">
        <v>3</v>
      </c>
      <c r="G63" s="52">
        <v>3</v>
      </c>
      <c r="H63" s="27">
        <f>$H$55*$C$64/12</f>
        <v>12924.933160875</v>
      </c>
      <c r="I63" s="27">
        <f t="shared" si="21"/>
        <v>26460.707289500013</v>
      </c>
      <c r="J63" s="27">
        <f t="shared" si="22"/>
        <v>28887.553648549994</v>
      </c>
      <c r="K63" s="27">
        <f t="shared" si="23"/>
        <v>215478.91475000003</v>
      </c>
      <c r="L63" s="27">
        <f t="shared" si="24"/>
        <v>283752.10884892504</v>
      </c>
      <c r="M63" s="27">
        <f t="shared" si="25"/>
        <v>175695.94</v>
      </c>
      <c r="N63" s="27">
        <f t="shared" si="25"/>
        <v>76175.06571000001</v>
      </c>
      <c r="O63" s="27">
        <f t="shared" si="19"/>
        <v>383272.98313892505</v>
      </c>
      <c r="P63" s="27">
        <f t="shared" si="26"/>
        <v>19163.649156946252</v>
      </c>
      <c r="T63" s="51"/>
    </row>
    <row r="64" spans="1:20">
      <c r="A64" s="52">
        <f t="shared" si="27"/>
        <v>7</v>
      </c>
      <c r="C64" s="61">
        <v>6.1769999999999999E-2</v>
      </c>
      <c r="D64" s="61">
        <v>7.6999999999999999E-2</v>
      </c>
      <c r="E64" s="528">
        <v>4</v>
      </c>
      <c r="G64" s="52">
        <v>4</v>
      </c>
      <c r="H64" s="27">
        <f t="shared" si="20"/>
        <v>12924.933160875</v>
      </c>
      <c r="I64" s="27">
        <f t="shared" si="21"/>
        <v>26460.707289500013</v>
      </c>
      <c r="J64" s="27">
        <f t="shared" si="22"/>
        <v>28887.553648549994</v>
      </c>
      <c r="K64" s="27">
        <f t="shared" si="23"/>
        <v>298353.50260416704</v>
      </c>
      <c r="L64" s="27">
        <f t="shared" si="24"/>
        <v>366626.69670309202</v>
      </c>
      <c r="M64" s="27">
        <f t="shared" si="25"/>
        <v>111533.73</v>
      </c>
      <c r="N64" s="27">
        <f t="shared" si="25"/>
        <v>78628.375026000023</v>
      </c>
      <c r="O64" s="27">
        <f t="shared" si="19"/>
        <v>399532.05167709198</v>
      </c>
      <c r="P64" s="27">
        <f t="shared" si="26"/>
        <v>19976.602583854601</v>
      </c>
      <c r="T64" s="51"/>
    </row>
    <row r="65" spans="1:20">
      <c r="A65" s="52">
        <f t="shared" si="27"/>
        <v>8</v>
      </c>
      <c r="C65" s="61">
        <v>5.713E-2</v>
      </c>
      <c r="D65" s="61">
        <v>6.93E-2</v>
      </c>
      <c r="E65" s="528">
        <v>5</v>
      </c>
      <c r="G65" s="52">
        <v>5</v>
      </c>
      <c r="H65" s="27">
        <f t="shared" si="20"/>
        <v>12924.933160875</v>
      </c>
      <c r="I65" s="27">
        <f t="shared" si="21"/>
        <v>26460.707289500013</v>
      </c>
      <c r="J65" s="27">
        <f t="shared" si="22"/>
        <v>28887.553648549994</v>
      </c>
      <c r="K65" s="27">
        <f t="shared" si="23"/>
        <v>366866.3140416661</v>
      </c>
      <c r="L65" s="27">
        <f t="shared" si="24"/>
        <v>435139.50814059109</v>
      </c>
      <c r="M65" s="27">
        <f t="shared" si="25"/>
        <v>114370.61</v>
      </c>
      <c r="N65" s="27">
        <f t="shared" si="25"/>
        <v>81183.94249500001</v>
      </c>
      <c r="O65" s="27">
        <f t="shared" si="19"/>
        <v>468326.17564559105</v>
      </c>
      <c r="P65" s="27">
        <f t="shared" si="26"/>
        <v>23416.308782279553</v>
      </c>
      <c r="T65" s="51"/>
    </row>
    <row r="66" spans="1:20">
      <c r="A66" s="52">
        <f t="shared" si="27"/>
        <v>9</v>
      </c>
      <c r="C66" s="61">
        <v>5.2850000000000001E-2</v>
      </c>
      <c r="D66" s="61">
        <v>6.2300000000000001E-2</v>
      </c>
      <c r="E66" s="528">
        <v>6</v>
      </c>
      <c r="G66" s="52">
        <v>6</v>
      </c>
      <c r="H66" s="27">
        <f t="shared" si="20"/>
        <v>12924.933160875</v>
      </c>
      <c r="I66" s="27">
        <f t="shared" si="21"/>
        <v>26460.707289500013</v>
      </c>
      <c r="J66" s="27">
        <f t="shared" si="22"/>
        <v>28887.553648549994</v>
      </c>
      <c r="K66" s="27">
        <f t="shared" si="23"/>
        <v>433142.65110416675</v>
      </c>
      <c r="L66" s="27">
        <f t="shared" si="24"/>
        <v>501415.84520309174</v>
      </c>
      <c r="M66" s="27">
        <f t="shared" si="25"/>
        <v>129396.25</v>
      </c>
      <c r="N66" s="27">
        <f t="shared" si="25"/>
        <v>83573.248932000017</v>
      </c>
      <c r="O66" s="27">
        <f t="shared" si="19"/>
        <v>547238.84627109172</v>
      </c>
      <c r="P66" s="27">
        <f t="shared" si="26"/>
        <v>27361.942313554588</v>
      </c>
      <c r="T66" s="51"/>
    </row>
    <row r="67" spans="1:20">
      <c r="A67" s="52">
        <f t="shared" si="27"/>
        <v>10</v>
      </c>
      <c r="C67" s="61">
        <v>4.888E-2</v>
      </c>
      <c r="D67" s="61">
        <v>5.8999999999999997E-2</v>
      </c>
      <c r="E67" s="528">
        <v>7</v>
      </c>
      <c r="G67" s="52">
        <v>7</v>
      </c>
      <c r="H67" s="27">
        <f t="shared" si="20"/>
        <v>12924.933160875</v>
      </c>
      <c r="I67" s="27">
        <f t="shared" si="21"/>
        <v>26460.707289500013</v>
      </c>
      <c r="J67" s="27">
        <f t="shared" si="22"/>
        <v>28887.553648549994</v>
      </c>
      <c r="K67" s="27">
        <f t="shared" si="23"/>
        <v>483826.88724999951</v>
      </c>
      <c r="L67" s="27">
        <f t="shared" si="24"/>
        <v>552100.08134892455</v>
      </c>
      <c r="M67" s="27">
        <f t="shared" si="25"/>
        <v>45603.539999999994</v>
      </c>
      <c r="N67" s="27">
        <f t="shared" si="25"/>
        <v>85728.12719400003</v>
      </c>
      <c r="O67" s="27">
        <f t="shared" si="19"/>
        <v>511975.49415492453</v>
      </c>
      <c r="P67" s="27">
        <f t="shared" si="26"/>
        <v>25598.774707746226</v>
      </c>
      <c r="T67" s="51"/>
    </row>
    <row r="68" spans="1:20">
      <c r="A68" s="52">
        <f t="shared" si="27"/>
        <v>11</v>
      </c>
      <c r="C68" s="61">
        <v>4.5220000000000003E-2</v>
      </c>
      <c r="D68" s="61">
        <v>5.8999999999999997E-2</v>
      </c>
      <c r="E68" s="528">
        <v>8</v>
      </c>
      <c r="G68" s="52">
        <v>8</v>
      </c>
      <c r="H68" s="27">
        <f t="shared" si="20"/>
        <v>12924.933160875</v>
      </c>
      <c r="I68" s="27">
        <f t="shared" si="21"/>
        <v>26460.707289500013</v>
      </c>
      <c r="J68" s="27">
        <f t="shared" si="22"/>
        <v>28887.553648549994</v>
      </c>
      <c r="K68" s="27">
        <f t="shared" si="23"/>
        <v>538797.54285416589</v>
      </c>
      <c r="L68" s="27">
        <f t="shared" si="24"/>
        <v>607070.73695309088</v>
      </c>
      <c r="M68" s="27">
        <f t="shared" si="25"/>
        <v>78457.179999999993</v>
      </c>
      <c r="N68" s="27">
        <f t="shared" si="25"/>
        <v>87817.002565500021</v>
      </c>
      <c r="O68" s="27">
        <f t="shared" si="19"/>
        <v>597710.91438759083</v>
      </c>
      <c r="P68" s="27">
        <f t="shared" si="26"/>
        <v>29885.545719379545</v>
      </c>
      <c r="T68" s="51"/>
    </row>
    <row r="69" spans="1:20">
      <c r="A69" s="52">
        <f t="shared" si="27"/>
        <v>12</v>
      </c>
      <c r="C69" s="61">
        <v>4.462E-2</v>
      </c>
      <c r="D69" s="61">
        <v>5.91E-2</v>
      </c>
      <c r="E69" s="528">
        <v>9</v>
      </c>
      <c r="G69" s="52">
        <v>9</v>
      </c>
      <c r="H69" s="27">
        <f t="shared" si="20"/>
        <v>12924.933160875</v>
      </c>
      <c r="I69" s="27">
        <f t="shared" si="21"/>
        <v>26460.707289500013</v>
      </c>
      <c r="J69" s="27">
        <f t="shared" si="22"/>
        <v>28887.553648549994</v>
      </c>
      <c r="K69" s="27">
        <f t="shared" si="23"/>
        <v>689205.73052083468</v>
      </c>
      <c r="L69" s="27">
        <f t="shared" si="24"/>
        <v>757478.92461975967</v>
      </c>
      <c r="M69" s="27">
        <f t="shared" si="25"/>
        <v>11830.71</v>
      </c>
      <c r="N69" s="27">
        <f t="shared" si="25"/>
        <v>90076.31948700003</v>
      </c>
      <c r="O69" s="27">
        <f t="shared" si="19"/>
        <v>679233.31513275963</v>
      </c>
      <c r="P69" s="27">
        <f t="shared" si="26"/>
        <v>33961.66575663798</v>
      </c>
      <c r="T69" s="51"/>
    </row>
    <row r="70" spans="1:20">
      <c r="A70" s="52">
        <f t="shared" si="27"/>
        <v>13</v>
      </c>
      <c r="C70" s="61">
        <v>4.4609999999999997E-2</v>
      </c>
      <c r="D70" s="61">
        <v>5.8999999999999997E-2</v>
      </c>
      <c r="E70" s="528">
        <v>10</v>
      </c>
      <c r="G70" s="52">
        <v>10</v>
      </c>
      <c r="H70" s="27">
        <f t="shared" si="20"/>
        <v>12924.933160875</v>
      </c>
      <c r="I70" s="27">
        <f t="shared" si="21"/>
        <v>26460.707289500013</v>
      </c>
      <c r="J70" s="27">
        <f t="shared" si="22"/>
        <v>28887.553648549994</v>
      </c>
      <c r="K70" s="27">
        <f t="shared" si="23"/>
        <v>662025.1384791662</v>
      </c>
      <c r="L70" s="27">
        <f t="shared" si="24"/>
        <v>730298.33257809118</v>
      </c>
      <c r="M70" s="27">
        <f t="shared" si="25"/>
        <v>186553.30000000002</v>
      </c>
      <c r="N70" s="27">
        <f t="shared" si="25"/>
        <v>92330.150521500022</v>
      </c>
      <c r="O70" s="27">
        <f t="shared" si="19"/>
        <v>824521.48205659119</v>
      </c>
      <c r="P70" s="27">
        <f t="shared" si="26"/>
        <v>41226.07410282956</v>
      </c>
      <c r="T70" s="51"/>
    </row>
    <row r="71" spans="1:20">
      <c r="A71" s="52">
        <f t="shared" si="27"/>
        <v>14</v>
      </c>
      <c r="C71" s="61">
        <v>4.462E-2</v>
      </c>
      <c r="D71" s="61">
        <v>5.91E-2</v>
      </c>
      <c r="E71" s="528">
        <v>11</v>
      </c>
      <c r="G71" s="52">
        <v>11</v>
      </c>
      <c r="H71" s="27">
        <f t="shared" si="20"/>
        <v>12924.933160875</v>
      </c>
      <c r="I71" s="27">
        <f t="shared" si="21"/>
        <v>26460.707289500013</v>
      </c>
      <c r="J71" s="27">
        <f t="shared" si="22"/>
        <v>28887.553648549994</v>
      </c>
      <c r="K71" s="27">
        <f t="shared" si="23"/>
        <v>797004.13309374847</v>
      </c>
      <c r="L71" s="27">
        <f t="shared" si="24"/>
        <v>865277.32719267346</v>
      </c>
      <c r="M71" s="27">
        <f t="shared" si="25"/>
        <v>110719.84</v>
      </c>
      <c r="N71" s="27">
        <f t="shared" si="25"/>
        <v>94555.629598500018</v>
      </c>
      <c r="O71" s="27">
        <f t="shared" si="19"/>
        <v>881441.53759417345</v>
      </c>
      <c r="P71" s="27">
        <f t="shared" si="26"/>
        <v>44072.076879708678</v>
      </c>
      <c r="T71" s="51"/>
    </row>
    <row r="72" spans="1:20">
      <c r="A72" s="52">
        <f t="shared" si="27"/>
        <v>15</v>
      </c>
      <c r="C72" s="61">
        <v>4.4609999999999997E-2</v>
      </c>
      <c r="D72" s="61">
        <v>5.8999999999999997E-2</v>
      </c>
      <c r="E72" s="528">
        <v>12</v>
      </c>
      <c r="G72" s="52">
        <v>12</v>
      </c>
      <c r="H72" s="27">
        <f t="shared" si="20"/>
        <v>12924.933160875</v>
      </c>
      <c r="I72" s="27">
        <f t="shared" si="21"/>
        <v>26460.707289500013</v>
      </c>
      <c r="J72" s="27">
        <f t="shared" si="22"/>
        <v>28887.553648549994</v>
      </c>
      <c r="K72" s="27">
        <f t="shared" si="23"/>
        <v>254693.79098958484</v>
      </c>
      <c r="L72" s="27">
        <f t="shared" si="24"/>
        <v>322966.98508850986</v>
      </c>
      <c r="M72" s="27">
        <f>M28</f>
        <v>-4495.0799999999981</v>
      </c>
      <c r="N72" s="27">
        <f t="shared" ref="N72" si="28">N28</f>
        <v>95864.977197000029</v>
      </c>
      <c r="O72" s="27">
        <f t="shared" si="19"/>
        <v>222606.92789150981</v>
      </c>
      <c r="P72" s="27">
        <f t="shared" si="26"/>
        <v>11130.346394575492</v>
      </c>
      <c r="T72" s="51"/>
    </row>
    <row r="73" spans="1:20">
      <c r="A73" s="52">
        <f t="shared" si="27"/>
        <v>16</v>
      </c>
      <c r="C73" s="61">
        <v>4.462E-2</v>
      </c>
      <c r="D73" s="61">
        <v>5.91E-2</v>
      </c>
      <c r="E73" s="528">
        <v>13</v>
      </c>
      <c r="H73" s="27"/>
      <c r="I73" s="27"/>
      <c r="J73" s="27"/>
      <c r="K73" s="27"/>
      <c r="L73" s="27"/>
      <c r="M73" s="27"/>
      <c r="N73" s="27"/>
      <c r="O73" s="27" t="str">
        <f t="shared" ref="O73:O87" si="29">IF(N73=0,"",L73+M73-N73)</f>
        <v/>
      </c>
      <c r="P73" s="27" t="str">
        <f t="shared" ref="P73:P87" si="30">IF(O73="","",O73*0.389)</f>
        <v/>
      </c>
      <c r="Q73" s="51"/>
      <c r="R73" s="51"/>
      <c r="S73" s="51"/>
      <c r="T73" s="27" t="str">
        <f t="shared" ref="T73:T87" si="31">IF(P73="","",T72+P73)</f>
        <v/>
      </c>
    </row>
    <row r="74" spans="1:20">
      <c r="A74" s="52">
        <f t="shared" si="27"/>
        <v>17</v>
      </c>
      <c r="C74" s="61">
        <v>4.4609999999999997E-2</v>
      </c>
      <c r="D74" s="61">
        <v>5.8999999999999997E-2</v>
      </c>
      <c r="E74" s="528">
        <v>14</v>
      </c>
      <c r="H74" s="27"/>
      <c r="I74" s="27"/>
      <c r="J74" s="27"/>
      <c r="K74" s="27"/>
      <c r="L74" s="27"/>
      <c r="M74" s="27"/>
      <c r="N74" s="27"/>
      <c r="O74" s="27" t="str">
        <f t="shared" si="29"/>
        <v/>
      </c>
      <c r="P74" s="27" t="str">
        <f t="shared" si="30"/>
        <v/>
      </c>
      <c r="Q74" s="51"/>
      <c r="R74" s="51"/>
      <c r="S74" s="51"/>
      <c r="T74" s="27" t="str">
        <f t="shared" si="31"/>
        <v/>
      </c>
    </row>
    <row r="75" spans="1:20">
      <c r="A75" s="52">
        <f t="shared" si="27"/>
        <v>18</v>
      </c>
      <c r="C75" s="61">
        <v>4.462E-2</v>
      </c>
      <c r="D75" s="61">
        <v>5.91E-2</v>
      </c>
      <c r="E75" s="528">
        <v>15</v>
      </c>
      <c r="H75" s="27"/>
      <c r="I75" s="27"/>
      <c r="J75" s="27"/>
      <c r="K75" s="27"/>
      <c r="L75" s="27"/>
      <c r="M75" s="27"/>
      <c r="N75" s="27"/>
      <c r="O75" s="27" t="str">
        <f t="shared" si="29"/>
        <v/>
      </c>
      <c r="P75" s="27" t="str">
        <f t="shared" si="30"/>
        <v/>
      </c>
      <c r="Q75" s="51"/>
      <c r="R75" s="51"/>
      <c r="S75" s="51"/>
      <c r="T75" s="27" t="str">
        <f t="shared" si="31"/>
        <v/>
      </c>
    </row>
    <row r="76" spans="1:20">
      <c r="A76" s="52">
        <f t="shared" si="27"/>
        <v>19</v>
      </c>
      <c r="C76" s="61">
        <v>4.4609999999999997E-2</v>
      </c>
      <c r="D76" s="61">
        <v>2.9499999999999998E-2</v>
      </c>
      <c r="E76" s="528">
        <v>16</v>
      </c>
      <c r="H76" s="27"/>
      <c r="I76" s="27"/>
      <c r="J76" s="27"/>
      <c r="K76" s="27"/>
      <c r="L76" s="27"/>
      <c r="M76" s="27"/>
      <c r="N76" s="27"/>
      <c r="O76" s="27" t="str">
        <f t="shared" si="29"/>
        <v/>
      </c>
      <c r="P76" s="27" t="str">
        <f t="shared" si="30"/>
        <v/>
      </c>
      <c r="Q76" s="51"/>
      <c r="R76" s="51"/>
      <c r="S76" s="51"/>
      <c r="T76" s="27" t="str">
        <f t="shared" si="31"/>
        <v/>
      </c>
    </row>
    <row r="77" spans="1:20">
      <c r="A77" s="52">
        <f t="shared" si="27"/>
        <v>20</v>
      </c>
      <c r="C77" s="61">
        <v>4.462E-2</v>
      </c>
      <c r="D77" s="61">
        <v>0</v>
      </c>
      <c r="E77" s="528">
        <v>17</v>
      </c>
      <c r="H77" s="27"/>
      <c r="I77" s="27"/>
      <c r="J77" s="27"/>
      <c r="K77" s="27"/>
      <c r="L77" s="27"/>
      <c r="M77" s="27"/>
      <c r="N77" s="27"/>
      <c r="O77" s="27" t="str">
        <f t="shared" si="29"/>
        <v/>
      </c>
      <c r="P77" s="27" t="str">
        <f t="shared" si="30"/>
        <v/>
      </c>
      <c r="Q77" s="51"/>
      <c r="R77" s="51"/>
      <c r="S77" s="51"/>
      <c r="T77" s="27" t="str">
        <f t="shared" si="31"/>
        <v/>
      </c>
    </row>
    <row r="78" spans="1:20">
      <c r="A78" s="52">
        <f t="shared" si="27"/>
        <v>21</v>
      </c>
      <c r="C78" s="61">
        <v>4.4609999999999997E-2</v>
      </c>
      <c r="D78" s="61">
        <v>0</v>
      </c>
      <c r="E78" s="528">
        <v>18</v>
      </c>
      <c r="H78" s="27"/>
      <c r="I78" s="27"/>
      <c r="J78" s="27"/>
      <c r="K78" s="27"/>
      <c r="L78" s="27"/>
      <c r="M78" s="27"/>
      <c r="N78" s="27"/>
      <c r="O78" s="27" t="str">
        <f t="shared" si="29"/>
        <v/>
      </c>
      <c r="P78" s="27" t="str">
        <f t="shared" si="30"/>
        <v/>
      </c>
      <c r="Q78" s="51"/>
      <c r="R78" s="51"/>
      <c r="S78" s="51"/>
      <c r="T78" s="27" t="str">
        <f t="shared" si="31"/>
        <v/>
      </c>
    </row>
    <row r="79" spans="1:20">
      <c r="A79" s="52">
        <f t="shared" si="27"/>
        <v>22</v>
      </c>
      <c r="C79" s="61">
        <v>4.462E-2</v>
      </c>
      <c r="D79" s="61">
        <v>0</v>
      </c>
      <c r="E79" s="528">
        <v>19</v>
      </c>
      <c r="H79" s="27"/>
      <c r="I79" s="27"/>
      <c r="J79" s="27"/>
      <c r="K79" s="27"/>
      <c r="L79" s="27"/>
      <c r="M79" s="27"/>
      <c r="N79" s="27"/>
      <c r="O79" s="27" t="str">
        <f t="shared" si="29"/>
        <v/>
      </c>
      <c r="P79" s="27" t="str">
        <f t="shared" si="30"/>
        <v/>
      </c>
      <c r="Q79" s="51"/>
      <c r="R79" s="51"/>
      <c r="S79" s="51"/>
      <c r="T79" s="27" t="str">
        <f t="shared" si="31"/>
        <v/>
      </c>
    </row>
    <row r="80" spans="1:20">
      <c r="A80" s="52">
        <f t="shared" si="27"/>
        <v>23</v>
      </c>
      <c r="C80" s="61">
        <v>4.4609999999999997E-2</v>
      </c>
      <c r="D80" s="61">
        <v>0</v>
      </c>
      <c r="E80" s="528">
        <v>20</v>
      </c>
      <c r="H80" s="27"/>
      <c r="I80" s="27"/>
      <c r="J80" s="27"/>
      <c r="K80" s="27"/>
      <c r="L80" s="27"/>
      <c r="M80" s="27"/>
      <c r="N80" s="27"/>
      <c r="O80" s="27" t="str">
        <f t="shared" si="29"/>
        <v/>
      </c>
      <c r="P80" s="27" t="str">
        <f t="shared" si="30"/>
        <v/>
      </c>
      <c r="Q80" s="51"/>
      <c r="R80" s="51"/>
      <c r="S80" s="51"/>
      <c r="T80" s="27" t="str">
        <f t="shared" si="31"/>
        <v/>
      </c>
    </row>
    <row r="81" spans="1:20">
      <c r="A81" s="52">
        <f t="shared" si="27"/>
        <v>24</v>
      </c>
      <c r="C81" s="61">
        <v>2.231E-2</v>
      </c>
      <c r="D81" s="61">
        <v>0</v>
      </c>
      <c r="E81" s="528">
        <v>21</v>
      </c>
      <c r="H81" s="27"/>
      <c r="I81" s="27"/>
      <c r="J81" s="27"/>
      <c r="K81" s="27"/>
      <c r="L81" s="27"/>
      <c r="M81" s="27"/>
      <c r="N81" s="27"/>
      <c r="O81" s="27" t="str">
        <f t="shared" si="29"/>
        <v/>
      </c>
      <c r="P81" s="27" t="str">
        <f t="shared" si="30"/>
        <v/>
      </c>
      <c r="Q81" s="51"/>
      <c r="R81" s="51"/>
      <c r="S81" s="51"/>
      <c r="T81" s="27" t="str">
        <f t="shared" si="31"/>
        <v/>
      </c>
    </row>
    <row r="82" spans="1:20">
      <c r="A82" s="52">
        <f t="shared" si="27"/>
        <v>25</v>
      </c>
      <c r="C82" s="61">
        <v>0</v>
      </c>
      <c r="D82" s="61">
        <v>0</v>
      </c>
      <c r="E82" s="528">
        <v>22</v>
      </c>
      <c r="H82" s="27"/>
      <c r="I82" s="27"/>
      <c r="J82" s="27"/>
      <c r="K82" s="27"/>
      <c r="L82" s="27"/>
      <c r="M82" s="27"/>
      <c r="N82" s="27"/>
      <c r="O82" s="27" t="str">
        <f t="shared" si="29"/>
        <v/>
      </c>
      <c r="P82" s="27" t="str">
        <f t="shared" si="30"/>
        <v/>
      </c>
      <c r="Q82" s="51"/>
      <c r="R82" s="51"/>
      <c r="S82" s="51"/>
      <c r="T82" s="27" t="str">
        <f t="shared" si="31"/>
        <v/>
      </c>
    </row>
    <row r="83" spans="1:20">
      <c r="A83" s="52">
        <f t="shared" si="27"/>
        <v>26</v>
      </c>
      <c r="C83" s="61">
        <v>0</v>
      </c>
      <c r="E83" s="528">
        <v>23</v>
      </c>
      <c r="H83" s="27"/>
      <c r="I83" s="27"/>
      <c r="J83" s="27"/>
      <c r="K83" s="27"/>
      <c r="L83" s="27"/>
      <c r="O83" s="27" t="str">
        <f t="shared" si="29"/>
        <v/>
      </c>
      <c r="P83" s="27" t="str">
        <f t="shared" si="30"/>
        <v/>
      </c>
      <c r="Q83" s="51"/>
      <c r="R83" s="51"/>
      <c r="S83" s="51"/>
      <c r="T83" s="27" t="str">
        <f t="shared" si="31"/>
        <v/>
      </c>
    </row>
    <row r="84" spans="1:20">
      <c r="A84" s="52">
        <f t="shared" si="27"/>
        <v>27</v>
      </c>
      <c r="C84" s="61">
        <v>0</v>
      </c>
      <c r="E84" s="528">
        <v>24</v>
      </c>
      <c r="H84" s="27"/>
      <c r="I84" s="27"/>
      <c r="J84" s="27"/>
      <c r="K84" s="27"/>
      <c r="L84" s="27"/>
      <c r="O84" s="27" t="str">
        <f t="shared" si="29"/>
        <v/>
      </c>
      <c r="P84" s="27" t="str">
        <f t="shared" si="30"/>
        <v/>
      </c>
      <c r="Q84" s="51"/>
      <c r="R84" s="51"/>
      <c r="S84" s="51"/>
      <c r="T84" s="27" t="str">
        <f t="shared" si="31"/>
        <v/>
      </c>
    </row>
    <row r="85" spans="1:20">
      <c r="A85" s="52">
        <f t="shared" si="27"/>
        <v>28</v>
      </c>
      <c r="C85" s="61">
        <v>0</v>
      </c>
      <c r="E85" s="528">
        <v>25</v>
      </c>
      <c r="H85" s="27"/>
      <c r="I85" s="27"/>
      <c r="J85" s="27"/>
      <c r="K85" s="27"/>
      <c r="L85" s="27"/>
      <c r="O85" s="27" t="str">
        <f t="shared" si="29"/>
        <v/>
      </c>
      <c r="P85" s="27" t="str">
        <f t="shared" si="30"/>
        <v/>
      </c>
      <c r="Q85" s="51"/>
      <c r="R85" s="51"/>
      <c r="S85" s="51"/>
      <c r="T85" s="27" t="str">
        <f t="shared" si="31"/>
        <v/>
      </c>
    </row>
    <row r="86" spans="1:20">
      <c r="A86" s="52">
        <f t="shared" si="27"/>
        <v>29</v>
      </c>
      <c r="C86" s="61">
        <v>0</v>
      </c>
      <c r="E86" s="528">
        <v>26</v>
      </c>
      <c r="H86" s="27"/>
      <c r="I86" s="27"/>
      <c r="J86" s="27"/>
      <c r="K86" s="27"/>
      <c r="L86" s="27"/>
      <c r="O86" s="27" t="str">
        <f t="shared" si="29"/>
        <v/>
      </c>
      <c r="P86" s="27" t="str">
        <f t="shared" si="30"/>
        <v/>
      </c>
      <c r="Q86" s="51"/>
      <c r="R86" s="51"/>
      <c r="S86" s="51"/>
      <c r="T86" s="27" t="str">
        <f t="shared" si="31"/>
        <v/>
      </c>
    </row>
    <row r="87" spans="1:20">
      <c r="A87" s="52">
        <f t="shared" si="27"/>
        <v>30</v>
      </c>
      <c r="C87" s="61">
        <v>0</v>
      </c>
      <c r="E87" s="528">
        <v>27</v>
      </c>
      <c r="L87" s="27"/>
      <c r="O87" s="27" t="str">
        <f t="shared" si="29"/>
        <v/>
      </c>
      <c r="P87" s="27" t="str">
        <f t="shared" si="30"/>
        <v/>
      </c>
      <c r="T87" s="27" t="str">
        <f t="shared" si="31"/>
        <v/>
      </c>
    </row>
    <row r="88" spans="1:20">
      <c r="A88" s="52">
        <f t="shared" si="27"/>
        <v>31</v>
      </c>
      <c r="E88" s="504"/>
      <c r="H88" s="27">
        <f t="shared" ref="H88:P88" si="32">SUM(H61:H87)</f>
        <v>155099.19793049997</v>
      </c>
      <c r="I88" s="27">
        <f t="shared" si="32"/>
        <v>317528.48747400008</v>
      </c>
      <c r="J88" s="27">
        <f t="shared" si="32"/>
        <v>346650.6437826</v>
      </c>
      <c r="K88" s="27">
        <f t="shared" si="32"/>
        <v>4905432.8494999995</v>
      </c>
      <c r="L88" s="27">
        <f t="shared" si="32"/>
        <v>5724711.1786870984</v>
      </c>
      <c r="M88" s="27">
        <f t="shared" si="32"/>
        <v>1102392.56</v>
      </c>
      <c r="N88" s="27">
        <f t="shared" si="32"/>
        <v>1010897.6625360001</v>
      </c>
      <c r="O88" s="27">
        <f t="shared" si="32"/>
        <v>5816206.0761510981</v>
      </c>
      <c r="P88" s="27">
        <f t="shared" si="32"/>
        <v>290810.303807555</v>
      </c>
      <c r="Q88" s="27"/>
      <c r="R88" s="27"/>
      <c r="S88" s="27"/>
      <c r="T88" s="27"/>
    </row>
    <row r="89" spans="1:20">
      <c r="H89" s="27"/>
      <c r="I89" s="27"/>
      <c r="J89" s="27"/>
      <c r="K89" s="27"/>
      <c r="L89" s="27"/>
      <c r="M89" s="27"/>
      <c r="N89" s="27"/>
      <c r="T89" s="27"/>
    </row>
    <row r="90" spans="1:20">
      <c r="B90" s="52" t="s">
        <v>166</v>
      </c>
      <c r="C90" s="52" t="s">
        <v>601</v>
      </c>
    </row>
    <row r="91" spans="1:20">
      <c r="B91" s="60" t="s">
        <v>167</v>
      </c>
      <c r="C91" s="52" t="s">
        <v>602</v>
      </c>
    </row>
    <row r="92" spans="1:20">
      <c r="B92" s="60" t="s">
        <v>168</v>
      </c>
      <c r="C92" s="52" t="s">
        <v>603</v>
      </c>
      <c r="D92" s="245"/>
    </row>
    <row r="93" spans="1:20">
      <c r="B93" s="60" t="s">
        <v>177</v>
      </c>
      <c r="C93" s="52" t="s">
        <v>549</v>
      </c>
    </row>
  </sheetData>
  <pageMargins left="0.7" right="0.7" top="0.75" bottom="0.75" header="0.3" footer="0.3"/>
  <pageSetup scale="40" orientation="landscape" r:id="rId1"/>
  <headerFooter>
    <oddFooter>&amp;R&amp;"Times New Roman,Bold"&amp;17Exhibit 4
Page 17 of 18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E6A51-FCA5-4448-889F-460430BC9084}">
  <sheetPr>
    <tabColor theme="6" tint="0.39997558519241921"/>
    <pageSetUpPr fitToPage="1"/>
  </sheetPr>
  <dimension ref="A1:Z87"/>
  <sheetViews>
    <sheetView zoomScale="80" zoomScaleNormal="80" workbookViewId="0"/>
  </sheetViews>
  <sheetFormatPr defaultColWidth="9.140625" defaultRowHeight="12.75"/>
  <cols>
    <col min="1" max="1" width="5.140625" style="52" customWidth="1"/>
    <col min="2" max="2" width="3.140625" style="52" customWidth="1"/>
    <col min="3" max="3" width="11.85546875" style="52" customWidth="1"/>
    <col min="4" max="4" width="11.85546875" style="52" hidden="1" customWidth="1"/>
    <col min="5" max="5" width="8.85546875" style="52" bestFit="1" customWidth="1"/>
    <col min="6" max="6" width="1.140625" style="52" customWidth="1"/>
    <col min="7" max="7" width="6.140625" style="52" bestFit="1" customWidth="1"/>
    <col min="8" max="8" width="14.140625" style="52" customWidth="1"/>
    <col min="9" max="9" width="15" style="52" bestFit="1" customWidth="1"/>
    <col min="10" max="10" width="13.85546875" style="52" bestFit="1" customWidth="1"/>
    <col min="11" max="11" width="14.42578125" style="52" bestFit="1" customWidth="1"/>
    <col min="12" max="12" width="13.85546875" style="52" bestFit="1" customWidth="1"/>
    <col min="13" max="13" width="11.5703125" style="52" bestFit="1" customWidth="1"/>
    <col min="14" max="14" width="10.85546875" style="52" customWidth="1"/>
    <col min="15" max="15" width="11.42578125" style="52" customWidth="1"/>
    <col min="16" max="16" width="11.140625" style="52" customWidth="1"/>
    <col min="17" max="17" width="14.85546875" style="52" customWidth="1"/>
    <col min="18" max="18" width="12" style="52" customWidth="1"/>
    <col min="19" max="19" width="9.140625" style="52"/>
    <col min="20" max="20" width="13.85546875" style="52" customWidth="1"/>
    <col min="21" max="22" width="9.140625" style="52"/>
    <col min="23" max="23" width="10.85546875" style="52" bestFit="1" customWidth="1"/>
    <col min="24" max="24" width="13.42578125" style="52" bestFit="1" customWidth="1"/>
    <col min="25" max="25" width="12.140625" style="52" bestFit="1" customWidth="1"/>
    <col min="26" max="26" width="9.85546875" style="52" bestFit="1" customWidth="1"/>
    <col min="27" max="16384" width="9.140625" style="52"/>
  </cols>
  <sheetData>
    <row r="1" spans="1:26" ht="18.75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6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6" ht="18.75">
      <c r="A3" s="191" t="s">
        <v>593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6">
      <c r="A4" s="53"/>
    </row>
    <row r="6" spans="1:26">
      <c r="A6" s="54"/>
      <c r="B6" s="54"/>
      <c r="C6" s="54"/>
      <c r="D6" s="54" t="s">
        <v>24</v>
      </c>
      <c r="E6" s="54"/>
      <c r="F6" s="54"/>
      <c r="G6" s="54"/>
      <c r="H6" s="54"/>
      <c r="I6" s="155"/>
      <c r="J6" s="54"/>
      <c r="K6" s="54"/>
      <c r="L6" s="54"/>
      <c r="M6" s="54"/>
      <c r="N6" s="54"/>
      <c r="O6" s="54"/>
      <c r="P6" s="54"/>
      <c r="Q6" s="54"/>
    </row>
    <row r="7" spans="1:26" ht="25.5">
      <c r="A7" s="54"/>
      <c r="B7" s="54"/>
      <c r="C7" s="55"/>
      <c r="D7" s="54" t="s">
        <v>25</v>
      </c>
      <c r="E7" s="522" t="s">
        <v>598</v>
      </c>
      <c r="F7" s="54"/>
      <c r="G7" s="54"/>
      <c r="H7" s="54">
        <v>2020</v>
      </c>
      <c r="I7" s="54"/>
      <c r="J7" s="54" t="s">
        <v>35</v>
      </c>
      <c r="K7" s="54"/>
      <c r="L7" s="54"/>
      <c r="M7" s="55" t="s">
        <v>181</v>
      </c>
      <c r="N7" s="55" t="s">
        <v>182</v>
      </c>
      <c r="O7" s="55" t="s">
        <v>187</v>
      </c>
      <c r="P7" s="55" t="s">
        <v>189</v>
      </c>
      <c r="Q7" s="54" t="s">
        <v>41</v>
      </c>
      <c r="R7" s="55" t="s">
        <v>164</v>
      </c>
      <c r="S7" s="55"/>
      <c r="T7" s="55" t="s">
        <v>236</v>
      </c>
    </row>
    <row r="8" spans="1:26">
      <c r="A8" s="54" t="s">
        <v>4</v>
      </c>
      <c r="B8" s="54"/>
      <c r="C8" s="54"/>
      <c r="D8" s="54" t="s">
        <v>26</v>
      </c>
      <c r="E8" s="523" t="s">
        <v>599</v>
      </c>
      <c r="F8" s="54"/>
      <c r="G8" s="54"/>
      <c r="H8" s="54" t="s">
        <v>31</v>
      </c>
      <c r="I8" s="54" t="s">
        <v>34</v>
      </c>
      <c r="J8" s="54" t="s">
        <v>36</v>
      </c>
      <c r="K8" s="54" t="s">
        <v>38</v>
      </c>
      <c r="L8" s="54"/>
      <c r="M8" s="54" t="s">
        <v>34</v>
      </c>
      <c r="N8" s="54" t="s">
        <v>34</v>
      </c>
      <c r="O8" s="54" t="s">
        <v>188</v>
      </c>
      <c r="P8" s="54" t="s">
        <v>190</v>
      </c>
      <c r="Q8" s="54" t="s">
        <v>40</v>
      </c>
      <c r="R8" s="54" t="s">
        <v>237</v>
      </c>
      <c r="S8" s="54" t="s">
        <v>164</v>
      </c>
      <c r="T8" s="54" t="s">
        <v>40</v>
      </c>
      <c r="W8" s="54" t="s">
        <v>700</v>
      </c>
      <c r="X8" s="54" t="s">
        <v>702</v>
      </c>
      <c r="Y8" s="54" t="s">
        <v>701</v>
      </c>
      <c r="Z8" s="54" t="s">
        <v>703</v>
      </c>
    </row>
    <row r="9" spans="1:26">
      <c r="A9" s="458" t="s">
        <v>5</v>
      </c>
      <c r="B9" s="458"/>
      <c r="C9" s="458"/>
      <c r="D9" s="458" t="s">
        <v>2</v>
      </c>
      <c r="E9" s="524" t="s">
        <v>600</v>
      </c>
      <c r="F9" s="458"/>
      <c r="G9" s="458" t="s">
        <v>108</v>
      </c>
      <c r="H9" s="458" t="s">
        <v>20</v>
      </c>
      <c r="I9" s="458" t="s">
        <v>0</v>
      </c>
      <c r="J9" s="458" t="s">
        <v>37</v>
      </c>
      <c r="K9" s="458" t="s">
        <v>0</v>
      </c>
      <c r="L9" s="458" t="s">
        <v>39</v>
      </c>
      <c r="M9" s="56" t="s">
        <v>346</v>
      </c>
      <c r="N9" s="56" t="s">
        <v>186</v>
      </c>
      <c r="O9" s="56" t="s">
        <v>346</v>
      </c>
      <c r="P9" s="56" t="s">
        <v>12</v>
      </c>
      <c r="Q9" s="458" t="s">
        <v>42</v>
      </c>
      <c r="R9" s="56" t="s">
        <v>238</v>
      </c>
      <c r="S9" s="56" t="s">
        <v>239</v>
      </c>
      <c r="T9" s="458" t="s">
        <v>42</v>
      </c>
      <c r="W9" s="56" t="s">
        <v>20</v>
      </c>
      <c r="X9" s="56" t="s">
        <v>20</v>
      </c>
      <c r="Y9" s="56" t="s">
        <v>20</v>
      </c>
      <c r="Z9" s="56" t="s">
        <v>704</v>
      </c>
    </row>
    <row r="10" spans="1:26">
      <c r="C10" s="57"/>
      <c r="D10" s="57" t="s">
        <v>71</v>
      </c>
      <c r="E10" s="525"/>
      <c r="F10" s="58"/>
      <c r="G10" s="58"/>
      <c r="H10" s="526" t="s">
        <v>166</v>
      </c>
    </row>
    <row r="11" spans="1:26">
      <c r="A11" s="52">
        <v>1</v>
      </c>
      <c r="C11" s="57" t="s">
        <v>71</v>
      </c>
      <c r="D11" s="59"/>
      <c r="E11" s="525"/>
      <c r="H11" s="27">
        <f>SUM('2020 Capital Budget'!R16:R19,'2020 Capital Budget'!R22:R24,'2020 Capital Budget'!R28)</f>
        <v>0</v>
      </c>
      <c r="I11" s="27"/>
    </row>
    <row r="12" spans="1:26">
      <c r="A12" s="52">
        <v>2</v>
      </c>
      <c r="C12" s="57" t="s">
        <v>74</v>
      </c>
      <c r="D12" s="59"/>
      <c r="E12" s="525"/>
      <c r="H12" s="27">
        <v>0</v>
      </c>
    </row>
    <row r="13" spans="1:26">
      <c r="A13" s="52">
        <v>3</v>
      </c>
      <c r="C13" s="57" t="s">
        <v>185</v>
      </c>
      <c r="D13" s="59"/>
      <c r="E13" s="525"/>
      <c r="H13" s="27">
        <v>0</v>
      </c>
    </row>
    <row r="14" spans="1:26">
      <c r="C14" s="59"/>
      <c r="E14" s="526"/>
      <c r="V14" s="50"/>
      <c r="W14" s="50"/>
      <c r="X14" s="50"/>
      <c r="Y14" s="50"/>
    </row>
    <row r="15" spans="1:26">
      <c r="C15" s="523" t="s">
        <v>604</v>
      </c>
      <c r="E15" s="527"/>
      <c r="H15" s="195"/>
      <c r="I15" s="195"/>
      <c r="J15" s="195"/>
      <c r="K15" s="244"/>
      <c r="V15" s="50"/>
      <c r="W15" s="50"/>
      <c r="X15" s="50"/>
      <c r="Y15" s="50"/>
    </row>
    <row r="16" spans="1:26">
      <c r="C16" s="523" t="s">
        <v>605</v>
      </c>
      <c r="E16" s="527"/>
      <c r="H16" s="526" t="s">
        <v>166</v>
      </c>
      <c r="P16" s="27">
        <v>0</v>
      </c>
      <c r="Q16" s="27">
        <f>P16</f>
        <v>0</v>
      </c>
      <c r="R16" s="27"/>
      <c r="S16" s="27"/>
      <c r="T16" s="27">
        <f>Q16</f>
        <v>0</v>
      </c>
      <c r="V16" s="50"/>
      <c r="W16" s="580"/>
      <c r="X16" s="580"/>
      <c r="Y16" s="580"/>
    </row>
    <row r="17" spans="1:26">
      <c r="A17" s="52">
        <f>A13+1</f>
        <v>4</v>
      </c>
      <c r="C17" s="589">
        <v>0.05</v>
      </c>
      <c r="D17" s="61">
        <v>0.05</v>
      </c>
      <c r="E17" s="528">
        <v>1</v>
      </c>
      <c r="G17" s="52">
        <v>1</v>
      </c>
      <c r="H17" s="27">
        <f>Z17</f>
        <v>0</v>
      </c>
      <c r="I17" s="27">
        <f t="shared" ref="I17:I28" si="0">SUM(H17:H17)</f>
        <v>0</v>
      </c>
      <c r="J17" s="27">
        <f>'202001 Bk Depr'!$L$34</f>
        <v>0</v>
      </c>
      <c r="K17" s="27">
        <f>'202001 Bk Depr'!P14</f>
        <v>0</v>
      </c>
      <c r="L17" s="27">
        <f t="shared" ref="L17:L28" si="1">I17+J17-K17</f>
        <v>0</v>
      </c>
      <c r="M17" s="27">
        <f t="shared" ref="M17:M22" si="2">L17*0.21</f>
        <v>0</v>
      </c>
      <c r="N17" s="27">
        <f t="shared" ref="N17:N28" si="3">M58</f>
        <v>0</v>
      </c>
      <c r="O17" s="27">
        <f t="shared" ref="O17:O22" si="4">-N17*0.21</f>
        <v>0</v>
      </c>
      <c r="P17" s="27">
        <v>0</v>
      </c>
      <c r="Q17" s="27">
        <f t="shared" ref="Q17:Q28" si="5">Q16+M17+N17+O17+P17</f>
        <v>0</v>
      </c>
      <c r="R17" s="27">
        <f>Q17-Q16</f>
        <v>0</v>
      </c>
      <c r="S17" s="27" t="s">
        <v>561</v>
      </c>
      <c r="T17" s="27">
        <f>T16+R17*336/366</f>
        <v>0</v>
      </c>
      <c r="W17" s="27">
        <f>(((('202001 Bk Depr'!$L$14-(1/12*$H$13))*$C$17))/12)</f>
        <v>0</v>
      </c>
      <c r="X17" s="27">
        <v>0</v>
      </c>
      <c r="Y17" s="27">
        <f>(1/12*$H$13)</f>
        <v>0</v>
      </c>
      <c r="Z17" s="27">
        <f>SUM(W17:Y17)</f>
        <v>0</v>
      </c>
    </row>
    <row r="18" spans="1:26">
      <c r="A18" s="52">
        <f>A17+1</f>
        <v>5</v>
      </c>
      <c r="C18" s="589">
        <v>9.5000000000000001E-2</v>
      </c>
      <c r="D18" s="61">
        <v>9.5000000000000001E-2</v>
      </c>
      <c r="E18" s="528">
        <v>2</v>
      </c>
      <c r="G18" s="52">
        <v>2</v>
      </c>
      <c r="H18" s="27">
        <f t="shared" ref="H18:H28" si="6">Z18</f>
        <v>0</v>
      </c>
      <c r="I18" s="27">
        <f t="shared" si="0"/>
        <v>0</v>
      </c>
      <c r="J18" s="27">
        <f>'202002 Bk Depr'!$L$34</f>
        <v>0</v>
      </c>
      <c r="K18" s="27">
        <f>'202002 Bk Depr'!P14</f>
        <v>0</v>
      </c>
      <c r="L18" s="27">
        <f t="shared" si="1"/>
        <v>0</v>
      </c>
      <c r="M18" s="27">
        <f t="shared" si="2"/>
        <v>0</v>
      </c>
      <c r="N18" s="27">
        <f t="shared" si="3"/>
        <v>0</v>
      </c>
      <c r="O18" s="27">
        <f t="shared" si="4"/>
        <v>0</v>
      </c>
      <c r="P18" s="27">
        <v>0</v>
      </c>
      <c r="Q18" s="27">
        <f t="shared" si="5"/>
        <v>0</v>
      </c>
      <c r="R18" s="27">
        <f t="shared" ref="R18:R28" si="7">Q18-Q17</f>
        <v>0</v>
      </c>
      <c r="S18" s="27" t="s">
        <v>551</v>
      </c>
      <c r="T18" s="27">
        <f>T17+R18*307/366</f>
        <v>0</v>
      </c>
      <c r="W18" s="27">
        <f>W17+(((('202002 Bk Depr'!$L$14-(1/12*$H$13))*$C$17))/11)</f>
        <v>0</v>
      </c>
      <c r="X18" s="27">
        <v>0</v>
      </c>
      <c r="Y18" s="27">
        <f>(1/12*$H$13)</f>
        <v>0</v>
      </c>
      <c r="Z18" s="27">
        <f t="shared" ref="Z18:Z28" si="8">SUM(W18:Y18)</f>
        <v>0</v>
      </c>
    </row>
    <row r="19" spans="1:26">
      <c r="A19" s="52">
        <f t="shared" ref="A19:A44" si="9">A18+1</f>
        <v>6</v>
      </c>
      <c r="C19" s="589">
        <v>8.5500000000000007E-2</v>
      </c>
      <c r="D19" s="61">
        <v>8.5500000000000007E-2</v>
      </c>
      <c r="E19" s="528">
        <v>3</v>
      </c>
      <c r="G19" s="52">
        <v>3</v>
      </c>
      <c r="H19" s="27">
        <f t="shared" si="6"/>
        <v>0</v>
      </c>
      <c r="I19" s="27">
        <f t="shared" si="0"/>
        <v>0</v>
      </c>
      <c r="J19" s="27">
        <f>'202003 Bk Depr'!$L$34</f>
        <v>0</v>
      </c>
      <c r="K19" s="27">
        <f>'202003 Bk Depr'!P14</f>
        <v>0</v>
      </c>
      <c r="L19" s="27">
        <f t="shared" si="1"/>
        <v>0</v>
      </c>
      <c r="M19" s="27">
        <f t="shared" si="2"/>
        <v>0</v>
      </c>
      <c r="N19" s="27">
        <f t="shared" si="3"/>
        <v>0</v>
      </c>
      <c r="O19" s="27">
        <f t="shared" si="4"/>
        <v>0</v>
      </c>
      <c r="P19" s="27">
        <v>0</v>
      </c>
      <c r="Q19" s="27">
        <f t="shared" si="5"/>
        <v>0</v>
      </c>
      <c r="R19" s="27">
        <f t="shared" si="7"/>
        <v>0</v>
      </c>
      <c r="S19" s="27" t="s">
        <v>552</v>
      </c>
      <c r="T19" s="27">
        <f>T18+R19*276/366</f>
        <v>0</v>
      </c>
      <c r="W19" s="27">
        <f>W18+(((('202003 Bk Depr'!$L$14-(1/12*$H$13))*$C$17))/10)</f>
        <v>0</v>
      </c>
      <c r="X19" s="27">
        <v>0</v>
      </c>
      <c r="Y19" s="27">
        <f t="shared" ref="Y19:Y28" si="10">(1/12*$H$13)</f>
        <v>0</v>
      </c>
      <c r="Z19" s="27">
        <f t="shared" si="8"/>
        <v>0</v>
      </c>
    </row>
    <row r="20" spans="1:26">
      <c r="A20" s="52">
        <f t="shared" si="9"/>
        <v>7</v>
      </c>
      <c r="C20" s="589">
        <v>7.6999999999999999E-2</v>
      </c>
      <c r="D20" s="61">
        <v>7.6999999999999999E-2</v>
      </c>
      <c r="E20" s="528">
        <v>4</v>
      </c>
      <c r="G20" s="52">
        <v>4</v>
      </c>
      <c r="H20" s="27">
        <f t="shared" si="6"/>
        <v>0</v>
      </c>
      <c r="I20" s="27">
        <f t="shared" si="0"/>
        <v>0</v>
      </c>
      <c r="J20" s="27">
        <f>'202004 Bk Depr'!$L$34</f>
        <v>0</v>
      </c>
      <c r="K20" s="27">
        <f>'202004 Bk Depr'!P14</f>
        <v>0</v>
      </c>
      <c r="L20" s="27">
        <f t="shared" si="1"/>
        <v>0</v>
      </c>
      <c r="M20" s="27">
        <f t="shared" si="2"/>
        <v>0</v>
      </c>
      <c r="N20" s="27">
        <f t="shared" si="3"/>
        <v>0</v>
      </c>
      <c r="O20" s="27">
        <f t="shared" si="4"/>
        <v>0</v>
      </c>
      <c r="P20" s="27">
        <v>0</v>
      </c>
      <c r="Q20" s="27">
        <f t="shared" si="5"/>
        <v>0</v>
      </c>
      <c r="R20" s="27">
        <f t="shared" si="7"/>
        <v>0</v>
      </c>
      <c r="S20" s="27" t="s">
        <v>553</v>
      </c>
      <c r="T20" s="27">
        <f>T19+R20*246/366</f>
        <v>0</v>
      </c>
      <c r="W20" s="27">
        <f>W19+(((('202004 Bk Depr'!$L$14-(1/12*$H$13))*$C$17))/9)</f>
        <v>0</v>
      </c>
      <c r="X20" s="27">
        <v>0</v>
      </c>
      <c r="Y20" s="27">
        <f t="shared" si="10"/>
        <v>0</v>
      </c>
      <c r="Z20" s="27">
        <f t="shared" si="8"/>
        <v>0</v>
      </c>
    </row>
    <row r="21" spans="1:26">
      <c r="A21" s="52">
        <f t="shared" si="9"/>
        <v>8</v>
      </c>
      <c r="C21" s="589">
        <v>6.93E-2</v>
      </c>
      <c r="D21" s="61">
        <v>6.93E-2</v>
      </c>
      <c r="E21" s="528">
        <v>5</v>
      </c>
      <c r="G21" s="52">
        <v>5</v>
      </c>
      <c r="H21" s="27">
        <f t="shared" si="6"/>
        <v>0</v>
      </c>
      <c r="I21" s="27">
        <f t="shared" si="0"/>
        <v>0</v>
      </c>
      <c r="J21" s="27">
        <f>'202005 Bk Depr'!$L$34</f>
        <v>0</v>
      </c>
      <c r="K21" s="27">
        <f>'202005 Bk Depr'!P14</f>
        <v>0</v>
      </c>
      <c r="L21" s="27">
        <f t="shared" si="1"/>
        <v>0</v>
      </c>
      <c r="M21" s="27">
        <f t="shared" si="2"/>
        <v>0</v>
      </c>
      <c r="N21" s="27">
        <f t="shared" si="3"/>
        <v>0</v>
      </c>
      <c r="O21" s="27">
        <f t="shared" si="4"/>
        <v>0</v>
      </c>
      <c r="P21" s="27">
        <v>0</v>
      </c>
      <c r="Q21" s="27">
        <f t="shared" si="5"/>
        <v>0</v>
      </c>
      <c r="R21" s="27">
        <f t="shared" si="7"/>
        <v>0</v>
      </c>
      <c r="S21" s="27" t="s">
        <v>554</v>
      </c>
      <c r="T21" s="27">
        <f>T20+R21*215/366</f>
        <v>0</v>
      </c>
      <c r="W21" s="27">
        <f>W20+(((('202005 Bk Depr'!$L$14-(1/12*$H$13))*$C$17))/8)</f>
        <v>0</v>
      </c>
      <c r="X21" s="27">
        <v>0</v>
      </c>
      <c r="Y21" s="27">
        <f t="shared" si="10"/>
        <v>0</v>
      </c>
      <c r="Z21" s="27">
        <f t="shared" si="8"/>
        <v>0</v>
      </c>
    </row>
    <row r="22" spans="1:26">
      <c r="A22" s="52">
        <f t="shared" si="9"/>
        <v>9</v>
      </c>
      <c r="C22" s="589">
        <v>6.2300000000000001E-2</v>
      </c>
      <c r="D22" s="61">
        <v>6.2300000000000001E-2</v>
      </c>
      <c r="E22" s="528">
        <v>6</v>
      </c>
      <c r="G22" s="52">
        <v>6</v>
      </c>
      <c r="H22" s="27">
        <f t="shared" si="6"/>
        <v>0</v>
      </c>
      <c r="I22" s="27">
        <f t="shared" si="0"/>
        <v>0</v>
      </c>
      <c r="J22" s="27">
        <f>'202006 Bk Depr'!$L$34</f>
        <v>0</v>
      </c>
      <c r="K22" s="27">
        <f>'202006 Bk Depr'!P14</f>
        <v>0</v>
      </c>
      <c r="L22" s="27">
        <f t="shared" si="1"/>
        <v>0</v>
      </c>
      <c r="M22" s="27">
        <f t="shared" si="2"/>
        <v>0</v>
      </c>
      <c r="N22" s="27">
        <f t="shared" si="3"/>
        <v>0</v>
      </c>
      <c r="O22" s="27">
        <f t="shared" si="4"/>
        <v>0</v>
      </c>
      <c r="P22" s="27">
        <v>0</v>
      </c>
      <c r="Q22" s="27">
        <f t="shared" si="5"/>
        <v>0</v>
      </c>
      <c r="R22" s="27">
        <f t="shared" si="7"/>
        <v>0</v>
      </c>
      <c r="S22" s="27" t="s">
        <v>555</v>
      </c>
      <c r="T22" s="27">
        <f>T21+R22*185/366</f>
        <v>0</v>
      </c>
      <c r="W22" s="27">
        <f>W21+(((('202006 Bk Depr'!$L$14-(1/12*$H$13))*$C$17))/7)</f>
        <v>0</v>
      </c>
      <c r="X22" s="27">
        <v>0</v>
      </c>
      <c r="Y22" s="27">
        <f t="shared" si="10"/>
        <v>0</v>
      </c>
      <c r="Z22" s="27">
        <f t="shared" si="8"/>
        <v>0</v>
      </c>
    </row>
    <row r="23" spans="1:26">
      <c r="A23" s="52">
        <f t="shared" si="9"/>
        <v>10</v>
      </c>
      <c r="C23" s="589">
        <v>5.8999999999999997E-2</v>
      </c>
      <c r="D23" s="61">
        <v>5.8999999999999997E-2</v>
      </c>
      <c r="E23" s="528">
        <v>7</v>
      </c>
      <c r="G23" s="52">
        <v>7</v>
      </c>
      <c r="H23" s="27">
        <f t="shared" si="6"/>
        <v>0</v>
      </c>
      <c r="I23" s="27">
        <f t="shared" si="0"/>
        <v>0</v>
      </c>
      <c r="J23" s="27">
        <f>'202007 Bk Depr'!$L$34</f>
        <v>0</v>
      </c>
      <c r="K23" s="27">
        <f>'202007 Bk Depr'!P14</f>
        <v>0</v>
      </c>
      <c r="L23" s="27">
        <f t="shared" si="1"/>
        <v>0</v>
      </c>
      <c r="M23" s="27">
        <f>L23*0.21</f>
        <v>0</v>
      </c>
      <c r="N23" s="27">
        <f t="shared" si="3"/>
        <v>0</v>
      </c>
      <c r="O23" s="27">
        <f>-N23*0.21</f>
        <v>0</v>
      </c>
      <c r="P23" s="27">
        <v>0</v>
      </c>
      <c r="Q23" s="27">
        <f t="shared" si="5"/>
        <v>0</v>
      </c>
      <c r="R23" s="27">
        <f t="shared" si="7"/>
        <v>0</v>
      </c>
      <c r="S23" s="27" t="s">
        <v>556</v>
      </c>
      <c r="T23" s="27">
        <f>T22+R23*154/366</f>
        <v>0</v>
      </c>
      <c r="W23" s="27">
        <f>W22+(((('202007 Bk Depr'!$L$14-(1/12*$H$13))*$C$17))/6)</f>
        <v>0</v>
      </c>
      <c r="X23" s="27">
        <v>0</v>
      </c>
      <c r="Y23" s="27">
        <f t="shared" si="10"/>
        <v>0</v>
      </c>
      <c r="Z23" s="27">
        <f t="shared" si="8"/>
        <v>0</v>
      </c>
    </row>
    <row r="24" spans="1:26">
      <c r="A24" s="52">
        <f t="shared" si="9"/>
        <v>11</v>
      </c>
      <c r="C24" s="589">
        <v>5.8999999999999997E-2</v>
      </c>
      <c r="D24" s="61">
        <v>5.8999999999999997E-2</v>
      </c>
      <c r="E24" s="528">
        <v>8</v>
      </c>
      <c r="G24" s="52">
        <v>8</v>
      </c>
      <c r="H24" s="27">
        <f t="shared" si="6"/>
        <v>0</v>
      </c>
      <c r="I24" s="27">
        <f t="shared" si="0"/>
        <v>0</v>
      </c>
      <c r="J24" s="27">
        <f>'202008 Bk Depr'!$L$34</f>
        <v>0</v>
      </c>
      <c r="K24" s="27">
        <f>'202008 Bk Depr'!P14</f>
        <v>0</v>
      </c>
      <c r="L24" s="27">
        <f t="shared" si="1"/>
        <v>0</v>
      </c>
      <c r="M24" s="27">
        <f t="shared" ref="M24:M28" si="11">L24*0.21</f>
        <v>0</v>
      </c>
      <c r="N24" s="27">
        <f t="shared" si="3"/>
        <v>0</v>
      </c>
      <c r="O24" s="27">
        <f t="shared" ref="O24:O28" si="12">-N24*0.21</f>
        <v>0</v>
      </c>
      <c r="P24" s="27">
        <v>0</v>
      </c>
      <c r="Q24" s="27">
        <f t="shared" si="5"/>
        <v>0</v>
      </c>
      <c r="R24" s="27">
        <f t="shared" si="7"/>
        <v>0</v>
      </c>
      <c r="S24" s="27" t="s">
        <v>557</v>
      </c>
      <c r="T24" s="27">
        <f>T23+R24*123/366</f>
        <v>0</v>
      </c>
      <c r="W24" s="27">
        <f>W23+(((('202008 Bk Depr'!$L$14-(1/12*$H$13))*$C$17))/5)</f>
        <v>0</v>
      </c>
      <c r="X24" s="27">
        <v>0</v>
      </c>
      <c r="Y24" s="27">
        <f t="shared" si="10"/>
        <v>0</v>
      </c>
      <c r="Z24" s="27">
        <f t="shared" si="8"/>
        <v>0</v>
      </c>
    </row>
    <row r="25" spans="1:26">
      <c r="A25" s="52">
        <f t="shared" si="9"/>
        <v>12</v>
      </c>
      <c r="C25" s="589">
        <v>5.91E-2</v>
      </c>
      <c r="D25" s="61">
        <v>5.91E-2</v>
      </c>
      <c r="E25" s="528">
        <v>9</v>
      </c>
      <c r="G25" s="52">
        <v>9</v>
      </c>
      <c r="H25" s="27">
        <f t="shared" si="6"/>
        <v>0</v>
      </c>
      <c r="I25" s="27">
        <f t="shared" si="0"/>
        <v>0</v>
      </c>
      <c r="J25" s="27">
        <f>'202009 Bk Depr'!$L$34</f>
        <v>0</v>
      </c>
      <c r="K25" s="27">
        <f>'202009 Bk Depr'!P14</f>
        <v>0</v>
      </c>
      <c r="L25" s="27">
        <f t="shared" si="1"/>
        <v>0</v>
      </c>
      <c r="M25" s="27">
        <f t="shared" si="11"/>
        <v>0</v>
      </c>
      <c r="N25" s="27">
        <f t="shared" si="3"/>
        <v>0</v>
      </c>
      <c r="O25" s="27">
        <f t="shared" si="12"/>
        <v>0</v>
      </c>
      <c r="P25" s="27">
        <v>0</v>
      </c>
      <c r="Q25" s="27">
        <f t="shared" si="5"/>
        <v>0</v>
      </c>
      <c r="R25" s="27">
        <f t="shared" si="7"/>
        <v>0</v>
      </c>
      <c r="S25" s="27" t="s">
        <v>558</v>
      </c>
      <c r="T25" s="27">
        <f>T24+R25*93/366</f>
        <v>0</v>
      </c>
      <c r="W25" s="27">
        <f>W24+(((('202009 Bk Depr'!$L$14-(1/12*$H$13))*$C$17))/4)</f>
        <v>0</v>
      </c>
      <c r="X25" s="27">
        <v>0</v>
      </c>
      <c r="Y25" s="27">
        <f t="shared" si="10"/>
        <v>0</v>
      </c>
      <c r="Z25" s="27">
        <f t="shared" si="8"/>
        <v>0</v>
      </c>
    </row>
    <row r="26" spans="1:26">
      <c r="A26" s="52">
        <f t="shared" si="9"/>
        <v>13</v>
      </c>
      <c r="C26" s="589">
        <v>5.8999999999999997E-2</v>
      </c>
      <c r="D26" s="61">
        <v>5.8999999999999997E-2</v>
      </c>
      <c r="E26" s="528">
        <v>10</v>
      </c>
      <c r="G26" s="52">
        <v>10</v>
      </c>
      <c r="H26" s="27">
        <f t="shared" si="6"/>
        <v>0</v>
      </c>
      <c r="I26" s="27">
        <f>SUM(H26:H26)</f>
        <v>0</v>
      </c>
      <c r="J26" s="27">
        <f>'202010 Bk Depr'!$L$34</f>
        <v>0</v>
      </c>
      <c r="K26" s="27">
        <f>'202010 Bk Depr'!P14</f>
        <v>0</v>
      </c>
      <c r="L26" s="27">
        <f t="shared" si="1"/>
        <v>0</v>
      </c>
      <c r="M26" s="27">
        <f t="shared" si="11"/>
        <v>0</v>
      </c>
      <c r="N26" s="27">
        <f t="shared" si="3"/>
        <v>0</v>
      </c>
      <c r="O26" s="27">
        <f t="shared" si="12"/>
        <v>0</v>
      </c>
      <c r="P26" s="27">
        <v>0</v>
      </c>
      <c r="Q26" s="27">
        <f>Q25+M26+N26+O26+P26</f>
        <v>0</v>
      </c>
      <c r="R26" s="27">
        <f t="shared" si="7"/>
        <v>0</v>
      </c>
      <c r="S26" s="27" t="s">
        <v>559</v>
      </c>
      <c r="T26" s="27">
        <f>T25+R26*62/366</f>
        <v>0</v>
      </c>
      <c r="W26" s="27">
        <f>W25+(((('202010 Bk Depr'!$L$14-(1/12*$H$13))*$C$17))*10/12)</f>
        <v>0</v>
      </c>
      <c r="X26" s="27">
        <v>0</v>
      </c>
      <c r="Y26" s="27">
        <f t="shared" si="10"/>
        <v>0</v>
      </c>
      <c r="Z26" s="27">
        <f t="shared" si="8"/>
        <v>0</v>
      </c>
    </row>
    <row r="27" spans="1:26">
      <c r="A27" s="52">
        <f t="shared" si="9"/>
        <v>14</v>
      </c>
      <c r="C27" s="589">
        <v>5.91E-2</v>
      </c>
      <c r="D27" s="61">
        <v>5.91E-2</v>
      </c>
      <c r="E27" s="528">
        <v>11</v>
      </c>
      <c r="G27" s="52">
        <v>11</v>
      </c>
      <c r="H27" s="27">
        <f t="shared" si="6"/>
        <v>0</v>
      </c>
      <c r="I27" s="27">
        <f t="shared" si="0"/>
        <v>0</v>
      </c>
      <c r="J27" s="27">
        <f>'202011 Bk Depr'!$L$34</f>
        <v>0</v>
      </c>
      <c r="K27" s="27">
        <f>'202011 Bk Depr'!P14</f>
        <v>0</v>
      </c>
      <c r="L27" s="27">
        <f t="shared" si="1"/>
        <v>0</v>
      </c>
      <c r="M27" s="27">
        <f t="shared" si="11"/>
        <v>0</v>
      </c>
      <c r="N27" s="27">
        <f t="shared" si="3"/>
        <v>0</v>
      </c>
      <c r="O27" s="27">
        <f t="shared" si="12"/>
        <v>0</v>
      </c>
      <c r="P27" s="27">
        <v>0</v>
      </c>
      <c r="Q27" s="27">
        <f t="shared" si="5"/>
        <v>0</v>
      </c>
      <c r="R27" s="27">
        <f t="shared" si="7"/>
        <v>0</v>
      </c>
      <c r="S27" s="27" t="s">
        <v>560</v>
      </c>
      <c r="T27" s="27">
        <f>T26+R27*32/366</f>
        <v>0</v>
      </c>
      <c r="W27" s="27">
        <f>(((('202010 Bk Depr'!$L$14+'202011 Bk Depr'!$L$14-(1/12*$H$13))*$C$17))*11/12)-W26</f>
        <v>0</v>
      </c>
      <c r="X27" s="27">
        <v>0</v>
      </c>
      <c r="Y27" s="27">
        <f t="shared" si="10"/>
        <v>0</v>
      </c>
      <c r="Z27" s="27">
        <f t="shared" si="8"/>
        <v>0</v>
      </c>
    </row>
    <row r="28" spans="1:26">
      <c r="A28" s="52">
        <f t="shared" si="9"/>
        <v>15</v>
      </c>
      <c r="C28" s="589">
        <v>5.8999999999999997E-2</v>
      </c>
      <c r="D28" s="61">
        <v>5.8999999999999997E-2</v>
      </c>
      <c r="E28" s="528">
        <v>12</v>
      </c>
      <c r="G28" s="52">
        <v>12</v>
      </c>
      <c r="H28" s="27">
        <f t="shared" si="6"/>
        <v>0</v>
      </c>
      <c r="I28" s="27">
        <f t="shared" si="0"/>
        <v>0</v>
      </c>
      <c r="J28" s="27">
        <f>'202012 Bk Depr'!$L$34</f>
        <v>0</v>
      </c>
      <c r="K28" s="27">
        <f>'202012 Bk Depr'!P14</f>
        <v>0</v>
      </c>
      <c r="L28" s="27">
        <f t="shared" si="1"/>
        <v>0</v>
      </c>
      <c r="M28" s="27">
        <f t="shared" si="11"/>
        <v>0</v>
      </c>
      <c r="N28" s="27">
        <f t="shared" si="3"/>
        <v>0</v>
      </c>
      <c r="O28" s="27">
        <f t="shared" si="12"/>
        <v>0</v>
      </c>
      <c r="P28" s="27">
        <v>0</v>
      </c>
      <c r="Q28" s="27">
        <f t="shared" si="5"/>
        <v>0</v>
      </c>
      <c r="R28" s="27">
        <f t="shared" si="7"/>
        <v>0</v>
      </c>
      <c r="S28" s="27" t="s">
        <v>550</v>
      </c>
      <c r="T28" s="27">
        <f>T27+R28*1/366</f>
        <v>0</v>
      </c>
      <c r="W28" s="27">
        <f>(('202010 Bk Depr'!$L$14+'202011 Bk Depr'!$L$14+'202012 Bk Depr'!$L$14-(1/12*$H$13))*$C$17)-W27-W26</f>
        <v>0</v>
      </c>
      <c r="X28" s="27">
        <v>0</v>
      </c>
      <c r="Y28" s="27">
        <f t="shared" si="10"/>
        <v>0</v>
      </c>
      <c r="Z28" s="27">
        <f t="shared" si="8"/>
        <v>0</v>
      </c>
    </row>
    <row r="29" spans="1:26">
      <c r="A29" s="52">
        <f t="shared" si="9"/>
        <v>16</v>
      </c>
      <c r="C29" s="589">
        <v>5.91E-2</v>
      </c>
      <c r="D29" s="61">
        <v>5.91E-2</v>
      </c>
      <c r="E29" s="528">
        <v>13</v>
      </c>
      <c r="H29" s="27"/>
      <c r="I29" s="27"/>
      <c r="J29" s="27"/>
      <c r="K29" s="27"/>
      <c r="L29" s="27"/>
      <c r="M29" s="27"/>
      <c r="N29" s="27"/>
      <c r="O29" s="27"/>
      <c r="P29" s="27" t="str">
        <f t="shared" ref="P29:P43" si="13">IF(O29="","",O29*0.389)</f>
        <v/>
      </c>
      <c r="Q29" s="62"/>
      <c r="T29" s="27"/>
    </row>
    <row r="30" spans="1:26">
      <c r="A30" s="52">
        <f t="shared" si="9"/>
        <v>17</v>
      </c>
      <c r="C30" s="589">
        <v>5.8999999999999997E-2</v>
      </c>
      <c r="D30" s="61">
        <v>5.8999999999999997E-2</v>
      </c>
      <c r="E30" s="528">
        <v>14</v>
      </c>
      <c r="H30" s="27"/>
      <c r="I30" s="27"/>
      <c r="J30" s="27"/>
      <c r="K30" s="27"/>
      <c r="L30" s="27"/>
      <c r="M30" s="27"/>
      <c r="N30" s="27"/>
      <c r="O30" s="27"/>
      <c r="P30" s="27" t="str">
        <f t="shared" si="13"/>
        <v/>
      </c>
      <c r="Q30" s="27" t="str">
        <f t="shared" ref="Q30:Q43" si="14">IF(M30="","",Q29+M30)</f>
        <v/>
      </c>
    </row>
    <row r="31" spans="1:26">
      <c r="A31" s="52">
        <f t="shared" si="9"/>
        <v>18</v>
      </c>
      <c r="C31" s="589">
        <v>5.91E-2</v>
      </c>
      <c r="D31" s="61">
        <v>5.91E-2</v>
      </c>
      <c r="E31" s="528">
        <v>15</v>
      </c>
      <c r="H31" s="27"/>
      <c r="I31" s="27"/>
      <c r="J31" s="27"/>
      <c r="K31" s="27"/>
      <c r="L31" s="27"/>
      <c r="M31" s="27"/>
      <c r="N31" s="27"/>
      <c r="O31" s="27"/>
      <c r="P31" s="27" t="str">
        <f t="shared" si="13"/>
        <v/>
      </c>
      <c r="Q31" s="27" t="str">
        <f t="shared" si="14"/>
        <v/>
      </c>
    </row>
    <row r="32" spans="1:26">
      <c r="A32" s="52">
        <f t="shared" si="9"/>
        <v>19</v>
      </c>
      <c r="C32" s="589">
        <v>2.9499999999999998E-2</v>
      </c>
      <c r="D32" s="61">
        <v>2.9499999999999998E-2</v>
      </c>
      <c r="E32" s="528">
        <v>16</v>
      </c>
      <c r="H32" s="27"/>
      <c r="I32" s="27"/>
      <c r="J32" s="27"/>
      <c r="K32" s="27"/>
      <c r="L32" s="27"/>
      <c r="M32" s="27"/>
      <c r="N32" s="27"/>
      <c r="O32" s="27"/>
      <c r="P32" s="27" t="str">
        <f t="shared" si="13"/>
        <v/>
      </c>
      <c r="Q32" s="27" t="str">
        <f t="shared" si="14"/>
        <v/>
      </c>
    </row>
    <row r="33" spans="1:17">
      <c r="A33" s="52">
        <f t="shared" si="9"/>
        <v>20</v>
      </c>
      <c r="C33" s="61">
        <v>0</v>
      </c>
      <c r="D33" s="61">
        <v>0</v>
      </c>
      <c r="E33" s="528">
        <v>17</v>
      </c>
      <c r="H33" s="27"/>
      <c r="I33" s="27"/>
      <c r="J33" s="27"/>
      <c r="K33" s="27"/>
      <c r="L33" s="27"/>
      <c r="M33" s="27"/>
      <c r="N33" s="27"/>
      <c r="O33" s="27"/>
      <c r="P33" s="27" t="str">
        <f t="shared" si="13"/>
        <v/>
      </c>
      <c r="Q33" s="27" t="str">
        <f t="shared" si="14"/>
        <v/>
      </c>
    </row>
    <row r="34" spans="1:17">
      <c r="A34" s="52">
        <f t="shared" si="9"/>
        <v>21</v>
      </c>
      <c r="C34" s="61">
        <v>0</v>
      </c>
      <c r="D34" s="61">
        <v>0</v>
      </c>
      <c r="E34" s="528">
        <v>18</v>
      </c>
      <c r="H34" s="27"/>
      <c r="I34" s="27"/>
      <c r="J34" s="27"/>
      <c r="K34" s="27"/>
      <c r="L34" s="27"/>
      <c r="M34" s="27"/>
      <c r="N34" s="27"/>
      <c r="O34" s="27"/>
      <c r="P34" s="27" t="str">
        <f t="shared" si="13"/>
        <v/>
      </c>
      <c r="Q34" s="27" t="str">
        <f t="shared" si="14"/>
        <v/>
      </c>
    </row>
    <row r="35" spans="1:17">
      <c r="A35" s="52">
        <f t="shared" si="9"/>
        <v>22</v>
      </c>
      <c r="C35" s="61">
        <v>0</v>
      </c>
      <c r="D35" s="61">
        <v>0</v>
      </c>
      <c r="E35" s="528">
        <v>19</v>
      </c>
      <c r="H35" s="27"/>
      <c r="I35" s="27"/>
      <c r="J35" s="27"/>
      <c r="K35" s="27"/>
      <c r="L35" s="27"/>
      <c r="M35" s="27"/>
      <c r="N35" s="27"/>
      <c r="O35" s="27"/>
      <c r="P35" s="27" t="str">
        <f t="shared" si="13"/>
        <v/>
      </c>
      <c r="Q35" s="27" t="str">
        <f t="shared" si="14"/>
        <v/>
      </c>
    </row>
    <row r="36" spans="1:17">
      <c r="A36" s="52">
        <f t="shared" si="9"/>
        <v>23</v>
      </c>
      <c r="C36" s="61">
        <v>0</v>
      </c>
      <c r="D36" s="61">
        <v>0</v>
      </c>
      <c r="E36" s="528">
        <v>20</v>
      </c>
      <c r="H36" s="27"/>
      <c r="I36" s="27"/>
      <c r="J36" s="27"/>
      <c r="K36" s="27"/>
      <c r="L36" s="27"/>
      <c r="M36" s="27"/>
      <c r="N36" s="27"/>
      <c r="O36" s="27"/>
      <c r="P36" s="27" t="str">
        <f t="shared" si="13"/>
        <v/>
      </c>
      <c r="Q36" s="27" t="str">
        <f t="shared" si="14"/>
        <v/>
      </c>
    </row>
    <row r="37" spans="1:17">
      <c r="A37" s="52">
        <f t="shared" si="9"/>
        <v>24</v>
      </c>
      <c r="C37" s="61">
        <v>0</v>
      </c>
      <c r="D37" s="61">
        <v>0</v>
      </c>
      <c r="E37" s="528">
        <v>21</v>
      </c>
      <c r="H37" s="27"/>
      <c r="I37" s="27"/>
      <c r="J37" s="27"/>
      <c r="K37" s="27"/>
      <c r="L37" s="27"/>
      <c r="M37" s="27"/>
      <c r="N37" s="27"/>
      <c r="O37" s="27"/>
      <c r="P37" s="27" t="str">
        <f t="shared" si="13"/>
        <v/>
      </c>
      <c r="Q37" s="27" t="str">
        <f t="shared" si="14"/>
        <v/>
      </c>
    </row>
    <row r="38" spans="1:17">
      <c r="A38" s="52">
        <f t="shared" si="9"/>
        <v>25</v>
      </c>
      <c r="C38" s="61">
        <v>0</v>
      </c>
      <c r="D38" s="61">
        <v>0</v>
      </c>
      <c r="E38" s="528">
        <v>22</v>
      </c>
      <c r="H38" s="27"/>
      <c r="I38" s="27"/>
      <c r="J38" s="27"/>
      <c r="K38" s="27"/>
      <c r="L38" s="27"/>
      <c r="M38" s="27"/>
      <c r="N38" s="27"/>
      <c r="O38" s="27"/>
      <c r="P38" s="27" t="str">
        <f t="shared" si="13"/>
        <v/>
      </c>
      <c r="Q38" s="27" t="str">
        <f t="shared" si="14"/>
        <v/>
      </c>
    </row>
    <row r="39" spans="1:17">
      <c r="A39" s="52">
        <f t="shared" si="9"/>
        <v>26</v>
      </c>
      <c r="C39" s="61">
        <v>0</v>
      </c>
      <c r="E39" s="528">
        <v>23</v>
      </c>
      <c r="H39" s="27"/>
      <c r="I39" s="27"/>
      <c r="L39" s="27"/>
      <c r="M39" s="27"/>
      <c r="N39" s="27"/>
      <c r="O39" s="27"/>
      <c r="P39" s="27" t="str">
        <f t="shared" si="13"/>
        <v/>
      </c>
      <c r="Q39" s="27" t="str">
        <f t="shared" si="14"/>
        <v/>
      </c>
    </row>
    <row r="40" spans="1:17">
      <c r="A40" s="52">
        <f t="shared" si="9"/>
        <v>27</v>
      </c>
      <c r="C40" s="61">
        <v>0</v>
      </c>
      <c r="E40" s="528">
        <v>24</v>
      </c>
      <c r="H40" s="27"/>
      <c r="I40" s="27"/>
      <c r="L40" s="27"/>
      <c r="M40" s="27"/>
      <c r="N40" s="27"/>
      <c r="O40" s="27"/>
      <c r="P40" s="27" t="str">
        <f t="shared" si="13"/>
        <v/>
      </c>
      <c r="Q40" s="27" t="str">
        <f t="shared" si="14"/>
        <v/>
      </c>
    </row>
    <row r="41" spans="1:17">
      <c r="A41" s="52">
        <f t="shared" si="9"/>
        <v>28</v>
      </c>
      <c r="C41" s="61">
        <v>0</v>
      </c>
      <c r="E41" s="528">
        <v>25</v>
      </c>
      <c r="H41" s="27"/>
      <c r="I41" s="27"/>
      <c r="L41" s="27"/>
      <c r="M41" s="27"/>
      <c r="N41" s="27"/>
      <c r="O41" s="27"/>
      <c r="P41" s="27" t="str">
        <f t="shared" si="13"/>
        <v/>
      </c>
      <c r="Q41" s="27" t="str">
        <f t="shared" si="14"/>
        <v/>
      </c>
    </row>
    <row r="42" spans="1:17">
      <c r="A42" s="52">
        <f t="shared" si="9"/>
        <v>29</v>
      </c>
      <c r="C42" s="61">
        <v>0</v>
      </c>
      <c r="E42" s="528">
        <v>26</v>
      </c>
      <c r="H42" s="27"/>
      <c r="I42" s="27"/>
      <c r="L42" s="27"/>
      <c r="M42" s="27"/>
      <c r="N42" s="27"/>
      <c r="O42" s="27"/>
      <c r="P42" s="27" t="str">
        <f t="shared" si="13"/>
        <v/>
      </c>
      <c r="Q42" s="27" t="str">
        <f t="shared" si="14"/>
        <v/>
      </c>
    </row>
    <row r="43" spans="1:17">
      <c r="A43" s="52">
        <f t="shared" si="9"/>
        <v>30</v>
      </c>
      <c r="C43" s="61">
        <v>0</v>
      </c>
      <c r="E43" s="528">
        <v>27</v>
      </c>
      <c r="I43" s="27"/>
      <c r="L43" s="27"/>
      <c r="M43" s="27"/>
      <c r="N43" s="27"/>
      <c r="O43" s="27"/>
      <c r="P43" s="27" t="str">
        <f t="shared" si="13"/>
        <v/>
      </c>
      <c r="Q43" s="27" t="str">
        <f t="shared" si="14"/>
        <v/>
      </c>
    </row>
    <row r="44" spans="1:17">
      <c r="A44" s="52">
        <f t="shared" si="9"/>
        <v>31</v>
      </c>
      <c r="E44" s="504"/>
      <c r="H44" s="27">
        <f>SUM(H17:H43)</f>
        <v>0</v>
      </c>
      <c r="I44" s="27">
        <f t="shared" ref="I44:P44" si="15">SUM(I17:I43)</f>
        <v>0</v>
      </c>
      <c r="J44" s="27">
        <f t="shared" si="15"/>
        <v>0</v>
      </c>
      <c r="K44" s="27">
        <f t="shared" si="15"/>
        <v>0</v>
      </c>
      <c r="L44" s="27">
        <f t="shared" si="15"/>
        <v>0</v>
      </c>
      <c r="M44" s="27">
        <f t="shared" si="15"/>
        <v>0</v>
      </c>
      <c r="N44" s="27">
        <f t="shared" si="15"/>
        <v>0</v>
      </c>
      <c r="O44" s="27">
        <f t="shared" si="15"/>
        <v>0</v>
      </c>
      <c r="P44" s="27">
        <f t="shared" si="15"/>
        <v>0</v>
      </c>
      <c r="Q44" s="27">
        <f>AVERAGE(Q16:Q28)</f>
        <v>0</v>
      </c>
    </row>
    <row r="45" spans="1:17">
      <c r="E45" s="504"/>
      <c r="I45" s="27"/>
      <c r="J45" s="27"/>
      <c r="K45" s="27"/>
      <c r="Q45" s="27"/>
    </row>
    <row r="46" spans="1:17">
      <c r="B46" s="60" t="s">
        <v>166</v>
      </c>
      <c r="C46" s="52" t="s">
        <v>718</v>
      </c>
      <c r="D46" s="245"/>
      <c r="E46" s="504"/>
      <c r="N46" s="48"/>
      <c r="O46" s="48"/>
      <c r="P46" s="48"/>
    </row>
    <row r="47" spans="1:17">
      <c r="A47" s="54"/>
      <c r="B47" s="54"/>
      <c r="C47" s="54"/>
      <c r="D47" s="54" t="s">
        <v>24</v>
      </c>
      <c r="E47" s="503"/>
      <c r="F47" s="54"/>
      <c r="G47" s="54"/>
      <c r="H47" s="54"/>
      <c r="I47" s="54"/>
      <c r="J47" s="54"/>
      <c r="K47" s="54"/>
      <c r="L47" s="54"/>
      <c r="M47" s="54"/>
      <c r="N47" s="49"/>
      <c r="O47" s="49"/>
      <c r="P47" s="49"/>
      <c r="Q47" s="54"/>
    </row>
    <row r="48" spans="1:17" ht="25.5">
      <c r="A48" s="54"/>
      <c r="B48" s="54"/>
      <c r="C48" s="55"/>
      <c r="D48" s="54" t="s">
        <v>25</v>
      </c>
      <c r="E48" s="522" t="s">
        <v>598</v>
      </c>
      <c r="F48" s="54"/>
      <c r="G48" s="54"/>
      <c r="H48" s="54">
        <v>2020</v>
      </c>
      <c r="I48" s="54"/>
      <c r="J48" s="54" t="s">
        <v>35</v>
      </c>
      <c r="K48" s="54"/>
      <c r="L48" s="54"/>
      <c r="M48" s="55" t="s">
        <v>182</v>
      </c>
      <c r="Q48" s="49"/>
    </row>
    <row r="49" spans="1:17">
      <c r="A49" s="54" t="s">
        <v>4</v>
      </c>
      <c r="B49" s="54"/>
      <c r="C49" s="54"/>
      <c r="D49" s="54" t="s">
        <v>26</v>
      </c>
      <c r="E49" s="523" t="s">
        <v>599</v>
      </c>
      <c r="F49" s="54"/>
      <c r="G49" s="54"/>
      <c r="H49" s="54" t="s">
        <v>31</v>
      </c>
      <c r="I49" s="54" t="s">
        <v>34</v>
      </c>
      <c r="J49" s="54" t="s">
        <v>36</v>
      </c>
      <c r="K49" s="54" t="s">
        <v>38</v>
      </c>
      <c r="L49" s="54"/>
      <c r="M49" s="54" t="s">
        <v>34</v>
      </c>
      <c r="Q49" s="49"/>
    </row>
    <row r="50" spans="1:17">
      <c r="A50" s="458" t="s">
        <v>5</v>
      </c>
      <c r="B50" s="458"/>
      <c r="C50" s="458"/>
      <c r="D50" s="458" t="s">
        <v>2</v>
      </c>
      <c r="E50" s="524" t="s">
        <v>600</v>
      </c>
      <c r="F50" s="458"/>
      <c r="G50" s="458" t="s">
        <v>108</v>
      </c>
      <c r="H50" s="458" t="s">
        <v>20</v>
      </c>
      <c r="I50" s="458" t="s">
        <v>0</v>
      </c>
      <c r="J50" s="458" t="s">
        <v>37</v>
      </c>
      <c r="K50" s="458" t="s">
        <v>0</v>
      </c>
      <c r="L50" s="458" t="s">
        <v>39</v>
      </c>
      <c r="M50" s="56" t="s">
        <v>494</v>
      </c>
      <c r="Q50" s="49"/>
    </row>
    <row r="51" spans="1:17">
      <c r="C51" s="57"/>
      <c r="D51" s="57" t="s">
        <v>71</v>
      </c>
      <c r="E51" s="525"/>
      <c r="F51" s="58"/>
      <c r="G51" s="58"/>
      <c r="H51" s="526" t="s">
        <v>166</v>
      </c>
      <c r="Q51" s="50"/>
    </row>
    <row r="52" spans="1:17">
      <c r="A52" s="52">
        <v>1</v>
      </c>
      <c r="C52" s="57" t="s">
        <v>71</v>
      </c>
      <c r="D52" s="59"/>
      <c r="E52" s="525"/>
      <c r="H52" s="27">
        <f>H11</f>
        <v>0</v>
      </c>
      <c r="I52" s="62"/>
      <c r="Q52" s="50"/>
    </row>
    <row r="53" spans="1:17">
      <c r="A53" s="52">
        <v>2</v>
      </c>
      <c r="C53" s="57" t="s">
        <v>74</v>
      </c>
      <c r="D53" s="59"/>
      <c r="E53" s="525"/>
      <c r="H53" s="27">
        <f>H12</f>
        <v>0</v>
      </c>
      <c r="Q53" s="50"/>
    </row>
    <row r="54" spans="1:17">
      <c r="A54" s="52">
        <v>3</v>
      </c>
      <c r="C54" s="57" t="s">
        <v>185</v>
      </c>
      <c r="D54" s="59"/>
      <c r="E54" s="525"/>
      <c r="H54" s="27"/>
      <c r="Q54" s="50"/>
    </row>
    <row r="55" spans="1:17">
      <c r="C55" s="59"/>
      <c r="E55" s="526"/>
      <c r="Q55" s="50"/>
    </row>
    <row r="56" spans="1:17">
      <c r="C56" s="523" t="s">
        <v>604</v>
      </c>
      <c r="E56" s="527"/>
      <c r="H56" s="195"/>
      <c r="I56" s="195"/>
      <c r="J56" s="195"/>
      <c r="K56" s="244"/>
      <c r="Q56" s="50"/>
    </row>
    <row r="57" spans="1:17">
      <c r="C57" s="523" t="s">
        <v>605</v>
      </c>
      <c r="E57" s="527"/>
      <c r="H57" s="526" t="s">
        <v>166</v>
      </c>
      <c r="Q57" s="51"/>
    </row>
    <row r="58" spans="1:17">
      <c r="A58" s="52">
        <f>A54+1</f>
        <v>4</v>
      </c>
      <c r="C58" s="589">
        <v>0.05</v>
      </c>
      <c r="D58" s="61">
        <v>0.05</v>
      </c>
      <c r="E58" s="528">
        <v>1</v>
      </c>
      <c r="G58" s="52">
        <v>1</v>
      </c>
      <c r="H58" s="27">
        <f t="shared" ref="H58:H69" si="16">H17</f>
        <v>0</v>
      </c>
      <c r="I58" s="27">
        <f t="shared" ref="I58:I69" si="17">SUM(H58:H58)</f>
        <v>0</v>
      </c>
      <c r="J58" s="27">
        <f t="shared" ref="J58:K69" si="18">J17</f>
        <v>0</v>
      </c>
      <c r="K58" s="27">
        <f t="shared" si="18"/>
        <v>0</v>
      </c>
      <c r="L58" s="27">
        <f t="shared" ref="L58:L69" si="19">I58+J58-K58</f>
        <v>0</v>
      </c>
      <c r="M58" s="27">
        <f>L58*0.05</f>
        <v>0</v>
      </c>
      <c r="Q58" s="51"/>
    </row>
    <row r="59" spans="1:17">
      <c r="A59" s="52">
        <f>A58+1</f>
        <v>5</v>
      </c>
      <c r="C59" s="589">
        <v>9.5000000000000001E-2</v>
      </c>
      <c r="D59" s="61">
        <v>9.5000000000000001E-2</v>
      </c>
      <c r="E59" s="528">
        <v>2</v>
      </c>
      <c r="G59" s="52">
        <v>2</v>
      </c>
      <c r="H59" s="27">
        <f t="shared" si="16"/>
        <v>0</v>
      </c>
      <c r="I59" s="27">
        <f t="shared" si="17"/>
        <v>0</v>
      </c>
      <c r="J59" s="27">
        <f t="shared" si="18"/>
        <v>0</v>
      </c>
      <c r="K59" s="27">
        <f t="shared" si="18"/>
        <v>0</v>
      </c>
      <c r="L59" s="27">
        <f t="shared" si="19"/>
        <v>0</v>
      </c>
      <c r="M59" s="27">
        <f t="shared" ref="M59:M69" si="20">L59*0.05</f>
        <v>0</v>
      </c>
      <c r="Q59" s="51"/>
    </row>
    <row r="60" spans="1:17">
      <c r="A60" s="52">
        <f t="shared" ref="A60:A85" si="21">A59+1</f>
        <v>6</v>
      </c>
      <c r="C60" s="589">
        <v>8.5500000000000007E-2</v>
      </c>
      <c r="D60" s="61">
        <v>8.5500000000000007E-2</v>
      </c>
      <c r="E60" s="528">
        <v>3</v>
      </c>
      <c r="G60" s="52">
        <v>3</v>
      </c>
      <c r="H60" s="27">
        <f t="shared" si="16"/>
        <v>0</v>
      </c>
      <c r="I60" s="27">
        <f t="shared" si="17"/>
        <v>0</v>
      </c>
      <c r="J60" s="27">
        <f t="shared" si="18"/>
        <v>0</v>
      </c>
      <c r="K60" s="27">
        <f t="shared" si="18"/>
        <v>0</v>
      </c>
      <c r="L60" s="27">
        <f t="shared" si="19"/>
        <v>0</v>
      </c>
      <c r="M60" s="27">
        <f t="shared" si="20"/>
        <v>0</v>
      </c>
      <c r="Q60" s="51"/>
    </row>
    <row r="61" spans="1:17">
      <c r="A61" s="52">
        <f t="shared" si="21"/>
        <v>7</v>
      </c>
      <c r="C61" s="589">
        <v>7.6999999999999999E-2</v>
      </c>
      <c r="D61" s="61">
        <v>7.6999999999999999E-2</v>
      </c>
      <c r="E61" s="528">
        <v>4</v>
      </c>
      <c r="G61" s="52">
        <v>4</v>
      </c>
      <c r="H61" s="27">
        <f t="shared" si="16"/>
        <v>0</v>
      </c>
      <c r="I61" s="27">
        <f t="shared" si="17"/>
        <v>0</v>
      </c>
      <c r="J61" s="27">
        <f t="shared" si="18"/>
        <v>0</v>
      </c>
      <c r="K61" s="27">
        <f t="shared" si="18"/>
        <v>0</v>
      </c>
      <c r="L61" s="27">
        <f t="shared" si="19"/>
        <v>0</v>
      </c>
      <c r="M61" s="27">
        <f t="shared" si="20"/>
        <v>0</v>
      </c>
      <c r="Q61" s="51"/>
    </row>
    <row r="62" spans="1:17">
      <c r="A62" s="52">
        <f t="shared" si="21"/>
        <v>8</v>
      </c>
      <c r="C62" s="589">
        <v>6.93E-2</v>
      </c>
      <c r="D62" s="61">
        <v>6.93E-2</v>
      </c>
      <c r="E62" s="528">
        <v>5</v>
      </c>
      <c r="G62" s="52">
        <v>5</v>
      </c>
      <c r="H62" s="27">
        <f t="shared" si="16"/>
        <v>0</v>
      </c>
      <c r="I62" s="27">
        <f t="shared" si="17"/>
        <v>0</v>
      </c>
      <c r="J62" s="27">
        <f t="shared" si="18"/>
        <v>0</v>
      </c>
      <c r="K62" s="27">
        <f t="shared" si="18"/>
        <v>0</v>
      </c>
      <c r="L62" s="27">
        <f t="shared" si="19"/>
        <v>0</v>
      </c>
      <c r="M62" s="27">
        <f t="shared" si="20"/>
        <v>0</v>
      </c>
      <c r="Q62" s="51"/>
    </row>
    <row r="63" spans="1:17">
      <c r="A63" s="52">
        <f t="shared" si="21"/>
        <v>9</v>
      </c>
      <c r="C63" s="589">
        <v>6.2300000000000001E-2</v>
      </c>
      <c r="D63" s="61">
        <v>6.2300000000000001E-2</v>
      </c>
      <c r="E63" s="528">
        <v>6</v>
      </c>
      <c r="G63" s="52">
        <v>6</v>
      </c>
      <c r="H63" s="27">
        <f t="shared" si="16"/>
        <v>0</v>
      </c>
      <c r="I63" s="27">
        <f t="shared" si="17"/>
        <v>0</v>
      </c>
      <c r="J63" s="27">
        <f t="shared" si="18"/>
        <v>0</v>
      </c>
      <c r="K63" s="27">
        <f t="shared" si="18"/>
        <v>0</v>
      </c>
      <c r="L63" s="27">
        <f t="shared" si="19"/>
        <v>0</v>
      </c>
      <c r="M63" s="27">
        <f t="shared" si="20"/>
        <v>0</v>
      </c>
      <c r="Q63" s="51"/>
    </row>
    <row r="64" spans="1:17">
      <c r="A64" s="52">
        <f t="shared" si="21"/>
        <v>10</v>
      </c>
      <c r="C64" s="589">
        <v>5.8999999999999997E-2</v>
      </c>
      <c r="D64" s="61">
        <v>5.8999999999999997E-2</v>
      </c>
      <c r="E64" s="528">
        <v>7</v>
      </c>
      <c r="G64" s="52">
        <v>7</v>
      </c>
      <c r="H64" s="27">
        <f t="shared" si="16"/>
        <v>0</v>
      </c>
      <c r="I64" s="27">
        <f t="shared" si="17"/>
        <v>0</v>
      </c>
      <c r="J64" s="27">
        <f t="shared" si="18"/>
        <v>0</v>
      </c>
      <c r="K64" s="27">
        <f t="shared" si="18"/>
        <v>0</v>
      </c>
      <c r="L64" s="27">
        <f t="shared" si="19"/>
        <v>0</v>
      </c>
      <c r="M64" s="27">
        <f t="shared" si="20"/>
        <v>0</v>
      </c>
      <c r="Q64" s="51"/>
    </row>
    <row r="65" spans="1:17">
      <c r="A65" s="52">
        <f t="shared" si="21"/>
        <v>11</v>
      </c>
      <c r="C65" s="589">
        <v>5.8999999999999997E-2</v>
      </c>
      <c r="D65" s="61">
        <v>5.8999999999999997E-2</v>
      </c>
      <c r="E65" s="528">
        <v>8</v>
      </c>
      <c r="G65" s="52">
        <v>8</v>
      </c>
      <c r="H65" s="27">
        <f t="shared" si="16"/>
        <v>0</v>
      </c>
      <c r="I65" s="27">
        <f t="shared" si="17"/>
        <v>0</v>
      </c>
      <c r="J65" s="27">
        <f t="shared" si="18"/>
        <v>0</v>
      </c>
      <c r="K65" s="27">
        <f t="shared" si="18"/>
        <v>0</v>
      </c>
      <c r="L65" s="27">
        <f t="shared" si="19"/>
        <v>0</v>
      </c>
      <c r="M65" s="27">
        <f t="shared" si="20"/>
        <v>0</v>
      </c>
      <c r="Q65" s="51"/>
    </row>
    <row r="66" spans="1:17">
      <c r="A66" s="52">
        <f t="shared" si="21"/>
        <v>12</v>
      </c>
      <c r="C66" s="589">
        <v>5.91E-2</v>
      </c>
      <c r="D66" s="61">
        <v>5.91E-2</v>
      </c>
      <c r="E66" s="528">
        <v>9</v>
      </c>
      <c r="G66" s="52">
        <v>9</v>
      </c>
      <c r="H66" s="27">
        <f t="shared" si="16"/>
        <v>0</v>
      </c>
      <c r="I66" s="27">
        <f t="shared" si="17"/>
        <v>0</v>
      </c>
      <c r="J66" s="27">
        <f t="shared" si="18"/>
        <v>0</v>
      </c>
      <c r="K66" s="27">
        <f t="shared" si="18"/>
        <v>0</v>
      </c>
      <c r="L66" s="27">
        <f t="shared" si="19"/>
        <v>0</v>
      </c>
      <c r="M66" s="27">
        <f t="shared" si="20"/>
        <v>0</v>
      </c>
      <c r="Q66" s="51"/>
    </row>
    <row r="67" spans="1:17">
      <c r="A67" s="52">
        <f t="shared" si="21"/>
        <v>13</v>
      </c>
      <c r="C67" s="589">
        <v>5.8999999999999997E-2</v>
      </c>
      <c r="D67" s="61">
        <v>5.8999999999999997E-2</v>
      </c>
      <c r="E67" s="528">
        <v>10</v>
      </c>
      <c r="G67" s="52">
        <v>10</v>
      </c>
      <c r="H67" s="27">
        <f t="shared" si="16"/>
        <v>0</v>
      </c>
      <c r="I67" s="27">
        <f t="shared" si="17"/>
        <v>0</v>
      </c>
      <c r="J67" s="27">
        <f t="shared" si="18"/>
        <v>0</v>
      </c>
      <c r="K67" s="27">
        <f t="shared" si="18"/>
        <v>0</v>
      </c>
      <c r="L67" s="27">
        <f t="shared" si="19"/>
        <v>0</v>
      </c>
      <c r="M67" s="27">
        <f t="shared" si="20"/>
        <v>0</v>
      </c>
      <c r="Q67" s="51"/>
    </row>
    <row r="68" spans="1:17">
      <c r="A68" s="52">
        <f t="shared" si="21"/>
        <v>14</v>
      </c>
      <c r="C68" s="589">
        <v>5.91E-2</v>
      </c>
      <c r="D68" s="61">
        <v>5.91E-2</v>
      </c>
      <c r="E68" s="528">
        <v>11</v>
      </c>
      <c r="G68" s="52">
        <v>11</v>
      </c>
      <c r="H68" s="27">
        <f t="shared" si="16"/>
        <v>0</v>
      </c>
      <c r="I68" s="27">
        <f t="shared" si="17"/>
        <v>0</v>
      </c>
      <c r="J68" s="27">
        <f t="shared" si="18"/>
        <v>0</v>
      </c>
      <c r="K68" s="27">
        <f t="shared" si="18"/>
        <v>0</v>
      </c>
      <c r="L68" s="27">
        <f t="shared" si="19"/>
        <v>0</v>
      </c>
      <c r="M68" s="27">
        <f t="shared" si="20"/>
        <v>0</v>
      </c>
      <c r="Q68" s="51"/>
    </row>
    <row r="69" spans="1:17">
      <c r="A69" s="52">
        <f t="shared" si="21"/>
        <v>15</v>
      </c>
      <c r="C69" s="589">
        <v>5.8999999999999997E-2</v>
      </c>
      <c r="D69" s="61">
        <v>5.8999999999999997E-2</v>
      </c>
      <c r="E69" s="528">
        <v>12</v>
      </c>
      <c r="G69" s="52">
        <v>12</v>
      </c>
      <c r="H69" s="27">
        <f t="shared" si="16"/>
        <v>0</v>
      </c>
      <c r="I69" s="27">
        <f t="shared" si="17"/>
        <v>0</v>
      </c>
      <c r="J69" s="27">
        <f t="shared" si="18"/>
        <v>0</v>
      </c>
      <c r="K69" s="27">
        <f t="shared" si="18"/>
        <v>0</v>
      </c>
      <c r="L69" s="27">
        <f t="shared" si="19"/>
        <v>0</v>
      </c>
      <c r="M69" s="27">
        <f t="shared" si="20"/>
        <v>0</v>
      </c>
      <c r="Q69" s="51"/>
    </row>
    <row r="70" spans="1:17">
      <c r="A70" s="52">
        <f t="shared" si="21"/>
        <v>16</v>
      </c>
      <c r="C70" s="589">
        <v>5.91E-2</v>
      </c>
      <c r="D70" s="61">
        <v>5.91E-2</v>
      </c>
      <c r="E70" s="528">
        <v>13</v>
      </c>
      <c r="H70" s="27"/>
      <c r="I70" s="27"/>
      <c r="J70" s="27"/>
      <c r="K70" s="27"/>
      <c r="L70" s="27" t="str">
        <f t="shared" ref="L70:L84" si="22">IF(K70=0,"",I70+J70-K70)</f>
        <v/>
      </c>
      <c r="M70" s="27" t="str">
        <f t="shared" ref="M70:M84" si="23">IF(L70="","",L70*0.389)</f>
        <v/>
      </c>
      <c r="N70" s="51"/>
      <c r="O70" s="51"/>
      <c r="P70" s="51"/>
      <c r="Q70" s="27" t="str">
        <f t="shared" ref="Q70:Q84" si="24">IF(M70="","",Q69+M70)</f>
        <v/>
      </c>
    </row>
    <row r="71" spans="1:17">
      <c r="A71" s="52">
        <f t="shared" si="21"/>
        <v>17</v>
      </c>
      <c r="C71" s="589">
        <v>5.8999999999999997E-2</v>
      </c>
      <c r="D71" s="61">
        <v>5.8999999999999997E-2</v>
      </c>
      <c r="E71" s="528">
        <v>14</v>
      </c>
      <c r="H71" s="27"/>
      <c r="I71" s="27"/>
      <c r="J71" s="27"/>
      <c r="K71" s="27"/>
      <c r="L71" s="27" t="str">
        <f t="shared" si="22"/>
        <v/>
      </c>
      <c r="M71" s="27" t="str">
        <f t="shared" si="23"/>
        <v/>
      </c>
      <c r="N71" s="51"/>
      <c r="O71" s="51"/>
      <c r="P71" s="51"/>
      <c r="Q71" s="27" t="str">
        <f t="shared" si="24"/>
        <v/>
      </c>
    </row>
    <row r="72" spans="1:17">
      <c r="A72" s="52">
        <f t="shared" si="21"/>
        <v>18</v>
      </c>
      <c r="C72" s="589">
        <v>5.91E-2</v>
      </c>
      <c r="D72" s="61">
        <v>5.91E-2</v>
      </c>
      <c r="E72" s="528">
        <v>15</v>
      </c>
      <c r="H72" s="27"/>
      <c r="I72" s="27"/>
      <c r="J72" s="27"/>
      <c r="K72" s="27"/>
      <c r="L72" s="27" t="str">
        <f t="shared" si="22"/>
        <v/>
      </c>
      <c r="M72" s="27" t="str">
        <f t="shared" si="23"/>
        <v/>
      </c>
      <c r="N72" s="51"/>
      <c r="O72" s="51"/>
      <c r="P72" s="51"/>
      <c r="Q72" s="27" t="str">
        <f t="shared" si="24"/>
        <v/>
      </c>
    </row>
    <row r="73" spans="1:17">
      <c r="A73" s="52">
        <f t="shared" si="21"/>
        <v>19</v>
      </c>
      <c r="C73" s="589">
        <v>2.9499999999999998E-2</v>
      </c>
      <c r="D73" s="61">
        <v>2.9499999999999998E-2</v>
      </c>
      <c r="E73" s="528">
        <v>16</v>
      </c>
      <c r="H73" s="27"/>
      <c r="I73" s="27"/>
      <c r="J73" s="27"/>
      <c r="K73" s="27"/>
      <c r="L73" s="27" t="str">
        <f t="shared" si="22"/>
        <v/>
      </c>
      <c r="M73" s="27" t="str">
        <f t="shared" si="23"/>
        <v/>
      </c>
      <c r="N73" s="51"/>
      <c r="O73" s="51"/>
      <c r="P73" s="51"/>
      <c r="Q73" s="27" t="str">
        <f t="shared" si="24"/>
        <v/>
      </c>
    </row>
    <row r="74" spans="1:17">
      <c r="A74" s="52">
        <f t="shared" si="21"/>
        <v>20</v>
      </c>
      <c r="C74" s="61">
        <v>0</v>
      </c>
      <c r="D74" s="61">
        <v>0</v>
      </c>
      <c r="E74" s="528">
        <v>17</v>
      </c>
      <c r="H74" s="27"/>
      <c r="I74" s="27"/>
      <c r="J74" s="27"/>
      <c r="K74" s="27"/>
      <c r="L74" s="27" t="str">
        <f t="shared" si="22"/>
        <v/>
      </c>
      <c r="M74" s="27" t="str">
        <f t="shared" si="23"/>
        <v/>
      </c>
      <c r="N74" s="51"/>
      <c r="O74" s="51"/>
      <c r="P74" s="51"/>
      <c r="Q74" s="27" t="str">
        <f t="shared" si="24"/>
        <v/>
      </c>
    </row>
    <row r="75" spans="1:17">
      <c r="A75" s="52">
        <f t="shared" si="21"/>
        <v>21</v>
      </c>
      <c r="C75" s="61">
        <v>0</v>
      </c>
      <c r="D75" s="61">
        <v>0</v>
      </c>
      <c r="E75" s="528">
        <v>18</v>
      </c>
      <c r="H75" s="27"/>
      <c r="I75" s="27"/>
      <c r="J75" s="27"/>
      <c r="K75" s="27"/>
      <c r="L75" s="27" t="str">
        <f t="shared" si="22"/>
        <v/>
      </c>
      <c r="M75" s="27" t="str">
        <f t="shared" si="23"/>
        <v/>
      </c>
      <c r="N75" s="51"/>
      <c r="O75" s="51"/>
      <c r="P75" s="51"/>
      <c r="Q75" s="27" t="str">
        <f t="shared" si="24"/>
        <v/>
      </c>
    </row>
    <row r="76" spans="1:17">
      <c r="A76" s="52">
        <f t="shared" si="21"/>
        <v>22</v>
      </c>
      <c r="C76" s="61">
        <v>0</v>
      </c>
      <c r="D76" s="61">
        <v>0</v>
      </c>
      <c r="E76" s="528">
        <v>19</v>
      </c>
      <c r="H76" s="27"/>
      <c r="I76" s="27"/>
      <c r="J76" s="27"/>
      <c r="K76" s="27"/>
      <c r="L76" s="27" t="str">
        <f t="shared" si="22"/>
        <v/>
      </c>
      <c r="M76" s="27" t="str">
        <f t="shared" si="23"/>
        <v/>
      </c>
      <c r="N76" s="51"/>
      <c r="O76" s="51"/>
      <c r="P76" s="51"/>
      <c r="Q76" s="27" t="str">
        <f t="shared" si="24"/>
        <v/>
      </c>
    </row>
    <row r="77" spans="1:17">
      <c r="A77" s="52">
        <f t="shared" si="21"/>
        <v>23</v>
      </c>
      <c r="C77" s="61">
        <v>0</v>
      </c>
      <c r="D77" s="61">
        <v>0</v>
      </c>
      <c r="E77" s="528">
        <v>20</v>
      </c>
      <c r="H77" s="27"/>
      <c r="I77" s="27"/>
      <c r="J77" s="27"/>
      <c r="K77" s="27"/>
      <c r="L77" s="27" t="str">
        <f t="shared" si="22"/>
        <v/>
      </c>
      <c r="M77" s="27" t="str">
        <f t="shared" si="23"/>
        <v/>
      </c>
      <c r="N77" s="51"/>
      <c r="O77" s="51"/>
      <c r="P77" s="51"/>
      <c r="Q77" s="27" t="str">
        <f t="shared" si="24"/>
        <v/>
      </c>
    </row>
    <row r="78" spans="1:17">
      <c r="A78" s="52">
        <f t="shared" si="21"/>
        <v>24</v>
      </c>
      <c r="C78" s="61">
        <v>0</v>
      </c>
      <c r="D78" s="61">
        <v>0</v>
      </c>
      <c r="E78" s="528">
        <v>21</v>
      </c>
      <c r="H78" s="27"/>
      <c r="I78" s="27"/>
      <c r="J78" s="27"/>
      <c r="K78" s="27"/>
      <c r="L78" s="27" t="str">
        <f t="shared" si="22"/>
        <v/>
      </c>
      <c r="M78" s="27" t="str">
        <f t="shared" si="23"/>
        <v/>
      </c>
      <c r="N78" s="51"/>
      <c r="O78" s="51"/>
      <c r="P78" s="51"/>
      <c r="Q78" s="27" t="str">
        <f t="shared" si="24"/>
        <v/>
      </c>
    </row>
    <row r="79" spans="1:17">
      <c r="A79" s="52">
        <f t="shared" si="21"/>
        <v>25</v>
      </c>
      <c r="C79" s="61">
        <v>0</v>
      </c>
      <c r="D79" s="61">
        <v>0</v>
      </c>
      <c r="E79" s="528">
        <v>22</v>
      </c>
      <c r="H79" s="27"/>
      <c r="I79" s="27"/>
      <c r="J79" s="27"/>
      <c r="K79" s="27"/>
      <c r="L79" s="27" t="str">
        <f t="shared" si="22"/>
        <v/>
      </c>
      <c r="M79" s="27" t="str">
        <f t="shared" si="23"/>
        <v/>
      </c>
      <c r="N79" s="51"/>
      <c r="O79" s="51"/>
      <c r="P79" s="51"/>
      <c r="Q79" s="27" t="str">
        <f t="shared" si="24"/>
        <v/>
      </c>
    </row>
    <row r="80" spans="1:17">
      <c r="A80" s="52">
        <f t="shared" si="21"/>
        <v>26</v>
      </c>
      <c r="C80" s="61">
        <v>0</v>
      </c>
      <c r="E80" s="528">
        <v>23</v>
      </c>
      <c r="H80" s="27"/>
      <c r="I80" s="27"/>
      <c r="L80" s="27" t="str">
        <f t="shared" si="22"/>
        <v/>
      </c>
      <c r="M80" s="27" t="str">
        <f t="shared" si="23"/>
        <v/>
      </c>
      <c r="N80" s="51"/>
      <c r="O80" s="51"/>
      <c r="P80" s="51"/>
      <c r="Q80" s="27" t="str">
        <f t="shared" si="24"/>
        <v/>
      </c>
    </row>
    <row r="81" spans="1:17">
      <c r="A81" s="52">
        <f t="shared" si="21"/>
        <v>27</v>
      </c>
      <c r="C81" s="61">
        <v>0</v>
      </c>
      <c r="E81" s="528">
        <v>24</v>
      </c>
      <c r="H81" s="27"/>
      <c r="I81" s="27"/>
      <c r="L81" s="27" t="str">
        <f t="shared" si="22"/>
        <v/>
      </c>
      <c r="M81" s="27" t="str">
        <f t="shared" si="23"/>
        <v/>
      </c>
      <c r="N81" s="51"/>
      <c r="O81" s="51"/>
      <c r="P81" s="51"/>
      <c r="Q81" s="27" t="str">
        <f t="shared" si="24"/>
        <v/>
      </c>
    </row>
    <row r="82" spans="1:17">
      <c r="A82" s="52">
        <f t="shared" si="21"/>
        <v>28</v>
      </c>
      <c r="C82" s="61">
        <v>0</v>
      </c>
      <c r="E82" s="528">
        <v>25</v>
      </c>
      <c r="H82" s="27"/>
      <c r="I82" s="27"/>
      <c r="L82" s="27" t="str">
        <f t="shared" si="22"/>
        <v/>
      </c>
      <c r="M82" s="27" t="str">
        <f t="shared" si="23"/>
        <v/>
      </c>
      <c r="N82" s="51"/>
      <c r="O82" s="51"/>
      <c r="P82" s="51"/>
      <c r="Q82" s="27" t="str">
        <f t="shared" si="24"/>
        <v/>
      </c>
    </row>
    <row r="83" spans="1:17">
      <c r="A83" s="52">
        <f t="shared" si="21"/>
        <v>29</v>
      </c>
      <c r="C83" s="61">
        <v>0</v>
      </c>
      <c r="E83" s="528">
        <v>26</v>
      </c>
      <c r="H83" s="27"/>
      <c r="I83" s="27"/>
      <c r="L83" s="27" t="str">
        <f t="shared" si="22"/>
        <v/>
      </c>
      <c r="M83" s="27" t="str">
        <f t="shared" si="23"/>
        <v/>
      </c>
      <c r="N83" s="51"/>
      <c r="O83" s="51"/>
      <c r="P83" s="51"/>
      <c r="Q83" s="27" t="str">
        <f t="shared" si="24"/>
        <v/>
      </c>
    </row>
    <row r="84" spans="1:17">
      <c r="A84" s="52">
        <f t="shared" si="21"/>
        <v>30</v>
      </c>
      <c r="C84" s="61">
        <v>0</v>
      </c>
      <c r="E84" s="528">
        <v>27</v>
      </c>
      <c r="I84" s="27"/>
      <c r="L84" s="27" t="str">
        <f t="shared" si="22"/>
        <v/>
      </c>
      <c r="M84" s="27" t="str">
        <f t="shared" si="23"/>
        <v/>
      </c>
      <c r="Q84" s="27" t="str">
        <f t="shared" si="24"/>
        <v/>
      </c>
    </row>
    <row r="85" spans="1:17">
      <c r="A85" s="52">
        <f t="shared" si="21"/>
        <v>31</v>
      </c>
      <c r="E85" s="504"/>
      <c r="H85" s="27">
        <f t="shared" ref="H85:M85" si="25">SUM(H58:H84)</f>
        <v>0</v>
      </c>
      <c r="I85" s="27">
        <f t="shared" si="25"/>
        <v>0</v>
      </c>
      <c r="J85" s="27">
        <f t="shared" si="25"/>
        <v>0</v>
      </c>
      <c r="K85" s="27">
        <f t="shared" si="25"/>
        <v>0</v>
      </c>
      <c r="L85" s="27">
        <f t="shared" si="25"/>
        <v>0</v>
      </c>
      <c r="M85" s="27">
        <f t="shared" si="25"/>
        <v>0</v>
      </c>
      <c r="N85" s="27"/>
      <c r="O85" s="27"/>
      <c r="P85" s="27"/>
      <c r="Q85" s="27"/>
    </row>
    <row r="86" spans="1:17">
      <c r="H86" s="27"/>
      <c r="I86" s="27"/>
      <c r="J86" s="27"/>
      <c r="K86" s="27"/>
      <c r="Q86" s="27"/>
    </row>
    <row r="87" spans="1:17">
      <c r="B87" s="60" t="s">
        <v>166</v>
      </c>
      <c r="C87" s="52" t="s">
        <v>718</v>
      </c>
    </row>
  </sheetData>
  <pageMargins left="0.7" right="0.7" top="0.75" bottom="0.75" header="0.3" footer="0.3"/>
  <pageSetup scale="43" orientation="landscape" r:id="rId1"/>
  <headerFooter>
    <oddFooter>&amp;R&amp;"Times New Roman,Bold"&amp;17Exhibit 4
Page 18 of 18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7E969-ECA9-4CD4-9552-5229A0EEC498}">
  <sheetPr>
    <tabColor theme="6" tint="0.39997558519241921"/>
  </sheetPr>
  <dimension ref="A1:W95"/>
  <sheetViews>
    <sheetView workbookViewId="0"/>
  </sheetViews>
  <sheetFormatPr defaultRowHeight="12.75"/>
  <cols>
    <col min="3" max="3" width="13.42578125" bestFit="1" customWidth="1"/>
    <col min="4" max="4" width="32.85546875" bestFit="1" customWidth="1"/>
    <col min="5" max="5" width="6.85546875" customWidth="1"/>
    <col min="6" max="14" width="10.85546875" customWidth="1"/>
    <col min="15" max="15" width="14.42578125" bestFit="1" customWidth="1"/>
    <col min="16" max="17" width="10.85546875" customWidth="1"/>
    <col min="18" max="18" width="12.140625" bestFit="1" customWidth="1"/>
    <col min="22" max="22" width="12.140625" bestFit="1" customWidth="1"/>
  </cols>
  <sheetData>
    <row r="1" spans="1:23">
      <c r="A1" s="2" t="s">
        <v>273</v>
      </c>
    </row>
    <row r="2" spans="1:23">
      <c r="A2" s="2" t="s">
        <v>274</v>
      </c>
      <c r="F2" s="681" t="s">
        <v>681</v>
      </c>
      <c r="G2" s="681"/>
      <c r="H2" s="681"/>
      <c r="I2" s="681"/>
      <c r="V2" s="454">
        <f>'202001 Bk Depr'!F19</f>
        <v>25891759.91</v>
      </c>
      <c r="W2" s="451" t="s">
        <v>580</v>
      </c>
    </row>
    <row r="3" spans="1:23">
      <c r="A3" s="2"/>
      <c r="K3" s="642" t="s">
        <v>762</v>
      </c>
      <c r="V3" s="454">
        <f>SUM(F9:Q15,F20:Q26)</f>
        <v>9649940.4300000016</v>
      </c>
      <c r="W3" s="451" t="s">
        <v>579</v>
      </c>
    </row>
    <row r="4" spans="1:23">
      <c r="A4" s="2"/>
      <c r="V4" s="454">
        <v>43422247.100000001</v>
      </c>
      <c r="W4" s="451" t="s">
        <v>581</v>
      </c>
    </row>
    <row r="5" spans="1:23">
      <c r="V5" s="454">
        <f>SUM(V2:V4)</f>
        <v>78963947.439999998</v>
      </c>
      <c r="W5" s="451" t="s">
        <v>582</v>
      </c>
    </row>
    <row r="6" spans="1:23">
      <c r="V6" s="454">
        <f>'202012 Bk Depr'!R19</f>
        <v>35541853.950000003</v>
      </c>
      <c r="W6" s="451" t="s">
        <v>584</v>
      </c>
    </row>
    <row r="7" spans="1:23">
      <c r="A7" t="s">
        <v>276</v>
      </c>
      <c r="B7" t="s">
        <v>139</v>
      </c>
      <c r="C7" t="s">
        <v>141</v>
      </c>
      <c r="D7" t="s">
        <v>277</v>
      </c>
      <c r="E7" t="s">
        <v>143</v>
      </c>
      <c r="F7" t="s">
        <v>278</v>
      </c>
      <c r="G7" t="s">
        <v>279</v>
      </c>
      <c r="H7" t="s">
        <v>280</v>
      </c>
      <c r="I7" t="s">
        <v>281</v>
      </c>
      <c r="J7" t="s">
        <v>282</v>
      </c>
      <c r="K7" t="s">
        <v>283</v>
      </c>
      <c r="L7" t="s">
        <v>284</v>
      </c>
      <c r="M7" t="s">
        <v>285</v>
      </c>
      <c r="N7" t="s">
        <v>286</v>
      </c>
      <c r="O7" t="s">
        <v>287</v>
      </c>
      <c r="P7" t="s">
        <v>288</v>
      </c>
      <c r="Q7" t="s">
        <v>289</v>
      </c>
      <c r="R7" s="438" t="s">
        <v>290</v>
      </c>
      <c r="T7" t="s">
        <v>577</v>
      </c>
      <c r="V7" s="455">
        <f>V5-V6</f>
        <v>43422093.489999995</v>
      </c>
      <c r="W7" s="451" t="s">
        <v>583</v>
      </c>
    </row>
    <row r="8" spans="1:23">
      <c r="A8" t="s">
        <v>291</v>
      </c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39"/>
    </row>
    <row r="9" spans="1:23">
      <c r="A9">
        <v>380</v>
      </c>
      <c r="B9" t="s">
        <v>113</v>
      </c>
      <c r="C9" s="422" t="s">
        <v>114</v>
      </c>
      <c r="D9" s="422" t="s">
        <v>115</v>
      </c>
      <c r="E9" s="240">
        <v>2020</v>
      </c>
      <c r="F9" s="3">
        <f t="shared" ref="F9:Q18" si="0">SUMIFS(F$52:F$81,$D$52:$D$81,$C9,$E$52:$E$81,$A9)</f>
        <v>272955.91000000015</v>
      </c>
      <c r="G9" s="3">
        <f t="shared" si="0"/>
        <v>123209.76999999862</v>
      </c>
      <c r="H9" s="3">
        <f t="shared" si="0"/>
        <v>202451.16999999993</v>
      </c>
      <c r="I9" s="3">
        <f t="shared" si="0"/>
        <v>168008.03000000026</v>
      </c>
      <c r="J9" s="3">
        <f t="shared" si="0"/>
        <v>150754.66999999899</v>
      </c>
      <c r="K9" s="3">
        <f t="shared" si="0"/>
        <v>211541.93000000063</v>
      </c>
      <c r="L9" s="3">
        <f t="shared" si="0"/>
        <v>184422.01999999955</v>
      </c>
      <c r="M9" s="3">
        <f t="shared" si="0"/>
        <v>176497.62999999896</v>
      </c>
      <c r="N9" s="3">
        <f t="shared" si="0"/>
        <v>159045.23000000045</v>
      </c>
      <c r="O9" s="3">
        <f t="shared" si="0"/>
        <v>154405.29000000097</v>
      </c>
      <c r="P9" s="3">
        <f t="shared" si="0"/>
        <v>166205.63999999873</v>
      </c>
      <c r="Q9" s="3">
        <f t="shared" si="0"/>
        <v>-132194.61999999918</v>
      </c>
      <c r="R9" s="439">
        <f>SUM(F9:Q9)</f>
        <v>1837302.6699999981</v>
      </c>
    </row>
    <row r="10" spans="1:23">
      <c r="A10">
        <v>380</v>
      </c>
      <c r="C10" s="422" t="s">
        <v>116</v>
      </c>
      <c r="D10" s="422" t="s">
        <v>117</v>
      </c>
      <c r="E10" s="240">
        <v>2020</v>
      </c>
      <c r="F10" s="3">
        <f>SUMIFS(F$52:F$81,$D$52:$D$81,$C10,$E$52:$E$81,$A10)</f>
        <v>9638.5899999999965</v>
      </c>
      <c r="G10" s="3">
        <f t="shared" si="0"/>
        <v>1988.4700000000012</v>
      </c>
      <c r="H10" s="3">
        <f t="shared" si="0"/>
        <v>3788.9199999999837</v>
      </c>
      <c r="I10" s="3">
        <f t="shared" si="0"/>
        <v>2763.6499999999942</v>
      </c>
      <c r="J10" s="3">
        <f t="shared" si="0"/>
        <v>5029.4200000000128</v>
      </c>
      <c r="K10" s="3">
        <f t="shared" si="0"/>
        <v>7914</v>
      </c>
      <c r="L10" s="3">
        <f t="shared" si="0"/>
        <v>6314.8399999999965</v>
      </c>
      <c r="M10" s="3">
        <f t="shared" si="0"/>
        <v>2059.8399999999965</v>
      </c>
      <c r="N10" s="3">
        <f t="shared" si="0"/>
        <v>2410</v>
      </c>
      <c r="O10" s="3">
        <f t="shared" si="0"/>
        <v>5861.7900000000081</v>
      </c>
      <c r="P10" s="3">
        <f t="shared" si="0"/>
        <v>2767.1199999999953</v>
      </c>
      <c r="Q10" s="3">
        <f t="shared" si="0"/>
        <v>10013.429999999993</v>
      </c>
      <c r="R10" s="439">
        <f t="shared" ref="R10:R29" si="1">SUM(F10:Q10)</f>
        <v>60550.069999999978</v>
      </c>
    </row>
    <row r="11" spans="1:23">
      <c r="A11">
        <v>380</v>
      </c>
      <c r="C11" s="422" t="s">
        <v>118</v>
      </c>
      <c r="D11" s="422" t="s">
        <v>119</v>
      </c>
      <c r="E11" s="240">
        <v>2020</v>
      </c>
      <c r="F11" s="3">
        <f t="shared" si="0"/>
        <v>1602.4099999999744</v>
      </c>
      <c r="G11" s="3">
        <f t="shared" si="0"/>
        <v>2122.5999999999767</v>
      </c>
      <c r="H11" s="3">
        <f t="shared" si="0"/>
        <v>16371.27999999997</v>
      </c>
      <c r="I11" s="3">
        <f t="shared" si="0"/>
        <v>9320.3800000002375</v>
      </c>
      <c r="J11" s="3">
        <f t="shared" si="0"/>
        <v>40923.200000000012</v>
      </c>
      <c r="K11" s="3">
        <f t="shared" si="0"/>
        <v>54126.879999999772</v>
      </c>
      <c r="L11" s="3">
        <f t="shared" si="0"/>
        <v>6727.2800000000279</v>
      </c>
      <c r="M11" s="3">
        <f t="shared" si="0"/>
        <v>21906.699999999953</v>
      </c>
      <c r="N11" s="3">
        <f t="shared" si="0"/>
        <v>77230.540000000037</v>
      </c>
      <c r="O11" s="3">
        <f t="shared" si="0"/>
        <v>31568.459999999963</v>
      </c>
      <c r="P11" s="3">
        <f t="shared" si="0"/>
        <v>1262.8100000000559</v>
      </c>
      <c r="Q11" s="3">
        <f t="shared" si="0"/>
        <v>1603.7399999999907</v>
      </c>
      <c r="R11" s="439">
        <f t="shared" si="1"/>
        <v>264766.27999999997</v>
      </c>
    </row>
    <row r="12" spans="1:23">
      <c r="A12">
        <v>380</v>
      </c>
      <c r="C12" s="422" t="s">
        <v>120</v>
      </c>
      <c r="D12" s="422" t="s">
        <v>121</v>
      </c>
      <c r="E12" s="242">
        <v>2020</v>
      </c>
      <c r="F12" s="3">
        <f t="shared" si="0"/>
        <v>400544.5700000003</v>
      </c>
      <c r="G12" s="3">
        <f t="shared" si="0"/>
        <v>506123.76999999955</v>
      </c>
      <c r="H12" s="3">
        <f t="shared" si="0"/>
        <v>365174.98000000231</v>
      </c>
      <c r="I12" s="3">
        <f t="shared" si="0"/>
        <v>423328.6799999997</v>
      </c>
      <c r="J12" s="3">
        <f t="shared" si="0"/>
        <v>505397.52999999933</v>
      </c>
      <c r="K12" s="3">
        <f t="shared" si="0"/>
        <v>366857.8599999994</v>
      </c>
      <c r="L12" s="3">
        <f t="shared" si="0"/>
        <v>393376.5700000003</v>
      </c>
      <c r="M12" s="3">
        <f t="shared" si="0"/>
        <v>377052.66000000015</v>
      </c>
      <c r="N12" s="3">
        <f t="shared" si="0"/>
        <v>413766.94000000134</v>
      </c>
      <c r="O12" s="3">
        <f t="shared" si="0"/>
        <v>389253.8599999994</v>
      </c>
      <c r="P12" s="3">
        <f t="shared" si="0"/>
        <v>453553.66999999993</v>
      </c>
      <c r="Q12" s="3">
        <f t="shared" si="0"/>
        <v>239840.47000000067</v>
      </c>
      <c r="R12" s="439">
        <f t="shared" si="1"/>
        <v>4834271.5600000024</v>
      </c>
    </row>
    <row r="13" spans="1:23">
      <c r="A13">
        <v>380</v>
      </c>
      <c r="C13" s="422" t="s">
        <v>122</v>
      </c>
      <c r="D13" s="422" t="s">
        <v>219</v>
      </c>
      <c r="E13" s="242">
        <v>2020</v>
      </c>
      <c r="F13" s="3">
        <f t="shared" si="0"/>
        <v>12064.700000000012</v>
      </c>
      <c r="G13" s="3">
        <f t="shared" si="0"/>
        <v>7024.0200000000186</v>
      </c>
      <c r="H13" s="3">
        <f t="shared" si="0"/>
        <v>3811</v>
      </c>
      <c r="I13" s="3">
        <f t="shared" si="0"/>
        <v>3191.6699999999837</v>
      </c>
      <c r="J13" s="3">
        <f t="shared" si="0"/>
        <v>0</v>
      </c>
      <c r="K13" s="3">
        <f t="shared" si="0"/>
        <v>1090.7600000000093</v>
      </c>
      <c r="L13" s="3">
        <f t="shared" si="0"/>
        <v>2645.1300000000047</v>
      </c>
      <c r="M13" s="3">
        <f t="shared" si="0"/>
        <v>1926.859999999986</v>
      </c>
      <c r="N13" s="3">
        <f t="shared" si="0"/>
        <v>891.20000000001164</v>
      </c>
      <c r="O13" s="3">
        <f t="shared" si="0"/>
        <v>3249.210000000021</v>
      </c>
      <c r="P13" s="3">
        <f t="shared" si="0"/>
        <v>8575.9899999999907</v>
      </c>
      <c r="Q13" s="3">
        <f t="shared" si="0"/>
        <v>2498.8300000000163</v>
      </c>
      <c r="R13" s="439">
        <f t="shared" si="1"/>
        <v>46969.370000000054</v>
      </c>
    </row>
    <row r="14" spans="1:23">
      <c r="A14">
        <v>380</v>
      </c>
      <c r="C14" s="422" t="s">
        <v>294</v>
      </c>
      <c r="D14" s="422" t="s">
        <v>295</v>
      </c>
      <c r="E14" s="242">
        <v>2020</v>
      </c>
      <c r="F14" s="3">
        <f t="shared" si="0"/>
        <v>405.41000000000349</v>
      </c>
      <c r="G14" s="3">
        <f t="shared" si="0"/>
        <v>0</v>
      </c>
      <c r="H14" s="3">
        <f t="shared" si="0"/>
        <v>0</v>
      </c>
      <c r="I14" s="3">
        <f t="shared" si="0"/>
        <v>3398.8299999999581</v>
      </c>
      <c r="J14" s="3">
        <f t="shared" si="0"/>
        <v>219.92000000004191</v>
      </c>
      <c r="K14" s="3">
        <f t="shared" si="0"/>
        <v>2538.3699999999953</v>
      </c>
      <c r="L14" s="3">
        <f t="shared" si="0"/>
        <v>4422.0499999999884</v>
      </c>
      <c r="M14" s="3">
        <f t="shared" si="0"/>
        <v>3245.0499999999884</v>
      </c>
      <c r="N14" s="3">
        <f t="shared" si="0"/>
        <v>17983.850000000006</v>
      </c>
      <c r="O14" s="3">
        <f t="shared" si="0"/>
        <v>4754.8299999999872</v>
      </c>
      <c r="P14" s="3">
        <f t="shared" si="0"/>
        <v>3555.3500000000058</v>
      </c>
      <c r="Q14" s="3">
        <f t="shared" si="0"/>
        <v>7753.5299999999988</v>
      </c>
      <c r="R14" s="439">
        <f t="shared" si="1"/>
        <v>48277.189999999973</v>
      </c>
    </row>
    <row r="15" spans="1:23">
      <c r="A15">
        <v>380</v>
      </c>
      <c r="C15" s="422" t="s">
        <v>223</v>
      </c>
      <c r="D15" s="422" t="s">
        <v>224</v>
      </c>
      <c r="E15" s="242">
        <v>2020</v>
      </c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439">
        <f t="shared" si="1"/>
        <v>0</v>
      </c>
    </row>
    <row r="16" spans="1:23">
      <c r="A16" s="240">
        <v>374</v>
      </c>
      <c r="C16" s="425" t="s">
        <v>563</v>
      </c>
      <c r="D16" s="425" t="s">
        <v>563</v>
      </c>
      <c r="E16">
        <v>2020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3">
        <f t="shared" si="0"/>
        <v>0</v>
      </c>
      <c r="R16" s="439">
        <f>SUM(F16:Q16)</f>
        <v>0</v>
      </c>
      <c r="S16" s="451" t="s">
        <v>595</v>
      </c>
    </row>
    <row r="17" spans="1:20">
      <c r="A17" s="240">
        <v>374</v>
      </c>
      <c r="C17" s="425" t="s">
        <v>564</v>
      </c>
      <c r="D17" s="425" t="s">
        <v>565</v>
      </c>
      <c r="E17">
        <v>2020</v>
      </c>
      <c r="F17" s="3">
        <f t="shared" si="0"/>
        <v>0</v>
      </c>
      <c r="G17" s="3">
        <f t="shared" si="0"/>
        <v>0</v>
      </c>
      <c r="H17" s="3">
        <f t="shared" si="0"/>
        <v>0</v>
      </c>
      <c r="I17" s="3">
        <f t="shared" si="0"/>
        <v>0</v>
      </c>
      <c r="J17" s="3">
        <f t="shared" si="0"/>
        <v>0</v>
      </c>
      <c r="K17" s="3">
        <f t="shared" si="0"/>
        <v>0</v>
      </c>
      <c r="L17" s="3">
        <f t="shared" si="0"/>
        <v>0</v>
      </c>
      <c r="M17" s="3">
        <f t="shared" si="0"/>
        <v>0</v>
      </c>
      <c r="N17" s="3">
        <f t="shared" si="0"/>
        <v>0</v>
      </c>
      <c r="O17" s="3">
        <f t="shared" si="0"/>
        <v>0</v>
      </c>
      <c r="P17" s="3">
        <f t="shared" si="0"/>
        <v>0</v>
      </c>
      <c r="Q17" s="3">
        <f t="shared" si="0"/>
        <v>0</v>
      </c>
      <c r="R17" s="439">
        <f>SUM(F17:Q17)</f>
        <v>0</v>
      </c>
      <c r="S17" s="451"/>
    </row>
    <row r="18" spans="1:20">
      <c r="A18" s="240">
        <v>374</v>
      </c>
      <c r="C18" s="425" t="s">
        <v>566</v>
      </c>
      <c r="D18" s="425" t="s">
        <v>566</v>
      </c>
      <c r="E18">
        <v>2020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  <c r="N18" s="3">
        <f t="shared" si="0"/>
        <v>0</v>
      </c>
      <c r="O18" s="3">
        <f t="shared" si="0"/>
        <v>0</v>
      </c>
      <c r="P18" s="3">
        <f t="shared" si="0"/>
        <v>0</v>
      </c>
      <c r="Q18" s="3">
        <f t="shared" si="0"/>
        <v>0</v>
      </c>
      <c r="R18" s="439">
        <f>SUM(F18:Q18)</f>
        <v>0</v>
      </c>
      <c r="S18" s="451" t="s">
        <v>595</v>
      </c>
    </row>
    <row r="19" spans="1:20">
      <c r="A19" s="240">
        <v>374</v>
      </c>
      <c r="C19" s="425" t="s">
        <v>567</v>
      </c>
      <c r="D19" s="425" t="s">
        <v>567</v>
      </c>
      <c r="E19">
        <v>2020</v>
      </c>
      <c r="F19" s="3">
        <f t="shared" ref="F19:Q21" si="2">SUMIFS(F$52:F$81,$D$52:$D$81,$C19,$E$52:$E$81,$A19)</f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0</v>
      </c>
      <c r="R19" s="439">
        <f>SUM(F19:Q19)</f>
        <v>0</v>
      </c>
      <c r="S19" s="451" t="s">
        <v>595</v>
      </c>
    </row>
    <row r="20" spans="1:20">
      <c r="A20">
        <v>380</v>
      </c>
      <c r="C20" s="424" t="s">
        <v>130</v>
      </c>
      <c r="D20" s="424" t="s">
        <v>131</v>
      </c>
      <c r="E20" s="240">
        <v>2020</v>
      </c>
      <c r="F20" s="3">
        <f t="shared" si="2"/>
        <v>271854.46999999788</v>
      </c>
      <c r="G20" s="3">
        <f t="shared" si="2"/>
        <v>276862.26000000071</v>
      </c>
      <c r="H20" s="3">
        <f t="shared" si="2"/>
        <v>293231.37000000011</v>
      </c>
      <c r="I20" s="3">
        <f t="shared" si="2"/>
        <v>316006.1400000006</v>
      </c>
      <c r="J20" s="3">
        <f t="shared" si="2"/>
        <v>262779.49000000022</v>
      </c>
      <c r="K20" s="3">
        <f t="shared" si="2"/>
        <v>159639.23000000045</v>
      </c>
      <c r="L20" s="3">
        <f t="shared" si="2"/>
        <v>189742.54999999888</v>
      </c>
      <c r="M20" s="3">
        <f t="shared" si="2"/>
        <v>172596.26999999955</v>
      </c>
      <c r="N20" s="3">
        <f t="shared" si="2"/>
        <v>246066.98000000045</v>
      </c>
      <c r="O20" s="3">
        <f t="shared" si="2"/>
        <v>161320.77999999933</v>
      </c>
      <c r="P20" s="3">
        <f t="shared" si="2"/>
        <v>194983.28000000305</v>
      </c>
      <c r="Q20" s="3">
        <f t="shared" si="2"/>
        <v>-57042.10000000149</v>
      </c>
      <c r="R20" s="439">
        <f t="shared" si="1"/>
        <v>2488040.7199999997</v>
      </c>
    </row>
    <row r="21" spans="1:20">
      <c r="A21">
        <v>380</v>
      </c>
      <c r="C21" s="424" t="s">
        <v>132</v>
      </c>
      <c r="D21" s="424" t="s">
        <v>133</v>
      </c>
      <c r="E21" s="240">
        <v>2020</v>
      </c>
      <c r="F21" s="3">
        <f t="shared" si="2"/>
        <v>0</v>
      </c>
      <c r="G21" s="3">
        <f t="shared" si="2"/>
        <v>1723.7900000000009</v>
      </c>
      <c r="H21" s="3">
        <f t="shared" si="2"/>
        <v>0</v>
      </c>
      <c r="I21" s="3">
        <f t="shared" si="2"/>
        <v>1323.1800000000003</v>
      </c>
      <c r="J21" s="3">
        <f t="shared" si="2"/>
        <v>-1323.1800000000003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879.23999999999796</v>
      </c>
      <c r="O21" s="3">
        <f t="shared" si="2"/>
        <v>803.97000000000116</v>
      </c>
      <c r="P21" s="3">
        <f t="shared" si="2"/>
        <v>66355.570000000007</v>
      </c>
      <c r="Q21" s="3">
        <f t="shared" si="2"/>
        <v>0</v>
      </c>
      <c r="R21" s="439">
        <f t="shared" si="1"/>
        <v>69762.570000000007</v>
      </c>
    </row>
    <row r="22" spans="1:20">
      <c r="A22" s="240">
        <v>367</v>
      </c>
      <c r="C22" s="425" t="s">
        <v>316</v>
      </c>
      <c r="D22" s="425" t="s">
        <v>317</v>
      </c>
      <c r="E22">
        <v>2020</v>
      </c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439">
        <f>SUM(F22:Q22)</f>
        <v>0</v>
      </c>
      <c r="S22" s="451" t="s">
        <v>589</v>
      </c>
      <c r="T22" s="453">
        <v>44105</v>
      </c>
    </row>
    <row r="23" spans="1:20">
      <c r="A23" s="240">
        <v>367</v>
      </c>
      <c r="C23" s="425" t="s">
        <v>318</v>
      </c>
      <c r="D23" s="448" t="s">
        <v>319</v>
      </c>
      <c r="E23">
        <v>2020</v>
      </c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439">
        <f>SUM(F23:Q23)</f>
        <v>0</v>
      </c>
      <c r="S23" s="451" t="s">
        <v>589</v>
      </c>
      <c r="T23" s="453">
        <v>43952</v>
      </c>
    </row>
    <row r="24" spans="1:20">
      <c r="A24" s="240">
        <v>367</v>
      </c>
      <c r="C24" s="425" t="s">
        <v>320</v>
      </c>
      <c r="D24" s="425" t="s">
        <v>321</v>
      </c>
      <c r="E24">
        <v>2020</v>
      </c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439">
        <f>SUM(F24:Q24)</f>
        <v>0</v>
      </c>
      <c r="S24" s="451" t="s">
        <v>589</v>
      </c>
      <c r="T24" s="453">
        <v>44105</v>
      </c>
    </row>
    <row r="25" spans="1:20">
      <c r="A25">
        <v>380</v>
      </c>
      <c r="C25" s="446">
        <v>414000002</v>
      </c>
      <c r="D25" s="447" t="s">
        <v>562</v>
      </c>
      <c r="E25" s="240">
        <v>2020</v>
      </c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439">
        <f t="shared" si="1"/>
        <v>0</v>
      </c>
    </row>
    <row r="26" spans="1:20">
      <c r="A26" s="240">
        <v>380</v>
      </c>
      <c r="C26" s="446">
        <v>414000001</v>
      </c>
      <c r="D26" s="447" t="s">
        <v>482</v>
      </c>
      <c r="E26" s="240">
        <v>2020</v>
      </c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439">
        <f t="shared" si="1"/>
        <v>0</v>
      </c>
    </row>
    <row r="27" spans="1:20">
      <c r="A27" s="240">
        <v>376</v>
      </c>
      <c r="C27" s="423" t="s">
        <v>123</v>
      </c>
      <c r="D27" s="423" t="s">
        <v>124</v>
      </c>
      <c r="E27" s="242">
        <v>2020</v>
      </c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439">
        <f t="shared" si="1"/>
        <v>0</v>
      </c>
    </row>
    <row r="28" spans="1:20">
      <c r="A28" s="240">
        <v>374</v>
      </c>
      <c r="C28" s="425" t="s">
        <v>322</v>
      </c>
      <c r="D28" s="425" t="s">
        <v>484</v>
      </c>
      <c r="E28">
        <v>2020</v>
      </c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439">
        <f t="shared" si="1"/>
        <v>0</v>
      </c>
      <c r="S28" s="451" t="s">
        <v>589</v>
      </c>
    </row>
    <row r="29" spans="1:20">
      <c r="A29" s="240">
        <v>376</v>
      </c>
      <c r="C29" s="424" t="s">
        <v>130</v>
      </c>
      <c r="D29" s="424" t="s">
        <v>131</v>
      </c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439">
        <f t="shared" si="1"/>
        <v>0</v>
      </c>
      <c r="S29" s="451"/>
    </row>
    <row r="30" spans="1:20">
      <c r="A30" t="s">
        <v>324</v>
      </c>
      <c r="F30" s="435">
        <f t="shared" ref="F30:R30" si="3">SUM(F9:F29)</f>
        <v>969066.05999999831</v>
      </c>
      <c r="G30" s="435">
        <f t="shared" si="3"/>
        <v>919054.67999999889</v>
      </c>
      <c r="H30" s="435">
        <f t="shared" si="3"/>
        <v>884828.7200000023</v>
      </c>
      <c r="I30" s="435">
        <f t="shared" si="3"/>
        <v>927340.56000000075</v>
      </c>
      <c r="J30" s="435">
        <f t="shared" si="3"/>
        <v>963781.04999999853</v>
      </c>
      <c r="K30" s="435">
        <f t="shared" si="3"/>
        <v>803709.03000000026</v>
      </c>
      <c r="L30" s="435">
        <f t="shared" si="3"/>
        <v>787650.43999999878</v>
      </c>
      <c r="M30" s="435">
        <f t="shared" si="3"/>
        <v>755285.00999999861</v>
      </c>
      <c r="N30" s="435">
        <f t="shared" si="3"/>
        <v>918273.98000000219</v>
      </c>
      <c r="O30" s="435">
        <f t="shared" si="3"/>
        <v>751218.18999999959</v>
      </c>
      <c r="P30" s="435">
        <f t="shared" si="3"/>
        <v>897259.4300000018</v>
      </c>
      <c r="Q30" s="435">
        <f t="shared" si="3"/>
        <v>72473.279999999999</v>
      </c>
      <c r="R30" s="435">
        <f t="shared" si="3"/>
        <v>9649940.4299999997</v>
      </c>
    </row>
    <row r="31" spans="1:20"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</row>
    <row r="32" spans="1:20">
      <c r="A32" t="s">
        <v>325</v>
      </c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</row>
    <row r="33" spans="1:19">
      <c r="B33" t="s">
        <v>135</v>
      </c>
      <c r="C33" s="428" t="s">
        <v>116</v>
      </c>
      <c r="D33" s="428" t="s">
        <v>117</v>
      </c>
      <c r="E33">
        <v>2020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41">
        <f t="shared" ref="R33:R44" si="4">SUM(F33:Q33)</f>
        <v>0</v>
      </c>
    </row>
    <row r="34" spans="1:19">
      <c r="C34" s="428" t="s">
        <v>118</v>
      </c>
      <c r="D34" s="428" t="s">
        <v>119</v>
      </c>
      <c r="E34">
        <v>2020</v>
      </c>
      <c r="F34" s="3">
        <v>0</v>
      </c>
      <c r="G34" s="3">
        <v>0</v>
      </c>
      <c r="H34" s="3">
        <v>0</v>
      </c>
      <c r="I34" s="3">
        <v>0</v>
      </c>
      <c r="J34" s="3">
        <v>2263.0500000000002</v>
      </c>
      <c r="K34" s="3">
        <v>0</v>
      </c>
      <c r="L34" s="3">
        <v>0</v>
      </c>
      <c r="M34" s="3">
        <v>31868.400000000001</v>
      </c>
      <c r="N34" s="3">
        <v>-31868.400000000001</v>
      </c>
      <c r="O34" s="3">
        <v>0</v>
      </c>
      <c r="P34" s="3">
        <v>0</v>
      </c>
      <c r="Q34" s="3">
        <v>0</v>
      </c>
      <c r="R34" s="439">
        <f t="shared" si="4"/>
        <v>2263.0500000000029</v>
      </c>
    </row>
    <row r="35" spans="1:19">
      <c r="C35" s="428" t="s">
        <v>122</v>
      </c>
      <c r="D35" s="428" t="s">
        <v>219</v>
      </c>
      <c r="E35">
        <v>2020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39">
        <f t="shared" si="4"/>
        <v>0</v>
      </c>
    </row>
    <row r="36" spans="1:19">
      <c r="C36" s="422" t="s">
        <v>130</v>
      </c>
      <c r="D36" s="422" t="s">
        <v>131</v>
      </c>
      <c r="E36">
        <v>2020</v>
      </c>
      <c r="F36" s="3">
        <v>-11004.01</v>
      </c>
      <c r="G36" s="3">
        <v>29231.16</v>
      </c>
      <c r="H36" s="3">
        <v>22690.639999999999</v>
      </c>
      <c r="I36" s="3">
        <v>37290.199999999997</v>
      </c>
      <c r="J36" s="3">
        <v>23671.31</v>
      </c>
      <c r="K36" s="3">
        <v>46469.2</v>
      </c>
      <c r="L36" s="3">
        <v>25432.87</v>
      </c>
      <c r="M36" s="3">
        <v>26807.56</v>
      </c>
      <c r="N36" s="3">
        <v>25537.3</v>
      </c>
      <c r="O36" s="3">
        <v>19572.48</v>
      </c>
      <c r="P36" s="3">
        <v>39437.440000000002</v>
      </c>
      <c r="Q36" s="3">
        <v>27107.97</v>
      </c>
      <c r="R36" s="439">
        <f t="shared" si="4"/>
        <v>312244.12</v>
      </c>
    </row>
    <row r="37" spans="1:19">
      <c r="C37" s="422" t="s">
        <v>132</v>
      </c>
      <c r="D37" s="422" t="s">
        <v>133</v>
      </c>
      <c r="E37">
        <v>2020</v>
      </c>
      <c r="F37" s="3">
        <v>53159.38</v>
      </c>
      <c r="G37" s="3">
        <v>71340.009999999995</v>
      </c>
      <c r="H37" s="3">
        <v>153005.29999999999</v>
      </c>
      <c r="I37" s="3">
        <v>74243.53</v>
      </c>
      <c r="J37" s="3">
        <v>88436.25</v>
      </c>
      <c r="K37" s="3">
        <v>82927.05</v>
      </c>
      <c r="L37" s="3">
        <v>20170.669999999998</v>
      </c>
      <c r="M37" s="3">
        <v>19781.22</v>
      </c>
      <c r="N37" s="3">
        <v>18161.810000000001</v>
      </c>
      <c r="O37" s="3">
        <v>166980.82</v>
      </c>
      <c r="P37" s="3">
        <v>71282.399999999994</v>
      </c>
      <c r="Q37" s="3">
        <v>-31603.05</v>
      </c>
      <c r="R37" s="439">
        <f t="shared" si="4"/>
        <v>787885.39</v>
      </c>
    </row>
    <row r="38" spans="1:19">
      <c r="C38" s="425" t="s">
        <v>316</v>
      </c>
      <c r="D38" s="425" t="s">
        <v>317</v>
      </c>
      <c r="E38">
        <v>2020</v>
      </c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439">
        <f t="shared" si="4"/>
        <v>0</v>
      </c>
    </row>
    <row r="39" spans="1:19">
      <c r="C39" s="425" t="s">
        <v>318</v>
      </c>
      <c r="D39" s="425" t="s">
        <v>319</v>
      </c>
      <c r="E39">
        <v>2020</v>
      </c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7"/>
      <c r="R39" s="439">
        <f t="shared" si="4"/>
        <v>0</v>
      </c>
    </row>
    <row r="40" spans="1:19">
      <c r="C40" s="425" t="s">
        <v>320</v>
      </c>
      <c r="D40" s="425" t="s">
        <v>321</v>
      </c>
      <c r="E40">
        <v>2020</v>
      </c>
      <c r="F40" s="637"/>
      <c r="G40" s="637"/>
      <c r="H40" s="637"/>
      <c r="I40" s="637"/>
      <c r="J40" s="637"/>
      <c r="K40" s="637"/>
      <c r="L40" s="637"/>
      <c r="M40" s="637"/>
      <c r="N40" s="637"/>
      <c r="O40" s="637"/>
      <c r="P40" s="637"/>
      <c r="Q40" s="637"/>
      <c r="R40" s="439">
        <f t="shared" si="4"/>
        <v>0</v>
      </c>
    </row>
    <row r="41" spans="1:19">
      <c r="C41" s="425" t="s">
        <v>563</v>
      </c>
      <c r="D41" s="425" t="s">
        <v>563</v>
      </c>
      <c r="E41">
        <v>2020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39">
        <f t="shared" si="4"/>
        <v>0</v>
      </c>
      <c r="S41" s="451" t="s">
        <v>595</v>
      </c>
    </row>
    <row r="42" spans="1:19">
      <c r="C42" s="446">
        <v>414000002</v>
      </c>
      <c r="D42" s="447" t="s">
        <v>562</v>
      </c>
      <c r="E42">
        <v>2020</v>
      </c>
      <c r="F42" s="637"/>
      <c r="G42" s="637"/>
      <c r="H42" s="637"/>
      <c r="I42" s="637"/>
      <c r="J42" s="637"/>
      <c r="K42" s="637"/>
      <c r="L42" s="637"/>
      <c r="M42" s="637"/>
      <c r="N42" s="637"/>
      <c r="O42" s="637"/>
      <c r="P42" s="637"/>
      <c r="Q42" s="637"/>
      <c r="R42" s="439">
        <f t="shared" si="4"/>
        <v>0</v>
      </c>
    </row>
    <row r="43" spans="1:19">
      <c r="C43" s="446" t="s">
        <v>481</v>
      </c>
      <c r="D43" s="447" t="s">
        <v>482</v>
      </c>
      <c r="E43">
        <v>2020</v>
      </c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439">
        <f t="shared" si="4"/>
        <v>0</v>
      </c>
    </row>
    <row r="44" spans="1:19">
      <c r="B44" t="s">
        <v>485</v>
      </c>
      <c r="C44" s="422" t="s">
        <v>132</v>
      </c>
      <c r="D44" s="422" t="s">
        <v>133</v>
      </c>
      <c r="E44">
        <v>2020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39">
        <f t="shared" si="4"/>
        <v>0</v>
      </c>
    </row>
    <row r="45" spans="1:19">
      <c r="A45" t="s">
        <v>326</v>
      </c>
      <c r="F45" s="435">
        <f>SUM(F33:F44)</f>
        <v>42155.369999999995</v>
      </c>
      <c r="G45" s="436">
        <f t="shared" ref="G45:R45" si="5">SUM(G33:G44)</f>
        <v>100571.17</v>
      </c>
      <c r="H45" s="436">
        <f t="shared" si="5"/>
        <v>175695.94</v>
      </c>
      <c r="I45" s="436">
        <f t="shared" si="5"/>
        <v>111533.73</v>
      </c>
      <c r="J45" s="436">
        <f t="shared" si="5"/>
        <v>114370.61</v>
      </c>
      <c r="K45" s="436">
        <f t="shared" si="5"/>
        <v>129396.25</v>
      </c>
      <c r="L45" s="436">
        <f t="shared" si="5"/>
        <v>45603.539999999994</v>
      </c>
      <c r="M45" s="436">
        <f t="shared" si="5"/>
        <v>78457.180000000008</v>
      </c>
      <c r="N45" s="436">
        <f t="shared" si="5"/>
        <v>11830.71</v>
      </c>
      <c r="O45" s="436">
        <f t="shared" si="5"/>
        <v>186553.30000000002</v>
      </c>
      <c r="P45" s="436">
        <f t="shared" si="5"/>
        <v>110719.84</v>
      </c>
      <c r="Q45" s="436">
        <f t="shared" si="5"/>
        <v>-4495.0799999999981</v>
      </c>
      <c r="R45" s="440">
        <f t="shared" si="5"/>
        <v>1102392.56</v>
      </c>
    </row>
    <row r="46" spans="1:19"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</row>
    <row r="47" spans="1:19">
      <c r="A47" t="s">
        <v>327</v>
      </c>
      <c r="F47" s="435">
        <f>F30+F45</f>
        <v>1011221.4299999983</v>
      </c>
      <c r="G47" s="436">
        <f t="shared" ref="G47:R47" si="6">G30+G45</f>
        <v>1019625.8499999989</v>
      </c>
      <c r="H47" s="436">
        <f t="shared" si="6"/>
        <v>1060524.6600000022</v>
      </c>
      <c r="I47" s="436">
        <f t="shared" si="6"/>
        <v>1038874.2900000007</v>
      </c>
      <c r="J47" s="436">
        <f t="shared" si="6"/>
        <v>1078151.6599999985</v>
      </c>
      <c r="K47" s="436">
        <f t="shared" si="6"/>
        <v>933105.28000000026</v>
      </c>
      <c r="L47" s="436">
        <f t="shared" si="6"/>
        <v>833253.97999999882</v>
      </c>
      <c r="M47" s="436">
        <f t="shared" si="6"/>
        <v>833742.18999999866</v>
      </c>
      <c r="N47" s="436">
        <f t="shared" si="6"/>
        <v>930104.69000000216</v>
      </c>
      <c r="O47" s="436">
        <f t="shared" si="6"/>
        <v>937771.48999999964</v>
      </c>
      <c r="P47" s="436">
        <f t="shared" si="6"/>
        <v>1007979.2700000018</v>
      </c>
      <c r="Q47" s="436">
        <f t="shared" si="6"/>
        <v>67978.2</v>
      </c>
      <c r="R47" s="437">
        <f t="shared" si="6"/>
        <v>10752332.99</v>
      </c>
    </row>
    <row r="49" spans="4:18">
      <c r="D49" t="s">
        <v>717</v>
      </c>
    </row>
    <row r="50" spans="4:18">
      <c r="D50" t="s">
        <v>372</v>
      </c>
      <c r="F50">
        <v>3</v>
      </c>
      <c r="G50">
        <f>F50+1</f>
        <v>4</v>
      </c>
      <c r="H50">
        <f t="shared" ref="H50:Q50" si="7">G50+1</f>
        <v>5</v>
      </c>
      <c r="I50">
        <f t="shared" si="7"/>
        <v>6</v>
      </c>
      <c r="J50">
        <f t="shared" si="7"/>
        <v>7</v>
      </c>
      <c r="K50">
        <f t="shared" si="7"/>
        <v>8</v>
      </c>
      <c r="L50">
        <f t="shared" si="7"/>
        <v>9</v>
      </c>
      <c r="M50">
        <f t="shared" si="7"/>
        <v>10</v>
      </c>
      <c r="N50">
        <f t="shared" si="7"/>
        <v>11</v>
      </c>
      <c r="O50">
        <f t="shared" si="7"/>
        <v>12</v>
      </c>
      <c r="P50">
        <f t="shared" si="7"/>
        <v>13</v>
      </c>
      <c r="Q50">
        <f t="shared" si="7"/>
        <v>14</v>
      </c>
    </row>
    <row r="51" spans="4:18">
      <c r="D51" t="s">
        <v>109</v>
      </c>
      <c r="E51" t="s">
        <v>686</v>
      </c>
      <c r="F51" t="s">
        <v>278</v>
      </c>
      <c r="G51" t="s">
        <v>279</v>
      </c>
      <c r="H51" t="s">
        <v>280</v>
      </c>
      <c r="I51" t="s">
        <v>281</v>
      </c>
      <c r="J51" t="s">
        <v>282</v>
      </c>
      <c r="K51" t="s">
        <v>283</v>
      </c>
      <c r="L51" t="s">
        <v>284</v>
      </c>
      <c r="M51" t="s">
        <v>285</v>
      </c>
      <c r="N51" t="s">
        <v>286</v>
      </c>
      <c r="O51" t="s">
        <v>287</v>
      </c>
      <c r="P51" t="s">
        <v>288</v>
      </c>
      <c r="Q51" t="s">
        <v>289</v>
      </c>
      <c r="R51" t="s">
        <v>683</v>
      </c>
    </row>
    <row r="52" spans="4:18">
      <c r="D52" t="s">
        <v>123</v>
      </c>
      <c r="E52" t="s">
        <v>687</v>
      </c>
      <c r="F52">
        <v>15172.200000000186</v>
      </c>
      <c r="G52">
        <v>8593.2599999979138</v>
      </c>
      <c r="H52">
        <v>18558.939999999478</v>
      </c>
      <c r="I52">
        <v>2481.5200000032783</v>
      </c>
      <c r="J52">
        <v>-43802.060000002384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 s="3">
        <f t="shared" ref="R52:R74" si="8">SUM(F52:Q52)</f>
        <v>1003.8599999984726</v>
      </c>
    </row>
    <row r="53" spans="4:18">
      <c r="D53" t="s">
        <v>126</v>
      </c>
      <c r="E53" t="s">
        <v>687</v>
      </c>
      <c r="F53">
        <v>0</v>
      </c>
      <c r="G53">
        <v>0</v>
      </c>
      <c r="H53">
        <v>0</v>
      </c>
      <c r="I53">
        <v>0</v>
      </c>
      <c r="J53" s="421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 s="3">
        <f t="shared" si="8"/>
        <v>0</v>
      </c>
    </row>
    <row r="54" spans="4:18">
      <c r="D54" t="s">
        <v>128</v>
      </c>
      <c r="E54" t="s">
        <v>687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 s="3">
        <f t="shared" si="8"/>
        <v>0</v>
      </c>
    </row>
    <row r="55" spans="4:18">
      <c r="D55" t="s">
        <v>130</v>
      </c>
      <c r="E55" t="s">
        <v>687</v>
      </c>
      <c r="F55">
        <v>845.69999999995343</v>
      </c>
      <c r="G55">
        <v>730.29999999993015</v>
      </c>
      <c r="H55">
        <v>872.39000000001397</v>
      </c>
      <c r="I55">
        <v>766.42000000016196</v>
      </c>
      <c r="J55">
        <v>665.01999999989857</v>
      </c>
      <c r="K55">
        <v>768.96999999997206</v>
      </c>
      <c r="L55">
        <v>753.52000000001863</v>
      </c>
      <c r="M55">
        <v>718.13999999999942</v>
      </c>
      <c r="N55">
        <v>713.75</v>
      </c>
      <c r="O55">
        <v>665.11999999999534</v>
      </c>
      <c r="P55">
        <v>604.81000000005588</v>
      </c>
      <c r="Q55">
        <v>-25076.04000000007</v>
      </c>
      <c r="R55" s="3">
        <f t="shared" si="8"/>
        <v>-16971.900000000071</v>
      </c>
    </row>
    <row r="56" spans="4:18">
      <c r="D56" t="s">
        <v>192</v>
      </c>
      <c r="E56" t="s">
        <v>687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 s="3">
        <f t="shared" si="8"/>
        <v>0</v>
      </c>
    </row>
    <row r="57" spans="4:18">
      <c r="D57" s="575">
        <v>414000001</v>
      </c>
      <c r="E57" t="s">
        <v>688</v>
      </c>
      <c r="F57">
        <v>71861.759999999776</v>
      </c>
      <c r="G57">
        <v>-88973.330000000075</v>
      </c>
      <c r="H57">
        <v>44340.230000000447</v>
      </c>
      <c r="I57">
        <v>-105842.40999999829</v>
      </c>
      <c r="J57">
        <v>37.429999997839332</v>
      </c>
      <c r="K57">
        <v>961.17000000178814</v>
      </c>
      <c r="L57">
        <v>422.74999999813735</v>
      </c>
      <c r="M57">
        <v>0</v>
      </c>
      <c r="N57">
        <v>0</v>
      </c>
      <c r="O57">
        <v>0</v>
      </c>
      <c r="P57">
        <v>0</v>
      </c>
      <c r="Q57">
        <v>0</v>
      </c>
      <c r="R57" s="3">
        <f t="shared" si="8"/>
        <v>-77192.400000000373</v>
      </c>
    </row>
    <row r="58" spans="4:18">
      <c r="D58" s="575">
        <v>414000002</v>
      </c>
      <c r="E58" t="s">
        <v>688</v>
      </c>
      <c r="F58">
        <v>0</v>
      </c>
      <c r="G58">
        <v>0</v>
      </c>
      <c r="H58">
        <v>1815746.22</v>
      </c>
      <c r="I58">
        <v>401395.2100000002</v>
      </c>
      <c r="J58">
        <v>417580.62000000011</v>
      </c>
      <c r="K58">
        <v>705372.2799999998</v>
      </c>
      <c r="L58">
        <v>535848.61000000034</v>
      </c>
      <c r="M58">
        <v>773674.16000000015</v>
      </c>
      <c r="N58">
        <v>492971.00999999978</v>
      </c>
      <c r="O58">
        <v>827239.78000000026</v>
      </c>
      <c r="P58">
        <v>440174.33999999985</v>
      </c>
      <c r="Q58">
        <v>922780.47999999952</v>
      </c>
      <c r="R58" s="3">
        <f t="shared" si="8"/>
        <v>7332782.71</v>
      </c>
    </row>
    <row r="59" spans="4:18">
      <c r="D59" t="s">
        <v>114</v>
      </c>
      <c r="E59" t="s">
        <v>688</v>
      </c>
      <c r="F59">
        <v>272955.91000000015</v>
      </c>
      <c r="G59">
        <v>123209.76999999862</v>
      </c>
      <c r="H59">
        <v>202451.16999999993</v>
      </c>
      <c r="I59">
        <v>168008.03000000026</v>
      </c>
      <c r="J59">
        <v>150754.66999999899</v>
      </c>
      <c r="K59">
        <v>211541.93000000063</v>
      </c>
      <c r="L59">
        <v>184422.01999999955</v>
      </c>
      <c r="M59">
        <v>176497.62999999896</v>
      </c>
      <c r="N59">
        <v>159045.23000000045</v>
      </c>
      <c r="O59">
        <v>154405.29000000097</v>
      </c>
      <c r="P59">
        <v>166205.63999999873</v>
      </c>
      <c r="Q59">
        <v>-132194.61999999918</v>
      </c>
      <c r="R59" s="3">
        <f t="shared" si="8"/>
        <v>1837302.6699999981</v>
      </c>
    </row>
    <row r="60" spans="4:18">
      <c r="D60" t="s">
        <v>116</v>
      </c>
      <c r="E60" t="s">
        <v>688</v>
      </c>
      <c r="F60">
        <v>9638.5899999999965</v>
      </c>
      <c r="G60">
        <v>1988.4700000000012</v>
      </c>
      <c r="H60">
        <v>3788.9199999999837</v>
      </c>
      <c r="I60">
        <v>2763.6499999999942</v>
      </c>
      <c r="J60">
        <v>5029.4200000000128</v>
      </c>
      <c r="K60">
        <v>7914</v>
      </c>
      <c r="L60">
        <v>6314.8399999999965</v>
      </c>
      <c r="M60">
        <v>2059.8399999999965</v>
      </c>
      <c r="N60">
        <v>2410</v>
      </c>
      <c r="O60">
        <v>5861.7900000000081</v>
      </c>
      <c r="P60">
        <v>2767.1199999999953</v>
      </c>
      <c r="Q60">
        <v>10013.429999999993</v>
      </c>
      <c r="R60" s="3">
        <f t="shared" si="8"/>
        <v>60550.069999999978</v>
      </c>
    </row>
    <row r="61" spans="4:18">
      <c r="D61" t="s">
        <v>118</v>
      </c>
      <c r="E61" t="s">
        <v>688</v>
      </c>
      <c r="F61">
        <v>1602.4099999999744</v>
      </c>
      <c r="G61">
        <v>2122.5999999999767</v>
      </c>
      <c r="H61">
        <v>16371.27999999997</v>
      </c>
      <c r="I61">
        <v>9320.3800000002375</v>
      </c>
      <c r="J61">
        <v>40923.200000000012</v>
      </c>
      <c r="K61">
        <v>54126.879999999772</v>
      </c>
      <c r="L61">
        <v>6727.2800000000279</v>
      </c>
      <c r="M61">
        <v>21906.699999999953</v>
      </c>
      <c r="N61">
        <v>77230.540000000037</v>
      </c>
      <c r="O61">
        <v>31568.459999999963</v>
      </c>
      <c r="P61">
        <v>1262.8100000000559</v>
      </c>
      <c r="Q61">
        <v>1603.7399999999907</v>
      </c>
      <c r="R61" s="3">
        <f t="shared" si="8"/>
        <v>264766.27999999997</v>
      </c>
    </row>
    <row r="62" spans="4:18">
      <c r="D62" t="s">
        <v>223</v>
      </c>
      <c r="E62" t="s">
        <v>688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 s="3">
        <f t="shared" si="8"/>
        <v>0</v>
      </c>
    </row>
    <row r="63" spans="4:18">
      <c r="D63" t="s">
        <v>120</v>
      </c>
      <c r="E63" t="s">
        <v>688</v>
      </c>
      <c r="F63">
        <v>400544.5700000003</v>
      </c>
      <c r="G63">
        <v>506123.76999999955</v>
      </c>
      <c r="H63">
        <v>365174.98000000231</v>
      </c>
      <c r="I63">
        <v>423328.6799999997</v>
      </c>
      <c r="J63">
        <v>505397.52999999933</v>
      </c>
      <c r="K63">
        <v>366857.8599999994</v>
      </c>
      <c r="L63">
        <v>393376.5700000003</v>
      </c>
      <c r="M63">
        <v>377052.66000000015</v>
      </c>
      <c r="N63">
        <v>413766.94000000134</v>
      </c>
      <c r="O63">
        <v>389253.8599999994</v>
      </c>
      <c r="P63">
        <v>453553.66999999993</v>
      </c>
      <c r="Q63">
        <v>239840.47000000067</v>
      </c>
      <c r="R63" s="3">
        <f t="shared" si="8"/>
        <v>4834271.5600000024</v>
      </c>
    </row>
    <row r="64" spans="4:18">
      <c r="D64" t="s">
        <v>122</v>
      </c>
      <c r="E64" t="s">
        <v>688</v>
      </c>
      <c r="F64">
        <v>12064.700000000012</v>
      </c>
      <c r="G64">
        <v>7024.0200000000186</v>
      </c>
      <c r="H64">
        <v>3811</v>
      </c>
      <c r="I64">
        <v>3191.6699999999837</v>
      </c>
      <c r="J64">
        <v>0</v>
      </c>
      <c r="K64">
        <v>1090.7600000000093</v>
      </c>
      <c r="L64">
        <v>2645.1300000000047</v>
      </c>
      <c r="M64">
        <v>1926.859999999986</v>
      </c>
      <c r="N64">
        <v>891.20000000001164</v>
      </c>
      <c r="O64">
        <v>3249.210000000021</v>
      </c>
      <c r="P64">
        <v>8575.9899999999907</v>
      </c>
      <c r="Q64">
        <v>2498.8300000000163</v>
      </c>
      <c r="R64" s="3">
        <f t="shared" si="8"/>
        <v>46969.370000000054</v>
      </c>
    </row>
    <row r="65" spans="4:18">
      <c r="D65" t="s">
        <v>294</v>
      </c>
      <c r="E65" t="s">
        <v>688</v>
      </c>
      <c r="F65">
        <v>405.41000000000349</v>
      </c>
      <c r="G65">
        <v>0</v>
      </c>
      <c r="H65">
        <v>0</v>
      </c>
      <c r="I65">
        <v>3398.8299999999581</v>
      </c>
      <c r="J65">
        <v>219.92000000004191</v>
      </c>
      <c r="K65">
        <v>2538.3699999999953</v>
      </c>
      <c r="L65">
        <v>4422.0499999999884</v>
      </c>
      <c r="M65">
        <v>3245.0499999999884</v>
      </c>
      <c r="N65">
        <v>17983.850000000006</v>
      </c>
      <c r="O65">
        <v>4754.8299999999872</v>
      </c>
      <c r="P65">
        <v>3555.3500000000058</v>
      </c>
      <c r="Q65">
        <v>7753.5299999999988</v>
      </c>
      <c r="R65" s="3">
        <f t="shared" si="8"/>
        <v>48277.189999999973</v>
      </c>
    </row>
    <row r="66" spans="4:18">
      <c r="D66" t="s">
        <v>123</v>
      </c>
      <c r="E66" t="s">
        <v>688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 s="3">
        <f t="shared" si="8"/>
        <v>0</v>
      </c>
    </row>
    <row r="67" spans="4:18">
      <c r="D67" t="s">
        <v>125</v>
      </c>
      <c r="E67" t="s">
        <v>688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 s="3">
        <f t="shared" si="8"/>
        <v>0</v>
      </c>
    </row>
    <row r="68" spans="4:18">
      <c r="D68" t="s">
        <v>308</v>
      </c>
      <c r="E68" t="s">
        <v>688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 s="3">
        <f t="shared" si="8"/>
        <v>0</v>
      </c>
    </row>
    <row r="69" spans="4:18">
      <c r="D69" t="s">
        <v>192</v>
      </c>
      <c r="E69" t="s">
        <v>688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 s="3">
        <f t="shared" si="8"/>
        <v>0</v>
      </c>
    </row>
    <row r="70" spans="4:18">
      <c r="D70" t="s">
        <v>126</v>
      </c>
      <c r="E70" t="s">
        <v>688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 s="3">
        <f t="shared" si="8"/>
        <v>0</v>
      </c>
    </row>
    <row r="71" spans="4:18">
      <c r="D71" t="s">
        <v>128</v>
      </c>
      <c r="E71" t="s">
        <v>688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 s="3">
        <f t="shared" si="8"/>
        <v>0</v>
      </c>
    </row>
    <row r="72" spans="4:18">
      <c r="D72" t="s">
        <v>130</v>
      </c>
      <c r="E72" t="s">
        <v>688</v>
      </c>
      <c r="F72">
        <v>271854.46999999788</v>
      </c>
      <c r="G72">
        <v>276862.26000000071</v>
      </c>
      <c r="H72">
        <v>293231.37000000011</v>
      </c>
      <c r="I72">
        <v>316006.1400000006</v>
      </c>
      <c r="J72">
        <v>262779.49000000022</v>
      </c>
      <c r="K72">
        <v>159639.23000000045</v>
      </c>
      <c r="L72">
        <v>189742.54999999888</v>
      </c>
      <c r="M72">
        <v>172596.26999999955</v>
      </c>
      <c r="N72">
        <v>246066.98000000045</v>
      </c>
      <c r="O72">
        <v>161320.77999999933</v>
      </c>
      <c r="P72">
        <v>194983.28000000305</v>
      </c>
      <c r="Q72">
        <v>-57042.10000000149</v>
      </c>
      <c r="R72" s="3">
        <f t="shared" si="8"/>
        <v>2488040.7199999997</v>
      </c>
    </row>
    <row r="73" spans="4:18">
      <c r="D73" t="s">
        <v>132</v>
      </c>
      <c r="E73" t="s">
        <v>688</v>
      </c>
      <c r="F73">
        <v>0</v>
      </c>
      <c r="G73">
        <v>1723.7900000000009</v>
      </c>
      <c r="H73">
        <v>0</v>
      </c>
      <c r="I73">
        <v>1323.1800000000003</v>
      </c>
      <c r="J73">
        <v>-1323.1800000000003</v>
      </c>
      <c r="K73">
        <v>0</v>
      </c>
      <c r="L73">
        <v>0</v>
      </c>
      <c r="M73">
        <v>0</v>
      </c>
      <c r="N73">
        <v>879.23999999999796</v>
      </c>
      <c r="O73">
        <v>803.97000000000116</v>
      </c>
      <c r="P73">
        <v>66355.570000000007</v>
      </c>
      <c r="Q73">
        <v>0</v>
      </c>
      <c r="R73" s="3">
        <f t="shared" si="8"/>
        <v>69762.570000000007</v>
      </c>
    </row>
    <row r="74" spans="4:18">
      <c r="D74" t="s">
        <v>348</v>
      </c>
      <c r="E74" t="s">
        <v>688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 s="3">
        <f t="shared" si="8"/>
        <v>0</v>
      </c>
    </row>
    <row r="75" spans="4:18">
      <c r="E75" t="s">
        <v>689</v>
      </c>
    </row>
    <row r="76" spans="4:18">
      <c r="D76" t="s">
        <v>387</v>
      </c>
      <c r="E76" t="s">
        <v>689</v>
      </c>
    </row>
    <row r="77" spans="4:18">
      <c r="D77" t="s">
        <v>109</v>
      </c>
      <c r="E77" t="s">
        <v>689</v>
      </c>
      <c r="F77" t="s">
        <v>278</v>
      </c>
      <c r="G77" t="s">
        <v>279</v>
      </c>
      <c r="H77" t="s">
        <v>280</v>
      </c>
      <c r="I77" t="s">
        <v>281</v>
      </c>
      <c r="J77" t="s">
        <v>282</v>
      </c>
      <c r="K77" t="s">
        <v>283</v>
      </c>
      <c r="L77" t="s">
        <v>284</v>
      </c>
      <c r="M77" t="s">
        <v>285</v>
      </c>
      <c r="N77" t="s">
        <v>286</v>
      </c>
      <c r="O77" t="s">
        <v>287</v>
      </c>
      <c r="P77" t="s">
        <v>288</v>
      </c>
      <c r="Q77" t="s">
        <v>289</v>
      </c>
      <c r="R77" t="s">
        <v>683</v>
      </c>
    </row>
    <row r="78" spans="4:18">
      <c r="D78" t="s">
        <v>322</v>
      </c>
      <c r="E78" t="s">
        <v>690</v>
      </c>
      <c r="F78" s="3">
        <v>4018.75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f>SUM(F78:Q78)</f>
        <v>4018.75</v>
      </c>
    </row>
    <row r="79" spans="4:18">
      <c r="D79" t="s">
        <v>316</v>
      </c>
      <c r="E79" t="s">
        <v>691</v>
      </c>
      <c r="F79" s="454">
        <v>18474.85999999987</v>
      </c>
      <c r="G79" s="454">
        <v>44678.64000000013</v>
      </c>
      <c r="H79" s="454">
        <v>81767.910000000149</v>
      </c>
      <c r="I79" s="454">
        <v>72156.479999999981</v>
      </c>
      <c r="J79" s="454">
        <v>452410.08000000007</v>
      </c>
      <c r="K79" s="454">
        <v>1269972.4599999995</v>
      </c>
      <c r="L79" s="454">
        <v>1521787.67</v>
      </c>
      <c r="M79" s="454">
        <v>1799755.6100000013</v>
      </c>
      <c r="N79" s="454">
        <v>1919079.4699999988</v>
      </c>
      <c r="O79" s="454">
        <v>3015725.1899999995</v>
      </c>
      <c r="P79" s="454">
        <v>1664003.08</v>
      </c>
      <c r="Q79" s="454">
        <v>2361137.33</v>
      </c>
      <c r="R79" s="3">
        <f t="shared" ref="R79:R81" si="9">SUM(F79:Q79)</f>
        <v>14220948.779999999</v>
      </c>
    </row>
    <row r="80" spans="4:18">
      <c r="D80" t="s">
        <v>318</v>
      </c>
      <c r="E80" t="s">
        <v>691</v>
      </c>
      <c r="F80" s="3">
        <v>1308517.0700000003</v>
      </c>
      <c r="G80" s="3">
        <v>1642155.6099999994</v>
      </c>
      <c r="H80" s="3">
        <v>2879537.3000000007</v>
      </c>
      <c r="I80" s="3">
        <v>2667211.0700000003</v>
      </c>
      <c r="J80" s="3">
        <v>1408053.9299999997</v>
      </c>
      <c r="K80" s="3">
        <v>992519.92000000179</v>
      </c>
      <c r="L80" s="3">
        <v>433895.70999999717</v>
      </c>
      <c r="M80" s="3">
        <v>1358521.3200000003</v>
      </c>
      <c r="N80" s="3">
        <v>676870.3599999994</v>
      </c>
      <c r="O80" s="3">
        <v>2778315.5300000012</v>
      </c>
      <c r="P80" s="3">
        <v>1409532.700000003</v>
      </c>
      <c r="Q80" s="3">
        <v>121944.05999999493</v>
      </c>
      <c r="R80" s="3">
        <f t="shared" si="9"/>
        <v>17677074.579999998</v>
      </c>
    </row>
    <row r="81" spans="4:20">
      <c r="D81" t="s">
        <v>320</v>
      </c>
      <c r="E81" t="s">
        <v>691</v>
      </c>
      <c r="F81" s="3">
        <v>1321307.6400000006</v>
      </c>
      <c r="G81" s="3">
        <v>1308844.6899999976</v>
      </c>
      <c r="H81" s="3">
        <v>1429269.6900000013</v>
      </c>
      <c r="I81" s="3">
        <v>3170688.8999999985</v>
      </c>
      <c r="J81" s="3">
        <v>1493761.5199999996</v>
      </c>
      <c r="K81" s="3">
        <v>1452921.3200000003</v>
      </c>
      <c r="L81" s="3">
        <v>1840719.3000000007</v>
      </c>
      <c r="M81" s="3">
        <v>2561346.0100000016</v>
      </c>
      <c r="N81" s="3">
        <v>1205873.5799999982</v>
      </c>
      <c r="O81" s="3">
        <v>722800.52000000328</v>
      </c>
      <c r="P81" s="3">
        <v>843073.53000000119</v>
      </c>
      <c r="Q81" s="3">
        <v>999243.4299999997</v>
      </c>
      <c r="R81" s="3">
        <f t="shared" si="9"/>
        <v>18349850.130000003</v>
      </c>
    </row>
    <row r="83" spans="4:20">
      <c r="D83" t="s">
        <v>733</v>
      </c>
    </row>
    <row r="84" spans="4:20">
      <c r="D84" t="s">
        <v>372</v>
      </c>
      <c r="F84">
        <v>3</v>
      </c>
      <c r="G84">
        <f>F84+1</f>
        <v>4</v>
      </c>
      <c r="H84">
        <f t="shared" ref="H84" si="10">G84+1</f>
        <v>5</v>
      </c>
      <c r="I84">
        <f t="shared" ref="I84" si="11">H84+1</f>
        <v>6</v>
      </c>
      <c r="J84">
        <f t="shared" ref="J84" si="12">I84+1</f>
        <v>7</v>
      </c>
      <c r="K84">
        <f t="shared" ref="K84" si="13">J84+1</f>
        <v>8</v>
      </c>
      <c r="L84">
        <f t="shared" ref="L84" si="14">K84+1</f>
        <v>9</v>
      </c>
      <c r="M84">
        <f t="shared" ref="M84" si="15">L84+1</f>
        <v>10</v>
      </c>
      <c r="N84">
        <f t="shared" ref="N84" si="16">M84+1</f>
        <v>11</v>
      </c>
      <c r="O84">
        <f t="shared" ref="O84" si="17">N84+1</f>
        <v>12</v>
      </c>
      <c r="P84">
        <f t="shared" ref="P84" si="18">O84+1</f>
        <v>13</v>
      </c>
      <c r="Q84">
        <f t="shared" ref="Q84" si="19">P84+1</f>
        <v>14</v>
      </c>
    </row>
    <row r="85" spans="4:20">
      <c r="D85" t="s">
        <v>109</v>
      </c>
      <c r="E85" t="s">
        <v>686</v>
      </c>
      <c r="F85" t="s">
        <v>278</v>
      </c>
      <c r="G85" t="s">
        <v>279</v>
      </c>
      <c r="H85" t="s">
        <v>280</v>
      </c>
      <c r="I85" t="s">
        <v>281</v>
      </c>
      <c r="J85" t="s">
        <v>282</v>
      </c>
      <c r="K85" t="s">
        <v>283</v>
      </c>
      <c r="L85" t="s">
        <v>284</v>
      </c>
      <c r="M85" t="s">
        <v>285</v>
      </c>
      <c r="N85" t="s">
        <v>286</v>
      </c>
      <c r="O85" t="s">
        <v>287</v>
      </c>
      <c r="P85" t="s">
        <v>288</v>
      </c>
      <c r="Q85" t="s">
        <v>289</v>
      </c>
      <c r="R85" t="s">
        <v>683</v>
      </c>
    </row>
    <row r="86" spans="4:20">
      <c r="D86" t="s">
        <v>734</v>
      </c>
      <c r="E86">
        <v>380</v>
      </c>
      <c r="F86">
        <v>42.68999999780209</v>
      </c>
      <c r="G86">
        <v>-26.800000000000011</v>
      </c>
      <c r="H86">
        <v>32.909999999999997</v>
      </c>
      <c r="I86">
        <v>0</v>
      </c>
      <c r="J86">
        <v>-48.009999999627468</v>
      </c>
      <c r="K86">
        <v>24.200000001117587</v>
      </c>
      <c r="L86">
        <v>-3.7000000011175871</v>
      </c>
      <c r="M86">
        <v>-8.2000000011175871</v>
      </c>
      <c r="N86">
        <v>-0.90000000037252903</v>
      </c>
      <c r="O86">
        <v>-11.400000000372529</v>
      </c>
      <c r="P86">
        <v>-13.99999999627471</v>
      </c>
      <c r="Q86">
        <v>-140.40000000223517</v>
      </c>
      <c r="R86" s="3"/>
    </row>
    <row r="87" spans="4:20">
      <c r="D87" t="s">
        <v>120</v>
      </c>
      <c r="E87">
        <v>380</v>
      </c>
      <c r="F87">
        <v>0</v>
      </c>
      <c r="G87">
        <v>11840.260000001639</v>
      </c>
      <c r="H87">
        <v>-5129.7900000016389</v>
      </c>
      <c r="I87">
        <v>0</v>
      </c>
      <c r="J87" s="421">
        <v>-6710.47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s="3"/>
    </row>
    <row r="88" spans="4:20">
      <c r="D88" t="s">
        <v>118</v>
      </c>
      <c r="E88">
        <v>380</v>
      </c>
      <c r="F88">
        <v>0</v>
      </c>
      <c r="G88">
        <v>0</v>
      </c>
      <c r="H88">
        <v>0</v>
      </c>
      <c r="I88">
        <v>0</v>
      </c>
      <c r="J88">
        <v>4867.1500000001979</v>
      </c>
      <c r="K88">
        <v>-499.41000000020722</v>
      </c>
      <c r="L88">
        <v>-4367.7399999999907</v>
      </c>
      <c r="M88">
        <v>0</v>
      </c>
      <c r="N88">
        <v>0</v>
      </c>
      <c r="O88">
        <v>0</v>
      </c>
      <c r="P88">
        <v>0</v>
      </c>
      <c r="Q88">
        <v>0</v>
      </c>
      <c r="R88" s="3"/>
    </row>
    <row r="89" spans="4:20">
      <c r="D89" t="s">
        <v>735</v>
      </c>
      <c r="F89">
        <f>SUM(F87:F88)</f>
        <v>0</v>
      </c>
      <c r="G89">
        <f t="shared" ref="G89:Q89" si="20">SUM(G87:G88)</f>
        <v>11840.260000001639</v>
      </c>
      <c r="H89">
        <f t="shared" si="20"/>
        <v>-5129.7900000016389</v>
      </c>
      <c r="I89">
        <f t="shared" si="20"/>
        <v>0</v>
      </c>
      <c r="J89">
        <f t="shared" si="20"/>
        <v>-1843.3199999998023</v>
      </c>
      <c r="K89">
        <f t="shared" si="20"/>
        <v>-499.41000000020722</v>
      </c>
      <c r="L89">
        <f t="shared" si="20"/>
        <v>-4367.7399999999907</v>
      </c>
      <c r="M89">
        <f t="shared" si="20"/>
        <v>0</v>
      </c>
      <c r="N89">
        <f t="shared" si="20"/>
        <v>0</v>
      </c>
      <c r="O89">
        <f t="shared" si="20"/>
        <v>0</v>
      </c>
      <c r="P89">
        <f t="shared" si="20"/>
        <v>0</v>
      </c>
      <c r="Q89">
        <f t="shared" si="20"/>
        <v>0</v>
      </c>
      <c r="T89" s="443"/>
    </row>
    <row r="90" spans="4:20">
      <c r="T90" s="443"/>
    </row>
    <row r="91" spans="4:20">
      <c r="T91" s="443"/>
    </row>
    <row r="92" spans="4:20">
      <c r="T92" s="443"/>
    </row>
    <row r="93" spans="4:20">
      <c r="T93" s="443"/>
    </row>
    <row r="94" spans="4:20">
      <c r="T94" s="443"/>
    </row>
    <row r="95" spans="4:20">
      <c r="T95" s="443"/>
    </row>
  </sheetData>
  <mergeCells count="1">
    <mergeCell ref="F2:I2"/>
  </mergeCells>
  <pageMargins left="0.7" right="0.7" top="0.75" bottom="0.75" header="0.3" footer="0.3"/>
  <pageSetup scale="5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2689-4FD9-480F-858E-9838832C108F}">
  <sheetPr>
    <tabColor theme="6" tint="0.39997558519241921"/>
  </sheetPr>
  <dimension ref="A1:U37"/>
  <sheetViews>
    <sheetView workbookViewId="0"/>
  </sheetViews>
  <sheetFormatPr defaultColWidth="9.140625" defaultRowHeight="12.75"/>
  <cols>
    <col min="1" max="4" width="9.140625" style="199"/>
    <col min="5" max="5" width="11.85546875" style="199" bestFit="1" customWidth="1"/>
    <col min="6" max="7" width="9.140625" style="199"/>
    <col min="8" max="9" width="11.140625" style="199" bestFit="1" customWidth="1"/>
    <col min="10" max="11" width="10.28515625" style="199" bestFit="1" customWidth="1"/>
    <col min="12" max="12" width="11.140625" style="199" bestFit="1" customWidth="1"/>
    <col min="13" max="13" width="10.28515625" style="199" bestFit="1" customWidth="1"/>
    <col min="14" max="18" width="11.140625" style="199" bestFit="1" customWidth="1"/>
    <col min="19" max="19" width="10.28515625" style="199" bestFit="1" customWidth="1"/>
    <col min="20" max="20" width="11.140625" style="199" bestFit="1" customWidth="1"/>
    <col min="21" max="16384" width="9.140625" style="199"/>
  </cols>
  <sheetData>
    <row r="1" spans="1:20">
      <c r="A1" s="223" t="s">
        <v>137</v>
      </c>
      <c r="B1" s="223" t="s">
        <v>138</v>
      </c>
      <c r="C1" s="223" t="s">
        <v>139</v>
      </c>
      <c r="D1" s="223" t="s">
        <v>140</v>
      </c>
      <c r="E1" s="223" t="s">
        <v>141</v>
      </c>
      <c r="F1" s="223" t="s">
        <v>142</v>
      </c>
      <c r="G1" s="223" t="s">
        <v>143</v>
      </c>
      <c r="H1" s="223" t="s">
        <v>330</v>
      </c>
      <c r="I1" s="223" t="s">
        <v>331</v>
      </c>
      <c r="J1" s="223" t="s">
        <v>332</v>
      </c>
      <c r="K1" s="223" t="s">
        <v>333</v>
      </c>
      <c r="L1" s="223" t="s">
        <v>334</v>
      </c>
      <c r="M1" s="223" t="s">
        <v>335</v>
      </c>
      <c r="N1" s="223" t="s">
        <v>336</v>
      </c>
      <c r="O1" s="223" t="s">
        <v>337</v>
      </c>
      <c r="P1" s="223" t="s">
        <v>338</v>
      </c>
      <c r="Q1" s="223" t="s">
        <v>339</v>
      </c>
      <c r="R1" s="223" t="s">
        <v>340</v>
      </c>
      <c r="S1" s="223" t="s">
        <v>341</v>
      </c>
      <c r="T1" s="223" t="s">
        <v>144</v>
      </c>
    </row>
    <row r="2" spans="1:20">
      <c r="A2" s="199" t="s">
        <v>145</v>
      </c>
      <c r="B2" s="199" t="s">
        <v>145</v>
      </c>
      <c r="C2" s="199" t="s">
        <v>146</v>
      </c>
      <c r="D2" s="199" t="s">
        <v>195</v>
      </c>
      <c r="E2" s="199" t="s">
        <v>148</v>
      </c>
      <c r="F2" s="199" t="s">
        <v>149</v>
      </c>
      <c r="G2" s="199">
        <v>2020</v>
      </c>
      <c r="H2" s="433">
        <v>27625</v>
      </c>
      <c r="I2" s="433">
        <v>27625</v>
      </c>
      <c r="J2" s="433">
        <v>27625</v>
      </c>
      <c r="K2" s="433">
        <v>27625</v>
      </c>
      <c r="L2" s="433">
        <v>27625</v>
      </c>
      <c r="M2" s="433">
        <v>27625</v>
      </c>
      <c r="N2" s="433">
        <v>27625</v>
      </c>
      <c r="O2" s="433">
        <v>27625</v>
      </c>
      <c r="P2" s="433">
        <v>27625</v>
      </c>
      <c r="Q2" s="433">
        <v>27625</v>
      </c>
      <c r="R2" s="433">
        <v>27625</v>
      </c>
      <c r="S2" s="433">
        <v>27625</v>
      </c>
      <c r="T2" s="433">
        <f>SUM(H2:S2)</f>
        <v>331500</v>
      </c>
    </row>
    <row r="3" spans="1:20">
      <c r="A3" s="199" t="s">
        <v>150</v>
      </c>
      <c r="B3" s="199" t="s">
        <v>150</v>
      </c>
      <c r="C3" s="199" t="s">
        <v>146</v>
      </c>
      <c r="D3" s="199" t="s">
        <v>342</v>
      </c>
      <c r="E3" s="199" t="s">
        <v>171</v>
      </c>
      <c r="F3" s="199" t="s">
        <v>196</v>
      </c>
      <c r="G3" s="199">
        <v>2020</v>
      </c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>
        <f t="shared" ref="T3:T30" si="0">SUM(H3:S3)</f>
        <v>0</v>
      </c>
    </row>
    <row r="4" spans="1:20">
      <c r="A4" s="199" t="s">
        <v>150</v>
      </c>
      <c r="B4" s="199" t="s">
        <v>150</v>
      </c>
      <c r="C4" s="199" t="s">
        <v>170</v>
      </c>
      <c r="D4" s="199" t="s">
        <v>342</v>
      </c>
      <c r="E4" s="199" t="s">
        <v>171</v>
      </c>
      <c r="F4" s="199" t="s">
        <v>172</v>
      </c>
      <c r="G4" s="199">
        <v>2020</v>
      </c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>
        <f t="shared" si="0"/>
        <v>0</v>
      </c>
    </row>
    <row r="5" spans="1:20">
      <c r="A5" s="199" t="s">
        <v>150</v>
      </c>
      <c r="B5" s="199" t="s">
        <v>150</v>
      </c>
      <c r="C5" s="199" t="s">
        <v>151</v>
      </c>
      <c r="D5" s="199" t="s">
        <v>174</v>
      </c>
      <c r="E5" s="199" t="s">
        <v>152</v>
      </c>
      <c r="F5" s="199" t="s">
        <v>153</v>
      </c>
      <c r="G5" s="199">
        <v>2020</v>
      </c>
      <c r="H5" s="433">
        <v>12466.8</v>
      </c>
      <c r="I5" s="433">
        <v>11702.38</v>
      </c>
      <c r="J5" s="433">
        <v>13891.04</v>
      </c>
      <c r="K5" s="433">
        <v>12699.68</v>
      </c>
      <c r="L5" s="433">
        <v>12265.01</v>
      </c>
      <c r="M5" s="433">
        <v>12219.61</v>
      </c>
      <c r="N5" s="433">
        <v>13647.86</v>
      </c>
      <c r="O5" s="433">
        <v>14544.66</v>
      </c>
      <c r="P5" s="433">
        <v>13390.23</v>
      </c>
      <c r="Q5" s="433">
        <v>13530.53</v>
      </c>
      <c r="R5" s="433">
        <v>12770.59</v>
      </c>
      <c r="S5" s="433">
        <v>13871.61</v>
      </c>
      <c r="T5" s="433">
        <f t="shared" si="0"/>
        <v>157000</v>
      </c>
    </row>
    <row r="6" spans="1:20">
      <c r="A6" s="199" t="s">
        <v>150</v>
      </c>
      <c r="B6" s="199" t="s">
        <v>150</v>
      </c>
      <c r="C6" s="199" t="s">
        <v>151</v>
      </c>
      <c r="D6" s="199" t="s">
        <v>174</v>
      </c>
      <c r="E6" s="199" t="s">
        <v>157</v>
      </c>
      <c r="F6" s="199" t="s">
        <v>153</v>
      </c>
      <c r="G6" s="199">
        <v>2020</v>
      </c>
      <c r="H6" s="433">
        <v>3732.1</v>
      </c>
      <c r="I6" s="433">
        <v>3503.26</v>
      </c>
      <c r="J6" s="433">
        <v>4158.46</v>
      </c>
      <c r="K6" s="433">
        <v>3801.81</v>
      </c>
      <c r="L6" s="433">
        <v>3671.69</v>
      </c>
      <c r="M6" s="433">
        <v>3658.1</v>
      </c>
      <c r="N6" s="433">
        <v>4085.66</v>
      </c>
      <c r="O6" s="433">
        <v>4354.13</v>
      </c>
      <c r="P6" s="433">
        <v>4008.54</v>
      </c>
      <c r="Q6" s="433">
        <v>4050.54</v>
      </c>
      <c r="R6" s="433">
        <v>3823.04</v>
      </c>
      <c r="S6" s="433">
        <v>4152.6499999999996</v>
      </c>
      <c r="T6" s="433">
        <f t="shared" si="0"/>
        <v>46999.98</v>
      </c>
    </row>
    <row r="7" spans="1:20">
      <c r="A7" s="199" t="s">
        <v>150</v>
      </c>
      <c r="B7" s="199" t="s">
        <v>150</v>
      </c>
      <c r="C7" s="199" t="s">
        <v>151</v>
      </c>
      <c r="D7" s="199" t="s">
        <v>568</v>
      </c>
      <c r="E7" s="199" t="s">
        <v>152</v>
      </c>
      <c r="F7" s="199" t="s">
        <v>153</v>
      </c>
      <c r="G7" s="199">
        <v>2020</v>
      </c>
      <c r="H7" s="433">
        <v>4604</v>
      </c>
      <c r="I7" s="433">
        <v>4273</v>
      </c>
      <c r="J7" s="433">
        <v>4580</v>
      </c>
      <c r="K7" s="433">
        <v>4487</v>
      </c>
      <c r="L7" s="433">
        <v>4219</v>
      </c>
      <c r="M7" s="433">
        <v>4394</v>
      </c>
      <c r="N7" s="433">
        <v>4720</v>
      </c>
      <c r="O7" s="433">
        <v>5097</v>
      </c>
      <c r="P7" s="433">
        <v>4694</v>
      </c>
      <c r="Q7" s="433">
        <v>5105</v>
      </c>
      <c r="R7" s="433">
        <v>4745</v>
      </c>
      <c r="S7" s="433">
        <v>4978</v>
      </c>
      <c r="T7" s="433">
        <f t="shared" si="0"/>
        <v>55896</v>
      </c>
    </row>
    <row r="8" spans="1:20">
      <c r="A8" s="199" t="s">
        <v>150</v>
      </c>
      <c r="B8" s="199" t="s">
        <v>150</v>
      </c>
      <c r="C8" s="199" t="s">
        <v>151</v>
      </c>
      <c r="D8" s="199" t="s">
        <v>568</v>
      </c>
      <c r="E8" s="199" t="s">
        <v>157</v>
      </c>
      <c r="F8" s="199" t="s">
        <v>153</v>
      </c>
      <c r="G8" s="199">
        <v>2020</v>
      </c>
      <c r="H8" s="433">
        <v>1891</v>
      </c>
      <c r="I8" s="433">
        <v>1732</v>
      </c>
      <c r="J8" s="433">
        <v>1628</v>
      </c>
      <c r="K8" s="433">
        <v>1749</v>
      </c>
      <c r="L8" s="433">
        <v>1590</v>
      </c>
      <c r="M8" s="433">
        <v>1751</v>
      </c>
      <c r="N8" s="433">
        <v>1792</v>
      </c>
      <c r="O8" s="433">
        <v>1968</v>
      </c>
      <c r="P8" s="433">
        <v>1812</v>
      </c>
      <c r="Q8" s="433">
        <v>2147</v>
      </c>
      <c r="R8" s="433">
        <v>1963</v>
      </c>
      <c r="S8" s="433">
        <v>1978</v>
      </c>
      <c r="T8" s="433">
        <f t="shared" si="0"/>
        <v>22001</v>
      </c>
    </row>
    <row r="9" spans="1:20">
      <c r="A9" s="199" t="s">
        <v>150</v>
      </c>
      <c r="B9" s="199" t="s">
        <v>150</v>
      </c>
      <c r="C9" s="199" t="s">
        <v>151</v>
      </c>
      <c r="D9" s="199" t="s">
        <v>175</v>
      </c>
      <c r="E9" s="199" t="s">
        <v>152</v>
      </c>
      <c r="F9" s="199" t="s">
        <v>153</v>
      </c>
      <c r="G9" s="199">
        <v>2020</v>
      </c>
      <c r="H9" s="433">
        <v>3165.07</v>
      </c>
      <c r="I9" s="433">
        <v>2971</v>
      </c>
      <c r="J9" s="433">
        <v>3526.66</v>
      </c>
      <c r="K9" s="433">
        <v>3224.2</v>
      </c>
      <c r="L9" s="433">
        <v>3113.84</v>
      </c>
      <c r="M9" s="433">
        <v>3102.32</v>
      </c>
      <c r="N9" s="433">
        <v>3464.92</v>
      </c>
      <c r="O9" s="433">
        <v>3692.6</v>
      </c>
      <c r="P9" s="433">
        <v>3399.51</v>
      </c>
      <c r="Q9" s="433">
        <v>3435.13</v>
      </c>
      <c r="R9" s="433">
        <v>3242.2</v>
      </c>
      <c r="S9" s="433">
        <v>3521.72</v>
      </c>
      <c r="T9" s="433">
        <f t="shared" si="0"/>
        <v>39859.17</v>
      </c>
    </row>
    <row r="10" spans="1:20">
      <c r="A10" s="199" t="s">
        <v>150</v>
      </c>
      <c r="B10" s="199" t="s">
        <v>150</v>
      </c>
      <c r="C10" s="199" t="s">
        <v>151</v>
      </c>
      <c r="D10" s="199" t="s">
        <v>175</v>
      </c>
      <c r="E10" s="199" t="s">
        <v>157</v>
      </c>
      <c r="F10" s="199" t="s">
        <v>153</v>
      </c>
      <c r="G10" s="199">
        <v>2020</v>
      </c>
      <c r="H10" s="433">
        <v>947.5</v>
      </c>
      <c r="I10" s="433">
        <v>889.41</v>
      </c>
      <c r="J10" s="433">
        <v>1055.75</v>
      </c>
      <c r="K10" s="433">
        <v>965.2</v>
      </c>
      <c r="L10" s="433">
        <v>932.16</v>
      </c>
      <c r="M10" s="433">
        <v>928.71</v>
      </c>
      <c r="N10" s="433">
        <v>1037.26</v>
      </c>
      <c r="O10" s="433">
        <v>1105.42</v>
      </c>
      <c r="P10" s="433">
        <v>1017.69</v>
      </c>
      <c r="Q10" s="433">
        <v>1028.3499999999999</v>
      </c>
      <c r="R10" s="433">
        <v>970.59</v>
      </c>
      <c r="S10" s="433">
        <v>1054.28</v>
      </c>
      <c r="T10" s="433">
        <f t="shared" si="0"/>
        <v>11932.320000000002</v>
      </c>
    </row>
    <row r="11" spans="1:20">
      <c r="A11" s="199" t="s">
        <v>150</v>
      </c>
      <c r="B11" s="199" t="s">
        <v>150</v>
      </c>
      <c r="C11" s="199" t="s">
        <v>151</v>
      </c>
      <c r="D11" s="199" t="s">
        <v>195</v>
      </c>
      <c r="E11" s="199" t="s">
        <v>152</v>
      </c>
      <c r="F11" s="199" t="s">
        <v>153</v>
      </c>
      <c r="G11" s="199">
        <v>2020</v>
      </c>
      <c r="H11" s="433">
        <v>13451.74</v>
      </c>
      <c r="I11" s="433">
        <v>12404.92</v>
      </c>
      <c r="J11" s="433">
        <v>12506.71</v>
      </c>
      <c r="K11" s="433">
        <v>12785.75</v>
      </c>
      <c r="L11" s="433">
        <v>11833.12</v>
      </c>
      <c r="M11" s="433">
        <v>12651.21</v>
      </c>
      <c r="N11" s="433">
        <v>13282.5</v>
      </c>
      <c r="O11" s="433">
        <v>14456.95</v>
      </c>
      <c r="P11" s="433">
        <v>13313.83</v>
      </c>
      <c r="Q11" s="433">
        <v>15088.64</v>
      </c>
      <c r="R11" s="433">
        <v>13911.56</v>
      </c>
      <c r="S11" s="433">
        <v>14313.08</v>
      </c>
      <c r="T11" s="433">
        <f t="shared" si="0"/>
        <v>160000.00999999998</v>
      </c>
    </row>
    <row r="12" spans="1:20">
      <c r="A12" s="199" t="s">
        <v>150</v>
      </c>
      <c r="B12" s="199" t="s">
        <v>150</v>
      </c>
      <c r="C12" s="199" t="s">
        <v>151</v>
      </c>
      <c r="D12" s="199" t="s">
        <v>195</v>
      </c>
      <c r="E12" s="199" t="s">
        <v>157</v>
      </c>
      <c r="F12" s="199" t="s">
        <v>153</v>
      </c>
      <c r="G12" s="199">
        <v>2020</v>
      </c>
      <c r="H12" s="433">
        <v>22531.67</v>
      </c>
      <c r="I12" s="433">
        <v>20778.25</v>
      </c>
      <c r="J12" s="433">
        <v>20948.73</v>
      </c>
      <c r="K12" s="433">
        <v>21416.12</v>
      </c>
      <c r="L12" s="433">
        <v>19820.48</v>
      </c>
      <c r="M12" s="433">
        <v>21190.77</v>
      </c>
      <c r="N12" s="433">
        <v>22248.19</v>
      </c>
      <c r="O12" s="433">
        <v>24215.39</v>
      </c>
      <c r="P12" s="433">
        <v>22300.66</v>
      </c>
      <c r="Q12" s="433">
        <v>25273.47</v>
      </c>
      <c r="R12" s="433">
        <v>23301.86</v>
      </c>
      <c r="S12" s="433">
        <v>23974.400000000001</v>
      </c>
      <c r="T12" s="433">
        <f t="shared" si="0"/>
        <v>267999.99</v>
      </c>
    </row>
    <row r="13" spans="1:20">
      <c r="A13" s="199" t="s">
        <v>150</v>
      </c>
      <c r="B13" s="199" t="s">
        <v>150</v>
      </c>
      <c r="C13" s="199" t="s">
        <v>151</v>
      </c>
      <c r="D13" s="199" t="s">
        <v>158</v>
      </c>
      <c r="E13" s="199" t="s">
        <v>152</v>
      </c>
      <c r="F13" s="199" t="s">
        <v>153</v>
      </c>
      <c r="G13" s="199">
        <v>2020</v>
      </c>
      <c r="H13" s="433">
        <v>3018.27</v>
      </c>
      <c r="I13" s="433">
        <v>2667.69</v>
      </c>
      <c r="J13" s="433">
        <v>1512.95</v>
      </c>
      <c r="K13" s="433">
        <v>2390.84</v>
      </c>
      <c r="L13" s="433">
        <v>1925.09</v>
      </c>
      <c r="M13" s="433">
        <v>2560.4699999999998</v>
      </c>
      <c r="N13" s="433">
        <v>2228.02</v>
      </c>
      <c r="O13" s="433">
        <v>2599.29</v>
      </c>
      <c r="P13" s="433">
        <v>2396.23</v>
      </c>
      <c r="Q13" s="433">
        <v>3640.44</v>
      </c>
      <c r="R13" s="433">
        <v>3190.23</v>
      </c>
      <c r="S13" s="433">
        <v>2870.48</v>
      </c>
      <c r="T13" s="433">
        <f t="shared" si="0"/>
        <v>30999.999999999996</v>
      </c>
    </row>
    <row r="14" spans="1:20">
      <c r="A14" s="199" t="s">
        <v>150</v>
      </c>
      <c r="B14" s="199" t="s">
        <v>150</v>
      </c>
      <c r="C14" s="199" t="s">
        <v>151</v>
      </c>
      <c r="D14" s="199" t="s">
        <v>158</v>
      </c>
      <c r="E14" s="199" t="s">
        <v>157</v>
      </c>
      <c r="F14" s="199" t="s">
        <v>153</v>
      </c>
      <c r="G14" s="199">
        <v>2020</v>
      </c>
      <c r="H14" s="433">
        <v>2628.82</v>
      </c>
      <c r="I14" s="433">
        <v>2323.4699999999998</v>
      </c>
      <c r="J14" s="433">
        <v>1317.73</v>
      </c>
      <c r="K14" s="433">
        <v>2082.35</v>
      </c>
      <c r="L14" s="433">
        <v>1676.69</v>
      </c>
      <c r="M14" s="433">
        <v>2230.09</v>
      </c>
      <c r="N14" s="433">
        <v>1940.53</v>
      </c>
      <c r="O14" s="433">
        <v>2263.9</v>
      </c>
      <c r="P14" s="433">
        <v>2087.04</v>
      </c>
      <c r="Q14" s="433">
        <v>3170.71</v>
      </c>
      <c r="R14" s="433">
        <v>2778.59</v>
      </c>
      <c r="S14" s="433">
        <v>2500.09</v>
      </c>
      <c r="T14" s="433">
        <f t="shared" si="0"/>
        <v>27000.010000000002</v>
      </c>
    </row>
    <row r="15" spans="1:20">
      <c r="A15" s="199" t="s">
        <v>150</v>
      </c>
      <c r="B15" s="199" t="s">
        <v>150</v>
      </c>
      <c r="C15" s="199" t="s">
        <v>151</v>
      </c>
      <c r="D15" s="199" t="s">
        <v>159</v>
      </c>
      <c r="E15" s="199" t="s">
        <v>152</v>
      </c>
      <c r="F15" s="199" t="s">
        <v>153</v>
      </c>
      <c r="G15" s="199">
        <v>2020</v>
      </c>
      <c r="H15" s="433">
        <v>273.18</v>
      </c>
      <c r="I15" s="433">
        <v>241.45</v>
      </c>
      <c r="J15" s="433">
        <v>136.94</v>
      </c>
      <c r="K15" s="433">
        <v>216.39</v>
      </c>
      <c r="L15" s="433">
        <v>174.24</v>
      </c>
      <c r="M15" s="433">
        <v>231.75</v>
      </c>
      <c r="N15" s="433">
        <v>201.66</v>
      </c>
      <c r="O15" s="433">
        <v>235.26</v>
      </c>
      <c r="P15" s="433">
        <v>216.88</v>
      </c>
      <c r="Q15" s="433">
        <v>329.5</v>
      </c>
      <c r="R15" s="433">
        <v>288.75</v>
      </c>
      <c r="S15" s="433">
        <v>259.81</v>
      </c>
      <c r="T15" s="433">
        <f t="shared" si="0"/>
        <v>2805.81</v>
      </c>
    </row>
    <row r="16" spans="1:20">
      <c r="A16" s="199" t="s">
        <v>150</v>
      </c>
      <c r="B16" s="199" t="s">
        <v>150</v>
      </c>
      <c r="C16" s="199" t="s">
        <v>151</v>
      </c>
      <c r="D16" s="199" t="s">
        <v>159</v>
      </c>
      <c r="E16" s="199" t="s">
        <v>157</v>
      </c>
      <c r="F16" s="199" t="s">
        <v>153</v>
      </c>
      <c r="G16" s="199">
        <v>2020</v>
      </c>
      <c r="H16" s="433">
        <v>237.93</v>
      </c>
      <c r="I16" s="433">
        <v>210.3</v>
      </c>
      <c r="J16" s="433">
        <v>119.27</v>
      </c>
      <c r="K16" s="433">
        <v>188.47</v>
      </c>
      <c r="L16" s="433">
        <v>151.76</v>
      </c>
      <c r="M16" s="433">
        <v>201.85</v>
      </c>
      <c r="N16" s="433">
        <v>175.64</v>
      </c>
      <c r="O16" s="433">
        <v>204.91</v>
      </c>
      <c r="P16" s="433">
        <v>188.9</v>
      </c>
      <c r="Q16" s="433">
        <v>286.98</v>
      </c>
      <c r="R16" s="433">
        <v>251.49</v>
      </c>
      <c r="S16" s="433">
        <v>226.28</v>
      </c>
      <c r="T16" s="433">
        <f t="shared" si="0"/>
        <v>2443.7800000000002</v>
      </c>
    </row>
    <row r="17" spans="1:21">
      <c r="A17" s="199" t="s">
        <v>150</v>
      </c>
      <c r="B17" s="199" t="s">
        <v>150</v>
      </c>
      <c r="C17" s="199" t="s">
        <v>151</v>
      </c>
      <c r="D17" s="199" t="s">
        <v>342</v>
      </c>
      <c r="E17" s="199" t="s">
        <v>171</v>
      </c>
      <c r="F17" s="199" t="s">
        <v>197</v>
      </c>
      <c r="G17" s="199">
        <v>2020</v>
      </c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>
        <f t="shared" si="0"/>
        <v>0</v>
      </c>
    </row>
    <row r="18" spans="1:21">
      <c r="A18" s="199" t="s">
        <v>150</v>
      </c>
      <c r="B18" s="199" t="s">
        <v>150</v>
      </c>
      <c r="C18" s="199" t="s">
        <v>151</v>
      </c>
      <c r="D18" s="199" t="s">
        <v>344</v>
      </c>
      <c r="E18" s="199" t="s">
        <v>152</v>
      </c>
      <c r="F18" s="199" t="s">
        <v>153</v>
      </c>
      <c r="G18" s="199">
        <v>2020</v>
      </c>
      <c r="H18" s="433">
        <v>2185.91</v>
      </c>
      <c r="I18" s="433">
        <v>2015.8</v>
      </c>
      <c r="J18" s="433">
        <v>2032.34</v>
      </c>
      <c r="K18" s="433">
        <v>2077.6799999999998</v>
      </c>
      <c r="L18" s="433">
        <v>1922.88</v>
      </c>
      <c r="M18" s="433">
        <v>2055.8200000000002</v>
      </c>
      <c r="N18" s="433">
        <v>2158.41</v>
      </c>
      <c r="O18" s="433">
        <v>2349.25</v>
      </c>
      <c r="P18" s="433">
        <v>2163.5</v>
      </c>
      <c r="Q18" s="433">
        <v>2451.9</v>
      </c>
      <c r="R18" s="433">
        <v>2260.63</v>
      </c>
      <c r="S18" s="433">
        <v>2325.87</v>
      </c>
      <c r="T18" s="433">
        <f t="shared" si="0"/>
        <v>25999.99</v>
      </c>
    </row>
    <row r="19" spans="1:21">
      <c r="A19" s="199" t="s">
        <v>150</v>
      </c>
      <c r="B19" s="199" t="s">
        <v>150</v>
      </c>
      <c r="C19" s="199" t="s">
        <v>151</v>
      </c>
      <c r="D19" s="199" t="s">
        <v>344</v>
      </c>
      <c r="E19" s="199" t="s">
        <v>157</v>
      </c>
      <c r="F19" s="199" t="s">
        <v>153</v>
      </c>
      <c r="G19" s="199">
        <v>2020</v>
      </c>
      <c r="H19" s="433">
        <v>916.4</v>
      </c>
      <c r="I19" s="433">
        <v>845.09</v>
      </c>
      <c r="J19" s="433">
        <v>852.02</v>
      </c>
      <c r="K19" s="433">
        <v>871.03</v>
      </c>
      <c r="L19" s="433">
        <v>806.13</v>
      </c>
      <c r="M19" s="433">
        <v>861.86</v>
      </c>
      <c r="N19" s="433">
        <v>904.87</v>
      </c>
      <c r="O19" s="433">
        <v>984.88</v>
      </c>
      <c r="P19" s="433">
        <v>907</v>
      </c>
      <c r="Q19" s="433">
        <v>1027.9100000000001</v>
      </c>
      <c r="R19" s="433">
        <v>947.72</v>
      </c>
      <c r="S19" s="433">
        <v>975.08</v>
      </c>
      <c r="T19" s="433">
        <f t="shared" si="0"/>
        <v>10899.99</v>
      </c>
    </row>
    <row r="20" spans="1:21">
      <c r="A20" s="199" t="s">
        <v>150</v>
      </c>
      <c r="B20" s="199" t="s">
        <v>150</v>
      </c>
      <c r="C20" s="199" t="s">
        <v>151</v>
      </c>
      <c r="D20" s="199" t="s">
        <v>345</v>
      </c>
      <c r="E20" s="199" t="s">
        <v>152</v>
      </c>
      <c r="F20" s="199" t="s">
        <v>153</v>
      </c>
      <c r="G20" s="199">
        <v>2020</v>
      </c>
      <c r="H20" s="433">
        <v>196.73</v>
      </c>
      <c r="I20" s="433">
        <v>181.42</v>
      </c>
      <c r="J20" s="433">
        <v>182.91</v>
      </c>
      <c r="K20" s="433">
        <v>186.99</v>
      </c>
      <c r="L20" s="433">
        <v>173.06</v>
      </c>
      <c r="M20" s="433">
        <v>185.02</v>
      </c>
      <c r="N20" s="433">
        <v>194.26</v>
      </c>
      <c r="O20" s="433">
        <v>211.43</v>
      </c>
      <c r="P20" s="433">
        <v>194.72</v>
      </c>
      <c r="Q20" s="433">
        <v>220.67</v>
      </c>
      <c r="R20" s="433">
        <v>203.46</v>
      </c>
      <c r="S20" s="433">
        <v>209.33</v>
      </c>
      <c r="T20" s="433">
        <f t="shared" si="0"/>
        <v>2340</v>
      </c>
    </row>
    <row r="21" spans="1:21">
      <c r="A21" s="199" t="s">
        <v>150</v>
      </c>
      <c r="B21" s="199" t="s">
        <v>150</v>
      </c>
      <c r="C21" s="199" t="s">
        <v>151</v>
      </c>
      <c r="D21" s="199" t="s">
        <v>345</v>
      </c>
      <c r="E21" s="199" t="s">
        <v>157</v>
      </c>
      <c r="F21" s="199" t="s">
        <v>153</v>
      </c>
      <c r="G21" s="199">
        <v>2020</v>
      </c>
      <c r="H21" s="433">
        <v>82.48</v>
      </c>
      <c r="I21" s="433">
        <v>76.06</v>
      </c>
      <c r="J21" s="433">
        <v>76.680000000000007</v>
      </c>
      <c r="K21" s="433">
        <v>78.39</v>
      </c>
      <c r="L21" s="433">
        <v>72.55</v>
      </c>
      <c r="M21" s="433">
        <v>77.569999999999993</v>
      </c>
      <c r="N21" s="433">
        <v>81.44</v>
      </c>
      <c r="O21" s="433">
        <v>88.64</v>
      </c>
      <c r="P21" s="433">
        <v>81.63</v>
      </c>
      <c r="Q21" s="433">
        <v>92.51</v>
      </c>
      <c r="R21" s="433">
        <v>85.29</v>
      </c>
      <c r="S21" s="433">
        <v>87.76</v>
      </c>
      <c r="T21" s="433">
        <f t="shared" si="0"/>
        <v>981</v>
      </c>
    </row>
    <row r="22" spans="1:21">
      <c r="A22" s="199" t="s">
        <v>150</v>
      </c>
      <c r="B22" s="199" t="s">
        <v>150</v>
      </c>
      <c r="C22" s="199" t="s">
        <v>176</v>
      </c>
      <c r="D22" s="199" t="s">
        <v>342</v>
      </c>
      <c r="E22" s="199" t="s">
        <v>171</v>
      </c>
      <c r="F22" s="199" t="s">
        <v>198</v>
      </c>
      <c r="G22" s="199">
        <v>2020</v>
      </c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>
        <f t="shared" si="0"/>
        <v>0</v>
      </c>
    </row>
    <row r="23" spans="1:21">
      <c r="A23" s="199" t="s">
        <v>150</v>
      </c>
      <c r="B23" s="199" t="s">
        <v>150</v>
      </c>
      <c r="C23" s="199" t="s">
        <v>199</v>
      </c>
      <c r="D23" s="199" t="s">
        <v>342</v>
      </c>
      <c r="E23" s="199" t="s">
        <v>171</v>
      </c>
      <c r="F23" s="199" t="s">
        <v>200</v>
      </c>
      <c r="G23" s="199">
        <v>2020</v>
      </c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>
        <f t="shared" si="0"/>
        <v>0</v>
      </c>
    </row>
    <row r="24" spans="1:21">
      <c r="A24" s="199" t="s">
        <v>150</v>
      </c>
      <c r="B24" s="199" t="s">
        <v>150</v>
      </c>
      <c r="C24" s="199" t="s">
        <v>201</v>
      </c>
      <c r="D24" s="199" t="s">
        <v>342</v>
      </c>
      <c r="E24" s="199" t="s">
        <v>171</v>
      </c>
      <c r="F24" s="199" t="s">
        <v>202</v>
      </c>
      <c r="G24" s="199">
        <v>2020</v>
      </c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>
        <f t="shared" si="0"/>
        <v>0</v>
      </c>
    </row>
    <row r="25" spans="1:21">
      <c r="A25" s="199" t="s">
        <v>154</v>
      </c>
      <c r="B25" s="199" t="s">
        <v>173</v>
      </c>
      <c r="C25" s="199" t="s">
        <v>151</v>
      </c>
      <c r="D25" s="199" t="s">
        <v>147</v>
      </c>
      <c r="E25" s="199" t="s">
        <v>155</v>
      </c>
      <c r="F25" s="199" t="s">
        <v>343</v>
      </c>
      <c r="G25" s="199">
        <v>2020</v>
      </c>
      <c r="H25" s="433">
        <v>0</v>
      </c>
      <c r="I25" s="433">
        <v>1218</v>
      </c>
      <c r="J25" s="433">
        <v>0</v>
      </c>
      <c r="K25" s="433">
        <v>781.79</v>
      </c>
      <c r="L25" s="433">
        <v>2000</v>
      </c>
      <c r="M25" s="433">
        <v>0</v>
      </c>
      <c r="N25" s="433">
        <v>0.03</v>
      </c>
      <c r="O25" s="433">
        <v>0</v>
      </c>
      <c r="P25" s="433">
        <v>0</v>
      </c>
      <c r="Q25" s="433">
        <v>0</v>
      </c>
      <c r="R25" s="433">
        <v>0</v>
      </c>
      <c r="S25" s="433">
        <v>0</v>
      </c>
      <c r="T25" s="433">
        <f t="shared" si="0"/>
        <v>3999.82</v>
      </c>
    </row>
    <row r="26" spans="1:21">
      <c r="A26" s="199" t="s">
        <v>154</v>
      </c>
      <c r="B26" s="199" t="s">
        <v>173</v>
      </c>
      <c r="C26" s="199" t="s">
        <v>151</v>
      </c>
      <c r="D26" s="199" t="s">
        <v>147</v>
      </c>
      <c r="E26" s="199" t="s">
        <v>489</v>
      </c>
      <c r="F26" s="199" t="s">
        <v>490</v>
      </c>
      <c r="G26" s="199">
        <v>2020</v>
      </c>
      <c r="H26" s="433">
        <v>1000</v>
      </c>
      <c r="I26" s="433">
        <v>1000</v>
      </c>
      <c r="J26" s="433">
        <v>5981.59</v>
      </c>
      <c r="K26" s="433">
        <v>2720.09</v>
      </c>
      <c r="L26" s="433">
        <v>1000</v>
      </c>
      <c r="M26" s="433">
        <v>0</v>
      </c>
      <c r="N26" s="433">
        <v>700</v>
      </c>
      <c r="O26" s="433">
        <v>700</v>
      </c>
      <c r="P26" s="433">
        <v>0</v>
      </c>
      <c r="Q26" s="433">
        <v>790</v>
      </c>
      <c r="R26" s="433">
        <v>1641.83</v>
      </c>
      <c r="S26" s="433">
        <v>1466.47</v>
      </c>
      <c r="T26" s="433">
        <f t="shared" si="0"/>
        <v>16999.98</v>
      </c>
    </row>
    <row r="27" spans="1:21">
      <c r="A27" s="199" t="s">
        <v>156</v>
      </c>
      <c r="B27" s="199" t="s">
        <v>203</v>
      </c>
      <c r="C27" s="199" t="s">
        <v>151</v>
      </c>
      <c r="D27" s="199" t="s">
        <v>174</v>
      </c>
      <c r="E27" s="199" t="s">
        <v>491</v>
      </c>
      <c r="F27" s="199" t="s">
        <v>490</v>
      </c>
      <c r="G27" s="199">
        <v>2020</v>
      </c>
      <c r="H27" s="433">
        <v>0</v>
      </c>
      <c r="I27" s="433">
        <v>0</v>
      </c>
      <c r="J27" s="433">
        <v>1000</v>
      </c>
      <c r="K27" s="433">
        <v>0</v>
      </c>
      <c r="L27" s="433">
        <v>0</v>
      </c>
      <c r="M27" s="433">
        <v>1000</v>
      </c>
      <c r="N27" s="433">
        <v>0</v>
      </c>
      <c r="O27" s="433">
        <v>0</v>
      </c>
      <c r="P27" s="433">
        <v>1000</v>
      </c>
      <c r="Q27" s="433">
        <v>0</v>
      </c>
      <c r="R27" s="433">
        <v>0</v>
      </c>
      <c r="S27" s="433">
        <v>0</v>
      </c>
      <c r="T27" s="433">
        <f t="shared" si="0"/>
        <v>3000</v>
      </c>
    </row>
    <row r="28" spans="1:21">
      <c r="A28" s="199" t="s">
        <v>156</v>
      </c>
      <c r="B28" s="199" t="s">
        <v>203</v>
      </c>
      <c r="C28" s="199" t="s">
        <v>151</v>
      </c>
      <c r="D28" s="199" t="s">
        <v>568</v>
      </c>
      <c r="E28" s="199" t="s">
        <v>491</v>
      </c>
      <c r="F28" s="199" t="s">
        <v>490</v>
      </c>
      <c r="G28" s="199">
        <v>2020</v>
      </c>
      <c r="H28" s="433">
        <v>0</v>
      </c>
      <c r="I28" s="433">
        <v>0</v>
      </c>
      <c r="J28" s="433">
        <v>167</v>
      </c>
      <c r="K28" s="433">
        <v>0</v>
      </c>
      <c r="L28" s="433">
        <v>0</v>
      </c>
      <c r="M28" s="433">
        <v>167</v>
      </c>
      <c r="N28" s="433">
        <v>0</v>
      </c>
      <c r="O28" s="433">
        <v>0</v>
      </c>
      <c r="P28" s="433">
        <v>167</v>
      </c>
      <c r="Q28" s="433">
        <v>0</v>
      </c>
      <c r="R28" s="433">
        <v>0</v>
      </c>
      <c r="S28" s="433">
        <v>0</v>
      </c>
      <c r="T28" s="433">
        <f t="shared" si="0"/>
        <v>501</v>
      </c>
    </row>
    <row r="29" spans="1:21">
      <c r="A29" s="199" t="s">
        <v>156</v>
      </c>
      <c r="B29" s="199" t="s">
        <v>203</v>
      </c>
      <c r="C29" s="199" t="s">
        <v>151</v>
      </c>
      <c r="D29" s="199" t="s">
        <v>175</v>
      </c>
      <c r="E29" s="199" t="s">
        <v>491</v>
      </c>
      <c r="F29" s="199" t="s">
        <v>490</v>
      </c>
      <c r="G29" s="199">
        <v>2020</v>
      </c>
      <c r="H29" s="433">
        <v>0</v>
      </c>
      <c r="I29" s="433">
        <v>0</v>
      </c>
      <c r="J29" s="433">
        <v>253.88</v>
      </c>
      <c r="K29" s="433">
        <v>0</v>
      </c>
      <c r="L29" s="433">
        <v>0</v>
      </c>
      <c r="M29" s="433">
        <v>253.88</v>
      </c>
      <c r="N29" s="433">
        <v>0</v>
      </c>
      <c r="O29" s="433">
        <v>0</v>
      </c>
      <c r="P29" s="433">
        <v>253.88</v>
      </c>
      <c r="Q29" s="433">
        <v>0</v>
      </c>
      <c r="R29" s="433">
        <v>0</v>
      </c>
      <c r="S29" s="433">
        <v>0</v>
      </c>
      <c r="T29" s="433">
        <f t="shared" si="0"/>
        <v>761.64</v>
      </c>
    </row>
    <row r="30" spans="1:21">
      <c r="A30" s="223" t="s">
        <v>570</v>
      </c>
      <c r="B30" s="223" t="s">
        <v>570</v>
      </c>
      <c r="C30" s="223" t="s">
        <v>571</v>
      </c>
      <c r="D30" s="223" t="s">
        <v>147</v>
      </c>
      <c r="E30" s="223" t="s">
        <v>572</v>
      </c>
      <c r="F30" s="223" t="s">
        <v>573</v>
      </c>
      <c r="G30" s="223" t="s">
        <v>569</v>
      </c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>
        <f t="shared" si="0"/>
        <v>0</v>
      </c>
      <c r="U30" s="451" t="s">
        <v>595</v>
      </c>
    </row>
    <row r="31" spans="1:21">
      <c r="H31" s="449">
        <f>SUM(H2:H30)</f>
        <v>100954.59999999999</v>
      </c>
      <c r="I31" s="449">
        <f t="shared" ref="I31:S31" si="1">SUM(I2:I30)</f>
        <v>96658.5</v>
      </c>
      <c r="J31" s="449">
        <f t="shared" si="1"/>
        <v>103553.65999999999</v>
      </c>
      <c r="K31" s="449">
        <f t="shared" si="1"/>
        <v>100347.77999999997</v>
      </c>
      <c r="L31" s="449">
        <f t="shared" si="1"/>
        <v>94972.700000000026</v>
      </c>
      <c r="M31" s="449">
        <f t="shared" si="1"/>
        <v>97346.030000000028</v>
      </c>
      <c r="N31" s="449">
        <f t="shared" si="1"/>
        <v>100488.25000000001</v>
      </c>
      <c r="O31" s="449">
        <f t="shared" si="1"/>
        <v>106696.70999999998</v>
      </c>
      <c r="P31" s="449">
        <f t="shared" si="1"/>
        <v>101218.24000000001</v>
      </c>
      <c r="Q31" s="449">
        <f t="shared" si="1"/>
        <v>109294.28</v>
      </c>
      <c r="R31" s="449">
        <f t="shared" si="1"/>
        <v>104000.83</v>
      </c>
      <c r="S31" s="449">
        <f t="shared" si="1"/>
        <v>106389.90999999997</v>
      </c>
      <c r="T31" s="449">
        <f>SUM(T2:T30)</f>
        <v>1221921.49</v>
      </c>
    </row>
    <row r="33" spans="1:20">
      <c r="F33" s="210" t="s">
        <v>585</v>
      </c>
      <c r="G33" s="199">
        <v>2020</v>
      </c>
      <c r="H33" s="570">
        <v>191850.95</v>
      </c>
      <c r="I33" s="570">
        <v>109915.09</v>
      </c>
      <c r="J33" s="570">
        <v>77236.679999999993</v>
      </c>
      <c r="K33" s="570">
        <v>89067.53</v>
      </c>
      <c r="L33" s="570">
        <v>200109.46</v>
      </c>
      <c r="M33" s="570">
        <v>82944.179999999993</v>
      </c>
      <c r="N33" s="570">
        <v>127792.47</v>
      </c>
      <c r="O33" s="570">
        <v>102549.29999999999</v>
      </c>
      <c r="P33" s="570">
        <v>144152.28</v>
      </c>
      <c r="Q33" s="570">
        <v>128711.62</v>
      </c>
      <c r="R33" s="570">
        <v>107195.41</v>
      </c>
      <c r="S33" s="570">
        <v>99030.180000000008</v>
      </c>
      <c r="T33" s="449">
        <f t="shared" ref="T33" si="2">SUM(T2:T29)</f>
        <v>1221921.49</v>
      </c>
    </row>
    <row r="34" spans="1:20">
      <c r="A34" s="682" t="s">
        <v>682</v>
      </c>
      <c r="B34" s="682"/>
      <c r="C34" s="682"/>
      <c r="D34" s="682"/>
      <c r="F34" s="210" t="s">
        <v>586</v>
      </c>
      <c r="G34" s="199">
        <v>2020</v>
      </c>
      <c r="H34" s="570">
        <f>H30</f>
        <v>0</v>
      </c>
      <c r="I34" s="570">
        <f t="shared" ref="I34:T34" si="3">I30</f>
        <v>0</v>
      </c>
      <c r="J34" s="570">
        <f t="shared" si="3"/>
        <v>0</v>
      </c>
      <c r="K34" s="570">
        <f t="shared" si="3"/>
        <v>0</v>
      </c>
      <c r="L34" s="570">
        <f t="shared" si="3"/>
        <v>0</v>
      </c>
      <c r="M34" s="570">
        <f t="shared" si="3"/>
        <v>0</v>
      </c>
      <c r="N34" s="570">
        <f t="shared" si="3"/>
        <v>0</v>
      </c>
      <c r="O34" s="570">
        <f t="shared" si="3"/>
        <v>0</v>
      </c>
      <c r="P34" s="570">
        <f t="shared" si="3"/>
        <v>0</v>
      </c>
      <c r="Q34" s="570">
        <f t="shared" si="3"/>
        <v>0</v>
      </c>
      <c r="R34" s="570">
        <f t="shared" si="3"/>
        <v>0</v>
      </c>
      <c r="S34" s="570">
        <f t="shared" si="3"/>
        <v>0</v>
      </c>
      <c r="T34" s="449">
        <f t="shared" si="3"/>
        <v>0</v>
      </c>
    </row>
    <row r="35" spans="1:20" ht="12.95" customHeight="1">
      <c r="A35" s="682"/>
      <c r="B35" s="682"/>
      <c r="C35" s="682"/>
      <c r="D35" s="682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</row>
    <row r="36" spans="1:20">
      <c r="A36" s="682"/>
      <c r="B36" s="682"/>
      <c r="C36" s="682"/>
      <c r="D36" s="682"/>
      <c r="F36" s="210" t="s">
        <v>576</v>
      </c>
      <c r="G36" s="199">
        <v>2020</v>
      </c>
      <c r="H36" s="571">
        <v>68347</v>
      </c>
      <c r="I36" s="571">
        <v>68347</v>
      </c>
      <c r="J36" s="571">
        <v>68347</v>
      </c>
      <c r="K36" s="571">
        <v>68347</v>
      </c>
      <c r="L36" s="571">
        <v>68347</v>
      </c>
      <c r="M36" s="571">
        <v>68347</v>
      </c>
      <c r="N36" s="571">
        <v>68347</v>
      </c>
      <c r="O36" s="571">
        <v>68347</v>
      </c>
      <c r="P36" s="571">
        <v>68347</v>
      </c>
      <c r="Q36" s="571">
        <v>68347</v>
      </c>
      <c r="R36" s="571">
        <v>68347</v>
      </c>
      <c r="S36" s="571">
        <v>68347</v>
      </c>
      <c r="T36" s="433">
        <f>SUM(H36:S36)</f>
        <v>820164</v>
      </c>
    </row>
    <row r="37" spans="1:20">
      <c r="F37" s="210" t="s">
        <v>456</v>
      </c>
      <c r="G37" s="199">
        <v>2020</v>
      </c>
      <c r="H37" s="570">
        <v>20186.2</v>
      </c>
      <c r="I37" s="570">
        <v>20186.2</v>
      </c>
      <c r="J37" s="570">
        <v>20186.2</v>
      </c>
      <c r="K37" s="570">
        <v>20186.2</v>
      </c>
      <c r="L37" s="570">
        <v>20186.2</v>
      </c>
      <c r="M37" s="570">
        <v>20186.2</v>
      </c>
      <c r="N37" s="570">
        <v>20186.2</v>
      </c>
      <c r="O37" s="570">
        <v>20186.2</v>
      </c>
      <c r="P37" s="570">
        <v>20186.2</v>
      </c>
      <c r="Q37" s="570">
        <v>20186.2</v>
      </c>
      <c r="R37" s="570">
        <v>64595</v>
      </c>
      <c r="S37" s="570">
        <v>64595</v>
      </c>
      <c r="T37" s="433">
        <f>SUM(H37:S37)</f>
        <v>331052</v>
      </c>
    </row>
  </sheetData>
  <mergeCells count="1">
    <mergeCell ref="A34:D36"/>
  </mergeCells>
  <pageMargins left="0.75" right="0.75" top="1" bottom="1" header="0.5" footer="0.5"/>
  <pageSetup scale="67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FB86-159C-44AD-849B-AA80AFEC6AAF}">
  <sheetPr>
    <tabColor theme="6" tint="0.39997558519241921"/>
  </sheetPr>
  <dimension ref="A1:N25"/>
  <sheetViews>
    <sheetView zoomScale="80" zoomScaleNormal="80" workbookViewId="0"/>
  </sheetViews>
  <sheetFormatPr defaultColWidth="8.85546875" defaultRowHeight="12.75"/>
  <cols>
    <col min="1" max="1" width="26.42578125" style="505" bestFit="1" customWidth="1"/>
    <col min="2" max="14" width="14" style="505" bestFit="1" customWidth="1"/>
    <col min="15" max="16384" width="8.85546875" style="505"/>
  </cols>
  <sheetData>
    <row r="1" spans="1:14">
      <c r="A1" s="505" t="s">
        <v>606</v>
      </c>
    </row>
    <row r="2" spans="1:14">
      <c r="A2" s="505" t="s">
        <v>706</v>
      </c>
      <c r="F2" s="642" t="s">
        <v>762</v>
      </c>
    </row>
    <row r="3" spans="1:14">
      <c r="A3" s="505" t="s">
        <v>607</v>
      </c>
    </row>
    <row r="5" spans="1:14">
      <c r="A5" s="583" t="s">
        <v>707</v>
      </c>
      <c r="B5" s="506">
        <v>43831</v>
      </c>
      <c r="C5" s="506">
        <v>43862</v>
      </c>
      <c r="D5" s="506">
        <v>43891</v>
      </c>
      <c r="E5" s="506">
        <v>43922</v>
      </c>
      <c r="F5" s="506">
        <v>43952</v>
      </c>
      <c r="G5" s="506">
        <v>43983</v>
      </c>
      <c r="H5" s="506">
        <v>44013</v>
      </c>
      <c r="I5" s="506">
        <v>44044</v>
      </c>
      <c r="J5" s="506">
        <v>44075</v>
      </c>
      <c r="K5" s="506">
        <v>44105</v>
      </c>
      <c r="L5" s="506">
        <v>44136</v>
      </c>
      <c r="M5" s="506">
        <v>44166</v>
      </c>
      <c r="N5" s="507" t="s">
        <v>3</v>
      </c>
    </row>
    <row r="6" spans="1:14">
      <c r="A6" s="505" t="s">
        <v>252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581">
        <f>SUM(B6:M6)</f>
        <v>0</v>
      </c>
    </row>
    <row r="7" spans="1:14">
      <c r="A7" s="505" t="s">
        <v>329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581">
        <f>SUM(B7:M7)</f>
        <v>0</v>
      </c>
    </row>
    <row r="8" spans="1:14">
      <c r="A8" s="505" t="s">
        <v>72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>
        <f>SUM(B8:M8)</f>
        <v>0</v>
      </c>
    </row>
    <row r="9" spans="1:14">
      <c r="A9" s="505" t="s">
        <v>73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>
        <f>SUM(B9:M9)</f>
        <v>0</v>
      </c>
    </row>
    <row r="10" spans="1:14">
      <c r="A10" s="505" t="s">
        <v>597</v>
      </c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581">
        <f>SUM(B10:M10)</f>
        <v>0</v>
      </c>
    </row>
    <row r="11" spans="1:14">
      <c r="A11" s="505" t="s">
        <v>3</v>
      </c>
      <c r="B11" s="582">
        <f>SUM(B6:B10)</f>
        <v>0</v>
      </c>
      <c r="C11" s="582">
        <f t="shared" ref="C11:N11" si="0">SUM(C6:C10)</f>
        <v>0</v>
      </c>
      <c r="D11" s="582">
        <f t="shared" si="0"/>
        <v>0</v>
      </c>
      <c r="E11" s="582">
        <f t="shared" si="0"/>
        <v>0</v>
      </c>
      <c r="F11" s="582">
        <f t="shared" si="0"/>
        <v>0</v>
      </c>
      <c r="G11" s="582">
        <f t="shared" si="0"/>
        <v>0</v>
      </c>
      <c r="H11" s="582">
        <f t="shared" si="0"/>
        <v>0</v>
      </c>
      <c r="I11" s="582">
        <f t="shared" si="0"/>
        <v>0</v>
      </c>
      <c r="J11" s="582">
        <f t="shared" si="0"/>
        <v>0</v>
      </c>
      <c r="K11" s="582">
        <f t="shared" si="0"/>
        <v>0</v>
      </c>
      <c r="L11" s="582">
        <f t="shared" si="0"/>
        <v>0</v>
      </c>
      <c r="M11" s="582">
        <f t="shared" si="0"/>
        <v>0</v>
      </c>
      <c r="N11" s="582">
        <f t="shared" si="0"/>
        <v>0</v>
      </c>
    </row>
    <row r="16" spans="1:14">
      <c r="A16" s="583" t="s">
        <v>708</v>
      </c>
      <c r="B16" s="506">
        <v>43831</v>
      </c>
      <c r="C16" s="506">
        <v>43862</v>
      </c>
      <c r="D16" s="506">
        <v>43891</v>
      </c>
      <c r="E16" s="506">
        <v>43922</v>
      </c>
      <c r="F16" s="506">
        <v>43952</v>
      </c>
      <c r="G16" s="506">
        <v>43983</v>
      </c>
      <c r="H16" s="506">
        <v>44013</v>
      </c>
      <c r="I16" s="506">
        <v>44044</v>
      </c>
      <c r="J16" s="506">
        <v>44075</v>
      </c>
      <c r="K16" s="506">
        <v>44105</v>
      </c>
      <c r="L16" s="506">
        <v>44136</v>
      </c>
      <c r="M16" s="506">
        <v>44166</v>
      </c>
      <c r="N16" s="507" t="s">
        <v>3</v>
      </c>
    </row>
    <row r="17" spans="1:14">
      <c r="A17" s="505" t="s">
        <v>252</v>
      </c>
      <c r="B17" s="658"/>
      <c r="C17" s="658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581">
        <f>SUM(B17:M17)</f>
        <v>0</v>
      </c>
    </row>
    <row r="18" spans="1:14">
      <c r="A18" s="505" t="s">
        <v>329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581">
        <f>SUM(B18:M18)</f>
        <v>0</v>
      </c>
    </row>
    <row r="19" spans="1:14">
      <c r="A19" s="505" t="s">
        <v>72</v>
      </c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>
        <f>SUM(B19:M19)</f>
        <v>0</v>
      </c>
    </row>
    <row r="20" spans="1:14">
      <c r="A20" s="505" t="s">
        <v>73</v>
      </c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>
        <f>SUM(B20:M20)</f>
        <v>0</v>
      </c>
    </row>
    <row r="21" spans="1:14">
      <c r="A21" s="505" t="s">
        <v>597</v>
      </c>
      <c r="B21" s="658"/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581">
        <f>SUM(B21:M21)</f>
        <v>0</v>
      </c>
    </row>
    <row r="22" spans="1:14">
      <c r="A22" s="505" t="s">
        <v>3</v>
      </c>
      <c r="B22" s="582">
        <f>SUM(B17:B21)</f>
        <v>0</v>
      </c>
      <c r="C22" s="582">
        <f t="shared" ref="C22" si="1">SUM(C17:C21)</f>
        <v>0</v>
      </c>
      <c r="D22" s="582">
        <f t="shared" ref="D22" si="2">SUM(D17:D21)</f>
        <v>0</v>
      </c>
      <c r="E22" s="582">
        <f t="shared" ref="E22" si="3">SUM(E17:E21)</f>
        <v>0</v>
      </c>
      <c r="F22" s="582">
        <f t="shared" ref="F22" si="4">SUM(F17:F21)</f>
        <v>0</v>
      </c>
      <c r="G22" s="582">
        <f t="shared" ref="G22" si="5">SUM(G17:G21)</f>
        <v>0</v>
      </c>
      <c r="H22" s="582">
        <f t="shared" ref="H22" si="6">SUM(H17:H21)</f>
        <v>0</v>
      </c>
      <c r="I22" s="582">
        <f t="shared" ref="I22" si="7">SUM(I17:I21)</f>
        <v>0</v>
      </c>
      <c r="J22" s="582">
        <f t="shared" ref="J22" si="8">SUM(J17:J21)</f>
        <v>0</v>
      </c>
      <c r="K22" s="582">
        <f t="shared" ref="K22" si="9">SUM(K17:K21)</f>
        <v>0</v>
      </c>
      <c r="L22" s="582">
        <f t="shared" ref="L22" si="10">SUM(L17:L21)</f>
        <v>0</v>
      </c>
      <c r="M22" s="582">
        <f t="shared" ref="M22" si="11">SUM(M17:M21)</f>
        <v>0</v>
      </c>
      <c r="N22" s="582">
        <f t="shared" ref="N22" si="12">SUM(N17:N21)</f>
        <v>0</v>
      </c>
    </row>
    <row r="23" spans="1:14" ht="15.75">
      <c r="A23" s="26"/>
    </row>
    <row r="24" spans="1:14" ht="15.75">
      <c r="A24" s="486"/>
    </row>
    <row r="25" spans="1:14" ht="15.75">
      <c r="A25" s="484"/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"/>
  <sheetViews>
    <sheetView workbookViewId="0"/>
  </sheetViews>
  <sheetFormatPr defaultColWidth="9.140625" defaultRowHeight="12.75"/>
  <cols>
    <col min="1" max="16384" width="9.140625" style="253"/>
  </cols>
  <sheetData/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  <pageSetUpPr fitToPage="1"/>
  </sheetPr>
  <dimension ref="A1:AJ1048576"/>
  <sheetViews>
    <sheetView zoomScale="70" zoomScaleNormal="70" workbookViewId="0"/>
  </sheetViews>
  <sheetFormatPr defaultColWidth="9.140625" defaultRowHeight="20.25"/>
  <cols>
    <col min="1" max="1" width="9" style="72" customWidth="1"/>
    <col min="2" max="2" width="9.140625" style="72"/>
    <col min="3" max="3" width="60.85546875" style="72" customWidth="1"/>
    <col min="4" max="17" width="19.140625" style="72" customWidth="1"/>
    <col min="18" max="18" width="13.85546875" customWidth="1"/>
    <col min="19" max="19" width="18.85546875" style="72" customWidth="1"/>
    <col min="20" max="20" width="18" style="72" customWidth="1"/>
    <col min="21" max="21" width="17" style="72" customWidth="1"/>
    <col min="22" max="22" width="14.85546875" style="72" bestFit="1" customWidth="1"/>
    <col min="23" max="23" width="14.5703125" style="72" bestFit="1" customWidth="1"/>
    <col min="24" max="24" width="13.140625" style="72" bestFit="1" customWidth="1"/>
    <col min="25" max="25" width="14" style="72" customWidth="1"/>
    <col min="26" max="26" width="15.5703125" style="72" customWidth="1"/>
    <col min="27" max="27" width="14.42578125" style="72" bestFit="1" customWidth="1"/>
    <col min="28" max="28" width="14.85546875" style="72" customWidth="1"/>
    <col min="29" max="29" width="15.85546875" style="72" customWidth="1"/>
    <col min="30" max="30" width="13.42578125" style="72" customWidth="1"/>
    <col min="31" max="31" width="12.140625" style="72" bestFit="1" customWidth="1"/>
    <col min="32" max="32" width="16.5703125" style="72" customWidth="1"/>
    <col min="33" max="33" width="14.42578125" style="72" customWidth="1"/>
    <col min="34" max="34" width="15.140625" style="72" customWidth="1"/>
    <col min="35" max="35" width="9.42578125" style="72" bestFit="1" customWidth="1"/>
    <col min="36" max="36" width="12.85546875" style="72" customWidth="1"/>
    <col min="37" max="16384" width="9.140625" style="72"/>
  </cols>
  <sheetData>
    <row r="1" spans="1:36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3" t="s">
        <v>255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3" t="s">
        <v>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>
      <c r="D5" s="226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677"/>
      <c r="AD5" s="677"/>
      <c r="AE5" s="677"/>
      <c r="AF5" s="677"/>
      <c r="AG5" s="677"/>
      <c r="AH5" s="677"/>
      <c r="AI5" s="677"/>
      <c r="AJ5" s="677"/>
    </row>
    <row r="6" spans="1:36" s="31" customFormat="1">
      <c r="A6" s="224" t="s">
        <v>4</v>
      </c>
      <c r="B6" s="32"/>
      <c r="D6" s="115">
        <v>2018</v>
      </c>
      <c r="E6" s="95">
        <v>2019</v>
      </c>
      <c r="F6" s="95">
        <f>$E$6</f>
        <v>2019</v>
      </c>
      <c r="G6" s="95">
        <f>$E$6</f>
        <v>2019</v>
      </c>
      <c r="H6" s="95">
        <f>$E$6</f>
        <v>2019</v>
      </c>
      <c r="I6" s="95">
        <f>$E$6</f>
        <v>2019</v>
      </c>
      <c r="J6" s="95">
        <f>$E$6</f>
        <v>2019</v>
      </c>
      <c r="K6" s="95">
        <f t="shared" ref="K6:Q6" si="0">$E$6</f>
        <v>2019</v>
      </c>
      <c r="L6" s="95">
        <f t="shared" si="0"/>
        <v>2019</v>
      </c>
      <c r="M6" s="95">
        <f t="shared" si="0"/>
        <v>2019</v>
      </c>
      <c r="N6" s="95">
        <f t="shared" si="0"/>
        <v>2019</v>
      </c>
      <c r="O6" s="95">
        <f t="shared" si="0"/>
        <v>2019</v>
      </c>
      <c r="P6" s="95">
        <f t="shared" si="0"/>
        <v>2019</v>
      </c>
      <c r="Q6" s="133">
        <f t="shared" si="0"/>
        <v>2019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347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7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>
      <c r="A11" s="32">
        <v>1</v>
      </c>
      <c r="B11" s="32"/>
      <c r="C11" s="78" t="s">
        <v>452</v>
      </c>
      <c r="D11" s="370">
        <f>'Rev Req 2018-Distr'!P11</f>
        <v>14614351.460000001</v>
      </c>
      <c r="E11" s="371">
        <f>SUM('201901 Bk Depr'!R13,'201901 Bk Depr'!R14:R16,'201901 Bk Depr'!R20,'201901 Bk Depr'!R21:R22)</f>
        <v>15497572.100000001</v>
      </c>
      <c r="F11" s="371">
        <f>SUM('201902 Bk Depr'!R13,'201902 Bk Depr'!R14:R16,'201902 Bk Depr'!R20,'201902 Bk Depr'!R21:R22)</f>
        <v>16091335.66</v>
      </c>
      <c r="G11" s="371">
        <f>SUM('201903 Bk Depr'!R13,'201903 Bk Depr'!R14:R16,'201903 Bk Depr'!R20,'201903 Bk Depr'!R21:R22)</f>
        <v>17580574.870000001</v>
      </c>
      <c r="H11" s="371">
        <f>SUM('201904 Bk Depr'!R13,'201904 Bk Depr'!R14:R16,'201904 Bk Depr'!R20,'201904 Bk Depr'!R21:R22)</f>
        <v>18672324.100000001</v>
      </c>
      <c r="I11" s="371">
        <f>SUM('201905 Bk Depr'!R13,'201905 Bk Depr'!R14:R16,'201905 Bk Depr'!R20,'201905 Bk Depr'!R21:R22)</f>
        <v>19649378.149999999</v>
      </c>
      <c r="J11" s="371">
        <f>SUM('201906 Bk Depr'!R13,'201906 Bk Depr'!R14:R16,'201906 Bk Depr'!R20,'201906 Bk Depr'!R21:R22)</f>
        <v>20539335.25</v>
      </c>
      <c r="K11" s="371">
        <f>SUM('201907 Bk Depr'!R13,'201907 Bk Depr'!R14:R16,'201907 Bk Depr'!R20,'201907 Bk Depr'!R21:R22)</f>
        <v>21443333.499999996</v>
      </c>
      <c r="L11" s="371">
        <f>SUM('201908 Bk Depr'!R13,'201908 Bk Depr'!R14:R16,'201908 Bk Depr'!R20,'201908 Bk Depr'!R21:R22)</f>
        <v>22267615.339999996</v>
      </c>
      <c r="M11" s="371">
        <f>SUM('201909 Bk Depr'!R13,'201909 Bk Depr'!R14:R16,'201909 Bk Depr'!R20,'201909 Bk Depr'!R21:R22)</f>
        <v>23220640.869999997</v>
      </c>
      <c r="N11" s="371">
        <f>SUM('201910 Bk Depr'!R13,'201910 Bk Depr'!R14:R16,'201910 Bk Depr'!R20,'201910 Bk Depr'!R21:R22)</f>
        <v>24174604.449999996</v>
      </c>
      <c r="O11" s="371">
        <f>SUM('201911 Bk Depr'!R13,'201911 Bk Depr'!R14:R16,'201911 Bk Depr'!R20,'201911 Bk Depr'!R21:R22)</f>
        <v>24981139.439999998</v>
      </c>
      <c r="P11" s="371">
        <f>SUM('201912 Bk Depr'!R13,'201912 Bk Depr'!R14:R16,'201912 Bk Depr'!R20,'201912 Bk Depr'!R21:R22)</f>
        <v>25891697.91</v>
      </c>
      <c r="Q11" s="372">
        <f>AVERAGE(D11:P11)</f>
        <v>20355684.853846155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>
      <c r="A12" s="32">
        <v>2</v>
      </c>
      <c r="B12" s="32"/>
      <c r="C12" s="31" t="s">
        <v>19</v>
      </c>
      <c r="D12" s="370">
        <f>'201812 Bk Depr'!R31</f>
        <v>609097.41</v>
      </c>
      <c r="E12" s="371">
        <f>SUM('201901 Bk Depr'!R28,'201901 Bk Depr'!R29:R30)</f>
        <v>649153.78</v>
      </c>
      <c r="F12" s="371">
        <f>SUM('201902 Bk Depr'!R28,'201902 Bk Depr'!R29:R30)</f>
        <v>664761.45000000007</v>
      </c>
      <c r="G12" s="371">
        <f>SUM('201903 Bk Depr'!R28,'201903 Bk Depr'!R29:R30)</f>
        <v>693581.67</v>
      </c>
      <c r="H12" s="371">
        <f>SUM('201904 Bk Depr'!R28,'201904 Bk Depr'!R29:R30)</f>
        <v>741617.22000000009</v>
      </c>
      <c r="I12" s="371">
        <f>SUM('201905 Bk Depr'!R28,'201905 Bk Depr'!R29:R30)</f>
        <v>775242.55</v>
      </c>
      <c r="J12" s="371">
        <f>SUM('201906 Bk Depr'!R28,'201906 Bk Depr'!R29:R30)</f>
        <v>931075.02</v>
      </c>
      <c r="K12" s="371">
        <f>SUM('201907 Bk Depr'!R28,'201907 Bk Depr'!R29:R30)</f>
        <v>975506.51</v>
      </c>
      <c r="L12" s="371">
        <f>SUM('201908 Bk Depr'!R28,'201908 Bk Depr'!R29:R30)</f>
        <v>1078005.71</v>
      </c>
      <c r="M12" s="371">
        <f>SUM('201909 Bk Depr'!R28,'201909 Bk Depr'!R29:R30)</f>
        <v>1190293.51</v>
      </c>
      <c r="N12" s="371">
        <f>SUM('201910 Bk Depr'!R28,'201910 Bk Depr'!R29:R30)</f>
        <v>1285001.69</v>
      </c>
      <c r="O12" s="371">
        <f>SUM('201911 Bk Depr'!R28,'201911 Bk Depr'!R29:R30)</f>
        <v>1472882.5</v>
      </c>
      <c r="P12" s="371">
        <f>SUM('201912 Bk Depr'!R28,'201912 Bk Depr'!R29:R30)</f>
        <v>1632771.6099999999</v>
      </c>
      <c r="Q12" s="372">
        <f>AVERAGE(D12:P12)</f>
        <v>976845.43307692301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>
      <c r="A13" s="32">
        <v>3</v>
      </c>
      <c r="B13" s="32"/>
      <c r="C13" s="31" t="s">
        <v>52</v>
      </c>
      <c r="D13" s="378">
        <f>'Rev Req 2018-Distr'!P13</f>
        <v>-329154.39668700006</v>
      </c>
      <c r="E13" s="379">
        <f>-'Cap&amp;OpEx 2019'!C23-SUM('201901 Bk Depr'!P13,'201901 Bk Depr'!P14:P16)+D13</f>
        <v>-369805.49349300005</v>
      </c>
      <c r="F13" s="379">
        <f>-'Cap&amp;OpEx 2019'!C23-SUM('201902 Bk Depr'!P13,'201902 Bk Depr'!P14:P16)+E13</f>
        <v>-412450.51896900008</v>
      </c>
      <c r="G13" s="379">
        <f>-'Cap&amp;OpEx 2019'!C23-SUM('201903 Bk Depr'!P13,'201903 Bk Depr'!P14:P16)+F13</f>
        <v>-457907.59818450012</v>
      </c>
      <c r="H13" s="379">
        <f>-'Cap&amp;OpEx 2019'!C23-SUM('201904 Bk Depr'!P13,'201904 Bk Depr'!P14:P16)+G13</f>
        <v>-506849.01179400011</v>
      </c>
      <c r="I13" s="379">
        <f>-'Cap&amp;OpEx 2019'!C23-SUM('201905 Bk Depr'!P13,'201905 Bk Depr'!P14:P16)+H13</f>
        <v>-558583.30983150017</v>
      </c>
      <c r="J13" s="379">
        <f>-'Cap&amp;OpEx 2019'!C23-SUM('201906 Bk Depr'!P13,'201906 Bk Depr'!P14:P16)+I13</f>
        <v>-612838.07292150019</v>
      </c>
      <c r="K13" s="379">
        <f>-'Cap&amp;OpEx 2019'!C23-SUM('201907 Bk Depr'!P13,'201907 Bk Depr'!P14:P16)+J13</f>
        <v>-669514.67573400016</v>
      </c>
      <c r="L13" s="379">
        <f>-'Cap&amp;OpEx 2019'!C23-SUM('201908 Bk Depr'!P13,'201908 Bk Depr'!P14:P16)+K13</f>
        <v>-728524.4566680002</v>
      </c>
      <c r="M13" s="379">
        <f>-'Cap&amp;OpEx 2019'!C23-SUM('201909 Bk Depr'!P13,'201909 Bk Depr'!P14:P16)+L13</f>
        <v>-789933.6025515002</v>
      </c>
      <c r="N13" s="379">
        <f>-'Cap&amp;OpEx 2019'!C23-SUM('201910 Bk Depr'!P13,'201910 Bk Depr'!P14:P16)+M13</f>
        <v>-853917.18373350019</v>
      </c>
      <c r="O13" s="379">
        <f>-'Cap&amp;OpEx 2019'!C23-SUM('201911 Bk Depr'!P13,'201911 Bk Depr'!P14:P16)+N13</f>
        <v>-920277.4379850002</v>
      </c>
      <c r="P13" s="379">
        <f>-'Cap&amp;OpEx 2019'!C23-SUM('201912 Bk Depr'!P13,'201912 Bk Depr'!P14:P16)+O13</f>
        <v>-988955.76840750023</v>
      </c>
      <c r="Q13" s="377">
        <f>AVERAGE(D13:P13)</f>
        <v>-630670.11745846178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>
      <c r="A14" s="32">
        <v>4</v>
      </c>
      <c r="B14" s="32"/>
      <c r="C14" s="31" t="s">
        <v>53</v>
      </c>
      <c r="D14" s="410">
        <f t="shared" ref="D14:Q14" si="1">SUM(D11:D13)</f>
        <v>14894294.473313</v>
      </c>
      <c r="E14" s="371">
        <f t="shared" si="1"/>
        <v>15776920.386507001</v>
      </c>
      <c r="F14" s="371">
        <f t="shared" si="1"/>
        <v>16343646.591031</v>
      </c>
      <c r="G14" s="371">
        <f t="shared" si="1"/>
        <v>17816248.941815503</v>
      </c>
      <c r="H14" s="371">
        <f t="shared" si="1"/>
        <v>18907092.308205999</v>
      </c>
      <c r="I14" s="371">
        <f t="shared" si="1"/>
        <v>19866037.390168499</v>
      </c>
      <c r="J14" s="371">
        <f t="shared" si="1"/>
        <v>20857572.1970785</v>
      </c>
      <c r="K14" s="371">
        <f t="shared" si="1"/>
        <v>21749325.334265999</v>
      </c>
      <c r="L14" s="371">
        <f t="shared" si="1"/>
        <v>22617096.593331996</v>
      </c>
      <c r="M14" s="371">
        <f t="shared" si="1"/>
        <v>23621000.777448498</v>
      </c>
      <c r="N14" s="371">
        <f t="shared" si="1"/>
        <v>24605688.956266496</v>
      </c>
      <c r="O14" s="371">
        <f t="shared" si="1"/>
        <v>25533744.502014998</v>
      </c>
      <c r="P14" s="371">
        <f t="shared" si="1"/>
        <v>26535513.751592498</v>
      </c>
      <c r="Q14" s="372">
        <f t="shared" si="1"/>
        <v>20701860.169464614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>
      <c r="A16" s="32">
        <v>5</v>
      </c>
      <c r="B16" s="32"/>
      <c r="C16" s="31" t="s">
        <v>54</v>
      </c>
      <c r="D16" s="378">
        <f>'Rev Req 2018-Distr'!P16</f>
        <v>-2772233.5661514383</v>
      </c>
      <c r="E16" s="379">
        <f>-'Tax Depr 2019'!R17</f>
        <v>-2912441.0145883658</v>
      </c>
      <c r="F16" s="379">
        <f>-'Tax Depr 2019'!R18</f>
        <v>-2973464.0441616909</v>
      </c>
      <c r="G16" s="379">
        <f>-'Tax Depr 2019'!R19</f>
        <v>-3246384.6072568852</v>
      </c>
      <c r="H16" s="379">
        <f>-'Tax Depr 2019'!R20</f>
        <v>-3458753.9657592145</v>
      </c>
      <c r="I16" s="379">
        <f>-'Tax Depr 2019'!R21</f>
        <v>-3631211.8247756949</v>
      </c>
      <c r="J16" s="379">
        <f>-'Tax Depr 2019'!R22</f>
        <v>-3794702.854127577</v>
      </c>
      <c r="K16" s="379">
        <f>-'Tax Depr 2019'!R23</f>
        <v>-3931883.6748553202</v>
      </c>
      <c r="L16" s="379">
        <f>-'Tax Depr 2019'!R24</f>
        <v>-4065547.6655270616</v>
      </c>
      <c r="M16" s="379">
        <f>-'Tax Depr 2019'!R25</f>
        <v>-4221305.7589835906</v>
      </c>
      <c r="N16" s="379">
        <f>-'Tax Depr 2019'!R26</f>
        <v>-4359601.9459473304</v>
      </c>
      <c r="O16" s="379">
        <f>-'Tax Depr 2019'!R27</f>
        <v>-4486544.0333190439</v>
      </c>
      <c r="P16" s="379">
        <f>-'Tax Depr 2019'!R28</f>
        <v>-4633446.7890585922</v>
      </c>
      <c r="Q16" s="377">
        <f>AVERAGE(D16:P16)</f>
        <v>-3729809.364962447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>
      <c r="A18" s="32">
        <v>6</v>
      </c>
      <c r="B18" s="32"/>
      <c r="C18" s="78" t="s">
        <v>55</v>
      </c>
      <c r="D18" s="370">
        <f t="shared" ref="D18:Q18" si="2">SUM(D14:D16)</f>
        <v>12122060.907161562</v>
      </c>
      <c r="E18" s="371">
        <f>SUM(E14:E16)</f>
        <v>12864479.371918635</v>
      </c>
      <c r="F18" s="371">
        <f t="shared" si="2"/>
        <v>13370182.54686931</v>
      </c>
      <c r="G18" s="371">
        <f t="shared" si="2"/>
        <v>14569864.334558617</v>
      </c>
      <c r="H18" s="371">
        <f t="shared" si="2"/>
        <v>15448338.342446785</v>
      </c>
      <c r="I18" s="371">
        <f t="shared" si="2"/>
        <v>16234825.565392803</v>
      </c>
      <c r="J18" s="371">
        <f t="shared" si="2"/>
        <v>17062869.342950922</v>
      </c>
      <c r="K18" s="371">
        <f t="shared" si="2"/>
        <v>17817441.659410678</v>
      </c>
      <c r="L18" s="371">
        <f t="shared" si="2"/>
        <v>18551548.927804936</v>
      </c>
      <c r="M18" s="371">
        <f t="shared" si="2"/>
        <v>19399695.018464908</v>
      </c>
      <c r="N18" s="371">
        <f t="shared" si="2"/>
        <v>20246087.010319166</v>
      </c>
      <c r="O18" s="371">
        <f t="shared" si="2"/>
        <v>21047200.468695953</v>
      </c>
      <c r="P18" s="371">
        <f t="shared" si="2"/>
        <v>21902066.962533906</v>
      </c>
      <c r="Q18" s="372">
        <f t="shared" si="2"/>
        <v>16972050.804502167</v>
      </c>
      <c r="R18"/>
      <c r="S18" s="80"/>
    </row>
    <row r="19" spans="1:19" s="31" customFormat="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>
      <c r="A20" s="32">
        <v>7</v>
      </c>
      <c r="B20" s="32"/>
      <c r="C20" s="31" t="s">
        <v>56</v>
      </c>
      <c r="D20" s="126">
        <v>7.2333333333333338E-3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f>'ROR 2020'!$G$12/12</f>
        <v>7.4333333333333335E-3</v>
      </c>
      <c r="J20" s="37">
        <f>'ROR 2020'!$G$12/12</f>
        <v>7.4333333333333335E-3</v>
      </c>
      <c r="K20" s="37">
        <f>'ROR 2020'!$G$12/12</f>
        <v>7.4333333333333335E-3</v>
      </c>
      <c r="L20" s="37">
        <f>'ROR 2020'!$G$12/12</f>
        <v>7.4333333333333335E-3</v>
      </c>
      <c r="M20" s="37">
        <f>'ROR 2020'!$G$12/12</f>
        <v>7.4333333333333335E-3</v>
      </c>
      <c r="N20" s="37">
        <f>'ROR 2020'!$G$12/12</f>
        <v>7.4333333333333335E-3</v>
      </c>
      <c r="O20" s="37">
        <f>'ROR 2020'!$G$12/12</f>
        <v>7.4333333333333335E-3</v>
      </c>
      <c r="P20" s="37">
        <f>'ROR 2020'!$G$12/12</f>
        <v>7.4333333333333335E-3</v>
      </c>
      <c r="Q20" s="127">
        <f>SUM(E20:P20)</f>
        <v>8.8400000000000006E-2</v>
      </c>
      <c r="R20"/>
    </row>
    <row r="21" spans="1:19" s="31" customFormat="1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>
      <c r="A22" s="32">
        <v>8</v>
      </c>
      <c r="B22" s="32"/>
      <c r="C22" s="31" t="s">
        <v>57</v>
      </c>
      <c r="D22" s="401">
        <f t="shared" ref="D22:Q22" si="3">D18*D20</f>
        <v>87682.907228468641</v>
      </c>
      <c r="E22" s="402">
        <f>E18*E20</f>
        <v>93053.06745687814</v>
      </c>
      <c r="F22" s="402">
        <f t="shared" si="3"/>
        <v>96710.98708902135</v>
      </c>
      <c r="G22" s="402">
        <f t="shared" si="3"/>
        <v>105388.68535330734</v>
      </c>
      <c r="H22" s="402">
        <f t="shared" si="3"/>
        <v>111742.98067703175</v>
      </c>
      <c r="I22" s="402">
        <f t="shared" si="3"/>
        <v>120678.8700360865</v>
      </c>
      <c r="J22" s="402">
        <f t="shared" si="3"/>
        <v>126833.99544926852</v>
      </c>
      <c r="K22" s="402">
        <f t="shared" si="3"/>
        <v>132442.98300161937</v>
      </c>
      <c r="L22" s="402">
        <f t="shared" si="3"/>
        <v>137899.84703001668</v>
      </c>
      <c r="M22" s="402">
        <f t="shared" si="3"/>
        <v>144204.39963725582</v>
      </c>
      <c r="N22" s="402">
        <f t="shared" si="3"/>
        <v>150495.91344337247</v>
      </c>
      <c r="O22" s="402">
        <f t="shared" si="3"/>
        <v>156450.8568173066</v>
      </c>
      <c r="P22" s="402">
        <f t="shared" si="3"/>
        <v>162805.36442150205</v>
      </c>
      <c r="Q22" s="403">
        <f t="shared" si="3"/>
        <v>1500329.2911179916</v>
      </c>
      <c r="R22"/>
    </row>
    <row r="23" spans="1:19" s="31" customFormat="1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>
      <c r="A25" s="32">
        <v>9</v>
      </c>
      <c r="B25" s="32"/>
      <c r="C25" s="31" t="s">
        <v>0</v>
      </c>
      <c r="D25" s="370">
        <f>'Rev Req 2018-Distr'!P25</f>
        <v>38779.975354500013</v>
      </c>
      <c r="E25" s="371">
        <f>'201901 Bk Depr'!P25</f>
        <v>40651.096806000016</v>
      </c>
      <c r="F25" s="371">
        <f>'201902 Bk Depr'!P25</f>
        <v>42645.02547600001</v>
      </c>
      <c r="G25" s="371">
        <f>'201903 Bk Depr'!P25</f>
        <v>45457.079215500016</v>
      </c>
      <c r="H25" s="371">
        <f>'201904 Bk Depr'!P25</f>
        <v>48941.413609500007</v>
      </c>
      <c r="I25" s="371">
        <f>'201905 Bk Depr'!P25</f>
        <v>51734.298037500012</v>
      </c>
      <c r="J25" s="371">
        <f>'201906 Bk Depr'!P25</f>
        <v>54254.763090000015</v>
      </c>
      <c r="K25" s="371">
        <f>'201907 Bk Depr'!P25</f>
        <v>56676.602812500016</v>
      </c>
      <c r="L25" s="371">
        <f>'201908 Bk Depr'!P25</f>
        <v>59009.780934000002</v>
      </c>
      <c r="M25" s="371">
        <f>'201909 Bk Depr'!P25</f>
        <v>61409.145883500008</v>
      </c>
      <c r="N25" s="371">
        <f>'201910 Bk Depr'!P25</f>
        <v>63983.581182000009</v>
      </c>
      <c r="O25" s="371">
        <f>'201911 Bk Depr'!P25</f>
        <v>66360.254251499995</v>
      </c>
      <c r="P25" s="371">
        <f>'201912 Bk Depr'!P25</f>
        <v>68678.330422500003</v>
      </c>
      <c r="Q25" s="372">
        <f>SUM(E25:P25)</f>
        <v>659801.37172050017</v>
      </c>
      <c r="R25"/>
      <c r="S25" s="80"/>
    </row>
    <row r="26" spans="1:19" s="31" customFormat="1">
      <c r="A26" s="32">
        <v>10</v>
      </c>
      <c r="B26" s="32"/>
      <c r="C26" s="13" t="s">
        <v>59</v>
      </c>
      <c r="D26" s="370">
        <f>'Rev Req 2018-Distr'!P26</f>
        <v>177111.56000000003</v>
      </c>
      <c r="E26" s="371">
        <f>'Cap&amp;OpEx 2019'!C31</f>
        <v>13468.560000000001</v>
      </c>
      <c r="F26" s="371">
        <f>'Cap&amp;OpEx 2019'!D31</f>
        <v>-994.94999999999709</v>
      </c>
      <c r="G26" s="371">
        <f>'Cap&amp;OpEx 2019'!E31</f>
        <v>7399.9800000000114</v>
      </c>
      <c r="H26" s="371">
        <f>'Cap&amp;OpEx 2019'!F31</f>
        <v>23537.760000000009</v>
      </c>
      <c r="I26" s="371">
        <f>'Cap&amp;OpEx 2019'!G31</f>
        <v>154764.51</v>
      </c>
      <c r="J26" s="371">
        <f>'Cap&amp;OpEx 2019'!H31</f>
        <v>138836.32</v>
      </c>
      <c r="K26" s="371">
        <f>'Cap&amp;OpEx 2019'!I31</f>
        <v>70058.930000000008</v>
      </c>
      <c r="L26" s="371">
        <f>'Cap&amp;OpEx 2019'!J31</f>
        <v>75650.09</v>
      </c>
      <c r="M26" s="371">
        <f>'Cap&amp;OpEx 2019'!K31</f>
        <v>94599.16</v>
      </c>
      <c r="N26" s="371">
        <f>'Cap&amp;OpEx 2019'!L31</f>
        <v>69510.05</v>
      </c>
      <c r="O26" s="371">
        <f>'Cap&amp;OpEx 2019'!M31</f>
        <v>74100.510000000009</v>
      </c>
      <c r="P26" s="371">
        <f>'Cap&amp;OpEx 2019'!N31</f>
        <v>92177.96</v>
      </c>
      <c r="Q26" s="372">
        <f t="shared" ref="Q26:Q27" si="4">SUM(E26:P26)</f>
        <v>813108.88000000012</v>
      </c>
      <c r="R26"/>
      <c r="S26" s="80"/>
    </row>
    <row r="27" spans="1:19" s="31" customFormat="1">
      <c r="A27" s="32">
        <v>11</v>
      </c>
      <c r="B27" s="32"/>
      <c r="C27" s="31" t="s">
        <v>178</v>
      </c>
      <c r="D27" s="370">
        <f>'Rev Req 2018-Distr'!P27</f>
        <v>20784</v>
      </c>
      <c r="E27" s="371">
        <f>'Cap&amp;OpEx 2019'!C32</f>
        <v>40112</v>
      </c>
      <c r="F27" s="371">
        <f>'Cap&amp;OpEx 2019'!D32</f>
        <v>40112</v>
      </c>
      <c r="G27" s="371">
        <f>'Cap&amp;OpEx 2019'!E32</f>
        <v>40112</v>
      </c>
      <c r="H27" s="371">
        <f>'Cap&amp;OpEx 2019'!F32</f>
        <v>40112</v>
      </c>
      <c r="I27" s="371">
        <f>'Cap&amp;OpEx 2019'!G32</f>
        <v>40112</v>
      </c>
      <c r="J27" s="371">
        <f>'Cap&amp;OpEx 2019'!H32</f>
        <v>40112</v>
      </c>
      <c r="K27" s="371">
        <f>'Cap&amp;OpEx 2019'!I32</f>
        <v>40112</v>
      </c>
      <c r="L27" s="371">
        <f>'Cap&amp;OpEx 2019'!J32</f>
        <v>40112</v>
      </c>
      <c r="M27" s="371">
        <f>'Cap&amp;OpEx 2019'!K32</f>
        <v>40112</v>
      </c>
      <c r="N27" s="371">
        <f>'Cap&amp;OpEx 2019'!L32</f>
        <v>40112</v>
      </c>
      <c r="O27" s="371">
        <f>'Cap&amp;OpEx 2019'!M32</f>
        <v>40112</v>
      </c>
      <c r="P27" s="371">
        <f>'Cap&amp;OpEx 2019'!N32</f>
        <v>40112</v>
      </c>
      <c r="Q27" s="372">
        <f t="shared" si="4"/>
        <v>481344</v>
      </c>
      <c r="R27"/>
      <c r="S27" s="80"/>
    </row>
    <row r="28" spans="1:19" s="31" customFormat="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>
      <c r="A29" s="32">
        <v>12</v>
      </c>
      <c r="B29" s="32"/>
      <c r="C29" s="31" t="s">
        <v>60</v>
      </c>
      <c r="D29" s="370">
        <f>SUM(D25:D28)</f>
        <v>236675.53535450005</v>
      </c>
      <c r="E29" s="371">
        <f t="shared" ref="E29:P29" si="5">SUM(E25:E28)</f>
        <v>94231.656806000014</v>
      </c>
      <c r="F29" s="371">
        <f t="shared" si="5"/>
        <v>81762.075476000013</v>
      </c>
      <c r="G29" s="371">
        <f t="shared" si="5"/>
        <v>92969.059215500019</v>
      </c>
      <c r="H29" s="371">
        <f t="shared" si="5"/>
        <v>112591.17360950002</v>
      </c>
      <c r="I29" s="371">
        <f t="shared" si="5"/>
        <v>246610.80803750001</v>
      </c>
      <c r="J29" s="371">
        <f t="shared" si="5"/>
        <v>233203.08309000003</v>
      </c>
      <c r="K29" s="371">
        <f t="shared" si="5"/>
        <v>166847.53281250002</v>
      </c>
      <c r="L29" s="371">
        <f t="shared" si="5"/>
        <v>174771.87093400001</v>
      </c>
      <c r="M29" s="371">
        <f t="shared" si="5"/>
        <v>196120.30588350003</v>
      </c>
      <c r="N29" s="371">
        <f t="shared" si="5"/>
        <v>173605.63118200001</v>
      </c>
      <c r="O29" s="371">
        <f t="shared" si="5"/>
        <v>180572.76425150002</v>
      </c>
      <c r="P29" s="371">
        <f t="shared" si="5"/>
        <v>200968.29042249999</v>
      </c>
      <c r="Q29" s="372">
        <f>SUM(Q25:Q28)</f>
        <v>1954254.2517205002</v>
      </c>
      <c r="R29"/>
    </row>
    <row r="30" spans="1:19" s="31" customFormat="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>
      <c r="A31" s="32">
        <v>13</v>
      </c>
      <c r="B31" s="77" t="s">
        <v>165</v>
      </c>
      <c r="D31" s="407">
        <f t="shared" ref="D31:Q31" si="6">D22+D29</f>
        <v>324358.44258296868</v>
      </c>
      <c r="E31" s="408">
        <f t="shared" si="6"/>
        <v>187284.72426287815</v>
      </c>
      <c r="F31" s="408">
        <f t="shared" si="6"/>
        <v>178473.06256502136</v>
      </c>
      <c r="G31" s="408">
        <f t="shared" si="6"/>
        <v>198357.74456880736</v>
      </c>
      <c r="H31" s="408">
        <f t="shared" si="6"/>
        <v>224334.15428653179</v>
      </c>
      <c r="I31" s="408">
        <f t="shared" si="6"/>
        <v>367289.67807358655</v>
      </c>
      <c r="J31" s="408">
        <f t="shared" si="6"/>
        <v>360037.07853926858</v>
      </c>
      <c r="K31" s="408">
        <f t="shared" si="6"/>
        <v>299290.51581411937</v>
      </c>
      <c r="L31" s="408">
        <f t="shared" si="6"/>
        <v>312671.71796401672</v>
      </c>
      <c r="M31" s="408">
        <f t="shared" si="6"/>
        <v>340324.70552075584</v>
      </c>
      <c r="N31" s="408">
        <f t="shared" si="6"/>
        <v>324101.54462537251</v>
      </c>
      <c r="O31" s="408">
        <f t="shared" si="6"/>
        <v>337023.62106880662</v>
      </c>
      <c r="P31" s="408">
        <f t="shared" si="6"/>
        <v>363773.65484400204</v>
      </c>
      <c r="Q31" s="409">
        <f t="shared" si="6"/>
        <v>3454583.5428384915</v>
      </c>
      <c r="R31"/>
    </row>
    <row r="32" spans="1:19" s="31" customFormat="1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8" s="31" customFormat="1">
      <c r="D33" s="3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R33"/>
    </row>
    <row r="34" spans="1:28" s="31" customFormat="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R34"/>
    </row>
    <row r="35" spans="1:28" s="31" customFormat="1">
      <c r="B35" s="30" t="s">
        <v>467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>
      <c r="A36" s="159"/>
      <c r="B36" s="16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159"/>
      <c r="B40" s="159"/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3"/>
      <c r="C41" s="16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16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3"/>
      <c r="T51" s="23"/>
      <c r="U51" s="19"/>
      <c r="V51" s="20"/>
      <c r="W51" s="20"/>
      <c r="X51" s="20"/>
      <c r="Y51" s="20"/>
      <c r="Z51" s="20"/>
      <c r="AA51" s="20"/>
      <c r="AB51" s="20"/>
      <c r="AC51" s="94"/>
      <c r="AD51" s="94"/>
      <c r="AE51" s="94"/>
      <c r="AF51" s="94"/>
      <c r="AG51" s="94"/>
      <c r="AH51" s="94"/>
      <c r="AI51" s="94"/>
      <c r="AJ51" s="94"/>
    </row>
    <row r="52" spans="1:36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3"/>
      <c r="T52" s="23"/>
      <c r="U52" s="21"/>
      <c r="V52" s="22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S53" s="23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S54" s="23"/>
      <c r="T54" s="23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5"/>
      <c r="AE55" s="25"/>
      <c r="AF55" s="25"/>
      <c r="AG55" s="24"/>
      <c r="AH55" s="24"/>
      <c r="AI55" s="24"/>
      <c r="AJ55" s="24"/>
    </row>
    <row r="56" spans="1:36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4"/>
      <c r="W59" s="24"/>
      <c r="X59" s="24"/>
      <c r="Y59" s="24"/>
      <c r="Z59" s="24"/>
      <c r="AA59" s="24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3"/>
      <c r="W61" s="23"/>
      <c r="X61" s="23"/>
      <c r="Y61" s="23"/>
      <c r="Z61" s="23"/>
      <c r="AA61" s="23"/>
      <c r="AB61" s="25"/>
      <c r="AC61" s="24"/>
      <c r="AD61" s="24"/>
      <c r="AE61" s="24"/>
      <c r="AF61" s="25"/>
      <c r="AG61" s="24"/>
      <c r="AH61" s="24"/>
      <c r="AI61" s="24"/>
      <c r="AJ61" s="24"/>
    </row>
    <row r="62" spans="1:36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1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11" spans="1:28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34" spans="14:19">
      <c r="N134"/>
      <c r="O134"/>
      <c r="P134"/>
      <c r="Q134"/>
      <c r="S134"/>
    </row>
    <row r="1048576" spans="19:19">
      <c r="S1048576" s="80">
        <f>SUM(D1048576:P1048576)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1 of 17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  <pageSetUpPr fitToPage="1"/>
  </sheetPr>
  <dimension ref="A1:AJ1048492"/>
  <sheetViews>
    <sheetView zoomScale="70" zoomScaleNormal="70" workbookViewId="0"/>
  </sheetViews>
  <sheetFormatPr defaultColWidth="9.140625" defaultRowHeight="20.25"/>
  <cols>
    <col min="1" max="1" width="9" style="72" customWidth="1"/>
    <col min="2" max="2" width="9.140625" style="72"/>
    <col min="3" max="3" width="60.85546875" style="72" customWidth="1"/>
    <col min="4" max="17" width="19.140625" style="72" customWidth="1"/>
    <col min="18" max="18" width="20.85546875" bestFit="1" customWidth="1"/>
    <col min="19" max="19" width="18.85546875" style="72" customWidth="1"/>
    <col min="20" max="20" width="18" style="72" customWidth="1"/>
    <col min="21" max="21" width="17" style="72" customWidth="1"/>
    <col min="22" max="22" width="14.85546875" style="72" bestFit="1" customWidth="1"/>
    <col min="23" max="23" width="14.5703125" style="72" bestFit="1" customWidth="1"/>
    <col min="24" max="24" width="13.140625" style="72" bestFit="1" customWidth="1"/>
    <col min="25" max="25" width="14" style="72" customWidth="1"/>
    <col min="26" max="26" width="15.5703125" style="72" customWidth="1"/>
    <col min="27" max="27" width="14.42578125" style="72" bestFit="1" customWidth="1"/>
    <col min="28" max="28" width="14.85546875" style="72" customWidth="1"/>
    <col min="29" max="29" width="15.85546875" style="72" customWidth="1"/>
    <col min="30" max="30" width="13.42578125" style="72" customWidth="1"/>
    <col min="31" max="31" width="12.140625" style="72" bestFit="1" customWidth="1"/>
    <col min="32" max="32" width="16.5703125" style="72" customWidth="1"/>
    <col min="33" max="33" width="14.42578125" style="72" customWidth="1"/>
    <col min="34" max="34" width="15.140625" style="72" customWidth="1"/>
    <col min="35" max="35" width="9.42578125" style="72" bestFit="1" customWidth="1"/>
    <col min="36" max="36" width="12.85546875" style="72" customWidth="1"/>
    <col min="37" max="16384" width="9.140625" style="72"/>
  </cols>
  <sheetData>
    <row r="1" spans="1:36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6">
      <c r="A3" s="193" t="s">
        <v>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>
      <c r="D5" s="226"/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677"/>
      <c r="AD5" s="677"/>
      <c r="AE5" s="677"/>
      <c r="AF5" s="677"/>
      <c r="AG5" s="677"/>
      <c r="AH5" s="677"/>
      <c r="AI5" s="677"/>
      <c r="AJ5" s="677"/>
    </row>
    <row r="6" spans="1:36" s="31" customFormat="1">
      <c r="A6" s="224" t="s">
        <v>4</v>
      </c>
      <c r="B6" s="32"/>
      <c r="D6" s="131">
        <v>2018</v>
      </c>
      <c r="E6" s="132">
        <v>2019</v>
      </c>
      <c r="F6" s="132">
        <f>$E$6</f>
        <v>2019</v>
      </c>
      <c r="G6" s="132">
        <f>$E$6</f>
        <v>2019</v>
      </c>
      <c r="H6" s="132">
        <f>$E$6</f>
        <v>2019</v>
      </c>
      <c r="I6" s="132">
        <f>$E$6</f>
        <v>2019</v>
      </c>
      <c r="J6" s="132">
        <f>$E$6</f>
        <v>2019</v>
      </c>
      <c r="K6" s="132">
        <f t="shared" ref="K6:Q6" si="0">$E$6</f>
        <v>2019</v>
      </c>
      <c r="L6" s="132">
        <f t="shared" si="0"/>
        <v>2019</v>
      </c>
      <c r="M6" s="132">
        <f t="shared" si="0"/>
        <v>2019</v>
      </c>
      <c r="N6" s="132">
        <f t="shared" si="0"/>
        <v>2019</v>
      </c>
      <c r="O6" s="132">
        <f t="shared" si="0"/>
        <v>2019</v>
      </c>
      <c r="P6" s="132">
        <f t="shared" si="0"/>
        <v>2019</v>
      </c>
      <c r="Q6" s="133">
        <f t="shared" si="0"/>
        <v>2019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347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7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>
      <c r="A11" s="32">
        <v>1</v>
      </c>
      <c r="B11" s="32"/>
      <c r="C11" s="78" t="s">
        <v>459</v>
      </c>
      <c r="D11" s="370">
        <f>'Rev Req 2018-Trans'!P11</f>
        <v>0</v>
      </c>
      <c r="E11" s="371">
        <f>'Cap&amp;OpEx 2019'!C11+D11</f>
        <v>0</v>
      </c>
      <c r="F11" s="371">
        <f>'Cap&amp;OpEx 2019'!D11+E11</f>
        <v>0</v>
      </c>
      <c r="G11" s="371">
        <f>'Cap&amp;OpEx 2019'!E11+F11</f>
        <v>0</v>
      </c>
      <c r="H11" s="371">
        <f>'Cap&amp;OpEx 2019'!F11+G11</f>
        <v>0</v>
      </c>
      <c r="I11" s="371">
        <f>'Cap&amp;OpEx 2019'!G11+H11</f>
        <v>0</v>
      </c>
      <c r="J11" s="371">
        <f>'Cap&amp;OpEx 2019'!H11+I11</f>
        <v>0</v>
      </c>
      <c r="K11" s="371">
        <f>'Cap&amp;OpEx 2019'!I11+J11</f>
        <v>0</v>
      </c>
      <c r="L11" s="371">
        <f>'Cap&amp;OpEx 2019'!J11+K11</f>
        <v>0</v>
      </c>
      <c r="M11" s="371">
        <f>'Cap&amp;OpEx 2019'!K11+L11</f>
        <v>0</v>
      </c>
      <c r="N11" s="371">
        <f>'Cap&amp;OpEx 2019'!L11+M11</f>
        <v>0</v>
      </c>
      <c r="O11" s="371">
        <f>'Cap&amp;OpEx 2019'!M11+N11</f>
        <v>0</v>
      </c>
      <c r="P11" s="371">
        <f>'Cap&amp;OpEx 2019'!N11+O11</f>
        <v>0</v>
      </c>
      <c r="Q11" s="372">
        <f>AVERAGE(D11:P11)</f>
        <v>0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>
      <c r="A12" s="32">
        <v>2</v>
      </c>
      <c r="B12" s="32"/>
      <c r="C12" s="31" t="s">
        <v>19</v>
      </c>
      <c r="D12" s="370">
        <f>'Cap&amp;OpEx 2018'!N26</f>
        <v>0</v>
      </c>
      <c r="E12" s="371">
        <f>'Cap&amp;OpEx 2019'!C26+D12</f>
        <v>0</v>
      </c>
      <c r="F12" s="371">
        <f>'Cap&amp;OpEx 2019'!D26+E12</f>
        <v>0</v>
      </c>
      <c r="G12" s="371">
        <f>'Cap&amp;OpEx 2019'!E26+F12</f>
        <v>0</v>
      </c>
      <c r="H12" s="371">
        <f>'Cap&amp;OpEx 2019'!F26+G12</f>
        <v>0</v>
      </c>
      <c r="I12" s="371">
        <f>'Cap&amp;OpEx 2019'!G26+H12</f>
        <v>0</v>
      </c>
      <c r="J12" s="371">
        <f>'Cap&amp;OpEx 2019'!H26+I12</f>
        <v>0</v>
      </c>
      <c r="K12" s="371">
        <f>'Cap&amp;OpEx 2019'!I26+J12</f>
        <v>0</v>
      </c>
      <c r="L12" s="371">
        <f>'Cap&amp;OpEx 2019'!J26+K12</f>
        <v>0</v>
      </c>
      <c r="M12" s="371">
        <f>'Cap&amp;OpEx 2019'!K26+L12</f>
        <v>0</v>
      </c>
      <c r="N12" s="371">
        <f>'Cap&amp;OpEx 2019'!L26+M12</f>
        <v>0</v>
      </c>
      <c r="O12" s="371">
        <f>'Cap&amp;OpEx 2019'!M26+N12</f>
        <v>0</v>
      </c>
      <c r="P12" s="371">
        <f>'Cap&amp;OpEx 2019'!N26+O12</f>
        <v>0</v>
      </c>
      <c r="Q12" s="372">
        <f t="shared" ref="Q12:Q13" si="1">AVERAGE(D12:P12)</f>
        <v>0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>
      <c r="A13" s="32">
        <v>3</v>
      </c>
      <c r="B13" s="32"/>
      <c r="C13" s="31" t="s">
        <v>52</v>
      </c>
      <c r="D13" s="375">
        <v>0</v>
      </c>
      <c r="E13" s="376">
        <v>0</v>
      </c>
      <c r="F13" s="376">
        <v>0</v>
      </c>
      <c r="G13" s="376">
        <v>0</v>
      </c>
      <c r="H13" s="376">
        <v>0</v>
      </c>
      <c r="I13" s="376">
        <v>0</v>
      </c>
      <c r="J13" s="376">
        <v>0</v>
      </c>
      <c r="K13" s="376">
        <v>0</v>
      </c>
      <c r="L13" s="376">
        <v>0</v>
      </c>
      <c r="M13" s="376">
        <v>0</v>
      </c>
      <c r="N13" s="376">
        <v>0</v>
      </c>
      <c r="O13" s="376">
        <v>0</v>
      </c>
      <c r="P13" s="376">
        <v>0</v>
      </c>
      <c r="Q13" s="377">
        <f t="shared" si="1"/>
        <v>0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>
      <c r="A14" s="32">
        <v>4</v>
      </c>
      <c r="B14" s="32"/>
      <c r="C14" s="31" t="s">
        <v>53</v>
      </c>
      <c r="D14" s="370">
        <f>SUM(D11:D13)</f>
        <v>0</v>
      </c>
      <c r="E14" s="371">
        <f t="shared" ref="E14:Q14" si="2">SUM(E11:E13)</f>
        <v>0</v>
      </c>
      <c r="F14" s="371">
        <f t="shared" si="2"/>
        <v>0</v>
      </c>
      <c r="G14" s="371">
        <f t="shared" si="2"/>
        <v>0</v>
      </c>
      <c r="H14" s="371">
        <f t="shared" si="2"/>
        <v>0</v>
      </c>
      <c r="I14" s="371">
        <f t="shared" si="2"/>
        <v>0</v>
      </c>
      <c r="J14" s="371">
        <f t="shared" si="2"/>
        <v>0</v>
      </c>
      <c r="K14" s="371">
        <f t="shared" si="2"/>
        <v>0</v>
      </c>
      <c r="L14" s="371">
        <f t="shared" si="2"/>
        <v>0</v>
      </c>
      <c r="M14" s="371">
        <f t="shared" si="2"/>
        <v>0</v>
      </c>
      <c r="N14" s="371">
        <f t="shared" si="2"/>
        <v>0</v>
      </c>
      <c r="O14" s="371">
        <f t="shared" si="2"/>
        <v>0</v>
      </c>
      <c r="P14" s="371">
        <f t="shared" si="2"/>
        <v>0</v>
      </c>
      <c r="Q14" s="372">
        <f t="shared" si="2"/>
        <v>0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>
      <c r="A16" s="32">
        <v>5</v>
      </c>
      <c r="B16" s="32"/>
      <c r="C16" s="31" t="s">
        <v>54</v>
      </c>
      <c r="D16" s="375">
        <f>'Rev Req 2018-Trans'!P16</f>
        <v>0</v>
      </c>
      <c r="E16" s="376">
        <v>0</v>
      </c>
      <c r="F16" s="376">
        <v>0</v>
      </c>
      <c r="G16" s="376">
        <v>0</v>
      </c>
      <c r="H16" s="376">
        <v>0</v>
      </c>
      <c r="I16" s="376">
        <v>0</v>
      </c>
      <c r="J16" s="376">
        <v>0</v>
      </c>
      <c r="K16" s="376">
        <v>0</v>
      </c>
      <c r="L16" s="376">
        <v>0</v>
      </c>
      <c r="M16" s="376">
        <v>0</v>
      </c>
      <c r="N16" s="376">
        <v>0</v>
      </c>
      <c r="O16" s="376">
        <v>0</v>
      </c>
      <c r="P16" s="376">
        <v>0</v>
      </c>
      <c r="Q16" s="377">
        <f t="shared" ref="Q16" si="3">AVERAGE(D16:P16)</f>
        <v>0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>
      <c r="A18" s="32">
        <v>6</v>
      </c>
      <c r="B18" s="32"/>
      <c r="C18" s="78" t="s">
        <v>55</v>
      </c>
      <c r="D18" s="370">
        <f>SUM(D14:D16)</f>
        <v>0</v>
      </c>
      <c r="E18" s="371">
        <f t="shared" ref="E18:O18" si="4">SUM(E14:E16)</f>
        <v>0</v>
      </c>
      <c r="F18" s="371">
        <f t="shared" si="4"/>
        <v>0</v>
      </c>
      <c r="G18" s="371">
        <f t="shared" si="4"/>
        <v>0</v>
      </c>
      <c r="H18" s="371">
        <f t="shared" si="4"/>
        <v>0</v>
      </c>
      <c r="I18" s="371">
        <f t="shared" si="4"/>
        <v>0</v>
      </c>
      <c r="J18" s="371">
        <f t="shared" si="4"/>
        <v>0</v>
      </c>
      <c r="K18" s="371">
        <f t="shared" si="4"/>
        <v>0</v>
      </c>
      <c r="L18" s="371">
        <f t="shared" si="4"/>
        <v>0</v>
      </c>
      <c r="M18" s="371">
        <f t="shared" si="4"/>
        <v>0</v>
      </c>
      <c r="N18" s="371">
        <f t="shared" si="4"/>
        <v>0</v>
      </c>
      <c r="O18" s="371">
        <f t="shared" si="4"/>
        <v>0</v>
      </c>
      <c r="P18" s="371">
        <f>SUM(P14:P16)</f>
        <v>0</v>
      </c>
      <c r="Q18" s="372">
        <f>SUM(Q14:Q16)</f>
        <v>0</v>
      </c>
      <c r="R18"/>
      <c r="S18" s="80"/>
    </row>
    <row r="19" spans="1:19" s="31" customFormat="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>
      <c r="A20" s="32">
        <v>7</v>
      </c>
      <c r="B20" s="32"/>
      <c r="C20" s="31" t="s">
        <v>56</v>
      </c>
      <c r="D20" s="126">
        <v>7.2333333333333338E-3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f>'ROR 2020'!$G$12/12</f>
        <v>7.4333333333333335E-3</v>
      </c>
      <c r="J20" s="37">
        <f>'ROR 2020'!$G$12/12</f>
        <v>7.4333333333333335E-3</v>
      </c>
      <c r="K20" s="37">
        <f>'ROR 2020'!$G$12/12</f>
        <v>7.4333333333333335E-3</v>
      </c>
      <c r="L20" s="37">
        <f>'ROR 2020'!$G$12/12</f>
        <v>7.4333333333333335E-3</v>
      </c>
      <c r="M20" s="37">
        <f>'ROR 2020'!$G$12/12</f>
        <v>7.4333333333333335E-3</v>
      </c>
      <c r="N20" s="37">
        <f>'ROR 2020'!$G$12/12</f>
        <v>7.4333333333333335E-3</v>
      </c>
      <c r="O20" s="37">
        <f>'ROR 2020'!$G$12/12</f>
        <v>7.4333333333333335E-3</v>
      </c>
      <c r="P20" s="37">
        <f>'ROR 2020'!$G$12/12</f>
        <v>7.4333333333333335E-3</v>
      </c>
      <c r="Q20" s="127">
        <f>SUM(E20:P20)</f>
        <v>8.8400000000000006E-2</v>
      </c>
      <c r="R20"/>
    </row>
    <row r="21" spans="1:19" s="31" customFormat="1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>
      <c r="A22" s="32">
        <v>8</v>
      </c>
      <c r="B22" s="32"/>
      <c r="C22" s="31" t="s">
        <v>57</v>
      </c>
      <c r="D22" s="401">
        <f t="shared" ref="D22:O22" si="5">D18*D20</f>
        <v>0</v>
      </c>
      <c r="E22" s="402">
        <f>E18*E20</f>
        <v>0</v>
      </c>
      <c r="F22" s="402">
        <f t="shared" si="5"/>
        <v>0</v>
      </c>
      <c r="G22" s="402">
        <f t="shared" si="5"/>
        <v>0</v>
      </c>
      <c r="H22" s="402">
        <f t="shared" si="5"/>
        <v>0</v>
      </c>
      <c r="I22" s="402">
        <f t="shared" si="5"/>
        <v>0</v>
      </c>
      <c r="J22" s="402">
        <f t="shared" si="5"/>
        <v>0</v>
      </c>
      <c r="K22" s="402">
        <f t="shared" si="5"/>
        <v>0</v>
      </c>
      <c r="L22" s="402">
        <f t="shared" si="5"/>
        <v>0</v>
      </c>
      <c r="M22" s="402">
        <f t="shared" si="5"/>
        <v>0</v>
      </c>
      <c r="N22" s="402">
        <f t="shared" si="5"/>
        <v>0</v>
      </c>
      <c r="O22" s="402">
        <f t="shared" si="5"/>
        <v>0</v>
      </c>
      <c r="P22" s="402">
        <f>P18*P20</f>
        <v>0</v>
      </c>
      <c r="Q22" s="403">
        <f>Q18*Q20</f>
        <v>0</v>
      </c>
      <c r="R22"/>
    </row>
    <row r="23" spans="1:19" s="31" customFormat="1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>
      <c r="A25" s="32">
        <v>9</v>
      </c>
      <c r="B25" s="32"/>
      <c r="C25" s="31" t="s">
        <v>0</v>
      </c>
      <c r="D25" s="373">
        <v>0</v>
      </c>
      <c r="E25" s="374">
        <v>0</v>
      </c>
      <c r="F25" s="374">
        <v>0</v>
      </c>
      <c r="G25" s="374">
        <v>0</v>
      </c>
      <c r="H25" s="374">
        <v>0</v>
      </c>
      <c r="I25" s="374">
        <v>0</v>
      </c>
      <c r="J25" s="374">
        <v>0</v>
      </c>
      <c r="K25" s="374">
        <v>0</v>
      </c>
      <c r="L25" s="374">
        <v>0</v>
      </c>
      <c r="M25" s="374">
        <v>0</v>
      </c>
      <c r="N25" s="374">
        <v>0</v>
      </c>
      <c r="O25" s="374">
        <v>0</v>
      </c>
      <c r="P25" s="374">
        <v>0</v>
      </c>
      <c r="Q25" s="372">
        <f>SUM(E25:P25)</f>
        <v>0</v>
      </c>
      <c r="R25"/>
      <c r="S25" s="80"/>
    </row>
    <row r="26" spans="1:19" s="31" customFormat="1">
      <c r="A26" s="32">
        <v>10</v>
      </c>
      <c r="B26" s="32"/>
      <c r="C26" s="13" t="s">
        <v>59</v>
      </c>
      <c r="D26" s="373">
        <v>0</v>
      </c>
      <c r="E26" s="374">
        <v>0</v>
      </c>
      <c r="F26" s="374">
        <v>0</v>
      </c>
      <c r="G26" s="374">
        <v>0</v>
      </c>
      <c r="H26" s="374">
        <v>0</v>
      </c>
      <c r="I26" s="374">
        <v>0</v>
      </c>
      <c r="J26" s="374">
        <v>0</v>
      </c>
      <c r="K26" s="374">
        <v>0</v>
      </c>
      <c r="L26" s="374">
        <v>0</v>
      </c>
      <c r="M26" s="374">
        <v>0</v>
      </c>
      <c r="N26" s="374">
        <v>0</v>
      </c>
      <c r="O26" s="374">
        <v>0</v>
      </c>
      <c r="P26" s="374">
        <v>0</v>
      </c>
      <c r="Q26" s="372">
        <f>SUM(E26:P26)</f>
        <v>0</v>
      </c>
      <c r="R26"/>
      <c r="S26" s="80"/>
    </row>
    <row r="27" spans="1:19" s="31" customFormat="1">
      <c r="A27" s="32">
        <v>11</v>
      </c>
      <c r="B27" s="32"/>
      <c r="C27" s="31" t="s">
        <v>178</v>
      </c>
      <c r="D27" s="370">
        <f>'Cap&amp;OpEx 2018'!N33</f>
        <v>440.78</v>
      </c>
      <c r="E27" s="371">
        <f>'Cap&amp;OpEx 2019'!C33</f>
        <v>7144.99</v>
      </c>
      <c r="F27" s="371">
        <f>'Cap&amp;OpEx 2019'!D33</f>
        <v>7144.99</v>
      </c>
      <c r="G27" s="371">
        <f>'Cap&amp;OpEx 2019'!E33</f>
        <v>7144.99</v>
      </c>
      <c r="H27" s="371">
        <f>'Cap&amp;OpEx 2019'!F33</f>
        <v>7144.99</v>
      </c>
      <c r="I27" s="371">
        <f>'Cap&amp;OpEx 2019'!G33</f>
        <v>7144.99</v>
      </c>
      <c r="J27" s="371">
        <f>'Cap&amp;OpEx 2019'!H33</f>
        <v>7144.99</v>
      </c>
      <c r="K27" s="371">
        <f>'Cap&amp;OpEx 2019'!I33</f>
        <v>7144.99</v>
      </c>
      <c r="L27" s="371">
        <f>'Cap&amp;OpEx 2019'!J33</f>
        <v>7144.99</v>
      </c>
      <c r="M27" s="371">
        <f>'Cap&amp;OpEx 2019'!K33</f>
        <v>7144.99</v>
      </c>
      <c r="N27" s="371">
        <f>'Cap&amp;OpEx 2019'!L33</f>
        <v>7144.99</v>
      </c>
      <c r="O27" s="371">
        <f>'Cap&amp;OpEx 2019'!M33</f>
        <v>7144.99</v>
      </c>
      <c r="P27" s="371">
        <f>'Cap&amp;OpEx 2019'!N33</f>
        <v>7144.99</v>
      </c>
      <c r="Q27" s="372">
        <f>SUM(E27:P27)</f>
        <v>85739.88</v>
      </c>
      <c r="R27"/>
      <c r="S27" s="80"/>
    </row>
    <row r="28" spans="1:19" s="31" customFormat="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>
      <c r="A29" s="32">
        <v>12</v>
      </c>
      <c r="B29" s="32"/>
      <c r="C29" s="31" t="s">
        <v>60</v>
      </c>
      <c r="D29" s="370">
        <f>SUM(D25:D28)</f>
        <v>440.78</v>
      </c>
      <c r="E29" s="371">
        <f t="shared" ref="E29:Q29" si="6">SUM(E25:E28)</f>
        <v>7144.99</v>
      </c>
      <c r="F29" s="371">
        <f t="shared" si="6"/>
        <v>7144.99</v>
      </c>
      <c r="G29" s="371">
        <f t="shared" si="6"/>
        <v>7144.99</v>
      </c>
      <c r="H29" s="371">
        <f t="shared" si="6"/>
        <v>7144.99</v>
      </c>
      <c r="I29" s="371">
        <f t="shared" si="6"/>
        <v>7144.99</v>
      </c>
      <c r="J29" s="371">
        <f t="shared" si="6"/>
        <v>7144.99</v>
      </c>
      <c r="K29" s="371">
        <f t="shared" si="6"/>
        <v>7144.99</v>
      </c>
      <c r="L29" s="371">
        <f t="shared" si="6"/>
        <v>7144.99</v>
      </c>
      <c r="M29" s="371">
        <f t="shared" si="6"/>
        <v>7144.99</v>
      </c>
      <c r="N29" s="371">
        <f t="shared" si="6"/>
        <v>7144.99</v>
      </c>
      <c r="O29" s="371">
        <f t="shared" si="6"/>
        <v>7144.99</v>
      </c>
      <c r="P29" s="371">
        <f t="shared" si="6"/>
        <v>7144.99</v>
      </c>
      <c r="Q29" s="372">
        <f t="shared" si="6"/>
        <v>85739.88</v>
      </c>
      <c r="R29"/>
    </row>
    <row r="30" spans="1:19" s="31" customFormat="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>
      <c r="A31" s="32">
        <v>13</v>
      </c>
      <c r="B31" s="77" t="s">
        <v>165</v>
      </c>
      <c r="D31" s="407">
        <f>D22+D29</f>
        <v>440.78</v>
      </c>
      <c r="E31" s="408">
        <f t="shared" ref="E31:Q31" si="7">E22+E29</f>
        <v>7144.99</v>
      </c>
      <c r="F31" s="408">
        <f t="shared" si="7"/>
        <v>7144.99</v>
      </c>
      <c r="G31" s="408">
        <f t="shared" si="7"/>
        <v>7144.99</v>
      </c>
      <c r="H31" s="408">
        <f t="shared" si="7"/>
        <v>7144.99</v>
      </c>
      <c r="I31" s="408">
        <f t="shared" si="7"/>
        <v>7144.99</v>
      </c>
      <c r="J31" s="408">
        <f t="shared" si="7"/>
        <v>7144.99</v>
      </c>
      <c r="K31" s="408">
        <f t="shared" si="7"/>
        <v>7144.99</v>
      </c>
      <c r="L31" s="408">
        <f t="shared" si="7"/>
        <v>7144.99</v>
      </c>
      <c r="M31" s="408">
        <f t="shared" si="7"/>
        <v>7144.99</v>
      </c>
      <c r="N31" s="408">
        <f t="shared" si="7"/>
        <v>7144.99</v>
      </c>
      <c r="O31" s="408">
        <f t="shared" si="7"/>
        <v>7144.99</v>
      </c>
      <c r="P31" s="408">
        <f>P22+P29</f>
        <v>7144.99</v>
      </c>
      <c r="Q31" s="409">
        <f t="shared" si="7"/>
        <v>85739.88</v>
      </c>
      <c r="R31"/>
    </row>
    <row r="32" spans="1:19" s="31" customFormat="1">
      <c r="A32" s="32"/>
      <c r="B32" s="32"/>
      <c r="D32" s="80"/>
      <c r="P32" s="80"/>
      <c r="R32"/>
    </row>
    <row r="33" spans="1:18" customFormat="1" ht="21" customHeight="1"/>
    <row r="34" spans="1:18" s="31" customFormat="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/>
    </row>
    <row r="35" spans="1:18" s="31" customFormat="1">
      <c r="A35" s="79"/>
      <c r="B35" s="30" t="s">
        <v>467</v>
      </c>
      <c r="Q35" s="80"/>
      <c r="R35"/>
    </row>
    <row r="1048492" spans="19:19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2 of 17</oddFooter>
  </headerFooter>
  <rowBreaks count="1" manualBreakCount="1">
    <brk id="31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  <pageSetUpPr fitToPage="1"/>
  </sheetPr>
  <dimension ref="A1:AD50"/>
  <sheetViews>
    <sheetView workbookViewId="0"/>
  </sheetViews>
  <sheetFormatPr defaultColWidth="9.140625" defaultRowHeight="15.75"/>
  <cols>
    <col min="1" max="1" width="9.140625" style="28"/>
    <col min="2" max="2" width="38.85546875" style="26" bestFit="1" customWidth="1"/>
    <col min="3" max="15" width="15.85546875" style="26" customWidth="1"/>
    <col min="16" max="16" width="12.140625" style="28" bestFit="1" customWidth="1"/>
    <col min="17" max="17" width="16.140625" style="28" bestFit="1" customWidth="1"/>
    <col min="18" max="30" width="14.85546875" style="28" customWidth="1"/>
    <col min="31" max="31" width="9.140625" style="28"/>
    <col min="32" max="32" width="10.5703125" style="28" bestFit="1" customWidth="1"/>
    <col min="33" max="16384" width="9.140625" style="28"/>
  </cols>
  <sheetData>
    <row r="1" spans="1:30" ht="18.75">
      <c r="A1" s="191" t="s">
        <v>67</v>
      </c>
      <c r="B1" s="197"/>
      <c r="C1" s="197"/>
      <c r="D1" s="197"/>
      <c r="E1" s="197"/>
      <c r="F1" s="197"/>
      <c r="G1" s="197"/>
      <c r="H1" s="197"/>
      <c r="I1" s="191"/>
      <c r="J1" s="191"/>
      <c r="K1" s="191"/>
      <c r="L1" s="191"/>
      <c r="M1" s="191"/>
      <c r="N1" s="191"/>
      <c r="O1" s="191"/>
      <c r="Q1" s="39"/>
      <c r="R1" s="39"/>
      <c r="S1" s="39"/>
      <c r="T1" s="39"/>
      <c r="U1" s="39"/>
      <c r="V1" s="39"/>
      <c r="W1" s="39"/>
      <c r="X1" s="40"/>
      <c r="Y1" s="40"/>
      <c r="Z1" s="40"/>
      <c r="AA1" s="40"/>
      <c r="AB1" s="40"/>
      <c r="AC1" s="40"/>
      <c r="AD1" s="40"/>
    </row>
    <row r="2" spans="1:30" ht="18.75">
      <c r="A2" s="191" t="s">
        <v>255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"/>
      <c r="Q2" s="39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40"/>
    </row>
    <row r="3" spans="1:30" ht="18.75">
      <c r="A3" s="191" t="s">
        <v>161</v>
      </c>
      <c r="B3" s="197"/>
      <c r="C3" s="197"/>
      <c r="D3" s="197"/>
      <c r="E3" s="197"/>
      <c r="F3" s="197"/>
      <c r="G3" s="197"/>
      <c r="H3" s="197"/>
      <c r="I3" s="191"/>
      <c r="J3" s="191"/>
      <c r="K3" s="191"/>
      <c r="L3" s="191"/>
      <c r="M3" s="191"/>
      <c r="N3" s="191"/>
      <c r="O3" s="191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40"/>
      <c r="AC3" s="40"/>
      <c r="AD3" s="40"/>
    </row>
    <row r="4" spans="1:30">
      <c r="Q4" s="40"/>
      <c r="R4" s="40"/>
      <c r="S4" s="40"/>
      <c r="T4" s="40"/>
      <c r="U4" s="40"/>
      <c r="V4" s="40"/>
      <c r="X4" s="40"/>
      <c r="Y4" s="40"/>
      <c r="Z4" s="40"/>
      <c r="AA4" s="40"/>
      <c r="AB4" s="40"/>
      <c r="AC4" s="40"/>
      <c r="AD4" s="40"/>
    </row>
    <row r="5" spans="1:30">
      <c r="Q5" s="40"/>
      <c r="R5" s="40"/>
      <c r="S5" s="40"/>
      <c r="T5" s="40"/>
      <c r="U5" s="40"/>
      <c r="V5" s="40"/>
      <c r="X5" s="40"/>
      <c r="Y5" s="40"/>
      <c r="Z5" s="40"/>
      <c r="AA5" s="40"/>
      <c r="AB5" s="40"/>
      <c r="AC5" s="40"/>
      <c r="AD5" s="40"/>
    </row>
    <row r="6" spans="1:30" s="29" customFormat="1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69</v>
      </c>
      <c r="Q6" s="28"/>
      <c r="R6" s="28"/>
      <c r="S6" s="28"/>
      <c r="T6" s="28"/>
      <c r="U6" s="28"/>
      <c r="V6" s="28"/>
      <c r="W6" s="28"/>
    </row>
    <row r="7" spans="1:30" ht="16.5" thickBot="1">
      <c r="A7" s="44" t="s">
        <v>5</v>
      </c>
      <c r="B7" s="44" t="s">
        <v>6</v>
      </c>
      <c r="C7" s="44" t="s">
        <v>86</v>
      </c>
      <c r="D7" s="44" t="s">
        <v>87</v>
      </c>
      <c r="E7" s="44" t="s">
        <v>259</v>
      </c>
      <c r="F7" s="44" t="s">
        <v>260</v>
      </c>
      <c r="G7" s="44" t="s">
        <v>88</v>
      </c>
      <c r="H7" s="44" t="s">
        <v>261</v>
      </c>
      <c r="I7" s="44" t="s">
        <v>89</v>
      </c>
      <c r="J7" s="44" t="s">
        <v>90</v>
      </c>
      <c r="K7" s="44" t="s">
        <v>91</v>
      </c>
      <c r="L7" s="44" t="s">
        <v>92</v>
      </c>
      <c r="M7" s="44" t="s">
        <v>93</v>
      </c>
      <c r="N7" s="44" t="s">
        <v>94</v>
      </c>
      <c r="O7" s="44">
        <v>2019</v>
      </c>
    </row>
    <row r="8" spans="1:3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38">
        <v>1</v>
      </c>
      <c r="B10" s="26" t="s">
        <v>250</v>
      </c>
      <c r="C10" s="35">
        <f>SUM('2019 Capital Budget'!F16:F19)</f>
        <v>0</v>
      </c>
      <c r="D10" s="35">
        <f>SUM('2019 Capital Budget'!G16:G19)</f>
        <v>0</v>
      </c>
      <c r="E10" s="35">
        <f>SUM('2019 Capital Budget'!H16:H19)</f>
        <v>0</v>
      </c>
      <c r="F10" s="35">
        <f>SUM('2019 Capital Budget'!I16:I19)</f>
        <v>0</v>
      </c>
      <c r="G10" s="35">
        <f>SUM('2019 Capital Budget'!J16:J19)</f>
        <v>0</v>
      </c>
      <c r="H10" s="35">
        <f>SUM('2019 Capital Budget'!K16:K19)</f>
        <v>0</v>
      </c>
      <c r="I10" s="35">
        <f>SUM('2019 Capital Budget'!L16:L19)</f>
        <v>0</v>
      </c>
      <c r="J10" s="35">
        <f>SUM('2019 Capital Budget'!M16:M19)</f>
        <v>0</v>
      </c>
      <c r="K10" s="35">
        <f>SUM('2019 Capital Budget'!N16:N19)</f>
        <v>0</v>
      </c>
      <c r="L10" s="35">
        <f>SUM('2019 Capital Budget'!O16:O19)</f>
        <v>0</v>
      </c>
      <c r="M10" s="35">
        <f>SUM('2019 Capital Budget'!P16:P19)</f>
        <v>0</v>
      </c>
      <c r="N10" s="35">
        <f>SUM('2019 Capital Budget'!Q16:Q19)</f>
        <v>0</v>
      </c>
      <c r="O10" s="35">
        <f>SUM(C10:N10)</f>
        <v>0</v>
      </c>
      <c r="P10" s="46"/>
    </row>
    <row r="11" spans="1:30">
      <c r="A11" s="38">
        <f>A10+1</f>
        <v>2</v>
      </c>
      <c r="B11" s="26" t="s">
        <v>251</v>
      </c>
      <c r="C11" s="35">
        <f>'2019 Capital Budget'!F50</f>
        <v>0</v>
      </c>
      <c r="D11" s="35">
        <f>'2019 Capital Budget'!G50</f>
        <v>0</v>
      </c>
      <c r="E11" s="35">
        <f>'2019 Capital Budget'!H50</f>
        <v>0</v>
      </c>
      <c r="F11" s="35">
        <f>'2019 Capital Budget'!I50</f>
        <v>0</v>
      </c>
      <c r="G11" s="35">
        <f>'2019 Capital Budget'!J50</f>
        <v>0</v>
      </c>
      <c r="H11" s="35">
        <f>'2019 Capital Budget'!K50</f>
        <v>0</v>
      </c>
      <c r="I11" s="35">
        <f>'2019 Capital Budget'!L50</f>
        <v>0</v>
      </c>
      <c r="J11" s="35">
        <f>'2019 Capital Budget'!M50</f>
        <v>0</v>
      </c>
      <c r="K11" s="35">
        <f>'2019 Capital Budget'!N50</f>
        <v>0</v>
      </c>
      <c r="L11" s="35">
        <f>'2019 Capital Budget'!O50</f>
        <v>0</v>
      </c>
      <c r="M11" s="35">
        <f>'2019 Capital Budget'!P50</f>
        <v>0</v>
      </c>
      <c r="N11" s="35">
        <f>'2019 Capital Budget'!Q50</f>
        <v>0</v>
      </c>
      <c r="O11" s="35">
        <f t="shared" ref="O11:O14" si="0">SUM(C11:N11)</f>
        <v>0</v>
      </c>
      <c r="P11" s="46"/>
    </row>
    <row r="12" spans="1:30">
      <c r="A12" s="38">
        <f>A11+1</f>
        <v>3</v>
      </c>
      <c r="B12" s="26" t="s">
        <v>80</v>
      </c>
      <c r="C12" s="35">
        <f>'2019 Capital Budget'!F20+'2019 Capital Budget'!F21</f>
        <v>517199.86</v>
      </c>
      <c r="D12" s="35">
        <f>'2019 Capital Budget'!G20+'2019 Capital Budget'!G21</f>
        <v>199834.85</v>
      </c>
      <c r="E12" s="35">
        <f>'2019 Capital Budget'!H20+'2019 Capital Budget'!H21</f>
        <v>0</v>
      </c>
      <c r="F12" s="35">
        <f>'2019 Capital Budget'!I20+'2019 Capital Budget'!I21</f>
        <v>528130.11</v>
      </c>
      <c r="G12" s="35">
        <f>'2019 Capital Budget'!J20+'2019 Capital Budget'!J21</f>
        <v>334113.7</v>
      </c>
      <c r="H12" s="35">
        <f>'2019 Capital Budget'!K20+'2019 Capital Budget'!K21</f>
        <v>303068.81</v>
      </c>
      <c r="I12" s="35">
        <f>'2019 Capital Budget'!L20+'2019 Capital Budget'!L21</f>
        <v>284864.46000000002</v>
      </c>
      <c r="J12" s="35">
        <f>'2019 Capital Budget'!M20+'2019 Capital Budget'!M21</f>
        <v>232409.20999999996</v>
      </c>
      <c r="K12" s="35">
        <f>'2019 Capital Budget'!N20+'2019 Capital Budget'!N21</f>
        <v>308155.68</v>
      </c>
      <c r="L12" s="35">
        <f>'2019 Capital Budget'!O20+'2019 Capital Budget'!O21</f>
        <v>200869.63</v>
      </c>
      <c r="M12" s="35">
        <f>'2019 Capital Budget'!P20+'2019 Capital Budget'!P21</f>
        <v>170062.19</v>
      </c>
      <c r="N12" s="35">
        <f>'2019 Capital Budget'!Q20+'2019 Capital Budget'!Q21</f>
        <v>239382.03</v>
      </c>
      <c r="O12" s="35">
        <f t="shared" si="0"/>
        <v>3318090.53</v>
      </c>
      <c r="P12" s="46"/>
    </row>
    <row r="13" spans="1:30">
      <c r="A13" s="38">
        <f>A12+1</f>
        <v>4</v>
      </c>
      <c r="B13" s="26" t="s">
        <v>81</v>
      </c>
      <c r="C13" s="368">
        <v>0</v>
      </c>
      <c r="D13" s="368">
        <v>0</v>
      </c>
      <c r="E13" s="368">
        <v>0</v>
      </c>
      <c r="F13" s="368">
        <v>0</v>
      </c>
      <c r="G13" s="368">
        <v>0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  <c r="M13" s="368">
        <v>0</v>
      </c>
      <c r="N13" s="368">
        <v>0</v>
      </c>
      <c r="O13" s="35">
        <f t="shared" si="0"/>
        <v>0</v>
      </c>
      <c r="P13" s="46"/>
    </row>
    <row r="14" spans="1:30">
      <c r="A14" s="38">
        <f>A13+1</f>
        <v>5</v>
      </c>
      <c r="B14" s="26" t="s">
        <v>162</v>
      </c>
      <c r="C14" s="34">
        <f>SUM('2019 Capital Budget'!F9:F15,'2019 Capital Budget'!F25)</f>
        <v>366020.78</v>
      </c>
      <c r="D14" s="34">
        <f>SUM('2019 Capital Budget'!G9:G15,'2019 Capital Budget'!G25)</f>
        <v>393928.71</v>
      </c>
      <c r="E14" s="34">
        <f>SUM('2019 Capital Budget'!H9:H15,'2019 Capital Budget'!H25)</f>
        <v>1489239.21</v>
      </c>
      <c r="F14" s="34">
        <f>SUM('2019 Capital Budget'!I9:I15,'2019 Capital Budget'!I25)</f>
        <v>563619.12</v>
      </c>
      <c r="G14" s="34">
        <f>SUM('2019 Capital Budget'!J9:J15,'2019 Capital Budget'!J25)</f>
        <v>642940.35</v>
      </c>
      <c r="H14" s="34">
        <f>SUM('2019 Capital Budget'!K9:K15,'2019 Capital Budget'!K25)</f>
        <v>586888.29</v>
      </c>
      <c r="I14" s="34">
        <f>SUM('2019 Capital Budget'!L9:L15,'2019 Capital Budget'!L25)</f>
        <v>619133.78999999992</v>
      </c>
      <c r="J14" s="34">
        <f>SUM('2019 Capital Budget'!M9:M15,'2019 Capital Budget'!M25)</f>
        <v>591872.62999999954</v>
      </c>
      <c r="K14" s="34">
        <f>SUM('2019 Capital Budget'!N9:N15,'2019 Capital Budget'!N25)</f>
        <v>644869.85000000009</v>
      </c>
      <c r="L14" s="34">
        <f>SUM('2019 Capital Budget'!O9:O15,'2019 Capital Budget'!O25)</f>
        <v>753093.95</v>
      </c>
      <c r="M14" s="34">
        <f>SUM('2019 Capital Budget'!P9:P15,'2019 Capital Budget'!P25)</f>
        <v>636472.79999999993</v>
      </c>
      <c r="N14" s="34">
        <f>SUM('2019 Capital Budget'!Q9:Q15,'2019 Capital Budget'!Q25)</f>
        <v>671176.44</v>
      </c>
      <c r="O14" s="34">
        <f t="shared" si="0"/>
        <v>7959255.9199999999</v>
      </c>
      <c r="P14" s="86"/>
    </row>
    <row r="15" spans="1:30">
      <c r="A15" s="38">
        <f>A14+1</f>
        <v>6</v>
      </c>
      <c r="B15" s="26" t="s">
        <v>82</v>
      </c>
      <c r="C15" s="33">
        <f t="shared" ref="C15:H15" si="1">SUM(C10:C14)</f>
        <v>883220.64</v>
      </c>
      <c r="D15" s="33">
        <f t="shared" si="1"/>
        <v>593763.56000000006</v>
      </c>
      <c r="E15" s="33">
        <f t="shared" si="1"/>
        <v>1489239.21</v>
      </c>
      <c r="F15" s="33">
        <f t="shared" si="1"/>
        <v>1091749.23</v>
      </c>
      <c r="G15" s="33">
        <f t="shared" si="1"/>
        <v>977054.05</v>
      </c>
      <c r="H15" s="33">
        <f t="shared" si="1"/>
        <v>889957.10000000009</v>
      </c>
      <c r="I15" s="33">
        <f t="shared" ref="I15:N15" si="2">SUM(I10:I14)</f>
        <v>903998.25</v>
      </c>
      <c r="J15" s="33">
        <f t="shared" si="2"/>
        <v>824281.8399999995</v>
      </c>
      <c r="K15" s="33">
        <f t="shared" si="2"/>
        <v>953025.53</v>
      </c>
      <c r="L15" s="33">
        <f t="shared" si="2"/>
        <v>953963.58</v>
      </c>
      <c r="M15" s="33">
        <f t="shared" si="2"/>
        <v>806534.99</v>
      </c>
      <c r="N15" s="33">
        <f t="shared" si="2"/>
        <v>910558.47</v>
      </c>
      <c r="O15" s="33">
        <f>SUM(O10:O14)</f>
        <v>11277346.449999999</v>
      </c>
      <c r="P15" s="46"/>
    </row>
    <row r="16" spans="1:30">
      <c r="I16" s="33"/>
      <c r="J16" s="33"/>
      <c r="K16" s="33"/>
      <c r="L16" s="33"/>
      <c r="M16" s="33"/>
      <c r="N16" s="33"/>
      <c r="O16" s="33"/>
      <c r="P16" s="46"/>
    </row>
    <row r="17" spans="1:16">
      <c r="A17" s="38">
        <f>A15+1</f>
        <v>7</v>
      </c>
      <c r="B17" s="26" t="s">
        <v>252</v>
      </c>
      <c r="C17" s="368">
        <v>0</v>
      </c>
      <c r="D17" s="368">
        <v>0</v>
      </c>
      <c r="E17" s="368">
        <v>0</v>
      </c>
      <c r="F17" s="368">
        <v>0</v>
      </c>
      <c r="G17" s="368">
        <v>0</v>
      </c>
      <c r="H17" s="368">
        <v>0</v>
      </c>
      <c r="I17" s="368">
        <v>0</v>
      </c>
      <c r="J17" s="368">
        <v>0</v>
      </c>
      <c r="K17" s="368">
        <v>0</v>
      </c>
      <c r="L17" s="368">
        <v>0</v>
      </c>
      <c r="M17" s="368">
        <v>0</v>
      </c>
      <c r="N17" s="368">
        <v>0</v>
      </c>
      <c r="O17" s="35">
        <f>SUM(C17:N17)</f>
        <v>0</v>
      </c>
      <c r="P17" s="46"/>
    </row>
    <row r="18" spans="1:16">
      <c r="A18" s="38">
        <f t="shared" ref="A18:A19" si="3">A17+1</f>
        <v>8</v>
      </c>
      <c r="B18" s="26" t="s">
        <v>329</v>
      </c>
      <c r="C18" s="368">
        <v>0</v>
      </c>
      <c r="D18" s="368">
        <v>0</v>
      </c>
      <c r="E18" s="368">
        <v>0</v>
      </c>
      <c r="F18" s="368">
        <v>0</v>
      </c>
      <c r="G18" s="368">
        <v>0</v>
      </c>
      <c r="H18" s="368">
        <v>0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0</v>
      </c>
      <c r="O18" s="35">
        <f>SUM(C18:N18)</f>
        <v>0</v>
      </c>
      <c r="P18" s="46"/>
    </row>
    <row r="19" spans="1:16">
      <c r="A19" s="38">
        <f t="shared" si="3"/>
        <v>9</v>
      </c>
      <c r="B19" s="26" t="s">
        <v>72</v>
      </c>
      <c r="C19" s="368">
        <v>0</v>
      </c>
      <c r="D19" s="368">
        <v>0</v>
      </c>
      <c r="E19" s="368">
        <v>0</v>
      </c>
      <c r="F19" s="368">
        <v>0</v>
      </c>
      <c r="G19" s="368">
        <v>0</v>
      </c>
      <c r="H19" s="368">
        <v>0</v>
      </c>
      <c r="I19" s="368">
        <v>0</v>
      </c>
      <c r="J19" s="368">
        <v>0</v>
      </c>
      <c r="K19" s="368">
        <v>0</v>
      </c>
      <c r="L19" s="368">
        <v>0</v>
      </c>
      <c r="M19" s="368">
        <v>0</v>
      </c>
      <c r="N19" s="368">
        <v>0</v>
      </c>
      <c r="O19" s="35">
        <f t="shared" ref="O19:O20" si="4">SUM(C19:N19)</f>
        <v>0</v>
      </c>
      <c r="P19" s="46"/>
    </row>
    <row r="20" spans="1:16">
      <c r="A20" s="38">
        <f>A19+1</f>
        <v>10</v>
      </c>
      <c r="B20" s="26" t="s">
        <v>73</v>
      </c>
      <c r="C20" s="359">
        <v>0</v>
      </c>
      <c r="D20" s="359">
        <v>0</v>
      </c>
      <c r="E20" s="359">
        <v>0</v>
      </c>
      <c r="F20" s="359">
        <v>0</v>
      </c>
      <c r="G20" s="359">
        <v>0</v>
      </c>
      <c r="H20" s="359">
        <v>0</v>
      </c>
      <c r="I20" s="359">
        <v>0</v>
      </c>
      <c r="J20" s="359">
        <v>0</v>
      </c>
      <c r="K20" s="359">
        <v>0</v>
      </c>
      <c r="L20" s="359">
        <v>0</v>
      </c>
      <c r="M20" s="359">
        <v>0</v>
      </c>
      <c r="N20" s="359">
        <v>0</v>
      </c>
      <c r="O20" s="34">
        <f t="shared" si="4"/>
        <v>0</v>
      </c>
      <c r="P20" s="46"/>
    </row>
    <row r="21" spans="1:16">
      <c r="A21" s="38">
        <f>A20+1</f>
        <v>11</v>
      </c>
      <c r="B21" s="26" t="s">
        <v>180</v>
      </c>
      <c r="C21" s="35">
        <f t="shared" ref="C21:O21" si="5">SUM(C17:C20)</f>
        <v>0</v>
      </c>
      <c r="D21" s="35">
        <f t="shared" si="5"/>
        <v>0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si="5"/>
        <v>0</v>
      </c>
      <c r="J21" s="35">
        <f t="shared" si="5"/>
        <v>0</v>
      </c>
      <c r="K21" s="35">
        <f t="shared" si="5"/>
        <v>0</v>
      </c>
      <c r="L21" s="35">
        <f t="shared" si="5"/>
        <v>0</v>
      </c>
      <c r="M21" s="35">
        <f t="shared" si="5"/>
        <v>0</v>
      </c>
      <c r="N21" s="35">
        <f t="shared" si="5"/>
        <v>0</v>
      </c>
      <c r="O21" s="35">
        <f t="shared" si="5"/>
        <v>0</v>
      </c>
      <c r="P21" s="46"/>
    </row>
    <row r="22" spans="1:16">
      <c r="A22" s="38"/>
      <c r="I22" s="35"/>
      <c r="J22" s="35"/>
      <c r="K22" s="35"/>
      <c r="L22" s="35"/>
      <c r="M22" s="35"/>
      <c r="N22" s="35"/>
      <c r="O22" s="35"/>
      <c r="P22" s="46"/>
    </row>
    <row r="23" spans="1:16">
      <c r="A23" s="38">
        <f>A21+1</f>
        <v>12</v>
      </c>
      <c r="B23" s="26" t="s">
        <v>179</v>
      </c>
      <c r="C23" s="369">
        <v>0</v>
      </c>
      <c r="D23" s="369">
        <v>0</v>
      </c>
      <c r="E23" s="369">
        <v>0</v>
      </c>
      <c r="F23" s="369">
        <v>0</v>
      </c>
      <c r="G23" s="369">
        <v>0</v>
      </c>
      <c r="H23" s="369">
        <v>0</v>
      </c>
      <c r="I23" s="369">
        <v>0</v>
      </c>
      <c r="J23" s="369">
        <v>0</v>
      </c>
      <c r="K23" s="369">
        <v>0</v>
      </c>
      <c r="L23" s="369">
        <v>0</v>
      </c>
      <c r="M23" s="369">
        <v>0</v>
      </c>
      <c r="N23" s="369">
        <v>0</v>
      </c>
      <c r="O23" s="33">
        <f>SUM(C23:N23)</f>
        <v>0</v>
      </c>
      <c r="P23" s="46"/>
    </row>
    <row r="24" spans="1:16">
      <c r="A24" s="38"/>
      <c r="I24" s="33"/>
      <c r="J24" s="33"/>
      <c r="K24" s="33"/>
      <c r="L24" s="33"/>
      <c r="M24" s="33"/>
      <c r="N24" s="33"/>
      <c r="O24" s="33"/>
      <c r="P24" s="46"/>
    </row>
    <row r="25" spans="1:16" ht="16.5" customHeight="1">
      <c r="A25" s="38">
        <f>A23+1</f>
        <v>13</v>
      </c>
      <c r="B25" s="26" t="s">
        <v>253</v>
      </c>
      <c r="C25" s="452">
        <f>SUM('2019 Capital Budget'!F33:F36)</f>
        <v>0</v>
      </c>
      <c r="D25" s="452">
        <f>SUM('2019 Capital Budget'!G33:G36)</f>
        <v>0</v>
      </c>
      <c r="E25" s="452">
        <f>SUM('2019 Capital Budget'!H33:H36)</f>
        <v>0</v>
      </c>
      <c r="F25" s="452">
        <f>SUM('2019 Capital Budget'!I33:I36)</f>
        <v>0</v>
      </c>
      <c r="G25" s="452">
        <f>SUM('2019 Capital Budget'!J33:J36)</f>
        <v>0</v>
      </c>
      <c r="H25" s="452">
        <f>SUM('2019 Capital Budget'!K33:K36)</f>
        <v>0</v>
      </c>
      <c r="I25" s="452">
        <f>SUM('2019 Capital Budget'!L33:L36)</f>
        <v>0</v>
      </c>
      <c r="J25" s="452">
        <f>SUM('2019 Capital Budget'!M33:M36)</f>
        <v>0</v>
      </c>
      <c r="K25" s="452">
        <f>SUM('2019 Capital Budget'!N33:N36)</f>
        <v>0</v>
      </c>
      <c r="L25" s="452">
        <f>SUM('2019 Capital Budget'!O33:O36)</f>
        <v>0</v>
      </c>
      <c r="M25" s="452">
        <f>SUM('2019 Capital Budget'!P33:P36)</f>
        <v>0</v>
      </c>
      <c r="N25" s="452">
        <f>SUM('2019 Capital Budget'!Q33:Q36)</f>
        <v>0</v>
      </c>
      <c r="O25" s="35">
        <f>SUM(C25:N25)</f>
        <v>0</v>
      </c>
      <c r="P25" s="46"/>
    </row>
    <row r="26" spans="1:16" ht="16.5" customHeight="1">
      <c r="A26" s="38">
        <f>A25+1</f>
        <v>14</v>
      </c>
      <c r="B26" s="26" t="s">
        <v>328</v>
      </c>
      <c r="C26" s="33">
        <f>SUM('2019 Capital Budget'!F39:F40)</f>
        <v>0</v>
      </c>
      <c r="D26" s="33">
        <f>SUM('2019 Capital Budget'!G39:G40)</f>
        <v>0</v>
      </c>
      <c r="E26" s="33">
        <f>SUM('2019 Capital Budget'!H39:H40)</f>
        <v>0</v>
      </c>
      <c r="F26" s="33">
        <f>SUM('2019 Capital Budget'!I39:I40)</f>
        <v>0</v>
      </c>
      <c r="G26" s="33">
        <f>SUM('2019 Capital Budget'!J39:J40)</f>
        <v>0</v>
      </c>
      <c r="H26" s="33">
        <f>SUM('2019 Capital Budget'!K39:K40)</f>
        <v>0</v>
      </c>
      <c r="I26" s="33">
        <f>SUM('2019 Capital Budget'!L39:L40)</f>
        <v>0</v>
      </c>
      <c r="J26" s="33">
        <f>SUM('2019 Capital Budget'!M39:M40)</f>
        <v>0</v>
      </c>
      <c r="K26" s="33">
        <f>SUM('2019 Capital Budget'!N39:N40)</f>
        <v>0</v>
      </c>
      <c r="L26" s="33">
        <f>SUM('2019 Capital Budget'!O39:O40)</f>
        <v>0</v>
      </c>
      <c r="M26" s="33">
        <f>SUM('2019 Capital Budget'!P39:P40)</f>
        <v>0</v>
      </c>
      <c r="N26" s="33">
        <f>SUM('2019 Capital Budget'!Q39:Q40)</f>
        <v>0</v>
      </c>
      <c r="O26" s="35">
        <f>SUM(C26:N26)</f>
        <v>0</v>
      </c>
      <c r="P26" s="46"/>
    </row>
    <row r="27" spans="1:16">
      <c r="A27" s="38">
        <f t="shared" ref="A27:A29" si="6">A26+1</f>
        <v>15</v>
      </c>
      <c r="B27" s="26" t="s">
        <v>83</v>
      </c>
      <c r="C27" s="33">
        <f>SUM('2019 Capital Budget'!F37:F38,'2019 Capital Budget'!F41:F42)</f>
        <v>40056.369999999995</v>
      </c>
      <c r="D27" s="33">
        <f>SUM('2019 Capital Budget'!G37:G38,'2019 Capital Budget'!G41:G42)</f>
        <v>15607.67</v>
      </c>
      <c r="E27" s="33">
        <f>SUM('2019 Capital Budget'!H37:H38,'2019 Capital Budget'!H41:H42)</f>
        <v>28820.22</v>
      </c>
      <c r="F27" s="33">
        <f>SUM('2019 Capital Budget'!I37:I38,'2019 Capital Budget'!I41:I42)</f>
        <v>48035.55</v>
      </c>
      <c r="G27" s="33">
        <f>SUM('2019 Capital Budget'!J37:J38,'2019 Capital Budget'!J41:J42)</f>
        <v>33625.33</v>
      </c>
      <c r="H27" s="33">
        <f>SUM('2019 Capital Budget'!K37:K38,'2019 Capital Budget'!K41:K42)</f>
        <v>155832.47</v>
      </c>
      <c r="I27" s="33">
        <f>SUM('2019 Capital Budget'!L37:L38,'2019 Capital Budget'!L41:L42)</f>
        <v>44431.49</v>
      </c>
      <c r="J27" s="33">
        <f>SUM('2019 Capital Budget'!M37:M38,'2019 Capital Budget'!M41:M42)</f>
        <v>102499.2</v>
      </c>
      <c r="K27" s="33">
        <f>SUM('2019 Capital Budget'!N37:N38,'2019 Capital Budget'!N41:N42)</f>
        <v>112287.79999999999</v>
      </c>
      <c r="L27" s="33">
        <f>SUM('2019 Capital Budget'!O37:O38,'2019 Capital Budget'!O41:O42)</f>
        <v>94708.18</v>
      </c>
      <c r="M27" s="33">
        <f>SUM('2019 Capital Budget'!P37:P38,'2019 Capital Budget'!P41:P42)</f>
        <v>187880.81</v>
      </c>
      <c r="N27" s="33">
        <f>SUM('2019 Capital Budget'!Q37:Q38,'2019 Capital Budget'!Q41:Q42)</f>
        <v>159889.10999999999</v>
      </c>
      <c r="O27" s="35">
        <f t="shared" ref="O27:O28" si="7">SUM(C27:N27)</f>
        <v>1023674.2000000001</v>
      </c>
      <c r="P27" s="46"/>
    </row>
    <row r="28" spans="1:16">
      <c r="A28" s="38">
        <f t="shared" si="6"/>
        <v>16</v>
      </c>
      <c r="B28" s="26" t="s">
        <v>84</v>
      </c>
      <c r="C28" s="429">
        <f>SUM('2019 Capital Budget'!F30:F32)</f>
        <v>0</v>
      </c>
      <c r="D28" s="429">
        <f>SUM('2019 Capital Budget'!G30:G32)</f>
        <v>0</v>
      </c>
      <c r="E28" s="429">
        <f>SUM('2019 Capital Budget'!H30:H32)</f>
        <v>0</v>
      </c>
      <c r="F28" s="429">
        <f>SUM('2019 Capital Budget'!I30:I32)</f>
        <v>0</v>
      </c>
      <c r="G28" s="429">
        <f>SUM('2019 Capital Budget'!J30:J32)</f>
        <v>0</v>
      </c>
      <c r="H28" s="429">
        <f>SUM('2019 Capital Budget'!K30:K32)</f>
        <v>0</v>
      </c>
      <c r="I28" s="429">
        <f>SUM('2019 Capital Budget'!L30:L32)</f>
        <v>0</v>
      </c>
      <c r="J28" s="429">
        <f>SUM('2019 Capital Budget'!M30:M32)</f>
        <v>0</v>
      </c>
      <c r="K28" s="429">
        <f>SUM('2019 Capital Budget'!N30:N32)</f>
        <v>0</v>
      </c>
      <c r="L28" s="429">
        <f>SUM('2019 Capital Budget'!O30:O32)</f>
        <v>0</v>
      </c>
      <c r="M28" s="429">
        <f>SUM('2019 Capital Budget'!P30:P32)</f>
        <v>0</v>
      </c>
      <c r="N28" s="429">
        <f>SUM('2019 Capital Budget'!Q30:Q32)</f>
        <v>0</v>
      </c>
      <c r="O28" s="34">
        <f t="shared" si="7"/>
        <v>0</v>
      </c>
      <c r="P28" s="86"/>
    </row>
    <row r="29" spans="1:16">
      <c r="A29" s="38">
        <f t="shared" si="6"/>
        <v>17</v>
      </c>
      <c r="B29" s="26" t="s">
        <v>85</v>
      </c>
      <c r="C29" s="33">
        <f t="shared" ref="C29:O29" si="8">SUM(C25:C28)</f>
        <v>40056.369999999995</v>
      </c>
      <c r="D29" s="33">
        <f t="shared" si="8"/>
        <v>15607.67</v>
      </c>
      <c r="E29" s="33">
        <f t="shared" si="8"/>
        <v>28820.22</v>
      </c>
      <c r="F29" s="33">
        <f t="shared" si="8"/>
        <v>48035.55</v>
      </c>
      <c r="G29" s="33">
        <f t="shared" si="8"/>
        <v>33625.33</v>
      </c>
      <c r="H29" s="33">
        <f t="shared" si="8"/>
        <v>155832.47</v>
      </c>
      <c r="I29" s="33">
        <f t="shared" si="8"/>
        <v>44431.49</v>
      </c>
      <c r="J29" s="33">
        <f t="shared" si="8"/>
        <v>102499.2</v>
      </c>
      <c r="K29" s="33">
        <f t="shared" si="8"/>
        <v>112287.79999999999</v>
      </c>
      <c r="L29" s="33">
        <f t="shared" si="8"/>
        <v>94708.18</v>
      </c>
      <c r="M29" s="33">
        <f t="shared" si="8"/>
        <v>187880.81</v>
      </c>
      <c r="N29" s="33">
        <f t="shared" si="8"/>
        <v>159889.10999999999</v>
      </c>
      <c r="O29" s="33">
        <f t="shared" si="8"/>
        <v>1023674.2000000001</v>
      </c>
      <c r="P29" s="46"/>
    </row>
    <row r="30" spans="1:16">
      <c r="A30" s="38"/>
      <c r="I30" s="33"/>
      <c r="J30" s="33"/>
      <c r="K30" s="33"/>
      <c r="L30" s="33"/>
      <c r="M30" s="33"/>
      <c r="N30" s="33"/>
      <c r="O30" s="33"/>
      <c r="P30" s="46"/>
    </row>
    <row r="31" spans="1:16">
      <c r="A31" s="38">
        <f>A29+1</f>
        <v>18</v>
      </c>
      <c r="B31" s="26" t="s">
        <v>59</v>
      </c>
      <c r="C31" s="33">
        <v>13468.560000000001</v>
      </c>
      <c r="D31" s="33">
        <v>-994.94999999999709</v>
      </c>
      <c r="E31" s="33">
        <v>7399.9800000000114</v>
      </c>
      <c r="F31" s="33">
        <v>23537.760000000009</v>
      </c>
      <c r="G31" s="33">
        <v>154764.51</v>
      </c>
      <c r="H31" s="33">
        <v>138836.32</v>
      </c>
      <c r="I31" s="33">
        <v>70058.930000000008</v>
      </c>
      <c r="J31" s="33">
        <v>75650.09</v>
      </c>
      <c r="K31" s="33">
        <v>94599.16</v>
      </c>
      <c r="L31" s="33">
        <v>69510.05</v>
      </c>
      <c r="M31" s="33">
        <v>74100.510000000009</v>
      </c>
      <c r="N31" s="33">
        <v>92177.96</v>
      </c>
      <c r="O31" s="33">
        <f>SUM(C31:N31)</f>
        <v>813108.88000000012</v>
      </c>
      <c r="P31" s="46"/>
    </row>
    <row r="32" spans="1:16">
      <c r="A32" s="38">
        <f>A31+1</f>
        <v>19</v>
      </c>
      <c r="B32" s="26" t="s">
        <v>457</v>
      </c>
      <c r="C32" s="33">
        <v>40112</v>
      </c>
      <c r="D32" s="33">
        <v>40112</v>
      </c>
      <c r="E32" s="33">
        <v>40112</v>
      </c>
      <c r="F32" s="33">
        <v>40112</v>
      </c>
      <c r="G32" s="33">
        <v>40112</v>
      </c>
      <c r="H32" s="33">
        <v>40112</v>
      </c>
      <c r="I32" s="33">
        <v>40112</v>
      </c>
      <c r="J32" s="33">
        <v>40112</v>
      </c>
      <c r="K32" s="33">
        <v>40112</v>
      </c>
      <c r="L32" s="33">
        <v>40112</v>
      </c>
      <c r="M32" s="33">
        <v>40112</v>
      </c>
      <c r="N32" s="33">
        <v>40112</v>
      </c>
      <c r="O32" s="33">
        <f>SUM(C32:N32)</f>
        <v>481344</v>
      </c>
      <c r="P32" s="46"/>
    </row>
    <row r="33" spans="1:30">
      <c r="A33" s="38">
        <v>20</v>
      </c>
      <c r="B33" s="26" t="s">
        <v>458</v>
      </c>
      <c r="C33" s="33">
        <v>7144.99</v>
      </c>
      <c r="D33" s="33">
        <v>7144.99</v>
      </c>
      <c r="E33" s="33">
        <v>7144.99</v>
      </c>
      <c r="F33" s="33">
        <v>7144.99</v>
      </c>
      <c r="G33" s="33">
        <v>7144.99</v>
      </c>
      <c r="H33" s="33">
        <v>7144.99</v>
      </c>
      <c r="I33" s="33">
        <v>7144.99</v>
      </c>
      <c r="J33" s="33">
        <v>7144.99</v>
      </c>
      <c r="K33" s="33">
        <v>7144.99</v>
      </c>
      <c r="L33" s="33">
        <v>7144.99</v>
      </c>
      <c r="M33" s="33">
        <v>7144.99</v>
      </c>
      <c r="N33" s="33">
        <v>7144.99</v>
      </c>
      <c r="O33" s="33">
        <f>SUM(C33:N33)</f>
        <v>85739.88</v>
      </c>
    </row>
    <row r="34" spans="1:30">
      <c r="L34" s="63"/>
      <c r="M34" s="33"/>
    </row>
    <row r="36" spans="1:30" s="26" customFormat="1">
      <c r="A36" s="28"/>
      <c r="M36" s="28"/>
      <c r="N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26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26" customForma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6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6" customForma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6" customForma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6" customForma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6" customForma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26" customForma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26" customForma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26" customForma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s="26" customForma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26" customForma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s="26" customForma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s="26" customForma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</sheetData>
  <pageMargins left="0.7" right="0.7" top="0.75" bottom="0.75" header="0.3" footer="0.3"/>
  <pageSetup scale="49" orientation="landscape" r:id="rId1"/>
  <headerFooter>
    <oddFooter>&amp;R&amp;"Times New Roman,Bold"&amp;18Exhibit 4
Page 4 of 17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95</v>
      </c>
      <c r="G6" s="12"/>
      <c r="H6" s="12"/>
      <c r="I6" s="12"/>
      <c r="J6" s="12" t="s">
        <v>95</v>
      </c>
      <c r="K6" s="12"/>
      <c r="L6" s="12" t="s">
        <v>95</v>
      </c>
      <c r="M6" s="12"/>
      <c r="N6" s="12"/>
      <c r="O6" s="12"/>
      <c r="P6" s="12"/>
      <c r="Q6" s="12"/>
      <c r="R6" s="12" t="s">
        <v>95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'201812 Bk Depr'!R13</f>
        <v>0</v>
      </c>
      <c r="H13" s="1">
        <f>1.62%/12</f>
        <v>1.3500000000000003E-3</v>
      </c>
      <c r="J13" s="364">
        <f>F13*H13</f>
        <v>0</v>
      </c>
      <c r="L13" s="365">
        <f>'Cap&amp;OpEx 2019'!C10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'201812 Bk Depr'!R14</f>
        <v>3626276.0700000008</v>
      </c>
      <c r="H14" s="1">
        <f>3.24%/12</f>
        <v>2.7000000000000006E-3</v>
      </c>
      <c r="J14" s="364">
        <f>F14*H14</f>
        <v>9790.9453890000041</v>
      </c>
      <c r="L14" s="365">
        <f>'Cap&amp;OpEx 2019'!C12</f>
        <v>517199.86</v>
      </c>
      <c r="N14" s="364">
        <f>H14*L14*0.5</f>
        <v>698.21981100000016</v>
      </c>
      <c r="P14" s="364">
        <f>J14+N14</f>
        <v>10489.165200000005</v>
      </c>
      <c r="R14" s="364">
        <f>L14+F14</f>
        <v>4143475.9300000006</v>
      </c>
    </row>
    <row r="15" spans="1:18">
      <c r="A15" s="6">
        <f t="shared" ref="A15" si="0">A14+1</f>
        <v>3</v>
      </c>
      <c r="B15" s="4"/>
      <c r="C15" s="9" t="s">
        <v>63</v>
      </c>
      <c r="D15" s="6">
        <v>380</v>
      </c>
      <c r="F15" s="360">
        <f>'201812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2019'!C13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>A15+1</f>
        <v>4</v>
      </c>
      <c r="B16" s="4"/>
      <c r="C16" s="4" t="s">
        <v>163</v>
      </c>
      <c r="D16" s="6">
        <v>380</v>
      </c>
      <c r="F16" s="361">
        <f>'201812 Bk Depr'!R16</f>
        <v>10988075.390000001</v>
      </c>
      <c r="H16" s="1">
        <f t="shared" si="1"/>
        <v>2.7000000000000006E-3</v>
      </c>
      <c r="J16" s="364">
        <f>F16*H16</f>
        <v>29667.803553000009</v>
      </c>
      <c r="L16" s="366">
        <f>'Cap&amp;OpEx 2019'!C14</f>
        <v>366020.78</v>
      </c>
      <c r="N16" s="364">
        <f>H16*L16*0.5</f>
        <v>494.12805300000014</v>
      </c>
      <c r="P16" s="364">
        <f>J16+N16</f>
        <v>30161.931606000009</v>
      </c>
      <c r="R16" s="364">
        <f>L16+F16</f>
        <v>11354096.17</v>
      </c>
    </row>
    <row r="17" spans="1:18">
      <c r="A17" s="6">
        <f>A16+1</f>
        <v>5</v>
      </c>
      <c r="B17" s="4"/>
      <c r="C17" s="4" t="s">
        <v>21</v>
      </c>
      <c r="F17" s="362">
        <f>SUM(F13:F16)</f>
        <v>14614351.460000001</v>
      </c>
      <c r="J17" s="362">
        <f>SUM(J13:J16)</f>
        <v>39458.748942000013</v>
      </c>
      <c r="L17" s="362">
        <f>SUM(L13:L16)</f>
        <v>883220.64</v>
      </c>
      <c r="N17" s="362">
        <f>SUM(N13:N16)</f>
        <v>1192.3478640000003</v>
      </c>
      <c r="P17" s="362">
        <f>SUM(P13:P16)</f>
        <v>40651.096806000016</v>
      </c>
      <c r="R17" s="362">
        <f>SUM(R13:R16)</f>
        <v>15497572.100000001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'201812 Bk Depr'!R20</f>
        <v>0</v>
      </c>
      <c r="H20" s="1">
        <f>1.62%/12</f>
        <v>1.3500000000000003E-3</v>
      </c>
      <c r="J20" s="364">
        <f>F20*H20</f>
        <v>0</v>
      </c>
      <c r="L20" s="365">
        <f>'Cap&amp;OpEx 2019'!C17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'201812 Bk Depr'!R21</f>
        <v>0</v>
      </c>
      <c r="H21" s="1">
        <f>3.24%/12</f>
        <v>2.7000000000000006E-3</v>
      </c>
      <c r="J21" s="364">
        <f t="shared" ref="J21:J22" si="2">F21*H21</f>
        <v>0</v>
      </c>
      <c r="L21" s="365">
        <f>'Cap&amp;OpEx 2019'!C19</f>
        <v>0</v>
      </c>
      <c r="N21" s="364">
        <f t="shared" ref="N21:N22" si="3">H21*L21*0.5</f>
        <v>0</v>
      </c>
      <c r="P21" s="364">
        <f t="shared" ref="P21:P22" si="4">J21+N21</f>
        <v>0</v>
      </c>
      <c r="R21" s="364">
        <f t="shared" ref="R21:R22" si="5">L21+F21</f>
        <v>0</v>
      </c>
    </row>
    <row r="22" spans="1:18">
      <c r="A22" s="6">
        <f t="shared" ref="A22:A23" si="6">A21+1</f>
        <v>8</v>
      </c>
      <c r="B22" s="4"/>
      <c r="C22" s="9" t="s">
        <v>63</v>
      </c>
      <c r="D22" s="6">
        <v>380</v>
      </c>
      <c r="F22" s="361">
        <f>'201812 Bk Depr'!R22</f>
        <v>0</v>
      </c>
      <c r="H22" s="1">
        <f>3.24%/12</f>
        <v>2.7000000000000006E-3</v>
      </c>
      <c r="J22" s="364">
        <f t="shared" si="2"/>
        <v>0</v>
      </c>
      <c r="L22" s="366">
        <f>'Cap&amp;OpEx 2019'!C20</f>
        <v>0</v>
      </c>
      <c r="N22" s="364">
        <f t="shared" si="3"/>
        <v>0</v>
      </c>
      <c r="P22" s="364">
        <f t="shared" si="4"/>
        <v>0</v>
      </c>
      <c r="R22" s="364">
        <f t="shared" si="5"/>
        <v>0</v>
      </c>
    </row>
    <row r="23" spans="1:18">
      <c r="A23" s="6">
        <f t="shared" si="6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14614351.460000001</v>
      </c>
      <c r="J25" s="363">
        <f>J17+J23</f>
        <v>39458.748942000013</v>
      </c>
      <c r="L25" s="363">
        <f>L17+L23</f>
        <v>883220.64</v>
      </c>
      <c r="N25" s="363">
        <f>N17+N23</f>
        <v>1192.3478640000003</v>
      </c>
      <c r="P25" s="363">
        <f>P17+P23</f>
        <v>40651.096806000016</v>
      </c>
      <c r="R25" s="363">
        <f>R17+R23</f>
        <v>15497572.100000001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'201812 Bk Depr'!R28</f>
        <v>0</v>
      </c>
      <c r="J28" s="364"/>
      <c r="L28" s="365">
        <f>'Cap&amp;OpEx 2019'!C25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'201812 Bk Depr'!R29</f>
        <v>609097.41</v>
      </c>
      <c r="J29" s="364"/>
      <c r="L29" s="365">
        <f>'Cap&amp;OpEx 2019'!C27</f>
        <v>40056.369999999995</v>
      </c>
      <c r="N29" s="364"/>
      <c r="P29" s="364"/>
      <c r="R29" s="364">
        <f>L29+F29</f>
        <v>649153.78</v>
      </c>
    </row>
    <row r="30" spans="1:18">
      <c r="A30" s="6">
        <f t="shared" ref="A30:A31" si="7">A29+1</f>
        <v>13</v>
      </c>
      <c r="B30" s="4"/>
      <c r="C30" s="9" t="s">
        <v>63</v>
      </c>
      <c r="D30" s="6">
        <v>380</v>
      </c>
      <c r="F30" s="361">
        <f>'201812 Bk Depr'!R30</f>
        <v>0</v>
      </c>
      <c r="J30" s="364"/>
      <c r="L30" s="366">
        <f>'Cap&amp;OpEx 2019'!C28</f>
        <v>0</v>
      </c>
      <c r="N30" s="364"/>
      <c r="P30" s="364"/>
      <c r="R30" s="364">
        <f>L30+F30</f>
        <v>0</v>
      </c>
    </row>
    <row r="31" spans="1:18">
      <c r="A31" s="6">
        <f t="shared" si="7"/>
        <v>14</v>
      </c>
      <c r="B31" s="4"/>
      <c r="C31" s="4" t="s">
        <v>23</v>
      </c>
      <c r="F31" s="362">
        <f>SUM(F28:F30)</f>
        <v>609097.41</v>
      </c>
      <c r="J31" s="362">
        <f>SUM(J28:J30)</f>
        <v>0</v>
      </c>
      <c r="L31" s="362">
        <f>SUM(L28:L30)</f>
        <v>40056.369999999995</v>
      </c>
      <c r="N31" s="362">
        <f>SUM(N28:N30)</f>
        <v>0</v>
      </c>
      <c r="P31" s="362">
        <f>SUM(P28:P30)</f>
        <v>0</v>
      </c>
      <c r="R31" s="362">
        <f>SUM(R28:R30)</f>
        <v>649153.78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5 of 17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469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'201901 Bk Depr'!R13</f>
        <v>0</v>
      </c>
      <c r="H13" s="1">
        <f>1.62%/12</f>
        <v>1.3500000000000003E-3</v>
      </c>
      <c r="J13" s="364">
        <f>F13*H13</f>
        <v>0</v>
      </c>
      <c r="L13" s="365">
        <f>'Cap&amp;OpEx 2019'!D10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'201901 Bk Depr'!R14</f>
        <v>4143475.9300000006</v>
      </c>
      <c r="H14" s="1">
        <f>3.24%/12</f>
        <v>2.7000000000000006E-3</v>
      </c>
      <c r="J14" s="364">
        <f>F14*H14</f>
        <v>11187.385011000004</v>
      </c>
      <c r="L14" s="365">
        <f>'Cap&amp;OpEx 2019'!D12</f>
        <v>199834.85</v>
      </c>
      <c r="N14" s="364">
        <f>H14*L14*0.5</f>
        <v>269.77704750000004</v>
      </c>
      <c r="P14" s="364">
        <f>J14+N14</f>
        <v>11457.162058500004</v>
      </c>
      <c r="R14" s="364">
        <f>L14+F14</f>
        <v>4343310.78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'201901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2019'!D13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'201901 Bk Depr'!R16</f>
        <v>11354096.17</v>
      </c>
      <c r="H16" s="1">
        <f t="shared" si="1"/>
        <v>2.7000000000000006E-3</v>
      </c>
      <c r="J16" s="364">
        <f>F16*H16</f>
        <v>30656.059659000006</v>
      </c>
      <c r="L16" s="366">
        <f>'Cap&amp;OpEx 2019'!D14</f>
        <v>393928.71</v>
      </c>
      <c r="N16" s="364">
        <f>H16*L16*0.5</f>
        <v>531.80375850000019</v>
      </c>
      <c r="P16" s="364">
        <f>J16+N16</f>
        <v>31187.863417500004</v>
      </c>
      <c r="R16" s="364">
        <f>L16+F16</f>
        <v>11748024.880000001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15497572.100000001</v>
      </c>
      <c r="J17" s="362">
        <f>SUM(J13:J16)</f>
        <v>41843.444670000012</v>
      </c>
      <c r="L17" s="362">
        <f>SUM(L13:L16)</f>
        <v>593763.56000000006</v>
      </c>
      <c r="N17" s="362">
        <f>SUM(N13:N16)</f>
        <v>801.58080600000017</v>
      </c>
      <c r="P17" s="362">
        <f>SUM(P13:P16)</f>
        <v>42645.02547600001</v>
      </c>
      <c r="R17" s="362">
        <f>SUM(R13:R16)</f>
        <v>16091335.66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'201901 Bk Depr'!R20</f>
        <v>0</v>
      </c>
      <c r="H20" s="1">
        <f>1.62%/12</f>
        <v>1.3500000000000003E-3</v>
      </c>
      <c r="J20" s="364">
        <f>F20*H20</f>
        <v>0</v>
      </c>
      <c r="L20" s="365">
        <f>'Cap&amp;OpEx 2019'!D17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'201901 Bk Depr'!R21</f>
        <v>0</v>
      </c>
      <c r="H21" s="1">
        <f>3.24%/12</f>
        <v>2.7000000000000006E-3</v>
      </c>
      <c r="J21" s="364">
        <f>F21*H21</f>
        <v>0</v>
      </c>
      <c r="L21" s="365">
        <f>'Cap&amp;OpEx 2019'!D19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'201901 Bk Depr'!R22</f>
        <v>0</v>
      </c>
      <c r="H22" s="1">
        <f>3.24%/12</f>
        <v>2.7000000000000006E-3</v>
      </c>
      <c r="J22" s="364">
        <f>F22*H22</f>
        <v>0</v>
      </c>
      <c r="L22" s="366">
        <f>'Cap&amp;OpEx 2019'!D20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15497572.100000001</v>
      </c>
      <c r="J25" s="363">
        <f>J17+J23</f>
        <v>41843.444670000012</v>
      </c>
      <c r="L25" s="363">
        <f>L17+L23</f>
        <v>593763.56000000006</v>
      </c>
      <c r="N25" s="363">
        <f>N17+N23</f>
        <v>801.58080600000017</v>
      </c>
      <c r="P25" s="363">
        <f>P17+P23</f>
        <v>42645.02547600001</v>
      </c>
      <c r="R25" s="363">
        <f>R17+R23</f>
        <v>16091335.66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'201901 Bk Depr'!R28</f>
        <v>0</v>
      </c>
      <c r="J28" s="364"/>
      <c r="L28" s="365">
        <f>'Cap&amp;OpEx 2019'!D25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'201901 Bk Depr'!R29</f>
        <v>649153.78</v>
      </c>
      <c r="J29" s="364"/>
      <c r="L29" s="365">
        <f>'Cap&amp;OpEx 2019'!D27</f>
        <v>15607.67</v>
      </c>
      <c r="N29" s="364"/>
      <c r="P29" s="364"/>
      <c r="R29" s="364">
        <f>L29+F29</f>
        <v>664761.45000000007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'201901 Bk Depr'!R30</f>
        <v>0</v>
      </c>
      <c r="J30" s="364"/>
      <c r="L30" s="366">
        <f>'Cap&amp;OpEx 2019'!D28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649153.78</v>
      </c>
      <c r="J31" s="362">
        <f>SUM(J28:J30)</f>
        <v>0</v>
      </c>
      <c r="L31" s="362">
        <f>SUM(L28:L30)</f>
        <v>15607.67</v>
      </c>
      <c r="N31" s="362">
        <f>SUM(N28:N30)</f>
        <v>0</v>
      </c>
      <c r="P31" s="362">
        <f>SUM(P28:P30)</f>
        <v>0</v>
      </c>
      <c r="R31" s="362">
        <f>SUM(R28:R30)</f>
        <v>664761.45000000007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6 of 17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'201902 Bk Depr'!R13</f>
        <v>0</v>
      </c>
      <c r="H13" s="1">
        <f>1.62%/12</f>
        <v>1.3500000000000003E-3</v>
      </c>
      <c r="J13" s="364">
        <f>F13*H13</f>
        <v>0</v>
      </c>
      <c r="L13" s="365">
        <f>'Cap&amp;OpEx 2019'!E10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'201902 Bk Depr'!R14</f>
        <v>4343310.78</v>
      </c>
      <c r="H14" s="1">
        <f>3.24%/12</f>
        <v>2.7000000000000006E-3</v>
      </c>
      <c r="J14" s="364">
        <f>F14*H14</f>
        <v>11726.939106000003</v>
      </c>
      <c r="L14" s="365">
        <f>'Cap&amp;OpEx 2019'!E12</f>
        <v>0</v>
      </c>
      <c r="N14" s="364">
        <f>H14*L14*0.5</f>
        <v>0</v>
      </c>
      <c r="P14" s="364">
        <f>J14+N14</f>
        <v>11726.939106000003</v>
      </c>
      <c r="R14" s="364">
        <f>L14+F14</f>
        <v>4343310.78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'201902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2019'!E13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'201902 Bk Depr'!R16</f>
        <v>11748024.880000001</v>
      </c>
      <c r="H16" s="1">
        <f t="shared" si="1"/>
        <v>2.7000000000000006E-3</v>
      </c>
      <c r="J16" s="364">
        <f>F16*H16</f>
        <v>31719.66717600001</v>
      </c>
      <c r="L16" s="366">
        <f>'Cap&amp;OpEx 2019'!E14</f>
        <v>1489239.21</v>
      </c>
      <c r="N16" s="364">
        <f>H16*L16*0.5</f>
        <v>2010.4729335000004</v>
      </c>
      <c r="P16" s="364">
        <f>J16+N16</f>
        <v>33730.140109500011</v>
      </c>
      <c r="R16" s="364">
        <f>L16+F16</f>
        <v>13237264.09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16091335.66</v>
      </c>
      <c r="J17" s="362">
        <f>SUM(J13:J16)</f>
        <v>43446.606282000015</v>
      </c>
      <c r="L17" s="362">
        <f>SUM(L13:L16)</f>
        <v>1489239.21</v>
      </c>
      <c r="N17" s="362">
        <f>SUM(N13:N16)</f>
        <v>2010.4729335000004</v>
      </c>
      <c r="P17" s="362">
        <f>SUM(P13:P16)</f>
        <v>45457.079215500016</v>
      </c>
      <c r="R17" s="362">
        <f>SUM(R13:R16)</f>
        <v>17580574.870000001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'201902 Bk Depr'!R20</f>
        <v>0</v>
      </c>
      <c r="H20" s="1">
        <f>1.62%/12</f>
        <v>1.3500000000000003E-3</v>
      </c>
      <c r="J20" s="364">
        <f>F20*H20</f>
        <v>0</v>
      </c>
      <c r="L20" s="365">
        <f>'Cap&amp;OpEx 2019'!E17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'201902 Bk Depr'!R21</f>
        <v>0</v>
      </c>
      <c r="H21" s="1">
        <f>3.24%/12</f>
        <v>2.7000000000000006E-3</v>
      </c>
      <c r="J21" s="364">
        <f>F21*H21</f>
        <v>0</v>
      </c>
      <c r="L21" s="365">
        <f>'Cap&amp;OpEx 2019'!E19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'201902 Bk Depr'!R22</f>
        <v>0</v>
      </c>
      <c r="H22" s="1">
        <f>3.24%/12</f>
        <v>2.7000000000000006E-3</v>
      </c>
      <c r="J22" s="364">
        <f>F22*H22</f>
        <v>0</v>
      </c>
      <c r="L22" s="366">
        <f>'Cap&amp;OpEx 2019'!E20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16091335.66</v>
      </c>
      <c r="J25" s="363">
        <f>J17+J23</f>
        <v>43446.606282000015</v>
      </c>
      <c r="L25" s="363">
        <f>L17+L23</f>
        <v>1489239.21</v>
      </c>
      <c r="N25" s="363">
        <f>N17+N23</f>
        <v>2010.4729335000004</v>
      </c>
      <c r="P25" s="363">
        <f>P17+P23</f>
        <v>45457.079215500016</v>
      </c>
      <c r="R25" s="363">
        <f>R17+R23</f>
        <v>17580574.870000001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'201902 Bk Depr'!R28</f>
        <v>0</v>
      </c>
      <c r="J28" s="364"/>
      <c r="L28" s="365">
        <f>'Cap&amp;OpEx 2019'!E25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'201902 Bk Depr'!R29</f>
        <v>664761.45000000007</v>
      </c>
      <c r="J29" s="364"/>
      <c r="L29" s="365">
        <f>'Cap&amp;OpEx 2019'!E27</f>
        <v>28820.22</v>
      </c>
      <c r="N29" s="364"/>
      <c r="P29" s="364"/>
      <c r="R29" s="364">
        <f>L29+F29</f>
        <v>693581.67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'201902 Bk Depr'!R30</f>
        <v>0</v>
      </c>
      <c r="J30" s="364"/>
      <c r="L30" s="366">
        <f>'Cap&amp;OpEx 2019'!E28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664761.45000000007</v>
      </c>
      <c r="J31" s="362">
        <f>SUM(J28:J30)</f>
        <v>0</v>
      </c>
      <c r="L31" s="362">
        <f>SUM(L28:L30)</f>
        <v>28820.22</v>
      </c>
      <c r="N31" s="362">
        <f>SUM(N28:N30)</f>
        <v>0</v>
      </c>
      <c r="P31" s="362">
        <f>SUM(P28:P30)</f>
        <v>0</v>
      </c>
      <c r="R31" s="362">
        <f>SUM(R28:R30)</f>
        <v>693581.67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17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471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'201903 Bk Depr'!R13</f>
        <v>0</v>
      </c>
      <c r="H13" s="1">
        <f>1.62%/12</f>
        <v>1.3500000000000003E-3</v>
      </c>
      <c r="J13" s="364">
        <f>F13*H13</f>
        <v>0</v>
      </c>
      <c r="L13" s="365">
        <f>'Cap&amp;OpEx 2019'!F10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'201903 Bk Depr'!R14</f>
        <v>4343310.78</v>
      </c>
      <c r="H14" s="1">
        <f>3.24%/12</f>
        <v>2.7000000000000006E-3</v>
      </c>
      <c r="J14" s="364">
        <f>F14*H14</f>
        <v>11726.939106000003</v>
      </c>
      <c r="L14" s="365">
        <f>'Cap&amp;OpEx 2019'!F12</f>
        <v>528130.11</v>
      </c>
      <c r="N14" s="364">
        <f>H14*L14*0.5</f>
        <v>712.97564850000015</v>
      </c>
      <c r="P14" s="364">
        <f>J14+N14</f>
        <v>12439.914754500003</v>
      </c>
      <c r="R14" s="364">
        <f>L14+F14</f>
        <v>4871440.8900000006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'201903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2019'!F13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'201903 Bk Depr'!R16</f>
        <v>13237264.09</v>
      </c>
      <c r="H16" s="1">
        <f t="shared" si="1"/>
        <v>2.7000000000000006E-3</v>
      </c>
      <c r="J16" s="364">
        <f>F16*H16</f>
        <v>35740.613043000005</v>
      </c>
      <c r="L16" s="366">
        <f>'Cap&amp;OpEx 2019'!F14</f>
        <v>563619.12</v>
      </c>
      <c r="N16" s="364">
        <f>H16*L16*0.5</f>
        <v>760.8858120000001</v>
      </c>
      <c r="P16" s="364">
        <f>J16+N16</f>
        <v>36501.498855000005</v>
      </c>
      <c r="R16" s="364">
        <f>L16+F16</f>
        <v>13800883.209999999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17580574.870000001</v>
      </c>
      <c r="J17" s="362">
        <f>SUM(J13:J16)</f>
        <v>47467.55214900001</v>
      </c>
      <c r="L17" s="362">
        <f>SUM(L13:L16)</f>
        <v>1091749.23</v>
      </c>
      <c r="N17" s="362">
        <f>SUM(N13:N16)</f>
        <v>1473.8614605000002</v>
      </c>
      <c r="P17" s="362">
        <f>SUM(P13:P16)</f>
        <v>48941.413609500007</v>
      </c>
      <c r="R17" s="362">
        <f>SUM(R13:R16)</f>
        <v>18672324.100000001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'201903 Bk Depr'!R20</f>
        <v>0</v>
      </c>
      <c r="H20" s="1">
        <f>1.62%/12</f>
        <v>1.3500000000000003E-3</v>
      </c>
      <c r="J20" s="364">
        <f>F20*H20</f>
        <v>0</v>
      </c>
      <c r="L20" s="365">
        <f>'Cap&amp;OpEx 2019'!F17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'201903 Bk Depr'!R21</f>
        <v>0</v>
      </c>
      <c r="H21" s="1">
        <f>3.24%/12</f>
        <v>2.7000000000000006E-3</v>
      </c>
      <c r="J21" s="364">
        <f>F21*H21</f>
        <v>0</v>
      </c>
      <c r="L21" s="365">
        <f>'Cap&amp;OpEx 2019'!F19</f>
        <v>0</v>
      </c>
      <c r="N21" s="364">
        <f>H21*L21*0.5</f>
        <v>0</v>
      </c>
      <c r="P21" s="364">
        <f>J21+N21</f>
        <v>0</v>
      </c>
      <c r="R21" s="364">
        <f t="shared" ref="R21" si="2">L21+F21</f>
        <v>0</v>
      </c>
    </row>
    <row r="22" spans="1:18">
      <c r="A22" s="6">
        <f t="shared" ref="A22:A23" si="3">A21+1</f>
        <v>8</v>
      </c>
      <c r="B22" s="4"/>
      <c r="C22" s="9" t="s">
        <v>63</v>
      </c>
      <c r="D22" s="6">
        <v>380</v>
      </c>
      <c r="F22" s="361">
        <f>'201903 Bk Depr'!R22</f>
        <v>0</v>
      </c>
      <c r="H22" s="1">
        <f>3.24%/12</f>
        <v>2.7000000000000006E-3</v>
      </c>
      <c r="J22" s="364">
        <f>F22*H22</f>
        <v>0</v>
      </c>
      <c r="L22" s="366">
        <f>'Cap&amp;OpEx 2019'!F20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3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17580574.870000001</v>
      </c>
      <c r="J25" s="363">
        <f>J17+J23</f>
        <v>47467.55214900001</v>
      </c>
      <c r="L25" s="363">
        <f>L17+L23</f>
        <v>1091749.23</v>
      </c>
      <c r="N25" s="363">
        <f>N17+N23</f>
        <v>1473.8614605000002</v>
      </c>
      <c r="P25" s="363">
        <f>P17+P23</f>
        <v>48941.413609500007</v>
      </c>
      <c r="R25" s="363">
        <f>R17+R23</f>
        <v>18672324.100000001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'201903 Bk Depr'!R28</f>
        <v>0</v>
      </c>
      <c r="J28" s="364"/>
      <c r="L28" s="365">
        <f>'Cap&amp;OpEx 2019'!F25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'201903 Bk Depr'!R29</f>
        <v>693581.67</v>
      </c>
      <c r="J29" s="364"/>
      <c r="L29" s="365">
        <f>'Cap&amp;OpEx 2019'!F27</f>
        <v>48035.55</v>
      </c>
      <c r="N29" s="364"/>
      <c r="P29" s="364"/>
      <c r="R29" s="364">
        <f>L29+F29</f>
        <v>741617.22000000009</v>
      </c>
    </row>
    <row r="30" spans="1:18">
      <c r="A30" s="6">
        <f t="shared" ref="A30:A31" si="4">A29+1</f>
        <v>13</v>
      </c>
      <c r="B30" s="4"/>
      <c r="C30" s="9" t="s">
        <v>63</v>
      </c>
      <c r="D30" s="6">
        <v>380</v>
      </c>
      <c r="F30" s="361">
        <f>'201903 Bk Depr'!R30</f>
        <v>0</v>
      </c>
      <c r="J30" s="364"/>
      <c r="L30" s="366">
        <f>'Cap&amp;OpEx 2019'!F28</f>
        <v>0</v>
      </c>
      <c r="N30" s="364"/>
      <c r="P30" s="364"/>
      <c r="R30" s="364">
        <f>L30+F30</f>
        <v>0</v>
      </c>
    </row>
    <row r="31" spans="1:18">
      <c r="A31" s="6">
        <f t="shared" si="4"/>
        <v>14</v>
      </c>
      <c r="B31" s="4"/>
      <c r="C31" s="4" t="s">
        <v>23</v>
      </c>
      <c r="F31" s="362">
        <f>SUM(F28:F30)</f>
        <v>693581.67</v>
      </c>
      <c r="J31" s="362">
        <f>SUM(J28:J30)</f>
        <v>0</v>
      </c>
      <c r="L31" s="362">
        <f>SUM(L28:L30)</f>
        <v>48035.55</v>
      </c>
      <c r="N31" s="362">
        <f>SUM(N28:N30)</f>
        <v>0</v>
      </c>
      <c r="P31" s="362">
        <f>SUM(P28:P30)</f>
        <v>0</v>
      </c>
      <c r="R31" s="362">
        <f>SUM(R28:R30)</f>
        <v>741617.22000000009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17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472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88</v>
      </c>
      <c r="G6" s="12"/>
      <c r="H6" s="12"/>
      <c r="I6" s="12"/>
      <c r="J6" s="12" t="s">
        <v>88</v>
      </c>
      <c r="K6" s="12"/>
      <c r="L6" s="12" t="s">
        <v>88</v>
      </c>
      <c r="M6" s="12"/>
      <c r="N6" s="12"/>
      <c r="O6" s="12"/>
      <c r="P6" s="12"/>
      <c r="Q6" s="12"/>
      <c r="R6" s="12" t="s">
        <v>88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'201904 Bk Depr'!R13</f>
        <v>0</v>
      </c>
      <c r="H13" s="1">
        <f>1.62%/12</f>
        <v>1.3500000000000003E-3</v>
      </c>
      <c r="J13" s="364">
        <f>F13*H13</f>
        <v>0</v>
      </c>
      <c r="L13" s="365">
        <f>'Cap&amp;OpEx 2019'!G10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'201904 Bk Depr'!R14</f>
        <v>4871440.8900000006</v>
      </c>
      <c r="H14" s="1">
        <f>3.24%/12</f>
        <v>2.7000000000000006E-3</v>
      </c>
      <c r="J14" s="364">
        <f>F14*H14</f>
        <v>13152.890403000005</v>
      </c>
      <c r="L14" s="365">
        <f>'Cap&amp;OpEx 2019'!G12</f>
        <v>334113.7</v>
      </c>
      <c r="N14" s="364">
        <f>H14*L14*0.5</f>
        <v>451.05349500000011</v>
      </c>
      <c r="P14" s="364">
        <f>J14+N14</f>
        <v>13603.943898000005</v>
      </c>
      <c r="R14" s="364">
        <f>L14+F14</f>
        <v>5205554.5900000008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'201904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2019'!G13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'201904 Bk Depr'!R16</f>
        <v>13800883.209999999</v>
      </c>
      <c r="H16" s="1">
        <f t="shared" si="1"/>
        <v>2.7000000000000006E-3</v>
      </c>
      <c r="J16" s="364">
        <f>F16*H16</f>
        <v>37262.384667000006</v>
      </c>
      <c r="L16" s="366">
        <f>'Cap&amp;OpEx 2019'!G14</f>
        <v>642940.35</v>
      </c>
      <c r="N16" s="364">
        <f>H16*L16*0.5</f>
        <v>867.96947250000017</v>
      </c>
      <c r="P16" s="364">
        <f>J16+N16</f>
        <v>38130.354139500007</v>
      </c>
      <c r="R16" s="364">
        <f>L16+F16</f>
        <v>14443823.559999999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18672324.100000001</v>
      </c>
      <c r="J17" s="362">
        <f>SUM(J13:J16)</f>
        <v>50415.275070000011</v>
      </c>
      <c r="L17" s="362">
        <f>SUM(L13:L16)</f>
        <v>977054.05</v>
      </c>
      <c r="N17" s="362">
        <f>SUM(N13:N16)</f>
        <v>1319.0229675000003</v>
      </c>
      <c r="P17" s="362">
        <f>SUM(P13:P16)</f>
        <v>51734.298037500012</v>
      </c>
      <c r="R17" s="362">
        <f>SUM(R13:R16)</f>
        <v>19649378.149999999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'201904 Bk Depr'!R20</f>
        <v>0</v>
      </c>
      <c r="H20" s="1">
        <f>1.62%/12</f>
        <v>1.3500000000000003E-3</v>
      </c>
      <c r="J20" s="364">
        <f>F20*H20</f>
        <v>0</v>
      </c>
      <c r="L20" s="365">
        <f>'Cap&amp;OpEx 2019'!G17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'201904 Bk Depr'!R21</f>
        <v>0</v>
      </c>
      <c r="H21" s="1">
        <f>3.24%/12</f>
        <v>2.7000000000000006E-3</v>
      </c>
      <c r="J21" s="364">
        <f>F21*H21</f>
        <v>0</v>
      </c>
      <c r="L21" s="365">
        <f>'Cap&amp;OpEx 2019'!G19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'201904 Bk Depr'!R22</f>
        <v>0</v>
      </c>
      <c r="H22" s="1">
        <f>3.24%/12</f>
        <v>2.7000000000000006E-3</v>
      </c>
      <c r="J22" s="364">
        <f>F22*H22</f>
        <v>0</v>
      </c>
      <c r="L22" s="366">
        <f>'Cap&amp;OpEx 2019'!G20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18672324.100000001</v>
      </c>
      <c r="J25" s="363">
        <f>J17+J23</f>
        <v>50415.275070000011</v>
      </c>
      <c r="L25" s="363">
        <f>L17+L23</f>
        <v>977054.05</v>
      </c>
      <c r="N25" s="363">
        <f>N17+N23</f>
        <v>1319.0229675000003</v>
      </c>
      <c r="P25" s="363">
        <f>P17+P23</f>
        <v>51734.298037500012</v>
      </c>
      <c r="R25" s="363">
        <f>R17+R23</f>
        <v>19649378.149999999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'201904 Bk Depr'!R28</f>
        <v>0</v>
      </c>
      <c r="J28" s="364"/>
      <c r="L28" s="365">
        <f>'Cap&amp;OpEx 2019'!G25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'201904 Bk Depr'!R29</f>
        <v>741617.22000000009</v>
      </c>
      <c r="J29" s="364"/>
      <c r="L29" s="365">
        <f>'Cap&amp;OpEx 2019'!G27</f>
        <v>33625.33</v>
      </c>
      <c r="N29" s="364"/>
      <c r="P29" s="364"/>
      <c r="R29" s="364">
        <f>L29+F29</f>
        <v>775242.55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'201904 Bk Depr'!R30</f>
        <v>0</v>
      </c>
      <c r="J30" s="364"/>
      <c r="L30" s="366">
        <f>'Cap&amp;OpEx 2019'!G28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741617.22000000009</v>
      </c>
      <c r="J31" s="362">
        <f>SUM(J28:J30)</f>
        <v>0</v>
      </c>
      <c r="L31" s="362">
        <f>SUM(L28:L30)</f>
        <v>33625.33</v>
      </c>
      <c r="N31" s="362">
        <f>SUM(N28:N30)</f>
        <v>0</v>
      </c>
      <c r="P31" s="362">
        <f>SUM(P28:P30)</f>
        <v>0</v>
      </c>
      <c r="R31" s="362">
        <f>SUM(R28:R30)</f>
        <v>775242.55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17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473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'201905 Bk Depr'!R13</f>
        <v>0</v>
      </c>
      <c r="H13" s="1">
        <f>1.62%/12</f>
        <v>1.3500000000000003E-3</v>
      </c>
      <c r="J13" s="364">
        <f>F13*H13</f>
        <v>0</v>
      </c>
      <c r="L13" s="365">
        <f>'Cap&amp;OpEx 2019'!H10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'201905 Bk Depr'!R14</f>
        <v>5205554.5900000008</v>
      </c>
      <c r="H14" s="1">
        <f>3.24%/12</f>
        <v>2.7000000000000006E-3</v>
      </c>
      <c r="J14" s="364">
        <f>F14*H14</f>
        <v>14054.997393000005</v>
      </c>
      <c r="L14" s="365">
        <f>'Cap&amp;OpEx 2019'!H12</f>
        <v>303068.81</v>
      </c>
      <c r="N14" s="364">
        <f>H14*L14*0.5</f>
        <v>409.14289350000007</v>
      </c>
      <c r="P14" s="364">
        <f>J14+N14</f>
        <v>14464.140286500005</v>
      </c>
      <c r="R14" s="364">
        <f>L14+F14</f>
        <v>5508623.4000000004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'201905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2019'!H13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'201905 Bk Depr'!R16</f>
        <v>14443823.559999999</v>
      </c>
      <c r="H16" s="1">
        <f t="shared" si="1"/>
        <v>2.7000000000000006E-3</v>
      </c>
      <c r="J16" s="364">
        <f>F16*H16</f>
        <v>38998.323612000007</v>
      </c>
      <c r="L16" s="366">
        <f>'Cap&amp;OpEx 2019'!H14</f>
        <v>586888.29</v>
      </c>
      <c r="N16" s="364">
        <f>H16*L16*0.5</f>
        <v>792.29919150000023</v>
      </c>
      <c r="P16" s="364">
        <f>J16+N16</f>
        <v>39790.622803500009</v>
      </c>
      <c r="R16" s="364">
        <f>L16+F16</f>
        <v>15030711.849999998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19649378.149999999</v>
      </c>
      <c r="J17" s="362">
        <f>SUM(J13:J16)</f>
        <v>53053.321005000013</v>
      </c>
      <c r="L17" s="362">
        <f>SUM(L13:L16)</f>
        <v>889957.10000000009</v>
      </c>
      <c r="N17" s="362">
        <f>SUM(N13:N16)</f>
        <v>1201.4420850000004</v>
      </c>
      <c r="P17" s="362">
        <f>SUM(P13:P16)</f>
        <v>54254.763090000015</v>
      </c>
      <c r="R17" s="362">
        <f>SUM(R13:R16)</f>
        <v>20539335.25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'201905 Bk Depr'!R20</f>
        <v>0</v>
      </c>
      <c r="H20" s="1">
        <f>1.62%/12</f>
        <v>1.3500000000000003E-3</v>
      </c>
      <c r="J20" s="364">
        <f>F20*H20</f>
        <v>0</v>
      </c>
      <c r="L20" s="365">
        <f>'Cap&amp;OpEx 2019'!H17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'201905 Bk Depr'!R21</f>
        <v>0</v>
      </c>
      <c r="H21" s="1">
        <f>3.24%/12</f>
        <v>2.7000000000000006E-3</v>
      </c>
      <c r="J21" s="364">
        <f>F21*H21</f>
        <v>0</v>
      </c>
      <c r="L21" s="365">
        <f>'Cap&amp;OpEx 2019'!H19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'201905 Bk Depr'!R22</f>
        <v>0</v>
      </c>
      <c r="H22" s="1">
        <f>3.24%/12</f>
        <v>2.7000000000000006E-3</v>
      </c>
      <c r="J22" s="364">
        <f>F22*H22</f>
        <v>0</v>
      </c>
      <c r="L22" s="366">
        <f>'Cap&amp;OpEx 2019'!H20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19649378.149999999</v>
      </c>
      <c r="J25" s="363">
        <f>J17+J23</f>
        <v>53053.321005000013</v>
      </c>
      <c r="L25" s="363">
        <f>L17+L23</f>
        <v>889957.10000000009</v>
      </c>
      <c r="N25" s="363">
        <f>N17+N23</f>
        <v>1201.4420850000004</v>
      </c>
      <c r="P25" s="363">
        <f>P17+P23</f>
        <v>54254.763090000015</v>
      </c>
      <c r="R25" s="363">
        <f>R17+R23</f>
        <v>20539335.25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'201905 Bk Depr'!R28</f>
        <v>0</v>
      </c>
      <c r="J28" s="364"/>
      <c r="L28" s="365">
        <f>'Cap&amp;OpEx 2019'!H25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'201905 Bk Depr'!R29</f>
        <v>775242.55</v>
      </c>
      <c r="J29" s="364"/>
      <c r="L29" s="365">
        <f>'Cap&amp;OpEx 2019'!H27</f>
        <v>155832.47</v>
      </c>
      <c r="N29" s="364"/>
      <c r="P29" s="364"/>
      <c r="R29" s="364">
        <f>L29+F29</f>
        <v>931075.02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'201905 Bk Depr'!R30</f>
        <v>0</v>
      </c>
      <c r="J30" s="364"/>
      <c r="L30" s="366">
        <f>'Cap&amp;OpEx 2019'!H28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775242.55</v>
      </c>
      <c r="J31" s="362">
        <f>SUM(J28:J30)</f>
        <v>0</v>
      </c>
      <c r="L31" s="362">
        <f>SUM(L28:L30)</f>
        <v>155832.47</v>
      </c>
      <c r="N31" s="362">
        <f>SUM(N28:N30)</f>
        <v>0</v>
      </c>
      <c r="P31" s="362">
        <f>SUM(P28:P30)</f>
        <v>0</v>
      </c>
      <c r="R31" s="362">
        <f>SUM(R28:R30)</f>
        <v>931075.02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17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474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'201906 Bk Depr'!R13</f>
        <v>0</v>
      </c>
      <c r="H13" s="1">
        <f>1.62%/12</f>
        <v>1.3500000000000003E-3</v>
      </c>
      <c r="J13" s="364">
        <f>F13*H13</f>
        <v>0</v>
      </c>
      <c r="L13" s="365">
        <f>'Cap&amp;OpEx 2019'!I10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'201906 Bk Depr'!R14</f>
        <v>5508623.4000000004</v>
      </c>
      <c r="H14" s="1">
        <f>3.24%/12</f>
        <v>2.7000000000000006E-3</v>
      </c>
      <c r="J14" s="364">
        <f>F14*H14</f>
        <v>14873.283180000004</v>
      </c>
      <c r="L14" s="365">
        <f>'Cap&amp;OpEx 2019'!I12</f>
        <v>284864.46000000002</v>
      </c>
      <c r="N14" s="364">
        <f>H14*L14*0.5</f>
        <v>384.56702100000012</v>
      </c>
      <c r="P14" s="364">
        <f>J14+N14</f>
        <v>15257.850201000005</v>
      </c>
      <c r="R14" s="364">
        <f>L14+F14</f>
        <v>5793487.8600000003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'201906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2019'!I13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'201906 Bk Depr'!R16</f>
        <v>15030711.849999998</v>
      </c>
      <c r="H16" s="1">
        <f t="shared" si="1"/>
        <v>2.7000000000000006E-3</v>
      </c>
      <c r="J16" s="364">
        <f>F16*H16</f>
        <v>40582.921995000004</v>
      </c>
      <c r="L16" s="366">
        <f>'Cap&amp;OpEx 2019'!I14</f>
        <v>619133.78999999992</v>
      </c>
      <c r="N16" s="364">
        <f>H16*L16*0.5</f>
        <v>835.83061650000002</v>
      </c>
      <c r="P16" s="364">
        <f>J16+N16</f>
        <v>41418.752611500007</v>
      </c>
      <c r="R16" s="364">
        <f>L16+F16</f>
        <v>15649845.639999997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20539335.25</v>
      </c>
      <c r="J17" s="362">
        <f>SUM(J13:J16)</f>
        <v>55456.20517500001</v>
      </c>
      <c r="L17" s="362">
        <f>SUM(L13:L16)</f>
        <v>903998.25</v>
      </c>
      <c r="N17" s="362">
        <f>SUM(N13:N16)</f>
        <v>1220.3976375000002</v>
      </c>
      <c r="P17" s="362">
        <f>SUM(P13:P16)</f>
        <v>56676.602812500016</v>
      </c>
      <c r="R17" s="362">
        <f>SUM(R13:R16)</f>
        <v>21443333.499999996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'201906 Bk Depr'!R20</f>
        <v>0</v>
      </c>
      <c r="H20" s="1">
        <f>1.62%/12</f>
        <v>1.3500000000000003E-3</v>
      </c>
      <c r="J20" s="364">
        <f>F20*H20</f>
        <v>0</v>
      </c>
      <c r="L20" s="365">
        <f>'Cap&amp;OpEx 2019'!I17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'201906 Bk Depr'!R21</f>
        <v>0</v>
      </c>
      <c r="H21" s="1">
        <f>3.24%/12</f>
        <v>2.7000000000000006E-3</v>
      </c>
      <c r="J21" s="364">
        <f>F21*H21</f>
        <v>0</v>
      </c>
      <c r="L21" s="365">
        <f>'Cap&amp;OpEx 2019'!I19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'201906 Bk Depr'!R22</f>
        <v>0</v>
      </c>
      <c r="H22" s="1">
        <f>3.24%/12</f>
        <v>2.7000000000000006E-3</v>
      </c>
      <c r="J22" s="364">
        <f>F22*H22</f>
        <v>0</v>
      </c>
      <c r="L22" s="366">
        <f>'Cap&amp;OpEx 2019'!I20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20539335.25</v>
      </c>
      <c r="J25" s="363">
        <f>J17+J23</f>
        <v>55456.20517500001</v>
      </c>
      <c r="L25" s="363">
        <f>L17+L23</f>
        <v>903998.25</v>
      </c>
      <c r="N25" s="363">
        <f>N17+N23</f>
        <v>1220.3976375000002</v>
      </c>
      <c r="P25" s="363">
        <f>P17+P23</f>
        <v>56676.602812500016</v>
      </c>
      <c r="R25" s="363">
        <f>R17+R23</f>
        <v>21443333.499999996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'201906 Bk Depr'!R28</f>
        <v>0</v>
      </c>
      <c r="J28" s="364"/>
      <c r="L28" s="365">
        <f>'Cap&amp;OpEx 2019'!I25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'201906 Bk Depr'!R29</f>
        <v>931075.02</v>
      </c>
      <c r="J29" s="364"/>
      <c r="L29" s="365">
        <f>'Cap&amp;OpEx 2019'!I27</f>
        <v>44431.49</v>
      </c>
      <c r="N29" s="364"/>
      <c r="P29" s="364"/>
      <c r="R29" s="364">
        <f>L29+F29</f>
        <v>975506.51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'201906 Bk Depr'!R30</f>
        <v>0</v>
      </c>
      <c r="J30" s="364"/>
      <c r="L30" s="366">
        <f>'Cap&amp;OpEx 2019'!I28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931075.02</v>
      </c>
      <c r="J31" s="362">
        <f>SUM(J28:J30)</f>
        <v>0</v>
      </c>
      <c r="L31" s="362">
        <f>SUM(L28:L30)</f>
        <v>44431.49</v>
      </c>
      <c r="N31" s="362">
        <f>SUM(N28:N30)</f>
        <v>0</v>
      </c>
      <c r="P31" s="362">
        <f>SUM(P28:P30)</f>
        <v>0</v>
      </c>
      <c r="R31" s="362">
        <f>SUM(R28:R30)</f>
        <v>975506.51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C11:I30"/>
  <sheetViews>
    <sheetView zoomScaleNormal="100" workbookViewId="0"/>
  </sheetViews>
  <sheetFormatPr defaultRowHeight="12.75"/>
  <cols>
    <col min="1" max="1" width="9.140625" style="254"/>
    <col min="2" max="2" width="2.42578125" style="254" customWidth="1"/>
    <col min="3" max="9" width="12.140625" style="254" customWidth="1"/>
    <col min="10" max="10" width="2.140625" style="254" customWidth="1"/>
    <col min="11" max="257" width="9.140625" style="254"/>
    <col min="258" max="258" width="2.42578125" style="254" customWidth="1"/>
    <col min="259" max="265" width="12.140625" style="254" customWidth="1"/>
    <col min="266" max="266" width="2.140625" style="254" customWidth="1"/>
    <col min="267" max="513" width="9.140625" style="254"/>
    <col min="514" max="514" width="2.42578125" style="254" customWidth="1"/>
    <col min="515" max="521" width="12.140625" style="254" customWidth="1"/>
    <col min="522" max="522" width="2.140625" style="254" customWidth="1"/>
    <col min="523" max="769" width="9.140625" style="254"/>
    <col min="770" max="770" width="2.42578125" style="254" customWidth="1"/>
    <col min="771" max="777" width="12.140625" style="254" customWidth="1"/>
    <col min="778" max="778" width="2.140625" style="254" customWidth="1"/>
    <col min="779" max="1025" width="9.140625" style="254"/>
    <col min="1026" max="1026" width="2.42578125" style="254" customWidth="1"/>
    <col min="1027" max="1033" width="12.140625" style="254" customWidth="1"/>
    <col min="1034" max="1034" width="2.140625" style="254" customWidth="1"/>
    <col min="1035" max="1281" width="9.140625" style="254"/>
    <col min="1282" max="1282" width="2.42578125" style="254" customWidth="1"/>
    <col min="1283" max="1289" width="12.140625" style="254" customWidth="1"/>
    <col min="1290" max="1290" width="2.140625" style="254" customWidth="1"/>
    <col min="1291" max="1537" width="9.140625" style="254"/>
    <col min="1538" max="1538" width="2.42578125" style="254" customWidth="1"/>
    <col min="1539" max="1545" width="12.140625" style="254" customWidth="1"/>
    <col min="1546" max="1546" width="2.140625" style="254" customWidth="1"/>
    <col min="1547" max="1793" width="9.140625" style="254"/>
    <col min="1794" max="1794" width="2.42578125" style="254" customWidth="1"/>
    <col min="1795" max="1801" width="12.140625" style="254" customWidth="1"/>
    <col min="1802" max="1802" width="2.140625" style="254" customWidth="1"/>
    <col min="1803" max="2049" width="9.140625" style="254"/>
    <col min="2050" max="2050" width="2.42578125" style="254" customWidth="1"/>
    <col min="2051" max="2057" width="12.140625" style="254" customWidth="1"/>
    <col min="2058" max="2058" width="2.140625" style="254" customWidth="1"/>
    <col min="2059" max="2305" width="9.140625" style="254"/>
    <col min="2306" max="2306" width="2.42578125" style="254" customWidth="1"/>
    <col min="2307" max="2313" width="12.140625" style="254" customWidth="1"/>
    <col min="2314" max="2314" width="2.140625" style="254" customWidth="1"/>
    <col min="2315" max="2561" width="9.140625" style="254"/>
    <col min="2562" max="2562" width="2.42578125" style="254" customWidth="1"/>
    <col min="2563" max="2569" width="12.140625" style="254" customWidth="1"/>
    <col min="2570" max="2570" width="2.140625" style="254" customWidth="1"/>
    <col min="2571" max="2817" width="9.140625" style="254"/>
    <col min="2818" max="2818" width="2.42578125" style="254" customWidth="1"/>
    <col min="2819" max="2825" width="12.140625" style="254" customWidth="1"/>
    <col min="2826" max="2826" width="2.140625" style="254" customWidth="1"/>
    <col min="2827" max="3073" width="9.140625" style="254"/>
    <col min="3074" max="3074" width="2.42578125" style="254" customWidth="1"/>
    <col min="3075" max="3081" width="12.140625" style="254" customWidth="1"/>
    <col min="3082" max="3082" width="2.140625" style="254" customWidth="1"/>
    <col min="3083" max="3329" width="9.140625" style="254"/>
    <col min="3330" max="3330" width="2.42578125" style="254" customWidth="1"/>
    <col min="3331" max="3337" width="12.140625" style="254" customWidth="1"/>
    <col min="3338" max="3338" width="2.140625" style="254" customWidth="1"/>
    <col min="3339" max="3585" width="9.140625" style="254"/>
    <col min="3586" max="3586" width="2.42578125" style="254" customWidth="1"/>
    <col min="3587" max="3593" width="12.140625" style="254" customWidth="1"/>
    <col min="3594" max="3594" width="2.140625" style="254" customWidth="1"/>
    <col min="3595" max="3841" width="9.140625" style="254"/>
    <col min="3842" max="3842" width="2.42578125" style="254" customWidth="1"/>
    <col min="3843" max="3849" width="12.140625" style="254" customWidth="1"/>
    <col min="3850" max="3850" width="2.140625" style="254" customWidth="1"/>
    <col min="3851" max="4097" width="9.140625" style="254"/>
    <col min="4098" max="4098" width="2.42578125" style="254" customWidth="1"/>
    <col min="4099" max="4105" width="12.140625" style="254" customWidth="1"/>
    <col min="4106" max="4106" width="2.140625" style="254" customWidth="1"/>
    <col min="4107" max="4353" width="9.140625" style="254"/>
    <col min="4354" max="4354" width="2.42578125" style="254" customWidth="1"/>
    <col min="4355" max="4361" width="12.140625" style="254" customWidth="1"/>
    <col min="4362" max="4362" width="2.140625" style="254" customWidth="1"/>
    <col min="4363" max="4609" width="9.140625" style="254"/>
    <col min="4610" max="4610" width="2.42578125" style="254" customWidth="1"/>
    <col min="4611" max="4617" width="12.140625" style="254" customWidth="1"/>
    <col min="4618" max="4618" width="2.140625" style="254" customWidth="1"/>
    <col min="4619" max="4865" width="9.140625" style="254"/>
    <col min="4866" max="4866" width="2.42578125" style="254" customWidth="1"/>
    <col min="4867" max="4873" width="12.140625" style="254" customWidth="1"/>
    <col min="4874" max="4874" width="2.140625" style="254" customWidth="1"/>
    <col min="4875" max="5121" width="9.140625" style="254"/>
    <col min="5122" max="5122" width="2.42578125" style="254" customWidth="1"/>
    <col min="5123" max="5129" width="12.140625" style="254" customWidth="1"/>
    <col min="5130" max="5130" width="2.140625" style="254" customWidth="1"/>
    <col min="5131" max="5377" width="9.140625" style="254"/>
    <col min="5378" max="5378" width="2.42578125" style="254" customWidth="1"/>
    <col min="5379" max="5385" width="12.140625" style="254" customWidth="1"/>
    <col min="5386" max="5386" width="2.140625" style="254" customWidth="1"/>
    <col min="5387" max="5633" width="9.140625" style="254"/>
    <col min="5634" max="5634" width="2.42578125" style="254" customWidth="1"/>
    <col min="5635" max="5641" width="12.140625" style="254" customWidth="1"/>
    <col min="5642" max="5642" width="2.140625" style="254" customWidth="1"/>
    <col min="5643" max="5889" width="9.140625" style="254"/>
    <col min="5890" max="5890" width="2.42578125" style="254" customWidth="1"/>
    <col min="5891" max="5897" width="12.140625" style="254" customWidth="1"/>
    <col min="5898" max="5898" width="2.140625" style="254" customWidth="1"/>
    <col min="5899" max="6145" width="9.140625" style="254"/>
    <col min="6146" max="6146" width="2.42578125" style="254" customWidth="1"/>
    <col min="6147" max="6153" width="12.140625" style="254" customWidth="1"/>
    <col min="6154" max="6154" width="2.140625" style="254" customWidth="1"/>
    <col min="6155" max="6401" width="9.140625" style="254"/>
    <col min="6402" max="6402" width="2.42578125" style="254" customWidth="1"/>
    <col min="6403" max="6409" width="12.140625" style="254" customWidth="1"/>
    <col min="6410" max="6410" width="2.140625" style="254" customWidth="1"/>
    <col min="6411" max="6657" width="9.140625" style="254"/>
    <col min="6658" max="6658" width="2.42578125" style="254" customWidth="1"/>
    <col min="6659" max="6665" width="12.140625" style="254" customWidth="1"/>
    <col min="6666" max="6666" width="2.140625" style="254" customWidth="1"/>
    <col min="6667" max="6913" width="9.140625" style="254"/>
    <col min="6914" max="6914" width="2.42578125" style="254" customWidth="1"/>
    <col min="6915" max="6921" width="12.140625" style="254" customWidth="1"/>
    <col min="6922" max="6922" width="2.140625" style="254" customWidth="1"/>
    <col min="6923" max="7169" width="9.140625" style="254"/>
    <col min="7170" max="7170" width="2.42578125" style="254" customWidth="1"/>
    <col min="7171" max="7177" width="12.140625" style="254" customWidth="1"/>
    <col min="7178" max="7178" width="2.140625" style="254" customWidth="1"/>
    <col min="7179" max="7425" width="9.140625" style="254"/>
    <col min="7426" max="7426" width="2.42578125" style="254" customWidth="1"/>
    <col min="7427" max="7433" width="12.140625" style="254" customWidth="1"/>
    <col min="7434" max="7434" width="2.140625" style="254" customWidth="1"/>
    <col min="7435" max="7681" width="9.140625" style="254"/>
    <col min="7682" max="7682" width="2.42578125" style="254" customWidth="1"/>
    <col min="7683" max="7689" width="12.140625" style="254" customWidth="1"/>
    <col min="7690" max="7690" width="2.140625" style="254" customWidth="1"/>
    <col min="7691" max="7937" width="9.140625" style="254"/>
    <col min="7938" max="7938" width="2.42578125" style="254" customWidth="1"/>
    <col min="7939" max="7945" width="12.140625" style="254" customWidth="1"/>
    <col min="7946" max="7946" width="2.140625" style="254" customWidth="1"/>
    <col min="7947" max="8193" width="9.140625" style="254"/>
    <col min="8194" max="8194" width="2.42578125" style="254" customWidth="1"/>
    <col min="8195" max="8201" width="12.140625" style="254" customWidth="1"/>
    <col min="8202" max="8202" width="2.140625" style="254" customWidth="1"/>
    <col min="8203" max="8449" width="9.140625" style="254"/>
    <col min="8450" max="8450" width="2.42578125" style="254" customWidth="1"/>
    <col min="8451" max="8457" width="12.140625" style="254" customWidth="1"/>
    <col min="8458" max="8458" width="2.140625" style="254" customWidth="1"/>
    <col min="8459" max="8705" width="9.140625" style="254"/>
    <col min="8706" max="8706" width="2.42578125" style="254" customWidth="1"/>
    <col min="8707" max="8713" width="12.140625" style="254" customWidth="1"/>
    <col min="8714" max="8714" width="2.140625" style="254" customWidth="1"/>
    <col min="8715" max="8961" width="9.140625" style="254"/>
    <col min="8962" max="8962" width="2.42578125" style="254" customWidth="1"/>
    <col min="8963" max="8969" width="12.140625" style="254" customWidth="1"/>
    <col min="8970" max="8970" width="2.140625" style="254" customWidth="1"/>
    <col min="8971" max="9217" width="9.140625" style="254"/>
    <col min="9218" max="9218" width="2.42578125" style="254" customWidth="1"/>
    <col min="9219" max="9225" width="12.140625" style="254" customWidth="1"/>
    <col min="9226" max="9226" width="2.140625" style="254" customWidth="1"/>
    <col min="9227" max="9473" width="9.140625" style="254"/>
    <col min="9474" max="9474" width="2.42578125" style="254" customWidth="1"/>
    <col min="9475" max="9481" width="12.140625" style="254" customWidth="1"/>
    <col min="9482" max="9482" width="2.140625" style="254" customWidth="1"/>
    <col min="9483" max="9729" width="9.140625" style="254"/>
    <col min="9730" max="9730" width="2.42578125" style="254" customWidth="1"/>
    <col min="9731" max="9737" width="12.140625" style="254" customWidth="1"/>
    <col min="9738" max="9738" width="2.140625" style="254" customWidth="1"/>
    <col min="9739" max="9985" width="9.140625" style="254"/>
    <col min="9986" max="9986" width="2.42578125" style="254" customWidth="1"/>
    <col min="9987" max="9993" width="12.140625" style="254" customWidth="1"/>
    <col min="9994" max="9994" width="2.140625" style="254" customWidth="1"/>
    <col min="9995" max="10241" width="9.140625" style="254"/>
    <col min="10242" max="10242" width="2.42578125" style="254" customWidth="1"/>
    <col min="10243" max="10249" width="12.140625" style="254" customWidth="1"/>
    <col min="10250" max="10250" width="2.140625" style="254" customWidth="1"/>
    <col min="10251" max="10497" width="9.140625" style="254"/>
    <col min="10498" max="10498" width="2.42578125" style="254" customWidth="1"/>
    <col min="10499" max="10505" width="12.140625" style="254" customWidth="1"/>
    <col min="10506" max="10506" width="2.140625" style="254" customWidth="1"/>
    <col min="10507" max="10753" width="9.140625" style="254"/>
    <col min="10754" max="10754" width="2.42578125" style="254" customWidth="1"/>
    <col min="10755" max="10761" width="12.140625" style="254" customWidth="1"/>
    <col min="10762" max="10762" width="2.140625" style="254" customWidth="1"/>
    <col min="10763" max="11009" width="9.140625" style="254"/>
    <col min="11010" max="11010" width="2.42578125" style="254" customWidth="1"/>
    <col min="11011" max="11017" width="12.140625" style="254" customWidth="1"/>
    <col min="11018" max="11018" width="2.140625" style="254" customWidth="1"/>
    <col min="11019" max="11265" width="9.140625" style="254"/>
    <col min="11266" max="11266" width="2.42578125" style="254" customWidth="1"/>
    <col min="11267" max="11273" width="12.140625" style="254" customWidth="1"/>
    <col min="11274" max="11274" width="2.140625" style="254" customWidth="1"/>
    <col min="11275" max="11521" width="9.140625" style="254"/>
    <col min="11522" max="11522" width="2.42578125" style="254" customWidth="1"/>
    <col min="11523" max="11529" width="12.140625" style="254" customWidth="1"/>
    <col min="11530" max="11530" width="2.140625" style="254" customWidth="1"/>
    <col min="11531" max="11777" width="9.140625" style="254"/>
    <col min="11778" max="11778" width="2.42578125" style="254" customWidth="1"/>
    <col min="11779" max="11785" width="12.140625" style="254" customWidth="1"/>
    <col min="11786" max="11786" width="2.140625" style="254" customWidth="1"/>
    <col min="11787" max="12033" width="9.140625" style="254"/>
    <col min="12034" max="12034" width="2.42578125" style="254" customWidth="1"/>
    <col min="12035" max="12041" width="12.140625" style="254" customWidth="1"/>
    <col min="12042" max="12042" width="2.140625" style="254" customWidth="1"/>
    <col min="12043" max="12289" width="9.140625" style="254"/>
    <col min="12290" max="12290" width="2.42578125" style="254" customWidth="1"/>
    <col min="12291" max="12297" width="12.140625" style="254" customWidth="1"/>
    <col min="12298" max="12298" width="2.140625" style="254" customWidth="1"/>
    <col min="12299" max="12545" width="9.140625" style="254"/>
    <col min="12546" max="12546" width="2.42578125" style="254" customWidth="1"/>
    <col min="12547" max="12553" width="12.140625" style="254" customWidth="1"/>
    <col min="12554" max="12554" width="2.140625" style="254" customWidth="1"/>
    <col min="12555" max="12801" width="9.140625" style="254"/>
    <col min="12802" max="12802" width="2.42578125" style="254" customWidth="1"/>
    <col min="12803" max="12809" width="12.140625" style="254" customWidth="1"/>
    <col min="12810" max="12810" width="2.140625" style="254" customWidth="1"/>
    <col min="12811" max="13057" width="9.140625" style="254"/>
    <col min="13058" max="13058" width="2.42578125" style="254" customWidth="1"/>
    <col min="13059" max="13065" width="12.140625" style="254" customWidth="1"/>
    <col min="13066" max="13066" width="2.140625" style="254" customWidth="1"/>
    <col min="13067" max="13313" width="9.140625" style="254"/>
    <col min="13314" max="13314" width="2.42578125" style="254" customWidth="1"/>
    <col min="13315" max="13321" width="12.140625" style="254" customWidth="1"/>
    <col min="13322" max="13322" width="2.140625" style="254" customWidth="1"/>
    <col min="13323" max="13569" width="9.140625" style="254"/>
    <col min="13570" max="13570" width="2.42578125" style="254" customWidth="1"/>
    <col min="13571" max="13577" width="12.140625" style="254" customWidth="1"/>
    <col min="13578" max="13578" width="2.140625" style="254" customWidth="1"/>
    <col min="13579" max="13825" width="9.140625" style="254"/>
    <col min="13826" max="13826" width="2.42578125" style="254" customWidth="1"/>
    <col min="13827" max="13833" width="12.140625" style="254" customWidth="1"/>
    <col min="13834" max="13834" width="2.140625" style="254" customWidth="1"/>
    <col min="13835" max="14081" width="9.140625" style="254"/>
    <col min="14082" max="14082" width="2.42578125" style="254" customWidth="1"/>
    <col min="14083" max="14089" width="12.140625" style="254" customWidth="1"/>
    <col min="14090" max="14090" width="2.140625" style="254" customWidth="1"/>
    <col min="14091" max="14337" width="9.140625" style="254"/>
    <col min="14338" max="14338" width="2.42578125" style="254" customWidth="1"/>
    <col min="14339" max="14345" width="12.140625" style="254" customWidth="1"/>
    <col min="14346" max="14346" width="2.140625" style="254" customWidth="1"/>
    <col min="14347" max="14593" width="9.140625" style="254"/>
    <col min="14594" max="14594" width="2.42578125" style="254" customWidth="1"/>
    <col min="14595" max="14601" width="12.140625" style="254" customWidth="1"/>
    <col min="14602" max="14602" width="2.140625" style="254" customWidth="1"/>
    <col min="14603" max="14849" width="9.140625" style="254"/>
    <col min="14850" max="14850" width="2.42578125" style="254" customWidth="1"/>
    <col min="14851" max="14857" width="12.140625" style="254" customWidth="1"/>
    <col min="14858" max="14858" width="2.140625" style="254" customWidth="1"/>
    <col min="14859" max="15105" width="9.140625" style="254"/>
    <col min="15106" max="15106" width="2.42578125" style="254" customWidth="1"/>
    <col min="15107" max="15113" width="12.140625" style="254" customWidth="1"/>
    <col min="15114" max="15114" width="2.140625" style="254" customWidth="1"/>
    <col min="15115" max="15361" width="9.140625" style="254"/>
    <col min="15362" max="15362" width="2.42578125" style="254" customWidth="1"/>
    <col min="15363" max="15369" width="12.140625" style="254" customWidth="1"/>
    <col min="15370" max="15370" width="2.140625" style="254" customWidth="1"/>
    <col min="15371" max="15617" width="9.140625" style="254"/>
    <col min="15618" max="15618" width="2.42578125" style="254" customWidth="1"/>
    <col min="15619" max="15625" width="12.140625" style="254" customWidth="1"/>
    <col min="15626" max="15626" width="2.140625" style="254" customWidth="1"/>
    <col min="15627" max="15873" width="9.140625" style="254"/>
    <col min="15874" max="15874" width="2.42578125" style="254" customWidth="1"/>
    <col min="15875" max="15881" width="12.140625" style="254" customWidth="1"/>
    <col min="15882" max="15882" width="2.140625" style="254" customWidth="1"/>
    <col min="15883" max="16129" width="9.140625" style="254"/>
    <col min="16130" max="16130" width="2.42578125" style="254" customWidth="1"/>
    <col min="16131" max="16137" width="12.140625" style="254" customWidth="1"/>
    <col min="16138" max="16138" width="2.140625" style="254" customWidth="1"/>
    <col min="16139" max="16384" width="9.140625" style="254"/>
  </cols>
  <sheetData>
    <row r="11" spans="3:9" ht="15.75">
      <c r="C11" s="417" t="s">
        <v>67</v>
      </c>
      <c r="D11" s="418"/>
      <c r="E11" s="417"/>
      <c r="F11" s="417"/>
      <c r="G11" s="417"/>
      <c r="H11" s="417"/>
      <c r="I11" s="418"/>
    </row>
    <row r="12" spans="3:9" ht="12.75" customHeight="1"/>
    <row r="13" spans="3:9" ht="12.75" customHeight="1"/>
    <row r="14" spans="3:9" ht="12.75" customHeight="1"/>
    <row r="15" spans="3:9" ht="12.75" customHeight="1"/>
    <row r="16" spans="3:9" ht="12.75" customHeight="1"/>
    <row r="17" spans="3:9" ht="12.75" customHeight="1"/>
    <row r="18" spans="3:9" ht="15.75">
      <c r="C18" s="417" t="s">
        <v>465</v>
      </c>
      <c r="D18" s="418"/>
      <c r="E18" s="417"/>
      <c r="F18" s="418"/>
      <c r="G18" s="417"/>
      <c r="H18" s="417"/>
      <c r="I18" s="418"/>
    </row>
    <row r="19" spans="3:9" ht="12.75" customHeight="1"/>
    <row r="20" spans="3:9" ht="12.75" customHeight="1"/>
    <row r="21" spans="3:9" ht="12.75" customHeight="1">
      <c r="D21" s="416"/>
      <c r="E21" s="416"/>
      <c r="F21" s="416"/>
      <c r="G21" s="416"/>
      <c r="H21" s="416"/>
    </row>
    <row r="22" spans="3:9" ht="15.75">
      <c r="C22" s="417" t="s">
        <v>368</v>
      </c>
      <c r="D22" s="418"/>
      <c r="E22" s="417"/>
      <c r="F22" s="417"/>
      <c r="G22" s="417"/>
      <c r="H22" s="417"/>
      <c r="I22" s="418"/>
    </row>
    <row r="23" spans="3:9" ht="12.75" customHeight="1">
      <c r="C23" s="255"/>
      <c r="F23" s="255"/>
      <c r="G23" s="255"/>
    </row>
    <row r="24" spans="3:9" ht="15.75">
      <c r="C24" s="417" t="s">
        <v>369</v>
      </c>
      <c r="D24" s="418"/>
      <c r="E24" s="417"/>
      <c r="F24" s="417"/>
      <c r="G24" s="417"/>
      <c r="H24" s="417"/>
      <c r="I24" s="418"/>
    </row>
    <row r="25" spans="3:9" ht="15.75">
      <c r="C25" s="417" t="s">
        <v>370</v>
      </c>
      <c r="D25" s="418"/>
      <c r="E25" s="417"/>
      <c r="F25" s="417"/>
      <c r="G25" s="417"/>
      <c r="H25" s="417"/>
      <c r="I25" s="418"/>
    </row>
    <row r="26" spans="3:9" ht="12.75" customHeight="1"/>
    <row r="27" spans="3:9" ht="12.75" customHeight="1"/>
    <row r="28" spans="3:9" ht="15.75">
      <c r="C28" s="417" t="s">
        <v>500</v>
      </c>
      <c r="D28" s="418"/>
      <c r="E28" s="417"/>
      <c r="F28" s="417"/>
      <c r="G28" s="417"/>
      <c r="H28" s="417"/>
      <c r="I28" s="418"/>
    </row>
    <row r="29" spans="3:9" ht="15.75">
      <c r="C29" s="417" t="s">
        <v>501</v>
      </c>
      <c r="D29" s="418"/>
      <c r="E29" s="417"/>
      <c r="F29" s="417"/>
      <c r="G29" s="417"/>
      <c r="H29" s="417"/>
      <c r="I29" s="418"/>
    </row>
    <row r="30" spans="3:9" ht="12.75" customHeight="1"/>
  </sheetData>
  <pageMargins left="0.75" right="0.75" top="1" bottom="1" header="0.5" footer="0.5"/>
  <pageSetup orientation="portrait" r:id="rId1"/>
  <headerFooter scaleWithDoc="0"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475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'201907 Bk Depr'!R13</f>
        <v>0</v>
      </c>
      <c r="H13" s="1">
        <f>1.62%/12</f>
        <v>1.3500000000000003E-3</v>
      </c>
      <c r="J13" s="364">
        <f>F13*H13</f>
        <v>0</v>
      </c>
      <c r="L13" s="365">
        <f>'Cap&amp;OpEx 2019'!J10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'201907 Bk Depr'!R14</f>
        <v>5793487.8600000003</v>
      </c>
      <c r="H14" s="1">
        <f>3.24%/12</f>
        <v>2.7000000000000006E-3</v>
      </c>
      <c r="J14" s="364">
        <f>F14*H14</f>
        <v>15642.417222000004</v>
      </c>
      <c r="L14" s="365">
        <f>'Cap&amp;OpEx 2019'!J12</f>
        <v>232409.20999999996</v>
      </c>
      <c r="N14" s="364">
        <f>H14*L14*0.5</f>
        <v>313.7524335</v>
      </c>
      <c r="P14" s="364">
        <f>J14+N14</f>
        <v>15956.169655500004</v>
      </c>
      <c r="R14" s="364">
        <f>L14+F14</f>
        <v>6025897.0700000003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'201907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2019'!J13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'201907 Bk Depr'!R16</f>
        <v>15649845.639999997</v>
      </c>
      <c r="H16" s="1">
        <f t="shared" si="1"/>
        <v>2.7000000000000006E-3</v>
      </c>
      <c r="J16" s="364">
        <f>F16*H16</f>
        <v>42254.583228000003</v>
      </c>
      <c r="L16" s="366">
        <f>'Cap&amp;OpEx 2019'!J14</f>
        <v>591872.62999999954</v>
      </c>
      <c r="N16" s="364">
        <f>H16*L16*0.5</f>
        <v>799.02805049999949</v>
      </c>
      <c r="P16" s="364">
        <f>J16+N16</f>
        <v>43053.6112785</v>
      </c>
      <c r="R16" s="364">
        <f>L16+F16</f>
        <v>16241718.269999996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21443333.499999996</v>
      </c>
      <c r="J17" s="362">
        <f>SUM(J13:J16)</f>
        <v>57897.000450000007</v>
      </c>
      <c r="L17" s="362">
        <f>SUM(L13:L16)</f>
        <v>824281.8399999995</v>
      </c>
      <c r="N17" s="362">
        <f>SUM(N13:N16)</f>
        <v>1112.7804839999994</v>
      </c>
      <c r="P17" s="362">
        <f>SUM(P13:P16)</f>
        <v>59009.780934000002</v>
      </c>
      <c r="R17" s="362">
        <f>SUM(R13:R16)</f>
        <v>22267615.339999996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'201907 Bk Depr'!R20</f>
        <v>0</v>
      </c>
      <c r="H20" s="1">
        <f>1.62%/12</f>
        <v>1.3500000000000003E-3</v>
      </c>
      <c r="J20" s="364">
        <f>F20*H20</f>
        <v>0</v>
      </c>
      <c r="L20" s="365">
        <f>'Cap&amp;OpEx 2019'!J17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'201907 Bk Depr'!R21</f>
        <v>0</v>
      </c>
      <c r="H21" s="1">
        <f>3.24%/12</f>
        <v>2.7000000000000006E-3</v>
      </c>
      <c r="J21" s="364">
        <f>F21*H21</f>
        <v>0</v>
      </c>
      <c r="L21" s="365">
        <f>'Cap&amp;OpEx 2019'!J19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'201907 Bk Depr'!R22</f>
        <v>0</v>
      </c>
      <c r="H22" s="1">
        <f>3.24%/12</f>
        <v>2.7000000000000006E-3</v>
      </c>
      <c r="J22" s="364">
        <f>F22*H22</f>
        <v>0</v>
      </c>
      <c r="L22" s="366">
        <f>'Cap&amp;OpEx 2019'!J20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21443333.499999996</v>
      </c>
      <c r="J25" s="363">
        <f>J17+J23</f>
        <v>57897.000450000007</v>
      </c>
      <c r="L25" s="363">
        <f>L17+L23</f>
        <v>824281.8399999995</v>
      </c>
      <c r="N25" s="363">
        <f>N17+N23</f>
        <v>1112.7804839999994</v>
      </c>
      <c r="P25" s="363">
        <f>P17+P23</f>
        <v>59009.780934000002</v>
      </c>
      <c r="R25" s="363">
        <f>R17+R23</f>
        <v>22267615.339999996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'201907 Bk Depr'!R28</f>
        <v>0</v>
      </c>
      <c r="J28" s="364"/>
      <c r="L28" s="365">
        <f>'Cap&amp;OpEx 2019'!J25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'201907 Bk Depr'!R29</f>
        <v>975506.51</v>
      </c>
      <c r="J29" s="364"/>
      <c r="L29" s="365">
        <f>'Cap&amp;OpEx 2019'!J27</f>
        <v>102499.2</v>
      </c>
      <c r="N29" s="364"/>
      <c r="P29" s="364"/>
      <c r="R29" s="364">
        <f>L29+F29</f>
        <v>1078005.71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'201907 Bk Depr'!R30</f>
        <v>0</v>
      </c>
      <c r="J30" s="364"/>
      <c r="L30" s="366">
        <f>'Cap&amp;OpEx 2019'!J28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975506.51</v>
      </c>
      <c r="J31" s="362">
        <f>SUM(J28:J30)</f>
        <v>0</v>
      </c>
      <c r="L31" s="362">
        <f>SUM(L28:L30)</f>
        <v>102499.2</v>
      </c>
      <c r="N31" s="362">
        <f>SUM(N28:N30)</f>
        <v>0</v>
      </c>
      <c r="P31" s="362">
        <f>SUM(P28:P30)</f>
        <v>0</v>
      </c>
      <c r="R31" s="362">
        <f>SUM(R28:R30)</f>
        <v>1078005.71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17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476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'201908 Bk Depr'!R13</f>
        <v>0</v>
      </c>
      <c r="H13" s="1">
        <f>1.62%/12</f>
        <v>1.3500000000000003E-3</v>
      </c>
      <c r="J13" s="364">
        <f>F13*H13</f>
        <v>0</v>
      </c>
      <c r="L13" s="365">
        <f>'Cap&amp;OpEx 2019'!K10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'201908 Bk Depr'!R14</f>
        <v>6025897.0700000003</v>
      </c>
      <c r="H14" s="1">
        <f>3.24%/12</f>
        <v>2.7000000000000006E-3</v>
      </c>
      <c r="J14" s="364">
        <f>F14*H14</f>
        <v>16269.922089000005</v>
      </c>
      <c r="L14" s="365">
        <f>'Cap&amp;OpEx 2019'!K12</f>
        <v>308155.68</v>
      </c>
      <c r="N14" s="364">
        <f>H14*L14*0.5</f>
        <v>416.01016800000008</v>
      </c>
      <c r="P14" s="364">
        <f>J14+N14</f>
        <v>16685.932257000004</v>
      </c>
      <c r="R14" s="364">
        <f>L14+F14</f>
        <v>6334052.75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'201908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2019'!K13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'201908 Bk Depr'!R16</f>
        <v>16241718.269999996</v>
      </c>
      <c r="H16" s="1">
        <f t="shared" si="1"/>
        <v>2.7000000000000006E-3</v>
      </c>
      <c r="J16" s="364">
        <f>F16*H16</f>
        <v>43852.639328999998</v>
      </c>
      <c r="L16" s="366">
        <f>'Cap&amp;OpEx 2019'!K14</f>
        <v>644869.85000000009</v>
      </c>
      <c r="N16" s="364">
        <f>H16*L16*0.5</f>
        <v>870.57429750000028</v>
      </c>
      <c r="P16" s="364">
        <f>J16+N16</f>
        <v>44723.213626500001</v>
      </c>
      <c r="R16" s="364">
        <f>L16+F16</f>
        <v>16886588.119999997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22267615.339999996</v>
      </c>
      <c r="J17" s="362">
        <f>SUM(J13:J16)</f>
        <v>60122.561418000005</v>
      </c>
      <c r="L17" s="362">
        <f>SUM(L13:L16)</f>
        <v>953025.53</v>
      </c>
      <c r="N17" s="362">
        <f>SUM(N13:N16)</f>
        <v>1286.5844655000003</v>
      </c>
      <c r="P17" s="362">
        <f>SUM(P13:P16)</f>
        <v>61409.145883500008</v>
      </c>
      <c r="R17" s="362">
        <f>SUM(R13:R16)</f>
        <v>23220640.869999997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'201908 Bk Depr'!R20</f>
        <v>0</v>
      </c>
      <c r="H20" s="1">
        <f>1.62%/12</f>
        <v>1.3500000000000003E-3</v>
      </c>
      <c r="J20" s="364">
        <f>F20*H20</f>
        <v>0</v>
      </c>
      <c r="L20" s="365">
        <f>'Cap&amp;OpEx 2019'!K17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'201908 Bk Depr'!R21</f>
        <v>0</v>
      </c>
      <c r="H21" s="1">
        <f>3.24%/12</f>
        <v>2.7000000000000006E-3</v>
      </c>
      <c r="J21" s="364">
        <f>F21*H21</f>
        <v>0</v>
      </c>
      <c r="L21" s="365">
        <f>'Cap&amp;OpEx 2019'!K19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'201908 Bk Depr'!R22</f>
        <v>0</v>
      </c>
      <c r="H22" s="1">
        <f>3.24%/12</f>
        <v>2.7000000000000006E-3</v>
      </c>
      <c r="J22" s="364">
        <f>F22*H22</f>
        <v>0</v>
      </c>
      <c r="L22" s="366">
        <f>'Cap&amp;OpEx 2019'!K20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22267615.339999996</v>
      </c>
      <c r="J25" s="363">
        <f>J17+J23</f>
        <v>60122.561418000005</v>
      </c>
      <c r="L25" s="363">
        <f>L17+L23</f>
        <v>953025.53</v>
      </c>
      <c r="N25" s="363">
        <f>N17+N23</f>
        <v>1286.5844655000003</v>
      </c>
      <c r="P25" s="363">
        <f>P17+P23</f>
        <v>61409.145883500008</v>
      </c>
      <c r="R25" s="363">
        <f>R17+R23</f>
        <v>23220640.869999997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'201908 Bk Depr'!R28</f>
        <v>0</v>
      </c>
      <c r="J28" s="364"/>
      <c r="L28" s="365">
        <f>'Cap&amp;OpEx 2019'!K25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'201908 Bk Depr'!R29</f>
        <v>1078005.71</v>
      </c>
      <c r="J29" s="364"/>
      <c r="L29" s="365">
        <f>'Cap&amp;OpEx 2019'!K27</f>
        <v>112287.79999999999</v>
      </c>
      <c r="N29" s="364"/>
      <c r="P29" s="364"/>
      <c r="R29" s="364">
        <f>L29+F29</f>
        <v>1190293.51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'201908 Bk Depr'!R30</f>
        <v>0</v>
      </c>
      <c r="J30" s="364"/>
      <c r="L30" s="366">
        <f>'Cap&amp;OpEx 2019'!K28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1078005.71</v>
      </c>
      <c r="J31" s="362">
        <f>SUM(J28:J30)</f>
        <v>0</v>
      </c>
      <c r="L31" s="362">
        <f>SUM(L28:L30)</f>
        <v>112287.79999999999</v>
      </c>
      <c r="N31" s="362">
        <f>SUM(N28:N30)</f>
        <v>0</v>
      </c>
      <c r="P31" s="362">
        <f>SUM(P28:P30)</f>
        <v>0</v>
      </c>
      <c r="R31" s="362">
        <f>SUM(R28:R30)</f>
        <v>1190293.51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17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477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'201909 Bk Depr'!R13</f>
        <v>0</v>
      </c>
      <c r="H13" s="1">
        <f>1.62%/12</f>
        <v>1.3500000000000003E-3</v>
      </c>
      <c r="J13" s="364">
        <f>F13*H13</f>
        <v>0</v>
      </c>
      <c r="L13" s="365">
        <f>'Cap&amp;OpEx 2019'!L10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'201909 Bk Depr'!R14</f>
        <v>6334052.75</v>
      </c>
      <c r="H14" s="1">
        <f>3.24%/12</f>
        <v>2.7000000000000006E-3</v>
      </c>
      <c r="J14" s="364">
        <f>F14*H14</f>
        <v>17101.942425000005</v>
      </c>
      <c r="L14" s="365">
        <f>'Cap&amp;OpEx 2019'!L12</f>
        <v>200869.63</v>
      </c>
      <c r="N14" s="364">
        <f>H14*L14*0.5</f>
        <v>271.17400050000009</v>
      </c>
      <c r="P14" s="364">
        <f>J14+N14</f>
        <v>17373.116425500004</v>
      </c>
      <c r="R14" s="364">
        <f>L14+F14</f>
        <v>6534922.3799999999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'201909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2019'!L13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'201909 Bk Depr'!R16</f>
        <v>16886588.119999997</v>
      </c>
      <c r="H16" s="1">
        <f t="shared" si="1"/>
        <v>2.7000000000000006E-3</v>
      </c>
      <c r="J16" s="364">
        <f>F16*H16</f>
        <v>45593.787924000004</v>
      </c>
      <c r="L16" s="366">
        <f>'Cap&amp;OpEx 2019'!L14</f>
        <v>753093.95</v>
      </c>
      <c r="N16" s="364">
        <f>H16*L16*0.5</f>
        <v>1016.6768325000002</v>
      </c>
      <c r="P16" s="364">
        <f>J16+N16</f>
        <v>46610.464756500005</v>
      </c>
      <c r="R16" s="364">
        <f>L16+F16</f>
        <v>17639682.069999997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23220640.869999997</v>
      </c>
      <c r="J17" s="362">
        <f>SUM(J13:J16)</f>
        <v>62695.730349000005</v>
      </c>
      <c r="L17" s="362">
        <f>SUM(L13:L16)</f>
        <v>953963.58</v>
      </c>
      <c r="N17" s="362">
        <f>SUM(N13:N16)</f>
        <v>1287.8508330000002</v>
      </c>
      <c r="P17" s="362">
        <f>SUM(P13:P16)</f>
        <v>63983.581182000009</v>
      </c>
      <c r="R17" s="362">
        <f>SUM(R13:R16)</f>
        <v>24174604.449999996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'201909 Bk Depr'!R20</f>
        <v>0</v>
      </c>
      <c r="H20" s="1">
        <f>1.62%/12</f>
        <v>1.3500000000000003E-3</v>
      </c>
      <c r="J20" s="364">
        <f>F20*H20</f>
        <v>0</v>
      </c>
      <c r="L20" s="365">
        <f>'Cap&amp;OpEx 2019'!L17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'201909 Bk Depr'!R21</f>
        <v>0</v>
      </c>
      <c r="H21" s="1">
        <f>3.24%/12</f>
        <v>2.7000000000000006E-3</v>
      </c>
      <c r="J21" s="364">
        <f>F21*H21</f>
        <v>0</v>
      </c>
      <c r="L21" s="365">
        <f>'Cap&amp;OpEx 2019'!L19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'201909 Bk Depr'!R22</f>
        <v>0</v>
      </c>
      <c r="H22" s="1">
        <f>3.24%/12</f>
        <v>2.7000000000000006E-3</v>
      </c>
      <c r="J22" s="364">
        <f>F22*H22</f>
        <v>0</v>
      </c>
      <c r="L22" s="366">
        <f>'Cap&amp;OpEx 2019'!L20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23220640.869999997</v>
      </c>
      <c r="J25" s="363">
        <f>J17+J23</f>
        <v>62695.730349000005</v>
      </c>
      <c r="L25" s="363">
        <f>L17+L23</f>
        <v>953963.58</v>
      </c>
      <c r="N25" s="363">
        <f>N17+N23</f>
        <v>1287.8508330000002</v>
      </c>
      <c r="P25" s="363">
        <f>P17+P23</f>
        <v>63983.581182000009</v>
      </c>
      <c r="R25" s="363">
        <f>R17+R23</f>
        <v>24174604.449999996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'201909 Bk Depr'!R28</f>
        <v>0</v>
      </c>
      <c r="J28" s="364"/>
      <c r="L28" s="365">
        <f>'Cap&amp;OpEx 2019'!L25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'201909 Bk Depr'!R29</f>
        <v>1190293.51</v>
      </c>
      <c r="J29" s="364"/>
      <c r="L29" s="365">
        <f>'Cap&amp;OpEx 2019'!L27</f>
        <v>94708.18</v>
      </c>
      <c r="N29" s="364"/>
      <c r="P29" s="364"/>
      <c r="R29" s="364">
        <f>L29+F29</f>
        <v>1285001.69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'201909 Bk Depr'!R30</f>
        <v>0</v>
      </c>
      <c r="J30" s="364"/>
      <c r="L30" s="366">
        <f>'Cap&amp;OpEx 2019'!L28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1190293.51</v>
      </c>
      <c r="J31" s="362">
        <f>SUM(J28:J30)</f>
        <v>0</v>
      </c>
      <c r="L31" s="362">
        <f>SUM(L28:L30)</f>
        <v>94708.18</v>
      </c>
      <c r="N31" s="362">
        <f>SUM(N28:N30)</f>
        <v>0</v>
      </c>
      <c r="P31" s="362">
        <f>SUM(P28:P30)</f>
        <v>0</v>
      </c>
      <c r="R31" s="362">
        <f>SUM(R28:R30)</f>
        <v>1285001.69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17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478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'201910 Bk Depr'!R13</f>
        <v>0</v>
      </c>
      <c r="H13" s="1">
        <f>1.62%/12</f>
        <v>1.3500000000000003E-3</v>
      </c>
      <c r="J13" s="364">
        <f>F13*H13</f>
        <v>0</v>
      </c>
      <c r="L13" s="365">
        <f>'Cap&amp;OpEx 2019'!M10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'201910 Bk Depr'!R14</f>
        <v>6534922.3799999999</v>
      </c>
      <c r="H14" s="1">
        <f>3.24%/12</f>
        <v>2.7000000000000006E-3</v>
      </c>
      <c r="J14" s="364">
        <f>F14*H14</f>
        <v>17644.290426000003</v>
      </c>
      <c r="L14" s="365">
        <f>'Cap&amp;OpEx 2019'!M12</f>
        <v>170062.19</v>
      </c>
      <c r="N14" s="364">
        <f>H14*L14*0.5</f>
        <v>229.58395650000006</v>
      </c>
      <c r="P14" s="364">
        <f>J14+N14</f>
        <v>17873.874382500002</v>
      </c>
      <c r="R14" s="364">
        <f>L14+F14</f>
        <v>6704984.5700000003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'201910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2019'!M13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'201910 Bk Depr'!R16</f>
        <v>17639682.069999997</v>
      </c>
      <c r="H16" s="1">
        <f t="shared" si="1"/>
        <v>2.7000000000000006E-3</v>
      </c>
      <c r="J16" s="364">
        <f>F16*H16</f>
        <v>47627.141588999999</v>
      </c>
      <c r="L16" s="366">
        <f>'Cap&amp;OpEx 2019'!M14</f>
        <v>636472.79999999993</v>
      </c>
      <c r="N16" s="364">
        <f>H16*L16*0.5</f>
        <v>859.23828000000015</v>
      </c>
      <c r="P16" s="364">
        <f>J16+N16</f>
        <v>48486.379868999997</v>
      </c>
      <c r="R16" s="364">
        <f>L16+F16</f>
        <v>18276154.869999997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24174604.449999996</v>
      </c>
      <c r="J17" s="362">
        <f>SUM(J13:J16)</f>
        <v>65271.432014999999</v>
      </c>
      <c r="L17" s="362">
        <f>SUM(L13:L16)</f>
        <v>806534.99</v>
      </c>
      <c r="N17" s="362">
        <f>SUM(N13:N16)</f>
        <v>1088.8222365000001</v>
      </c>
      <c r="P17" s="362">
        <f>SUM(P13:P16)</f>
        <v>66360.254251499995</v>
      </c>
      <c r="R17" s="362">
        <f>SUM(R13:R16)</f>
        <v>24981139.439999998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'201910 Bk Depr'!R20</f>
        <v>0</v>
      </c>
      <c r="H20" s="1">
        <f>1.62%/12</f>
        <v>1.3500000000000003E-3</v>
      </c>
      <c r="J20" s="364">
        <f>F20*H20</f>
        <v>0</v>
      </c>
      <c r="L20" s="365">
        <f>'Cap&amp;OpEx 2019'!M17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'201910 Bk Depr'!R21</f>
        <v>0</v>
      </c>
      <c r="H21" s="1">
        <f>3.24%/12</f>
        <v>2.7000000000000006E-3</v>
      </c>
      <c r="J21" s="364">
        <f>F21*H21</f>
        <v>0</v>
      </c>
      <c r="L21" s="365">
        <f>'Cap&amp;OpEx 2019'!M19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'201910 Bk Depr'!R22</f>
        <v>0</v>
      </c>
      <c r="H22" s="1">
        <f>3.24%/12</f>
        <v>2.7000000000000006E-3</v>
      </c>
      <c r="J22" s="364">
        <f>F22*H22</f>
        <v>0</v>
      </c>
      <c r="L22" s="366">
        <f>'Cap&amp;OpEx 2019'!M20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24174604.449999996</v>
      </c>
      <c r="J25" s="363">
        <f>J17+J23</f>
        <v>65271.432014999999</v>
      </c>
      <c r="L25" s="363">
        <f>L17+L23</f>
        <v>806534.99</v>
      </c>
      <c r="N25" s="363">
        <f>N17+N23</f>
        <v>1088.8222365000001</v>
      </c>
      <c r="P25" s="363">
        <f>P17+P23</f>
        <v>66360.254251499995</v>
      </c>
      <c r="R25" s="363">
        <f>R17+R23</f>
        <v>24981139.439999998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'201910 Bk Depr'!R28</f>
        <v>0</v>
      </c>
      <c r="J28" s="364"/>
      <c r="L28" s="365">
        <f>'Cap&amp;OpEx 2019'!M25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'201910 Bk Depr'!R29</f>
        <v>1285001.69</v>
      </c>
      <c r="J29" s="364"/>
      <c r="L29" s="365">
        <f>'Cap&amp;OpEx 2019'!M27</f>
        <v>187880.81</v>
      </c>
      <c r="N29" s="364"/>
      <c r="P29" s="364"/>
      <c r="R29" s="364">
        <f>L29+F29</f>
        <v>1472882.5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'201910 Bk Depr'!R30</f>
        <v>0</v>
      </c>
      <c r="J30" s="364"/>
      <c r="L30" s="366">
        <f>'Cap&amp;OpEx 2019'!M28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1285001.69</v>
      </c>
      <c r="J31" s="362">
        <f>SUM(J28:J30)</f>
        <v>0</v>
      </c>
      <c r="L31" s="362">
        <f>SUM(L28:L30)</f>
        <v>187880.81</v>
      </c>
      <c r="N31" s="362">
        <f>SUM(N28:N30)</f>
        <v>0</v>
      </c>
      <c r="P31" s="362">
        <f>SUM(P28:P30)</f>
        <v>0</v>
      </c>
      <c r="R31" s="362">
        <f>SUM(R28:R30)</f>
        <v>1472882.5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17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7" tint="0.39997558519241921"/>
    <pageSetUpPr fitToPage="1"/>
  </sheetPr>
  <dimension ref="A1:U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20" width="9.140625" style="4"/>
    <col min="21" max="21" width="13.5703125" style="4" bestFit="1" customWidth="1"/>
    <col min="22" max="16384" width="9.140625" style="4"/>
  </cols>
  <sheetData>
    <row r="1" spans="1:21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21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21" ht="18.75">
      <c r="A3" s="196" t="s">
        <v>479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2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1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>
      <c r="C6" s="12"/>
      <c r="D6" s="12"/>
      <c r="E6" s="12"/>
      <c r="F6" s="12" t="s">
        <v>107</v>
      </c>
      <c r="G6" s="12"/>
      <c r="H6" s="12"/>
      <c r="I6" s="12"/>
      <c r="J6" s="12" t="s">
        <v>107</v>
      </c>
      <c r="K6" s="12"/>
      <c r="L6" s="12" t="s">
        <v>107</v>
      </c>
      <c r="M6" s="12"/>
      <c r="N6" s="12"/>
      <c r="O6" s="12"/>
      <c r="P6" s="12"/>
      <c r="Q6" s="12"/>
      <c r="R6" s="12" t="s">
        <v>107</v>
      </c>
    </row>
    <row r="7" spans="1:21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21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21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21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21">
      <c r="B12" s="10" t="s">
        <v>20</v>
      </c>
      <c r="C12" s="10"/>
    </row>
    <row r="13" spans="1:21">
      <c r="A13" s="6">
        <v>1</v>
      </c>
      <c r="B13" s="4"/>
      <c r="C13" s="4" t="s">
        <v>453</v>
      </c>
      <c r="D13" s="6">
        <v>376</v>
      </c>
      <c r="F13" s="360">
        <f>'201911 Bk Depr'!R13</f>
        <v>0</v>
      </c>
      <c r="H13" s="1">
        <f>1.62%/12</f>
        <v>1.3500000000000003E-3</v>
      </c>
      <c r="J13" s="364">
        <f>F13*H13</f>
        <v>0</v>
      </c>
      <c r="L13" s="365">
        <f>'Cap&amp;OpEx 2019'!N10</f>
        <v>0</v>
      </c>
      <c r="N13" s="364">
        <f>H13*L13*0.5</f>
        <v>0</v>
      </c>
      <c r="P13" s="364">
        <f>J13+N13</f>
        <v>0</v>
      </c>
      <c r="R13" s="364">
        <f>L13+F13</f>
        <v>0</v>
      </c>
      <c r="U13" s="459"/>
    </row>
    <row r="14" spans="1:21">
      <c r="A14" s="6">
        <f>A13+1</f>
        <v>2</v>
      </c>
      <c r="B14" s="4"/>
      <c r="C14" s="9" t="s">
        <v>62</v>
      </c>
      <c r="D14" s="6">
        <v>380</v>
      </c>
      <c r="F14" s="360">
        <f>'201911 Bk Depr'!R14</f>
        <v>6704984.5700000003</v>
      </c>
      <c r="H14" s="1">
        <f>3.24%/12</f>
        <v>2.7000000000000006E-3</v>
      </c>
      <c r="J14" s="364">
        <f>F14*H14</f>
        <v>18103.458339000004</v>
      </c>
      <c r="L14" s="365">
        <f>'Cap&amp;OpEx 2019'!N12</f>
        <v>239382.03</v>
      </c>
      <c r="N14" s="364">
        <f>H14*L14*0.5</f>
        <v>323.16574050000008</v>
      </c>
      <c r="P14" s="364">
        <f>J14+N14</f>
        <v>18426.624079500005</v>
      </c>
      <c r="R14" s="364">
        <f>L14+F14</f>
        <v>6944366.6000000006</v>
      </c>
      <c r="U14" s="459"/>
    </row>
    <row r="15" spans="1:21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'201911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2019'!N13</f>
        <v>0</v>
      </c>
      <c r="N15" s="364">
        <f>H15*L15*0.5</f>
        <v>0</v>
      </c>
      <c r="P15" s="364">
        <f>J15+N15</f>
        <v>0</v>
      </c>
      <c r="R15" s="364">
        <f>L15+F15</f>
        <v>0</v>
      </c>
      <c r="U15" s="459"/>
    </row>
    <row r="16" spans="1:21">
      <c r="A16" s="6">
        <f t="shared" si="0"/>
        <v>4</v>
      </c>
      <c r="B16" s="4"/>
      <c r="C16" s="4" t="s">
        <v>163</v>
      </c>
      <c r="D16" s="6">
        <v>380</v>
      </c>
      <c r="F16" s="361">
        <f>'201911 Bk Depr'!R16</f>
        <v>18276154.869999997</v>
      </c>
      <c r="H16" s="1">
        <f t="shared" si="1"/>
        <v>2.7000000000000006E-3</v>
      </c>
      <c r="J16" s="364">
        <f>F16*H16</f>
        <v>49345.618149000002</v>
      </c>
      <c r="L16" s="366">
        <f>'Cap&amp;OpEx 2019'!N14</f>
        <v>671176.44</v>
      </c>
      <c r="N16" s="364">
        <f>H16*L16*0.5</f>
        <v>906.08819400000016</v>
      </c>
      <c r="P16" s="364">
        <f>J16+N16</f>
        <v>50251.706343000005</v>
      </c>
      <c r="R16" s="364">
        <f>L16+F16</f>
        <v>18947331.309999999</v>
      </c>
      <c r="U16" s="459"/>
    </row>
    <row r="17" spans="1:18">
      <c r="A17" s="6">
        <f t="shared" si="0"/>
        <v>5</v>
      </c>
      <c r="B17" s="4"/>
      <c r="C17" s="4" t="s">
        <v>21</v>
      </c>
      <c r="F17" s="362">
        <f>SUM(F13:F16)</f>
        <v>24981139.439999998</v>
      </c>
      <c r="J17" s="362">
        <f>SUM(J13:J16)</f>
        <v>67449.076488000006</v>
      </c>
      <c r="L17" s="362">
        <f>SUM(L13:L16)</f>
        <v>910558.47</v>
      </c>
      <c r="N17" s="362">
        <f>SUM(N13:N16)</f>
        <v>1229.2539345000002</v>
      </c>
      <c r="P17" s="362">
        <f>SUM(P13:P16)</f>
        <v>68678.330422500003</v>
      </c>
      <c r="R17" s="362">
        <f>SUM(R13:R16)</f>
        <v>25891697.91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'201911 Bk Depr'!R20</f>
        <v>0</v>
      </c>
      <c r="H20" s="1">
        <f>1.62%/12</f>
        <v>1.3500000000000003E-3</v>
      </c>
      <c r="J20" s="364">
        <f>F20*H20</f>
        <v>0</v>
      </c>
      <c r="L20" s="365">
        <f>'Cap&amp;OpEx 2019'!N17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'201911 Bk Depr'!R21</f>
        <v>0</v>
      </c>
      <c r="H21" s="1">
        <f>3.24%/12</f>
        <v>2.7000000000000006E-3</v>
      </c>
      <c r="J21" s="364">
        <f>F21*H21</f>
        <v>0</v>
      </c>
      <c r="L21" s="365">
        <f>'Cap&amp;OpEx 2019'!N19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'201911 Bk Depr'!R22</f>
        <v>0</v>
      </c>
      <c r="H22" s="1">
        <f>3.24%/12</f>
        <v>2.7000000000000006E-3</v>
      </c>
      <c r="J22" s="364">
        <f>F22*H22</f>
        <v>0</v>
      </c>
      <c r="L22" s="366">
        <f>'Cap&amp;OpEx 2019'!N20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24981139.439999998</v>
      </c>
      <c r="J25" s="363">
        <f>J17+J23</f>
        <v>67449.076488000006</v>
      </c>
      <c r="L25" s="363">
        <f>L17+L23</f>
        <v>910558.47</v>
      </c>
      <c r="N25" s="363">
        <f>N17+N23</f>
        <v>1229.2539345000002</v>
      </c>
      <c r="P25" s="363">
        <f>P17+P23</f>
        <v>68678.330422500003</v>
      </c>
      <c r="R25" s="363">
        <f>R17+R23</f>
        <v>25891697.91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'201911 Bk Depr'!R28</f>
        <v>0</v>
      </c>
      <c r="J28" s="364"/>
      <c r="L28" s="365">
        <f>'Cap&amp;OpEx 2019'!N25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'201911 Bk Depr'!R29</f>
        <v>1472882.5</v>
      </c>
      <c r="J29" s="364"/>
      <c r="L29" s="365">
        <f>'Cap&amp;OpEx 2019'!N27</f>
        <v>159889.10999999999</v>
      </c>
      <c r="N29" s="364"/>
      <c r="P29" s="364"/>
      <c r="R29" s="364">
        <f>L29+F29</f>
        <v>1632771.6099999999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'201911 Bk Depr'!R30</f>
        <v>0</v>
      </c>
      <c r="J30" s="364"/>
      <c r="L30" s="366">
        <f>'Cap&amp;OpEx 2019'!N28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1472882.5</v>
      </c>
      <c r="J31" s="362">
        <f>SUM(J28:J30)</f>
        <v>0</v>
      </c>
      <c r="L31" s="362">
        <f>SUM(L28:L30)</f>
        <v>159889.10999999999</v>
      </c>
      <c r="N31" s="362">
        <f>SUM(N28:N30)</f>
        <v>0</v>
      </c>
      <c r="P31" s="362">
        <f>SUM(P28:P30)</f>
        <v>0</v>
      </c>
      <c r="R31" s="362">
        <f>SUM(R28:R30)</f>
        <v>1632771.6099999999</v>
      </c>
    </row>
  </sheetData>
  <pageMargins left="0.7" right="0.7" top="0.75" bottom="0.75" header="0.3" footer="0.3"/>
  <pageSetup scale="68" orientation="landscape" r:id="rId1"/>
  <headerFooter>
    <oddFooter>&amp;R&amp;"Times New Roman,Bold"&amp;12Exhibit 4
Page 16 of 17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0.39997558519241921"/>
    <pageSetUpPr fitToPage="1"/>
  </sheetPr>
  <dimension ref="A1:Z93"/>
  <sheetViews>
    <sheetView workbookViewId="0"/>
  </sheetViews>
  <sheetFormatPr defaultColWidth="9.140625" defaultRowHeight="12.75"/>
  <cols>
    <col min="1" max="1" width="5.140625" style="52" customWidth="1"/>
    <col min="2" max="2" width="3.140625" style="52" customWidth="1"/>
    <col min="3" max="3" width="11.85546875" style="52" customWidth="1"/>
    <col min="4" max="4" width="11.85546875" style="52" hidden="1" customWidth="1"/>
    <col min="5" max="5" width="1.140625" style="52" customWidth="1"/>
    <col min="6" max="6" width="6.140625" style="52" bestFit="1" customWidth="1"/>
    <col min="7" max="7" width="14.140625" style="52" bestFit="1" customWidth="1"/>
    <col min="8" max="9" width="14.140625" style="52" customWidth="1"/>
    <col min="10" max="10" width="15" style="52" bestFit="1" customWidth="1"/>
    <col min="11" max="11" width="13.85546875" style="52" bestFit="1" customWidth="1"/>
    <col min="12" max="12" width="14.42578125" style="52" bestFit="1" customWidth="1"/>
    <col min="13" max="13" width="13.85546875" style="52" bestFit="1" customWidth="1"/>
    <col min="14" max="14" width="11.5703125" style="52" bestFit="1" customWidth="1"/>
    <col min="15" max="15" width="10.85546875" style="52" customWidth="1"/>
    <col min="16" max="16" width="11.42578125" style="52" customWidth="1"/>
    <col min="17" max="17" width="11.140625" style="52" customWidth="1"/>
    <col min="18" max="18" width="14.85546875" style="52" customWidth="1"/>
    <col min="19" max="19" width="12" style="52" customWidth="1"/>
    <col min="20" max="20" width="9.140625" style="52"/>
    <col min="21" max="21" width="13.85546875" style="52" customWidth="1"/>
    <col min="22" max="24" width="9.140625" style="52"/>
    <col min="25" max="25" width="11.85546875" style="52" customWidth="1"/>
    <col min="26" max="16384" width="9.140625" style="52"/>
  </cols>
  <sheetData>
    <row r="1" spans="1:26" ht="18.75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6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6" ht="18.75">
      <c r="A3" s="191" t="s">
        <v>76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6">
      <c r="A4" s="53"/>
    </row>
    <row r="6" spans="1:26">
      <c r="A6" s="54"/>
      <c r="B6" s="54"/>
      <c r="C6" s="54"/>
      <c r="D6" s="54" t="s">
        <v>24</v>
      </c>
      <c r="E6" s="54"/>
      <c r="F6" s="54"/>
      <c r="G6" s="54"/>
      <c r="H6" s="54"/>
      <c r="I6" s="54"/>
      <c r="J6" s="155"/>
      <c r="K6" s="54"/>
      <c r="L6" s="54"/>
      <c r="M6" s="54"/>
      <c r="N6" s="54"/>
      <c r="O6" s="54"/>
      <c r="P6" s="54"/>
      <c r="Q6" s="54"/>
      <c r="R6" s="54"/>
    </row>
    <row r="7" spans="1:26" ht="25.5">
      <c r="A7" s="54"/>
      <c r="B7" s="54"/>
      <c r="C7" s="55" t="s">
        <v>191</v>
      </c>
      <c r="D7" s="54" t="s">
        <v>25</v>
      </c>
      <c r="E7" s="54"/>
      <c r="F7" s="54"/>
      <c r="G7" s="54">
        <v>2017</v>
      </c>
      <c r="H7" s="54">
        <v>2018</v>
      </c>
      <c r="I7" s="54">
        <v>2019</v>
      </c>
      <c r="J7" s="54"/>
      <c r="K7" s="54" t="s">
        <v>35</v>
      </c>
      <c r="L7" s="54"/>
      <c r="M7" s="54"/>
      <c r="N7" s="55" t="s">
        <v>181</v>
      </c>
      <c r="O7" s="55" t="s">
        <v>182</v>
      </c>
      <c r="P7" s="55" t="s">
        <v>187</v>
      </c>
      <c r="Q7" s="55" t="s">
        <v>189</v>
      </c>
      <c r="R7" s="54" t="s">
        <v>41</v>
      </c>
      <c r="S7" s="55" t="s">
        <v>164</v>
      </c>
      <c r="T7" s="55"/>
      <c r="U7" s="55" t="s">
        <v>236</v>
      </c>
    </row>
    <row r="8" spans="1:26">
      <c r="A8" s="54" t="s">
        <v>4</v>
      </c>
      <c r="B8" s="54"/>
      <c r="C8" s="54" t="s">
        <v>26</v>
      </c>
      <c r="D8" s="54" t="s">
        <v>26</v>
      </c>
      <c r="E8" s="54"/>
      <c r="F8" s="54"/>
      <c r="G8" s="54" t="s">
        <v>28</v>
      </c>
      <c r="H8" s="54" t="s">
        <v>29</v>
      </c>
      <c r="I8" s="54" t="s">
        <v>30</v>
      </c>
      <c r="J8" s="54" t="s">
        <v>34</v>
      </c>
      <c r="K8" s="54" t="s">
        <v>36</v>
      </c>
      <c r="L8" s="54" t="s">
        <v>38</v>
      </c>
      <c r="M8" s="54"/>
      <c r="N8" s="54" t="s">
        <v>34</v>
      </c>
      <c r="O8" s="54" t="s">
        <v>34</v>
      </c>
      <c r="P8" s="54" t="s">
        <v>188</v>
      </c>
      <c r="Q8" s="54" t="s">
        <v>190</v>
      </c>
      <c r="R8" s="54" t="s">
        <v>40</v>
      </c>
      <c r="S8" s="54" t="s">
        <v>237</v>
      </c>
      <c r="T8" s="54" t="s">
        <v>164</v>
      </c>
      <c r="U8" s="54" t="s">
        <v>40</v>
      </c>
    </row>
    <row r="9" spans="1:26">
      <c r="A9" s="419" t="s">
        <v>5</v>
      </c>
      <c r="B9" s="419"/>
      <c r="C9" s="419" t="s">
        <v>2</v>
      </c>
      <c r="D9" s="419" t="s">
        <v>2</v>
      </c>
      <c r="E9" s="419"/>
      <c r="F9" s="419" t="s">
        <v>108</v>
      </c>
      <c r="G9" s="419" t="s">
        <v>20</v>
      </c>
      <c r="H9" s="420" t="s">
        <v>20</v>
      </c>
      <c r="I9" s="419" t="s">
        <v>20</v>
      </c>
      <c r="J9" s="419" t="s">
        <v>0</v>
      </c>
      <c r="K9" s="419" t="s">
        <v>37</v>
      </c>
      <c r="L9" s="419" t="s">
        <v>0</v>
      </c>
      <c r="M9" s="419" t="s">
        <v>39</v>
      </c>
      <c r="N9" s="56" t="s">
        <v>346</v>
      </c>
      <c r="O9" s="56" t="s">
        <v>186</v>
      </c>
      <c r="P9" s="56" t="s">
        <v>346</v>
      </c>
      <c r="Q9" s="56" t="s">
        <v>12</v>
      </c>
      <c r="R9" s="419" t="s">
        <v>42</v>
      </c>
      <c r="S9" s="56" t="s">
        <v>238</v>
      </c>
      <c r="T9" s="56" t="s">
        <v>239</v>
      </c>
      <c r="U9" s="419" t="s">
        <v>42</v>
      </c>
    </row>
    <row r="10" spans="1:26">
      <c r="C10" s="57"/>
      <c r="D10" s="57" t="s">
        <v>71</v>
      </c>
      <c r="E10" s="58"/>
      <c r="F10" s="58"/>
      <c r="G10" s="58"/>
      <c r="H10" s="58"/>
      <c r="I10" s="58"/>
    </row>
    <row r="11" spans="1:26">
      <c r="A11" s="52">
        <v>1</v>
      </c>
      <c r="C11" s="57" t="s">
        <v>70</v>
      </c>
      <c r="D11" s="59"/>
      <c r="G11" s="231">
        <f>'Tax Depr 2017'!L11</f>
        <v>1255457.3250000002</v>
      </c>
      <c r="H11" s="231">
        <f>'Tax Depr 2018'!H11</f>
        <v>4755556.200000002</v>
      </c>
      <c r="I11" s="27">
        <f>'2019 Capital Budget'!R27-I12</f>
        <v>4801920.5399999991</v>
      </c>
    </row>
    <row r="12" spans="1:26">
      <c r="A12" s="52">
        <v>2</v>
      </c>
      <c r="C12" s="57" t="s">
        <v>74</v>
      </c>
      <c r="D12" s="59"/>
      <c r="G12" s="231">
        <f>'Tax Depr 2017'!L12</f>
        <v>2278129.7399999998</v>
      </c>
      <c r="H12" s="231">
        <f>'Tax Depr 2018'!H12</f>
        <v>5069750.87</v>
      </c>
      <c r="I12" s="231">
        <f>SUM('2019 Capital Budget'!R9:R11,'2019 Capital Budget'!R17,'2019 Capital Budget'!R19:R21)</f>
        <v>6475425.9100000001</v>
      </c>
    </row>
    <row r="13" spans="1:26">
      <c r="A13" s="52">
        <v>3</v>
      </c>
      <c r="C13" s="57" t="s">
        <v>185</v>
      </c>
      <c r="D13" s="59"/>
      <c r="G13" s="231">
        <f>'Tax Depr 2017'!L13</f>
        <v>1255457.3249999997</v>
      </c>
      <c r="H13" s="231">
        <f>'Tax Depr 2018'!H13</f>
        <v>0</v>
      </c>
      <c r="I13" s="231">
        <v>0</v>
      </c>
    </row>
    <row r="14" spans="1:26">
      <c r="C14" s="59"/>
      <c r="W14" s="50"/>
      <c r="X14" s="50"/>
      <c r="Y14" s="50"/>
      <c r="Z14" s="50"/>
    </row>
    <row r="15" spans="1:26">
      <c r="G15" s="195"/>
      <c r="H15" s="195"/>
      <c r="I15" s="195"/>
      <c r="J15" s="195"/>
      <c r="K15" s="195"/>
      <c r="L15" s="244"/>
      <c r="W15" s="50"/>
      <c r="X15" s="50"/>
      <c r="Y15" s="50"/>
      <c r="Z15" s="50"/>
    </row>
    <row r="16" spans="1:26">
      <c r="Q16" s="27">
        <v>0</v>
      </c>
      <c r="R16" s="27">
        <f>Q16+'Tax Depr 2018'!Q28</f>
        <v>2772233.5661514383</v>
      </c>
      <c r="U16" s="231">
        <f>R16</f>
        <v>2772233.5661514383</v>
      </c>
      <c r="W16" s="50"/>
      <c r="X16" s="50"/>
      <c r="Y16" s="50"/>
      <c r="Z16" s="50"/>
    </row>
    <row r="17" spans="1:26">
      <c r="A17" s="52">
        <f>A13+1</f>
        <v>4</v>
      </c>
      <c r="C17" s="61">
        <v>3.7499999999999999E-2</v>
      </c>
      <c r="D17" s="61">
        <v>0.05</v>
      </c>
      <c r="F17" s="52">
        <v>1</v>
      </c>
      <c r="G17" s="231">
        <f>$G$11*$C$19/12</f>
        <v>6985.5737991875003</v>
      </c>
      <c r="H17" s="231">
        <f>$H$11*$C$18/12</f>
        <v>28608.633506500013</v>
      </c>
      <c r="I17" s="27">
        <f>(('201901 Bk Depr'!$L$17-SUM('2019 Capital Budget'!$F$9:$F$11,'2019 Capital Budget'!$F$19:$F$21,'2019 Capital Budget'!$F$17))*$C$17)+SUM('2019 Capital Budget'!$F$9:$F$11,'2019 Capital Budget'!$F$19:$F$21,'2019 Capital Budget'!$F$17)</f>
        <v>525848.28812499996</v>
      </c>
      <c r="J17" s="231">
        <f>SUM(G17:I17)</f>
        <v>561442.49543068744</v>
      </c>
      <c r="K17" s="231">
        <f>'201901 Bk Depr'!$L$31+'Cap&amp;OpEx 2019'!C26</f>
        <v>40056.369999999995</v>
      </c>
      <c r="L17" s="231">
        <f>'201901 Bk Depr'!$P$17</f>
        <v>40651.096806000016</v>
      </c>
      <c r="M17" s="231">
        <f t="shared" ref="M17:M28" si="0">J17+K17-L17</f>
        <v>560847.76862468745</v>
      </c>
      <c r="N17" s="231">
        <f t="shared" ref="N17:N22" si="1">M17*0.21</f>
        <v>117778.03141118436</v>
      </c>
      <c r="O17" s="231">
        <f t="shared" ref="O17:O28" si="2">N61</f>
        <v>28391.66712119375</v>
      </c>
      <c r="P17" s="231">
        <f t="shared" ref="P17:P22" si="3">-O17*0.21</f>
        <v>-5962.2500954506877</v>
      </c>
      <c r="Q17" s="27"/>
      <c r="R17" s="231">
        <f t="shared" ref="R17:R28" si="4">R16+N17+O17+P17+Q17</f>
        <v>2912441.0145883658</v>
      </c>
      <c r="S17" s="231">
        <f>R17-R16</f>
        <v>140207.44843692752</v>
      </c>
      <c r="T17" s="247" t="s">
        <v>363</v>
      </c>
      <c r="U17" s="231">
        <f>U16+S17*335/365</f>
        <v>2900917.1147168376</v>
      </c>
      <c r="X17" s="50"/>
      <c r="Y17" s="51"/>
      <c r="Z17" s="50"/>
    </row>
    <row r="18" spans="1:26">
      <c r="A18" s="52">
        <f>A17+1</f>
        <v>5</v>
      </c>
      <c r="C18" s="61">
        <v>7.2190000000000004E-2</v>
      </c>
      <c r="D18" s="61">
        <v>9.5000000000000001E-2</v>
      </c>
      <c r="F18" s="52">
        <v>2</v>
      </c>
      <c r="G18" s="231">
        <f t="shared" ref="G18:G28" si="5">$G$11*$C$19/12</f>
        <v>6985.5737991875003</v>
      </c>
      <c r="H18" s="231">
        <f t="shared" ref="H18:H28" si="6">$H$11*$C$18/12</f>
        <v>28608.633506500013</v>
      </c>
      <c r="I18" s="27">
        <f>(('201902 Bk Depr'!$L$17-SUM('2019 Capital Budget'!$G$9:$G$11,'2019 Capital Budget'!$G$19:$G$21,'2019 Capital Budget'!$G$17))*$C$17)+SUM('2019 Capital Budget'!$G$9:$G$11,'2019 Capital Budget'!$G$19:$G$21,'2019 Capital Budget'!$G$17)</f>
        <v>234918.49650000001</v>
      </c>
      <c r="J18" s="231">
        <f t="shared" ref="J18:J28" si="7">SUM(G18:I18)</f>
        <v>270512.70380568755</v>
      </c>
      <c r="K18" s="231">
        <f>'201902 Bk Depr'!$L$31+'Cap&amp;OpEx 2019'!D26</f>
        <v>15607.67</v>
      </c>
      <c r="L18" s="231">
        <f>'201902 Bk Depr'!$P$17</f>
        <v>42645.02547600001</v>
      </c>
      <c r="M18" s="231">
        <f t="shared" si="0"/>
        <v>243475.34832968752</v>
      </c>
      <c r="N18" s="231">
        <f t="shared" si="1"/>
        <v>51129.823149234377</v>
      </c>
      <c r="O18" s="231">
        <f t="shared" si="2"/>
        <v>12523.046106443751</v>
      </c>
      <c r="P18" s="231">
        <f t="shared" si="3"/>
        <v>-2629.8396823531875</v>
      </c>
      <c r="Q18" s="27"/>
      <c r="R18" s="231">
        <f t="shared" si="4"/>
        <v>2973464.0441616909</v>
      </c>
      <c r="S18" s="231">
        <f t="shared" ref="S18:S28" si="8">R18-R17</f>
        <v>61023.029573325068</v>
      </c>
      <c r="T18" s="247" t="s">
        <v>364</v>
      </c>
      <c r="U18" s="231">
        <f>U17+S18*307/365</f>
        <v>2952243.3341113878</v>
      </c>
      <c r="X18" s="50"/>
      <c r="Y18" s="51"/>
      <c r="Z18" s="50"/>
    </row>
    <row r="19" spans="1:26">
      <c r="A19" s="52">
        <f t="shared" ref="A19:A44" si="9">A18+1</f>
        <v>6</v>
      </c>
      <c r="C19" s="61">
        <v>6.6769999999999996E-2</v>
      </c>
      <c r="D19" s="61">
        <v>8.5500000000000007E-2</v>
      </c>
      <c r="F19" s="52">
        <v>3</v>
      </c>
      <c r="G19" s="231">
        <f t="shared" si="5"/>
        <v>6985.5737991875003</v>
      </c>
      <c r="H19" s="231">
        <f t="shared" si="6"/>
        <v>28608.633506500013</v>
      </c>
      <c r="I19" s="27">
        <f>(('201903 Bk Depr'!$L$17-SUM('2019 Capital Budget'!$H$9:$H$11,'2019 Capital Budget'!$H$19:$H$21,'2019 Capital Budget'!$H$17))*$C$17)+SUM('2019 Capital Budget'!$H$9:$H$11,'2019 Capital Budget'!$H$19:$H$21,'2019 Capital Budget'!$H$17)</f>
        <v>1073806.71175</v>
      </c>
      <c r="J19" s="231">
        <f t="shared" si="7"/>
        <v>1109400.9190556875</v>
      </c>
      <c r="K19" s="231">
        <f>'201903 Bk Depr'!$L$31+'Cap&amp;OpEx 2019'!E26</f>
        <v>28820.22</v>
      </c>
      <c r="L19" s="231">
        <f>'201903 Bk Depr'!$P$17</f>
        <v>45457.079215500016</v>
      </c>
      <c r="M19" s="231">
        <f t="shared" si="0"/>
        <v>1092764.0598401874</v>
      </c>
      <c r="N19" s="231">
        <f t="shared" si="1"/>
        <v>229480.45256643934</v>
      </c>
      <c r="O19" s="231">
        <f t="shared" si="2"/>
        <v>54987.481681968755</v>
      </c>
      <c r="P19" s="231">
        <f t="shared" si="3"/>
        <v>-11547.371153213438</v>
      </c>
      <c r="Q19" s="27"/>
      <c r="R19" s="231">
        <f t="shared" si="4"/>
        <v>3246384.6072568852</v>
      </c>
      <c r="S19" s="231">
        <f t="shared" si="8"/>
        <v>272920.56309519429</v>
      </c>
      <c r="T19" s="247" t="s">
        <v>365</v>
      </c>
      <c r="U19" s="231">
        <f>U18+S19*276/365</f>
        <v>3158616.1434655623</v>
      </c>
      <c r="X19" s="50"/>
      <c r="Y19" s="51"/>
      <c r="Z19" s="50"/>
    </row>
    <row r="20" spans="1:26">
      <c r="A20" s="52">
        <f t="shared" si="9"/>
        <v>7</v>
      </c>
      <c r="C20" s="61">
        <v>6.1769999999999999E-2</v>
      </c>
      <c r="D20" s="61">
        <v>7.6999999999999999E-2</v>
      </c>
      <c r="F20" s="52">
        <v>4</v>
      </c>
      <c r="G20" s="231">
        <f t="shared" si="5"/>
        <v>6985.5737991875003</v>
      </c>
      <c r="H20" s="231">
        <f t="shared" si="6"/>
        <v>28608.633506500013</v>
      </c>
      <c r="I20" s="27">
        <f>(('201904 Bk Depr'!$L$17-SUM('2019 Capital Budget'!$I$9:$I$11,'2019 Capital Budget'!$I$19:$I$21,'2019 Capital Budget'!$I$17))*$C$17)+SUM('2019 Capital Budget'!$I$9:$I$11,'2019 Capital Budget'!$I$19:$I$21,'2019 Capital Budget'!$I$17)</f>
        <v>815385.51737499994</v>
      </c>
      <c r="J20" s="231">
        <f t="shared" si="7"/>
        <v>850979.72468068742</v>
      </c>
      <c r="K20" s="231">
        <f>'201904 Bk Depr'!$L$31+'Cap&amp;OpEx 2019'!F26</f>
        <v>48035.55</v>
      </c>
      <c r="L20" s="231">
        <f>'201904 Bk Depr'!$P$17</f>
        <v>48941.413609500007</v>
      </c>
      <c r="M20" s="231">
        <f t="shared" si="0"/>
        <v>850073.86107118742</v>
      </c>
      <c r="N20" s="231">
        <f t="shared" si="1"/>
        <v>178515.51082494936</v>
      </c>
      <c r="O20" s="231">
        <f t="shared" si="2"/>
        <v>42852.971743518749</v>
      </c>
      <c r="P20" s="231">
        <f t="shared" si="3"/>
        <v>-8999.1240661389365</v>
      </c>
      <c r="Q20" s="27"/>
      <c r="R20" s="231">
        <f t="shared" si="4"/>
        <v>3458753.9657592145</v>
      </c>
      <c r="S20" s="231">
        <f t="shared" si="8"/>
        <v>212369.35850232933</v>
      </c>
      <c r="T20" s="247" t="s">
        <v>366</v>
      </c>
      <c r="U20" s="231">
        <f>U19+S20*246/365</f>
        <v>3301747.2727575433</v>
      </c>
      <c r="X20" s="153"/>
      <c r="Y20" s="51"/>
      <c r="Z20" s="50"/>
    </row>
    <row r="21" spans="1:26">
      <c r="A21" s="52">
        <f t="shared" si="9"/>
        <v>8</v>
      </c>
      <c r="C21" s="61">
        <v>5.713E-2</v>
      </c>
      <c r="D21" s="61">
        <v>6.93E-2</v>
      </c>
      <c r="F21" s="52">
        <v>5</v>
      </c>
      <c r="G21" s="231">
        <f t="shared" si="5"/>
        <v>6985.5737991875003</v>
      </c>
      <c r="H21" s="231">
        <f t="shared" si="6"/>
        <v>28608.633506500013</v>
      </c>
      <c r="I21" s="27">
        <f>(('201905 Bk Depr'!$L$17-SUM('2019 Capital Budget'!$J$9:$J$11,'2019 Capital Budget'!$J$19:$J$21,'2019 Capital Budget'!$J$17))*$C$17)+SUM('2019 Capital Budget'!$J$9:$J$11,'2019 Capital Budget'!$J$19:$J$21,'2019 Capital Budget'!$J$17)</f>
        <v>672622.69200000004</v>
      </c>
      <c r="J21" s="231">
        <f t="shared" si="7"/>
        <v>708216.89930568752</v>
      </c>
      <c r="K21" s="231">
        <f>'201905 Bk Depr'!$L$31+'Cap&amp;OpEx 2019'!G26</f>
        <v>33625.33</v>
      </c>
      <c r="L21" s="231">
        <f>'201905 Bk Depr'!$P$17</f>
        <v>51734.298037500012</v>
      </c>
      <c r="M21" s="231">
        <f t="shared" si="0"/>
        <v>690107.93126818747</v>
      </c>
      <c r="N21" s="231">
        <f t="shared" si="1"/>
        <v>144922.66556631937</v>
      </c>
      <c r="O21" s="231">
        <f t="shared" si="2"/>
        <v>34854.675253368754</v>
      </c>
      <c r="P21" s="231">
        <f t="shared" si="3"/>
        <v>-7319.4818032074381</v>
      </c>
      <c r="Q21" s="27"/>
      <c r="R21" s="231">
        <f t="shared" si="4"/>
        <v>3631211.8247756949</v>
      </c>
      <c r="S21" s="231">
        <f t="shared" si="8"/>
        <v>172457.85901648039</v>
      </c>
      <c r="T21" s="247" t="s">
        <v>367</v>
      </c>
      <c r="U21" s="231">
        <f>U20+S21*215/365</f>
        <v>3403332.0390275246</v>
      </c>
      <c r="X21" s="50"/>
      <c r="Y21" s="51"/>
      <c r="Z21" s="50"/>
    </row>
    <row r="22" spans="1:26">
      <c r="A22" s="52">
        <f t="shared" si="9"/>
        <v>9</v>
      </c>
      <c r="C22" s="61">
        <v>5.2850000000000001E-2</v>
      </c>
      <c r="D22" s="61">
        <v>6.2300000000000001E-2</v>
      </c>
      <c r="F22" s="52">
        <v>6</v>
      </c>
      <c r="G22" s="231">
        <f t="shared" si="5"/>
        <v>6985.5737991875003</v>
      </c>
      <c r="H22" s="231">
        <f t="shared" si="6"/>
        <v>28608.633506500013</v>
      </c>
      <c r="I22" s="27">
        <f>(('201906 Bk Depr'!$L$17-SUM('2019 Capital Budget'!$K$9:$K$11,'2019 Capital Budget'!$K$19:$K$21,'2019 Capital Budget'!$K$17))*$C$17)+SUM('2019 Capital Budget'!$K$9:$K$11,'2019 Capital Budget'!$K$19:$K$21,'2019 Capital Budget'!$K$17)</f>
        <v>516996.82</v>
      </c>
      <c r="J22" s="231">
        <f t="shared" si="7"/>
        <v>552591.02730568754</v>
      </c>
      <c r="K22" s="231">
        <f>'201906 Bk Depr'!$L$31+'Cap&amp;OpEx 2019'!H26</f>
        <v>155832.47</v>
      </c>
      <c r="L22" s="231">
        <f>'201906 Bk Depr'!$P$17</f>
        <v>54254.763090000015</v>
      </c>
      <c r="M22" s="231">
        <f t="shared" si="0"/>
        <v>654168.73421568749</v>
      </c>
      <c r="N22" s="231">
        <f t="shared" si="1"/>
        <v>137375.43418529438</v>
      </c>
      <c r="O22" s="231">
        <f t="shared" si="2"/>
        <v>33057.715400743749</v>
      </c>
      <c r="P22" s="231">
        <f t="shared" si="3"/>
        <v>-6942.1202341561875</v>
      </c>
      <c r="Q22" s="27"/>
      <c r="R22" s="231">
        <f t="shared" si="4"/>
        <v>3794702.854127577</v>
      </c>
      <c r="S22" s="231">
        <f t="shared" si="8"/>
        <v>163491.02935188217</v>
      </c>
      <c r="T22" s="247" t="s">
        <v>362</v>
      </c>
      <c r="U22" s="231">
        <f>U21+S22*185/365</f>
        <v>3486197.355274369</v>
      </c>
      <c r="X22" s="50"/>
      <c r="Y22" s="50"/>
      <c r="Z22" s="50"/>
    </row>
    <row r="23" spans="1:26">
      <c r="A23" s="52">
        <f t="shared" si="9"/>
        <v>10</v>
      </c>
      <c r="C23" s="61">
        <v>4.888E-2</v>
      </c>
      <c r="D23" s="61">
        <v>5.8999999999999997E-2</v>
      </c>
      <c r="F23" s="52">
        <v>7</v>
      </c>
      <c r="G23" s="231">
        <f t="shared" si="5"/>
        <v>6985.5737991875003</v>
      </c>
      <c r="H23" s="231">
        <f t="shared" si="6"/>
        <v>28608.633506500013</v>
      </c>
      <c r="I23" s="27">
        <f>(('201907 Bk Depr'!$L$17-SUM('2019 Capital Budget'!$L$9:$L$11,'2019 Capital Budget'!$L$19:$L$21,'2019 Capital Budget'!$L$17))*$C$17)+SUM('2019 Capital Budget'!$L$9:$L$11,'2019 Capital Budget'!$L$19:$L$21,'2019 Capital Budget'!$L$17)</f>
        <v>525367.90174999996</v>
      </c>
      <c r="J23" s="231">
        <f t="shared" si="7"/>
        <v>560962.10905568744</v>
      </c>
      <c r="K23" s="231">
        <f>'201907 Bk Depr'!$L$31+'Cap&amp;OpEx 2019'!I26</f>
        <v>44431.49</v>
      </c>
      <c r="L23" s="231">
        <f>'201907 Bk Depr'!$P$17</f>
        <v>56676.602812500016</v>
      </c>
      <c r="M23" s="231">
        <f t="shared" si="0"/>
        <v>548716.99624318746</v>
      </c>
      <c r="N23" s="231">
        <f>M23*0.21</f>
        <v>115230.56921106936</v>
      </c>
      <c r="O23" s="231">
        <f t="shared" si="2"/>
        <v>27785.12850211875</v>
      </c>
      <c r="P23" s="231">
        <f>-O23*0.21</f>
        <v>-5834.8769854449374</v>
      </c>
      <c r="Q23" s="27"/>
      <c r="R23" s="231">
        <f t="shared" si="4"/>
        <v>3931883.6748553202</v>
      </c>
      <c r="S23" s="231">
        <f t="shared" si="8"/>
        <v>137180.82072774321</v>
      </c>
      <c r="T23" s="247" t="s">
        <v>358</v>
      </c>
      <c r="U23" s="231">
        <f>U22+S23*154/365</f>
        <v>3544076.3864855263</v>
      </c>
      <c r="X23" s="50"/>
      <c r="Y23" s="50"/>
      <c r="Z23" s="50"/>
    </row>
    <row r="24" spans="1:26">
      <c r="A24" s="52">
        <f t="shared" si="9"/>
        <v>11</v>
      </c>
      <c r="C24" s="61">
        <v>4.5220000000000003E-2</v>
      </c>
      <c r="D24" s="61">
        <v>5.8999999999999997E-2</v>
      </c>
      <c r="F24" s="52">
        <v>8</v>
      </c>
      <c r="G24" s="231">
        <f t="shared" si="5"/>
        <v>6985.5737991875003</v>
      </c>
      <c r="H24" s="231">
        <f t="shared" si="6"/>
        <v>28608.633506500013</v>
      </c>
      <c r="I24" s="27">
        <f>(('201908 Bk Depr'!$L$17-SUM('2019 Capital Budget'!$M$9:$M$11,'2019 Capital Budget'!$M$19:$M$21,'2019 Capital Budget'!$M$17))*$C$17)+SUM('2019 Capital Budget'!$M$9:$M$11,'2019 Capital Budget'!$M$19:$M$21,'2019 Capital Budget'!$M$17)</f>
        <v>455537.8586249997</v>
      </c>
      <c r="J24" s="231">
        <f t="shared" si="7"/>
        <v>491132.06593068724</v>
      </c>
      <c r="K24" s="231">
        <f>'201908 Bk Depr'!$L$31+'Cap&amp;OpEx 2019'!J26</f>
        <v>102499.2</v>
      </c>
      <c r="L24" s="231">
        <f>'201908 Bk Depr'!$P$17</f>
        <v>59009.780934000002</v>
      </c>
      <c r="M24" s="231">
        <f t="shared" si="0"/>
        <v>534621.48499668716</v>
      </c>
      <c r="N24" s="231">
        <f t="shared" ref="N24:N28" si="10">M24*0.21</f>
        <v>112270.5118493043</v>
      </c>
      <c r="O24" s="231">
        <f t="shared" si="2"/>
        <v>27080.352939793738</v>
      </c>
      <c r="P24" s="231">
        <f t="shared" ref="P24:P28" si="11">-O24*0.21</f>
        <v>-5686.874117356685</v>
      </c>
      <c r="Q24" s="27"/>
      <c r="R24" s="231">
        <f t="shared" si="4"/>
        <v>4065547.6655270616</v>
      </c>
      <c r="S24" s="231">
        <f t="shared" si="8"/>
        <v>133663.99067174131</v>
      </c>
      <c r="T24" s="247" t="s">
        <v>359</v>
      </c>
      <c r="U24" s="231">
        <f>U23+S24*123/365</f>
        <v>3589119.3203283325</v>
      </c>
      <c r="X24" s="50"/>
      <c r="Y24" s="50"/>
      <c r="Z24" s="50"/>
    </row>
    <row r="25" spans="1:26">
      <c r="A25" s="52">
        <f t="shared" si="9"/>
        <v>12</v>
      </c>
      <c r="C25" s="61">
        <v>4.462E-2</v>
      </c>
      <c r="D25" s="61">
        <v>5.91E-2</v>
      </c>
      <c r="F25" s="52">
        <v>9</v>
      </c>
      <c r="G25" s="231">
        <f t="shared" si="5"/>
        <v>6985.5737991875003</v>
      </c>
      <c r="H25" s="231">
        <f t="shared" si="6"/>
        <v>28608.633506500013</v>
      </c>
      <c r="I25" s="27">
        <f>(('201909 Bk Depr'!$L$17-SUM('2019 Capital Budget'!$N$9:$N$11,'2019 Capital Budget'!$N$19:$N$21,'2019 Capital Budget'!$N$17))*$C$17)+SUM('2019 Capital Budget'!$N$9:$N$11,'2019 Capital Budget'!$N$19:$N$21,'2019 Capital Budget'!$N$17)</f>
        <v>536702.14174999995</v>
      </c>
      <c r="J25" s="231">
        <f t="shared" si="7"/>
        <v>572296.34905568743</v>
      </c>
      <c r="K25" s="231">
        <f>'201909 Bk Depr'!$L$31+'Cap&amp;OpEx 2019'!K26</f>
        <v>112287.79999999999</v>
      </c>
      <c r="L25" s="231">
        <f>'201909 Bk Depr'!$P$17</f>
        <v>61409.145883500008</v>
      </c>
      <c r="M25" s="231">
        <f t="shared" si="0"/>
        <v>623175.00317218748</v>
      </c>
      <c r="N25" s="231">
        <f t="shared" si="10"/>
        <v>130866.75066615937</v>
      </c>
      <c r="O25" s="231">
        <f t="shared" si="2"/>
        <v>31508.028848568752</v>
      </c>
      <c r="P25" s="231">
        <f t="shared" si="11"/>
        <v>-6616.6860581994379</v>
      </c>
      <c r="Q25" s="27"/>
      <c r="R25" s="231">
        <f t="shared" si="4"/>
        <v>4221305.7589835906</v>
      </c>
      <c r="S25" s="231">
        <f t="shared" si="8"/>
        <v>155758.09345652908</v>
      </c>
      <c r="T25" s="247" t="s">
        <v>360</v>
      </c>
      <c r="U25" s="231">
        <f>U24+S25*93/365</f>
        <v>3628805.629072051</v>
      </c>
    </row>
    <row r="26" spans="1:26">
      <c r="A26" s="52">
        <f t="shared" si="9"/>
        <v>13</v>
      </c>
      <c r="C26" s="61">
        <v>4.4609999999999997E-2</v>
      </c>
      <c r="D26" s="61">
        <v>5.8999999999999997E-2</v>
      </c>
      <c r="F26" s="52">
        <v>10</v>
      </c>
      <c r="G26" s="231">
        <f t="shared" si="5"/>
        <v>6985.5737991875003</v>
      </c>
      <c r="H26" s="231">
        <f t="shared" si="6"/>
        <v>28608.633506500013</v>
      </c>
      <c r="I26" s="27">
        <f>(('201910 Bk Depr'!$L$17-SUM('2019 Capital Budget'!$O$9:$O$11,'2019 Capital Budget'!$O$19:$O$21,'2019 Capital Budget'!$O$17))*$C$17)+SUM('2019 Capital Budget'!$O$9:$O$11,'2019 Capital Budget'!$O$19:$O$21,'2019 Capital Budget'!$O$17)</f>
        <v>486868.59587499994</v>
      </c>
      <c r="J26" s="231">
        <f t="shared" si="7"/>
        <v>522462.80318068748</v>
      </c>
      <c r="K26" s="231">
        <f>'201910 Bk Depr'!$L$31+'Cap&amp;OpEx 2019'!L26</f>
        <v>94708.18</v>
      </c>
      <c r="L26" s="231">
        <f>'201910 Bk Depr'!$P$17</f>
        <v>63983.581182000009</v>
      </c>
      <c r="M26" s="231">
        <f t="shared" si="0"/>
        <v>553187.40199868754</v>
      </c>
      <c r="N26" s="231">
        <f t="shared" si="10"/>
        <v>116169.35441972438</v>
      </c>
      <c r="O26" s="231">
        <f t="shared" si="2"/>
        <v>28008.648789893745</v>
      </c>
      <c r="P26" s="231">
        <f t="shared" si="11"/>
        <v>-5881.816245877686</v>
      </c>
      <c r="Q26" s="27"/>
      <c r="R26" s="231">
        <f t="shared" si="4"/>
        <v>4359601.9459473304</v>
      </c>
      <c r="S26" s="231">
        <f t="shared" si="8"/>
        <v>138296.1869637398</v>
      </c>
      <c r="T26" s="247" t="s">
        <v>361</v>
      </c>
      <c r="U26" s="231">
        <f>U25+S26*62/365</f>
        <v>3652297.0361727411</v>
      </c>
    </row>
    <row r="27" spans="1:26">
      <c r="A27" s="52">
        <f t="shared" si="9"/>
        <v>14</v>
      </c>
      <c r="C27" s="61">
        <v>4.462E-2</v>
      </c>
      <c r="D27" s="61">
        <v>5.91E-2</v>
      </c>
      <c r="F27" s="52">
        <v>11</v>
      </c>
      <c r="G27" s="231">
        <f t="shared" si="5"/>
        <v>6985.5737991875003</v>
      </c>
      <c r="H27" s="231">
        <f t="shared" si="6"/>
        <v>28608.633506500013</v>
      </c>
      <c r="I27" s="27">
        <f>(('201911 Bk Depr'!$L$17-SUM('2019 Capital Budget'!$P$9:$P$11,'2019 Capital Budget'!$P$19:$P$21,'2019 Capital Budget'!$P$17))*$C$17)+SUM('2019 Capital Budget'!$P$9:$P$11,'2019 Capital Budget'!$P$19:$P$21,'2019 Capital Budget'!$P$17)</f>
        <v>350565.22574999998</v>
      </c>
      <c r="J27" s="231">
        <f t="shared" si="7"/>
        <v>386159.43305568752</v>
      </c>
      <c r="K27" s="231">
        <f>'201911 Bk Depr'!$L$31+'Cap&amp;OpEx 2019'!M26</f>
        <v>187880.81</v>
      </c>
      <c r="L27" s="231">
        <f>'201911 Bk Depr'!$P$17</f>
        <v>66360.254251499995</v>
      </c>
      <c r="M27" s="231">
        <f t="shared" si="0"/>
        <v>507679.98880418751</v>
      </c>
      <c r="N27" s="231">
        <f t="shared" si="10"/>
        <v>106612.79764887938</v>
      </c>
      <c r="O27" s="231">
        <f t="shared" si="2"/>
        <v>25733.278130168754</v>
      </c>
      <c r="P27" s="231">
        <f t="shared" si="11"/>
        <v>-5403.9884073354378</v>
      </c>
      <c r="Q27" s="27"/>
      <c r="R27" s="231">
        <f t="shared" si="4"/>
        <v>4486544.0333190439</v>
      </c>
      <c r="S27" s="231">
        <f t="shared" si="8"/>
        <v>126942.08737171348</v>
      </c>
      <c r="T27" s="247" t="s">
        <v>357</v>
      </c>
      <c r="U27" s="231">
        <f>U26+S27*32/365</f>
        <v>3663426.2054765625</v>
      </c>
    </row>
    <row r="28" spans="1:26">
      <c r="A28" s="52">
        <f t="shared" si="9"/>
        <v>15</v>
      </c>
      <c r="C28" s="61">
        <v>4.4609999999999997E-2</v>
      </c>
      <c r="D28" s="61">
        <v>5.8999999999999997E-2</v>
      </c>
      <c r="F28" s="52">
        <v>12</v>
      </c>
      <c r="G28" s="231">
        <f t="shared" si="5"/>
        <v>6985.5737991875003</v>
      </c>
      <c r="H28" s="231">
        <f t="shared" si="6"/>
        <v>28608.633506500013</v>
      </c>
      <c r="I28" s="27">
        <f>(('201912 Bk Depr'!$L$17-SUM('2019 Capital Budget'!$Q$9:$Q$11,'2019 Capital Budget'!$Q$19:$Q$21,'2019 Capital Budget'!$Q$17))*$C$17)+SUM('2019 Capital Budget'!$Q$9:$Q$11,'2019 Capital Budget'!$Q$19:$Q$21,'2019 Capital Budget'!$Q$17)</f>
        <v>460877.68075</v>
      </c>
      <c r="J28" s="231">
        <f t="shared" si="7"/>
        <v>496471.88805568754</v>
      </c>
      <c r="K28" s="231">
        <f>'201912 Bk Depr'!$L$31+'Cap&amp;OpEx 2019'!N26</f>
        <v>159889.10999999999</v>
      </c>
      <c r="L28" s="231">
        <f>'201912 Bk Depr'!$P$17</f>
        <v>68678.330422500003</v>
      </c>
      <c r="M28" s="231">
        <f t="shared" si="0"/>
        <v>587682.66763318749</v>
      </c>
      <c r="N28" s="231">
        <f t="shared" si="10"/>
        <v>123413.36020296937</v>
      </c>
      <c r="O28" s="231">
        <f t="shared" si="2"/>
        <v>29733.412071618746</v>
      </c>
      <c r="P28" s="231">
        <f t="shared" si="11"/>
        <v>-6244.0165350399366</v>
      </c>
      <c r="Q28" s="27"/>
      <c r="R28" s="231">
        <f t="shared" si="4"/>
        <v>4633446.7890585922</v>
      </c>
      <c r="S28" s="231">
        <f t="shared" si="8"/>
        <v>146902.75573954824</v>
      </c>
      <c r="T28" s="247" t="s">
        <v>356</v>
      </c>
      <c r="U28" s="231">
        <f>U27+S28*1/365</f>
        <v>3663828.6787799587</v>
      </c>
    </row>
    <row r="29" spans="1:26">
      <c r="A29" s="52">
        <f t="shared" si="9"/>
        <v>16</v>
      </c>
      <c r="C29" s="61">
        <v>4.462E-2</v>
      </c>
      <c r="D29" s="61">
        <v>5.91E-2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 t="str">
        <f t="shared" ref="Q29:Q43" si="12">IF(P29="","",P29*0.389)</f>
        <v/>
      </c>
      <c r="R29" s="62"/>
      <c r="U29" s="27"/>
    </row>
    <row r="30" spans="1:26">
      <c r="A30" s="52">
        <f t="shared" si="9"/>
        <v>17</v>
      </c>
      <c r="C30" s="61">
        <v>4.4609999999999997E-2</v>
      </c>
      <c r="D30" s="61">
        <v>5.8999999999999997E-2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 t="str">
        <f t="shared" si="12"/>
        <v/>
      </c>
      <c r="R30" s="27" t="str">
        <f t="shared" ref="R30:R43" si="13">IF(N30="","",R29+N30)</f>
        <v/>
      </c>
    </row>
    <row r="31" spans="1:26">
      <c r="A31" s="52">
        <f t="shared" si="9"/>
        <v>18</v>
      </c>
      <c r="C31" s="61">
        <v>4.462E-2</v>
      </c>
      <c r="D31" s="61">
        <v>5.91E-2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 t="str">
        <f t="shared" si="12"/>
        <v/>
      </c>
      <c r="R31" s="27" t="str">
        <f t="shared" si="13"/>
        <v/>
      </c>
    </row>
    <row r="32" spans="1:26">
      <c r="A32" s="52">
        <f t="shared" si="9"/>
        <v>19</v>
      </c>
      <c r="C32" s="61">
        <v>4.4609999999999997E-2</v>
      </c>
      <c r="D32" s="61">
        <v>2.9499999999999998E-2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 t="str">
        <f t="shared" si="12"/>
        <v/>
      </c>
      <c r="R32" s="27" t="str">
        <f t="shared" si="13"/>
        <v/>
      </c>
    </row>
    <row r="33" spans="1:18">
      <c r="A33" s="52">
        <f t="shared" si="9"/>
        <v>20</v>
      </c>
      <c r="C33" s="61">
        <v>4.462E-2</v>
      </c>
      <c r="D33" s="61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 t="str">
        <f t="shared" si="12"/>
        <v/>
      </c>
      <c r="R33" s="27" t="str">
        <f t="shared" si="13"/>
        <v/>
      </c>
    </row>
    <row r="34" spans="1:18">
      <c r="A34" s="52">
        <f t="shared" si="9"/>
        <v>21</v>
      </c>
      <c r="C34" s="61">
        <v>4.4609999999999997E-2</v>
      </c>
      <c r="D34" s="61"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 t="str">
        <f t="shared" si="12"/>
        <v/>
      </c>
      <c r="R34" s="27" t="str">
        <f t="shared" si="13"/>
        <v/>
      </c>
    </row>
    <row r="35" spans="1:18">
      <c r="A35" s="52">
        <f t="shared" si="9"/>
        <v>22</v>
      </c>
      <c r="C35" s="61">
        <v>4.462E-2</v>
      </c>
      <c r="D35" s="61"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 t="str">
        <f t="shared" si="12"/>
        <v/>
      </c>
      <c r="R35" s="27" t="str">
        <f t="shared" si="13"/>
        <v/>
      </c>
    </row>
    <row r="36" spans="1:18">
      <c r="A36" s="52">
        <f t="shared" si="9"/>
        <v>23</v>
      </c>
      <c r="C36" s="61">
        <v>4.4609999999999997E-2</v>
      </c>
      <c r="D36" s="61"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 t="str">
        <f t="shared" si="12"/>
        <v/>
      </c>
      <c r="R36" s="27" t="str">
        <f t="shared" si="13"/>
        <v/>
      </c>
    </row>
    <row r="37" spans="1:18">
      <c r="A37" s="52">
        <f t="shared" si="9"/>
        <v>24</v>
      </c>
      <c r="C37" s="61">
        <v>2.231E-2</v>
      </c>
      <c r="D37" s="61"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 t="str">
        <f t="shared" si="12"/>
        <v/>
      </c>
      <c r="R37" s="27" t="str">
        <f t="shared" si="13"/>
        <v/>
      </c>
    </row>
    <row r="38" spans="1:18">
      <c r="A38" s="52">
        <f t="shared" si="9"/>
        <v>25</v>
      </c>
      <c r="C38" s="61">
        <v>0</v>
      </c>
      <c r="D38" s="61"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 t="str">
        <f t="shared" si="12"/>
        <v/>
      </c>
      <c r="R38" s="27" t="str">
        <f t="shared" si="13"/>
        <v/>
      </c>
    </row>
    <row r="39" spans="1:18">
      <c r="A39" s="52">
        <f t="shared" si="9"/>
        <v>26</v>
      </c>
      <c r="C39" s="61">
        <v>0</v>
      </c>
      <c r="G39" s="27"/>
      <c r="H39" s="27"/>
      <c r="I39" s="27"/>
      <c r="J39" s="27"/>
      <c r="M39" s="27"/>
      <c r="N39" s="27"/>
      <c r="O39" s="27"/>
      <c r="P39" s="27"/>
      <c r="Q39" s="27" t="str">
        <f t="shared" si="12"/>
        <v/>
      </c>
      <c r="R39" s="27" t="str">
        <f t="shared" si="13"/>
        <v/>
      </c>
    </row>
    <row r="40" spans="1:18">
      <c r="A40" s="52">
        <f t="shared" si="9"/>
        <v>27</v>
      </c>
      <c r="C40" s="61">
        <v>0</v>
      </c>
      <c r="G40" s="27"/>
      <c r="H40" s="27"/>
      <c r="I40" s="27"/>
      <c r="J40" s="27"/>
      <c r="M40" s="27"/>
      <c r="N40" s="27"/>
      <c r="O40" s="27"/>
      <c r="P40" s="27"/>
      <c r="Q40" s="27" t="str">
        <f t="shared" si="12"/>
        <v/>
      </c>
      <c r="R40" s="27" t="str">
        <f t="shared" si="13"/>
        <v/>
      </c>
    </row>
    <row r="41" spans="1:18">
      <c r="A41" s="52">
        <f t="shared" si="9"/>
        <v>28</v>
      </c>
      <c r="C41" s="61">
        <v>0</v>
      </c>
      <c r="G41" s="27"/>
      <c r="H41" s="27"/>
      <c r="I41" s="27"/>
      <c r="J41" s="27"/>
      <c r="M41" s="27"/>
      <c r="N41" s="27"/>
      <c r="O41" s="27"/>
      <c r="P41" s="27"/>
      <c r="Q41" s="27" t="str">
        <f t="shared" si="12"/>
        <v/>
      </c>
      <c r="R41" s="27" t="str">
        <f t="shared" si="13"/>
        <v/>
      </c>
    </row>
    <row r="42" spans="1:18">
      <c r="A42" s="52">
        <f t="shared" si="9"/>
        <v>29</v>
      </c>
      <c r="C42" s="61">
        <v>0</v>
      </c>
      <c r="G42" s="27"/>
      <c r="H42" s="27"/>
      <c r="I42" s="27"/>
      <c r="J42" s="27"/>
      <c r="M42" s="27"/>
      <c r="N42" s="27"/>
      <c r="O42" s="27"/>
      <c r="P42" s="27"/>
      <c r="Q42" s="27" t="str">
        <f t="shared" si="12"/>
        <v/>
      </c>
      <c r="R42" s="27" t="str">
        <f t="shared" si="13"/>
        <v/>
      </c>
    </row>
    <row r="43" spans="1:18">
      <c r="A43" s="52">
        <f t="shared" si="9"/>
        <v>30</v>
      </c>
      <c r="C43" s="61">
        <v>0</v>
      </c>
      <c r="J43" s="27"/>
      <c r="M43" s="27"/>
      <c r="N43" s="27"/>
      <c r="O43" s="27"/>
      <c r="P43" s="27"/>
      <c r="Q43" s="27" t="str">
        <f t="shared" si="12"/>
        <v/>
      </c>
      <c r="R43" s="27" t="str">
        <f t="shared" si="13"/>
        <v/>
      </c>
    </row>
    <row r="44" spans="1:18">
      <c r="A44" s="52">
        <f t="shared" si="9"/>
        <v>31</v>
      </c>
      <c r="G44" s="27">
        <f>SUM(G17:G43)</f>
        <v>83826.885590250022</v>
      </c>
      <c r="H44" s="27">
        <f>SUM(H17:H43)</f>
        <v>343303.60207800008</v>
      </c>
      <c r="I44" s="27">
        <f t="shared" ref="I44:Q44" si="14">SUM(I17:I43)</f>
        <v>6655497.9302499993</v>
      </c>
      <c r="J44" s="27">
        <f t="shared" si="14"/>
        <v>7082628.41791825</v>
      </c>
      <c r="K44" s="27">
        <f t="shared" si="14"/>
        <v>1023674.2000000001</v>
      </c>
      <c r="L44" s="27">
        <f t="shared" si="14"/>
        <v>659801.37172050017</v>
      </c>
      <c r="M44" s="27">
        <f t="shared" si="14"/>
        <v>7446501.2461977489</v>
      </c>
      <c r="N44" s="27">
        <f t="shared" si="14"/>
        <v>1563765.2617015275</v>
      </c>
      <c r="O44" s="27">
        <f t="shared" si="14"/>
        <v>376516.40658939991</v>
      </c>
      <c r="P44" s="27">
        <f t="shared" si="14"/>
        <v>-79068.445383773986</v>
      </c>
      <c r="Q44" s="27">
        <f t="shared" si="14"/>
        <v>0</v>
      </c>
      <c r="R44" s="27">
        <f>AVERAGE(R16:R28)</f>
        <v>3729809.364962447</v>
      </c>
    </row>
    <row r="45" spans="1:18">
      <c r="G45" s="27"/>
      <c r="H45" s="27"/>
      <c r="I45" s="27"/>
      <c r="J45" s="27"/>
      <c r="K45" s="27"/>
      <c r="L45" s="27"/>
      <c r="R45" s="27"/>
    </row>
    <row r="46" spans="1:18">
      <c r="O46" s="27"/>
      <c r="P46" s="27"/>
      <c r="Q46" s="27"/>
    </row>
    <row r="47" spans="1:18">
      <c r="B47" s="60" t="s">
        <v>166</v>
      </c>
      <c r="C47" s="52" t="s">
        <v>488</v>
      </c>
      <c r="O47" s="54"/>
      <c r="P47" s="54"/>
      <c r="Q47" s="54"/>
    </row>
    <row r="48" spans="1:18">
      <c r="B48" s="60" t="s">
        <v>167</v>
      </c>
      <c r="C48" s="52" t="s">
        <v>487</v>
      </c>
      <c r="D48" s="245"/>
      <c r="O48" s="48"/>
      <c r="P48" s="48"/>
      <c r="Q48" s="48"/>
    </row>
    <row r="49" spans="1:18">
      <c r="B49" s="60" t="s">
        <v>168</v>
      </c>
      <c r="C49" s="52" t="s">
        <v>486</v>
      </c>
      <c r="D49" s="245"/>
      <c r="O49" s="48"/>
      <c r="P49" s="48"/>
      <c r="Q49" s="48"/>
    </row>
    <row r="50" spans="1:18">
      <c r="A50" s="54"/>
      <c r="B50" s="54"/>
      <c r="C50" s="54"/>
      <c r="D50" s="54" t="s">
        <v>24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49"/>
      <c r="P50" s="49"/>
      <c r="Q50" s="49"/>
      <c r="R50" s="54"/>
    </row>
    <row r="51" spans="1:18" ht="25.5">
      <c r="A51" s="54"/>
      <c r="B51" s="54"/>
      <c r="C51" s="55" t="s">
        <v>191</v>
      </c>
      <c r="D51" s="54" t="s">
        <v>25</v>
      </c>
      <c r="E51" s="54"/>
      <c r="F51" s="54"/>
      <c r="G51" s="54">
        <v>2017</v>
      </c>
      <c r="H51" s="54">
        <v>2018</v>
      </c>
      <c r="I51" s="54">
        <v>2019</v>
      </c>
      <c r="J51" s="54"/>
      <c r="K51" s="54" t="s">
        <v>35</v>
      </c>
      <c r="L51" s="54"/>
      <c r="M51" s="54"/>
      <c r="N51" s="55" t="s">
        <v>182</v>
      </c>
      <c r="R51" s="49"/>
    </row>
    <row r="52" spans="1:18">
      <c r="A52" s="54" t="s">
        <v>4</v>
      </c>
      <c r="B52" s="54"/>
      <c r="C52" s="54" t="s">
        <v>26</v>
      </c>
      <c r="D52" s="54" t="s">
        <v>26</v>
      </c>
      <c r="E52" s="54"/>
      <c r="F52" s="54"/>
      <c r="G52" s="54" t="s">
        <v>28</v>
      </c>
      <c r="H52" s="54" t="s">
        <v>29</v>
      </c>
      <c r="I52" s="54" t="s">
        <v>30</v>
      </c>
      <c r="J52" s="54" t="s">
        <v>34</v>
      </c>
      <c r="K52" s="54" t="s">
        <v>36</v>
      </c>
      <c r="L52" s="54" t="s">
        <v>38</v>
      </c>
      <c r="M52" s="54"/>
      <c r="N52" s="54" t="s">
        <v>34</v>
      </c>
      <c r="R52" s="49"/>
    </row>
    <row r="53" spans="1:18">
      <c r="A53" s="419" t="s">
        <v>5</v>
      </c>
      <c r="B53" s="419"/>
      <c r="C53" s="419" t="s">
        <v>2</v>
      </c>
      <c r="D53" s="419" t="s">
        <v>2</v>
      </c>
      <c r="E53" s="419"/>
      <c r="F53" s="419" t="s">
        <v>108</v>
      </c>
      <c r="G53" s="419" t="s">
        <v>20</v>
      </c>
      <c r="H53" s="420" t="s">
        <v>20</v>
      </c>
      <c r="I53" s="420" t="s">
        <v>20</v>
      </c>
      <c r="J53" s="419" t="s">
        <v>0</v>
      </c>
      <c r="K53" s="419" t="s">
        <v>37</v>
      </c>
      <c r="L53" s="419" t="s">
        <v>0</v>
      </c>
      <c r="M53" s="419" t="s">
        <v>39</v>
      </c>
      <c r="N53" s="56" t="s">
        <v>494</v>
      </c>
      <c r="R53" s="49"/>
    </row>
    <row r="54" spans="1:18">
      <c r="C54" s="57"/>
      <c r="D54" s="57" t="s">
        <v>71</v>
      </c>
      <c r="E54" s="58"/>
      <c r="F54" s="58"/>
      <c r="G54" s="58"/>
      <c r="H54" s="58"/>
      <c r="I54" s="58"/>
      <c r="R54" s="50"/>
    </row>
    <row r="55" spans="1:18">
      <c r="A55" s="52">
        <v>1</v>
      </c>
      <c r="C55" s="57" t="s">
        <v>70</v>
      </c>
      <c r="D55" s="59"/>
      <c r="G55" s="27">
        <f>G11+G13</f>
        <v>2510914.65</v>
      </c>
      <c r="H55" s="27">
        <f>H11+H13</f>
        <v>4755556.200000002</v>
      </c>
      <c r="I55" s="27">
        <f>I11</f>
        <v>4801920.5399999991</v>
      </c>
      <c r="J55" s="62"/>
      <c r="R55" s="50"/>
    </row>
    <row r="56" spans="1:18">
      <c r="A56" s="52">
        <v>2</v>
      </c>
      <c r="C56" s="57" t="s">
        <v>74</v>
      </c>
      <c r="D56" s="59"/>
      <c r="G56" s="27"/>
      <c r="H56" s="27"/>
      <c r="I56" s="27">
        <f>I12</f>
        <v>6475425.9100000001</v>
      </c>
      <c r="R56" s="50"/>
    </row>
    <row r="57" spans="1:18">
      <c r="A57" s="52">
        <v>3</v>
      </c>
      <c r="C57" s="57" t="s">
        <v>185</v>
      </c>
      <c r="D57" s="59"/>
      <c r="G57" s="27"/>
      <c r="H57" s="27"/>
      <c r="I57" s="27"/>
      <c r="R57" s="50"/>
    </row>
    <row r="58" spans="1:18">
      <c r="C58" s="59"/>
      <c r="R58" s="50"/>
    </row>
    <row r="59" spans="1:18">
      <c r="G59" s="195"/>
      <c r="H59" s="195"/>
      <c r="I59" s="195"/>
      <c r="J59" s="195"/>
      <c r="K59" s="195"/>
      <c r="L59" s="244"/>
      <c r="R59" s="50"/>
    </row>
    <row r="60" spans="1:18">
      <c r="R60" s="51"/>
    </row>
    <row r="61" spans="1:18">
      <c r="A61" s="52">
        <f>A57+1</f>
        <v>4</v>
      </c>
      <c r="C61" s="61">
        <v>3.7499999999999999E-2</v>
      </c>
      <c r="D61" s="61">
        <v>0.05</v>
      </c>
      <c r="F61" s="52">
        <v>1</v>
      </c>
      <c r="G61" s="27">
        <f>$G$55*$C$63/12</f>
        <v>13971.147598374999</v>
      </c>
      <c r="H61" s="27">
        <f>$H$55*$C$62/12</f>
        <v>28608.633506500013</v>
      </c>
      <c r="I61" s="27">
        <f t="shared" ref="I61:I72" si="15">I17</f>
        <v>525848.28812499996</v>
      </c>
      <c r="J61" s="27">
        <f>SUM(G61:I61)</f>
        <v>568428.06922987499</v>
      </c>
      <c r="K61" s="231">
        <f>K17</f>
        <v>40056.369999999995</v>
      </c>
      <c r="L61" s="231">
        <f>'201901 Bk Depr'!$P$17</f>
        <v>40651.096806000016</v>
      </c>
      <c r="M61" s="27">
        <f t="shared" ref="M61:M72" si="16">J61+K61-L61</f>
        <v>567833.342423875</v>
      </c>
      <c r="N61" s="27">
        <f>M61*0.05</f>
        <v>28391.66712119375</v>
      </c>
      <c r="R61" s="51"/>
    </row>
    <row r="62" spans="1:18">
      <c r="A62" s="52">
        <f>A61+1</f>
        <v>5</v>
      </c>
      <c r="C62" s="61">
        <v>7.2190000000000004E-2</v>
      </c>
      <c r="D62" s="61">
        <v>9.5000000000000001E-2</v>
      </c>
      <c r="F62" s="52">
        <v>2</v>
      </c>
      <c r="G62" s="27">
        <f t="shared" ref="G62:G72" si="17">$G$55*$C$63/12</f>
        <v>13971.147598374999</v>
      </c>
      <c r="H62" s="27">
        <f t="shared" ref="H62:H72" si="18">$H$55*$C$62/12</f>
        <v>28608.633506500013</v>
      </c>
      <c r="I62" s="27">
        <f t="shared" si="15"/>
        <v>234918.49650000001</v>
      </c>
      <c r="J62" s="27">
        <f t="shared" ref="J62:J72" si="19">SUM(G62:I62)</f>
        <v>277498.27760487504</v>
      </c>
      <c r="K62" s="231">
        <f t="shared" ref="K62:K71" si="20">K18</f>
        <v>15607.67</v>
      </c>
      <c r="L62" s="231">
        <f>'201902 Bk Depr'!$P$17</f>
        <v>42645.02547600001</v>
      </c>
      <c r="M62" s="27">
        <f t="shared" si="16"/>
        <v>250460.92212887501</v>
      </c>
      <c r="N62" s="27">
        <f t="shared" ref="N62:N72" si="21">M62*0.05</f>
        <v>12523.046106443751</v>
      </c>
      <c r="R62" s="51"/>
    </row>
    <row r="63" spans="1:18">
      <c r="A63" s="52">
        <f t="shared" ref="A63:A88" si="22">A62+1</f>
        <v>6</v>
      </c>
      <c r="C63" s="61">
        <v>6.6769999999999996E-2</v>
      </c>
      <c r="D63" s="61">
        <v>8.5500000000000007E-2</v>
      </c>
      <c r="F63" s="52">
        <v>3</v>
      </c>
      <c r="G63" s="27">
        <f t="shared" si="17"/>
        <v>13971.147598374999</v>
      </c>
      <c r="H63" s="27">
        <f t="shared" si="18"/>
        <v>28608.633506500013</v>
      </c>
      <c r="I63" s="27">
        <f t="shared" si="15"/>
        <v>1073806.71175</v>
      </c>
      <c r="J63" s="27">
        <f t="shared" si="19"/>
        <v>1116386.492854875</v>
      </c>
      <c r="K63" s="231">
        <f t="shared" si="20"/>
        <v>28820.22</v>
      </c>
      <c r="L63" s="231">
        <f>'201903 Bk Depr'!$P$17</f>
        <v>45457.079215500016</v>
      </c>
      <c r="M63" s="27">
        <f t="shared" si="16"/>
        <v>1099749.633639375</v>
      </c>
      <c r="N63" s="27">
        <f t="shared" si="21"/>
        <v>54987.481681968755</v>
      </c>
      <c r="R63" s="51"/>
    </row>
    <row r="64" spans="1:18">
      <c r="A64" s="52">
        <f t="shared" si="22"/>
        <v>7</v>
      </c>
      <c r="C64" s="61">
        <v>6.1769999999999999E-2</v>
      </c>
      <c r="D64" s="61">
        <v>7.6999999999999999E-2</v>
      </c>
      <c r="F64" s="52">
        <v>4</v>
      </c>
      <c r="G64" s="27">
        <f t="shared" si="17"/>
        <v>13971.147598374999</v>
      </c>
      <c r="H64" s="27">
        <f t="shared" si="18"/>
        <v>28608.633506500013</v>
      </c>
      <c r="I64" s="27">
        <f t="shared" si="15"/>
        <v>815385.51737499994</v>
      </c>
      <c r="J64" s="27">
        <f t="shared" si="19"/>
        <v>857965.29847987497</v>
      </c>
      <c r="K64" s="231">
        <f t="shared" si="20"/>
        <v>48035.55</v>
      </c>
      <c r="L64" s="231">
        <f>'201904 Bk Depr'!$P$17</f>
        <v>48941.413609500007</v>
      </c>
      <c r="M64" s="27">
        <f t="shared" si="16"/>
        <v>857059.43487037497</v>
      </c>
      <c r="N64" s="27">
        <f t="shared" si="21"/>
        <v>42852.971743518749</v>
      </c>
      <c r="R64" s="51"/>
    </row>
    <row r="65" spans="1:18">
      <c r="A65" s="52">
        <f t="shared" si="22"/>
        <v>8</v>
      </c>
      <c r="C65" s="61">
        <v>5.713E-2</v>
      </c>
      <c r="D65" s="61">
        <v>6.93E-2</v>
      </c>
      <c r="F65" s="52">
        <v>5</v>
      </c>
      <c r="G65" s="27">
        <f t="shared" si="17"/>
        <v>13971.147598374999</v>
      </c>
      <c r="H65" s="27">
        <f t="shared" si="18"/>
        <v>28608.633506500013</v>
      </c>
      <c r="I65" s="27">
        <f t="shared" si="15"/>
        <v>672622.69200000004</v>
      </c>
      <c r="J65" s="27">
        <f t="shared" si="19"/>
        <v>715202.47310487507</v>
      </c>
      <c r="K65" s="231">
        <f t="shared" si="20"/>
        <v>33625.33</v>
      </c>
      <c r="L65" s="231">
        <f>'201905 Bk Depr'!$P$17</f>
        <v>51734.298037500012</v>
      </c>
      <c r="M65" s="27">
        <f t="shared" si="16"/>
        <v>697093.50506737502</v>
      </c>
      <c r="N65" s="27">
        <f t="shared" si="21"/>
        <v>34854.675253368754</v>
      </c>
      <c r="R65" s="51"/>
    </row>
    <row r="66" spans="1:18">
      <c r="A66" s="52">
        <f t="shared" si="22"/>
        <v>9</v>
      </c>
      <c r="C66" s="61">
        <v>5.2850000000000001E-2</v>
      </c>
      <c r="D66" s="61">
        <v>6.2300000000000001E-2</v>
      </c>
      <c r="F66" s="52">
        <v>6</v>
      </c>
      <c r="G66" s="27">
        <f t="shared" si="17"/>
        <v>13971.147598374999</v>
      </c>
      <c r="H66" s="27">
        <f t="shared" si="18"/>
        <v>28608.633506500013</v>
      </c>
      <c r="I66" s="27">
        <f t="shared" si="15"/>
        <v>516996.82</v>
      </c>
      <c r="J66" s="27">
        <f t="shared" si="19"/>
        <v>559576.60110487498</v>
      </c>
      <c r="K66" s="231">
        <f t="shared" si="20"/>
        <v>155832.47</v>
      </c>
      <c r="L66" s="231">
        <f>'201906 Bk Depr'!$P$17</f>
        <v>54254.763090000015</v>
      </c>
      <c r="M66" s="27">
        <f t="shared" si="16"/>
        <v>661154.30801487493</v>
      </c>
      <c r="N66" s="27">
        <f t="shared" si="21"/>
        <v>33057.715400743749</v>
      </c>
      <c r="R66" s="51"/>
    </row>
    <row r="67" spans="1:18">
      <c r="A67" s="52">
        <f t="shared" si="22"/>
        <v>10</v>
      </c>
      <c r="C67" s="61">
        <v>4.888E-2</v>
      </c>
      <c r="D67" s="61">
        <v>5.8999999999999997E-2</v>
      </c>
      <c r="F67" s="52">
        <v>7</v>
      </c>
      <c r="G67" s="27">
        <f t="shared" si="17"/>
        <v>13971.147598374999</v>
      </c>
      <c r="H67" s="27">
        <f t="shared" si="18"/>
        <v>28608.633506500013</v>
      </c>
      <c r="I67" s="27">
        <f t="shared" si="15"/>
        <v>525367.90174999996</v>
      </c>
      <c r="J67" s="27">
        <f t="shared" si="19"/>
        <v>567947.68285487499</v>
      </c>
      <c r="K67" s="231">
        <f t="shared" si="20"/>
        <v>44431.49</v>
      </c>
      <c r="L67" s="231">
        <f>'201907 Bk Depr'!$P$17</f>
        <v>56676.602812500016</v>
      </c>
      <c r="M67" s="27">
        <f t="shared" si="16"/>
        <v>555702.57004237501</v>
      </c>
      <c r="N67" s="27">
        <f t="shared" si="21"/>
        <v>27785.12850211875</v>
      </c>
      <c r="R67" s="51"/>
    </row>
    <row r="68" spans="1:18">
      <c r="A68" s="52">
        <f t="shared" si="22"/>
        <v>11</v>
      </c>
      <c r="C68" s="61">
        <v>4.5220000000000003E-2</v>
      </c>
      <c r="D68" s="61">
        <v>5.8999999999999997E-2</v>
      </c>
      <c r="F68" s="52">
        <v>8</v>
      </c>
      <c r="G68" s="27">
        <f t="shared" si="17"/>
        <v>13971.147598374999</v>
      </c>
      <c r="H68" s="27">
        <f t="shared" si="18"/>
        <v>28608.633506500013</v>
      </c>
      <c r="I68" s="27">
        <f t="shared" si="15"/>
        <v>455537.8586249997</v>
      </c>
      <c r="J68" s="27">
        <f t="shared" si="19"/>
        <v>498117.63972987473</v>
      </c>
      <c r="K68" s="231">
        <f t="shared" si="20"/>
        <v>102499.2</v>
      </c>
      <c r="L68" s="231">
        <f>'201908 Bk Depr'!$P$17</f>
        <v>59009.780934000002</v>
      </c>
      <c r="M68" s="27">
        <f t="shared" si="16"/>
        <v>541607.05879587471</v>
      </c>
      <c r="N68" s="27">
        <f t="shared" si="21"/>
        <v>27080.352939793738</v>
      </c>
      <c r="R68" s="51"/>
    </row>
    <row r="69" spans="1:18">
      <c r="A69" s="52">
        <f t="shared" si="22"/>
        <v>12</v>
      </c>
      <c r="C69" s="61">
        <v>4.462E-2</v>
      </c>
      <c r="D69" s="61">
        <v>5.91E-2</v>
      </c>
      <c r="F69" s="52">
        <v>9</v>
      </c>
      <c r="G69" s="27">
        <f t="shared" si="17"/>
        <v>13971.147598374999</v>
      </c>
      <c r="H69" s="27">
        <f t="shared" si="18"/>
        <v>28608.633506500013</v>
      </c>
      <c r="I69" s="27">
        <f t="shared" si="15"/>
        <v>536702.14174999995</v>
      </c>
      <c r="J69" s="27">
        <f t="shared" si="19"/>
        <v>579281.92285487498</v>
      </c>
      <c r="K69" s="231">
        <f t="shared" si="20"/>
        <v>112287.79999999999</v>
      </c>
      <c r="L69" s="231">
        <f>'201909 Bk Depr'!$P$17</f>
        <v>61409.145883500008</v>
      </c>
      <c r="M69" s="27">
        <f t="shared" si="16"/>
        <v>630160.57697137503</v>
      </c>
      <c r="N69" s="27">
        <f t="shared" si="21"/>
        <v>31508.028848568752</v>
      </c>
      <c r="R69" s="51"/>
    </row>
    <row r="70" spans="1:18">
      <c r="A70" s="52">
        <f t="shared" si="22"/>
        <v>13</v>
      </c>
      <c r="C70" s="61">
        <v>4.4609999999999997E-2</v>
      </c>
      <c r="D70" s="61">
        <v>5.8999999999999997E-2</v>
      </c>
      <c r="F70" s="52">
        <v>10</v>
      </c>
      <c r="G70" s="27">
        <f t="shared" si="17"/>
        <v>13971.147598374999</v>
      </c>
      <c r="H70" s="27">
        <f t="shared" si="18"/>
        <v>28608.633506500013</v>
      </c>
      <c r="I70" s="27">
        <f t="shared" si="15"/>
        <v>486868.59587499994</v>
      </c>
      <c r="J70" s="27">
        <f t="shared" si="19"/>
        <v>529448.37697987491</v>
      </c>
      <c r="K70" s="231">
        <f t="shared" si="20"/>
        <v>94708.18</v>
      </c>
      <c r="L70" s="231">
        <f>'201910 Bk Depr'!$P$17</f>
        <v>63983.581182000009</v>
      </c>
      <c r="M70" s="27">
        <f t="shared" si="16"/>
        <v>560172.97579787485</v>
      </c>
      <c r="N70" s="27">
        <f t="shared" si="21"/>
        <v>28008.648789893745</v>
      </c>
      <c r="R70" s="51"/>
    </row>
    <row r="71" spans="1:18">
      <c r="A71" s="52">
        <f t="shared" si="22"/>
        <v>14</v>
      </c>
      <c r="C71" s="61">
        <v>4.462E-2</v>
      </c>
      <c r="D71" s="61">
        <v>5.91E-2</v>
      </c>
      <c r="F71" s="52">
        <v>11</v>
      </c>
      <c r="G71" s="27">
        <f t="shared" si="17"/>
        <v>13971.147598374999</v>
      </c>
      <c r="H71" s="27">
        <f t="shared" si="18"/>
        <v>28608.633506500013</v>
      </c>
      <c r="I71" s="27">
        <f t="shared" si="15"/>
        <v>350565.22574999998</v>
      </c>
      <c r="J71" s="27">
        <f t="shared" si="19"/>
        <v>393145.00685487501</v>
      </c>
      <c r="K71" s="231">
        <f t="shared" si="20"/>
        <v>187880.81</v>
      </c>
      <c r="L71" s="231">
        <f>'201911 Bk Depr'!$P$17</f>
        <v>66360.254251499995</v>
      </c>
      <c r="M71" s="27">
        <f t="shared" si="16"/>
        <v>514665.56260337506</v>
      </c>
      <c r="N71" s="27">
        <f t="shared" si="21"/>
        <v>25733.278130168754</v>
      </c>
      <c r="R71" s="51"/>
    </row>
    <row r="72" spans="1:18">
      <c r="A72" s="52">
        <f t="shared" si="22"/>
        <v>15</v>
      </c>
      <c r="C72" s="61">
        <v>4.4609999999999997E-2</v>
      </c>
      <c r="D72" s="61">
        <v>5.8999999999999997E-2</v>
      </c>
      <c r="F72" s="52">
        <v>12</v>
      </c>
      <c r="G72" s="27">
        <f t="shared" si="17"/>
        <v>13971.147598374999</v>
      </c>
      <c r="H72" s="27">
        <f t="shared" si="18"/>
        <v>28608.633506500013</v>
      </c>
      <c r="I72" s="27">
        <f t="shared" si="15"/>
        <v>460877.68075</v>
      </c>
      <c r="J72" s="27">
        <f t="shared" si="19"/>
        <v>503457.46185487503</v>
      </c>
      <c r="K72" s="231">
        <f>K28</f>
        <v>159889.10999999999</v>
      </c>
      <c r="L72" s="231">
        <f>'201912 Bk Depr'!$P$17</f>
        <v>68678.330422500003</v>
      </c>
      <c r="M72" s="27">
        <f t="shared" si="16"/>
        <v>594668.24143237493</v>
      </c>
      <c r="N72" s="27">
        <f t="shared" si="21"/>
        <v>29733.412071618746</v>
      </c>
      <c r="R72" s="51"/>
    </row>
    <row r="73" spans="1:18">
      <c r="A73" s="52">
        <f t="shared" si="22"/>
        <v>16</v>
      </c>
      <c r="C73" s="61">
        <v>4.462E-2</v>
      </c>
      <c r="D73" s="61">
        <v>5.91E-2</v>
      </c>
      <c r="G73" s="27"/>
      <c r="H73" s="27"/>
      <c r="I73" s="27"/>
      <c r="J73" s="27"/>
      <c r="K73" s="27"/>
      <c r="L73" s="27"/>
      <c r="M73" s="27" t="str">
        <f t="shared" ref="M73:M87" si="23">IF(L73=0,"",J73+K73-L73)</f>
        <v/>
      </c>
      <c r="N73" s="27" t="str">
        <f t="shared" ref="N73:N87" si="24">IF(M73="","",M73*0.389)</f>
        <v/>
      </c>
      <c r="O73" s="51"/>
      <c r="P73" s="51"/>
      <c r="Q73" s="51"/>
      <c r="R73" s="27" t="str">
        <f t="shared" ref="R73:R87" si="25">IF(N73="","",R72+N73)</f>
        <v/>
      </c>
    </row>
    <row r="74" spans="1:18">
      <c r="A74" s="52">
        <f t="shared" si="22"/>
        <v>17</v>
      </c>
      <c r="C74" s="61">
        <v>4.4609999999999997E-2</v>
      </c>
      <c r="D74" s="61">
        <v>5.8999999999999997E-2</v>
      </c>
      <c r="G74" s="27"/>
      <c r="H74" s="27"/>
      <c r="I74" s="27"/>
      <c r="J74" s="27"/>
      <c r="K74" s="27"/>
      <c r="L74" s="27"/>
      <c r="M74" s="27" t="str">
        <f t="shared" si="23"/>
        <v/>
      </c>
      <c r="N74" s="27" t="str">
        <f t="shared" si="24"/>
        <v/>
      </c>
      <c r="O74" s="51"/>
      <c r="P74" s="51"/>
      <c r="Q74" s="51"/>
      <c r="R74" s="27" t="str">
        <f t="shared" si="25"/>
        <v/>
      </c>
    </row>
    <row r="75" spans="1:18">
      <c r="A75" s="52">
        <f t="shared" si="22"/>
        <v>18</v>
      </c>
      <c r="C75" s="61">
        <v>4.462E-2</v>
      </c>
      <c r="D75" s="61">
        <v>5.91E-2</v>
      </c>
      <c r="G75" s="27"/>
      <c r="H75" s="27"/>
      <c r="I75" s="27"/>
      <c r="J75" s="27"/>
      <c r="K75" s="27"/>
      <c r="L75" s="27"/>
      <c r="M75" s="27" t="str">
        <f t="shared" si="23"/>
        <v/>
      </c>
      <c r="N75" s="27" t="str">
        <f t="shared" si="24"/>
        <v/>
      </c>
      <c r="O75" s="51"/>
      <c r="P75" s="51"/>
      <c r="Q75" s="51"/>
      <c r="R75" s="27" t="str">
        <f t="shared" si="25"/>
        <v/>
      </c>
    </row>
    <row r="76" spans="1:18">
      <c r="A76" s="52">
        <f t="shared" si="22"/>
        <v>19</v>
      </c>
      <c r="C76" s="61">
        <v>4.4609999999999997E-2</v>
      </c>
      <c r="D76" s="61">
        <v>2.9499999999999998E-2</v>
      </c>
      <c r="G76" s="27"/>
      <c r="H76" s="27"/>
      <c r="I76" s="27"/>
      <c r="J76" s="27"/>
      <c r="K76" s="27"/>
      <c r="L76" s="27"/>
      <c r="M76" s="27" t="str">
        <f t="shared" si="23"/>
        <v/>
      </c>
      <c r="N76" s="27" t="str">
        <f t="shared" si="24"/>
        <v/>
      </c>
      <c r="O76" s="51"/>
      <c r="P76" s="51"/>
      <c r="Q76" s="51"/>
      <c r="R76" s="27" t="str">
        <f t="shared" si="25"/>
        <v/>
      </c>
    </row>
    <row r="77" spans="1:18">
      <c r="A77" s="52">
        <f t="shared" si="22"/>
        <v>20</v>
      </c>
      <c r="C77" s="61">
        <v>4.462E-2</v>
      </c>
      <c r="D77" s="61">
        <v>0</v>
      </c>
      <c r="G77" s="27"/>
      <c r="H77" s="27"/>
      <c r="I77" s="27"/>
      <c r="J77" s="27"/>
      <c r="K77" s="27"/>
      <c r="L77" s="27"/>
      <c r="M77" s="27" t="str">
        <f t="shared" si="23"/>
        <v/>
      </c>
      <c r="N77" s="27" t="str">
        <f t="shared" si="24"/>
        <v/>
      </c>
      <c r="O77" s="51"/>
      <c r="P77" s="51"/>
      <c r="Q77" s="51"/>
      <c r="R77" s="27" t="str">
        <f t="shared" si="25"/>
        <v/>
      </c>
    </row>
    <row r="78" spans="1:18">
      <c r="A78" s="52">
        <f t="shared" si="22"/>
        <v>21</v>
      </c>
      <c r="C78" s="61">
        <v>4.4609999999999997E-2</v>
      </c>
      <c r="D78" s="61">
        <v>0</v>
      </c>
      <c r="G78" s="27"/>
      <c r="H78" s="27"/>
      <c r="I78" s="27"/>
      <c r="J78" s="27"/>
      <c r="K78" s="27"/>
      <c r="L78" s="27"/>
      <c r="M78" s="27" t="str">
        <f t="shared" si="23"/>
        <v/>
      </c>
      <c r="N78" s="27" t="str">
        <f t="shared" si="24"/>
        <v/>
      </c>
      <c r="O78" s="51"/>
      <c r="P78" s="51"/>
      <c r="Q78" s="51"/>
      <c r="R78" s="27" t="str">
        <f t="shared" si="25"/>
        <v/>
      </c>
    </row>
    <row r="79" spans="1:18">
      <c r="A79" s="52">
        <f t="shared" si="22"/>
        <v>22</v>
      </c>
      <c r="C79" s="61">
        <v>4.462E-2</v>
      </c>
      <c r="D79" s="61">
        <v>0</v>
      </c>
      <c r="G79" s="27"/>
      <c r="H79" s="27"/>
      <c r="I79" s="27"/>
      <c r="J79" s="27"/>
      <c r="K79" s="27"/>
      <c r="L79" s="27"/>
      <c r="M79" s="27" t="str">
        <f t="shared" si="23"/>
        <v/>
      </c>
      <c r="N79" s="27" t="str">
        <f t="shared" si="24"/>
        <v/>
      </c>
      <c r="O79" s="51"/>
      <c r="P79" s="51"/>
      <c r="Q79" s="51"/>
      <c r="R79" s="27" t="str">
        <f t="shared" si="25"/>
        <v/>
      </c>
    </row>
    <row r="80" spans="1:18">
      <c r="A80" s="52">
        <f t="shared" si="22"/>
        <v>23</v>
      </c>
      <c r="C80" s="61">
        <v>4.4609999999999997E-2</v>
      </c>
      <c r="D80" s="61">
        <v>0</v>
      </c>
      <c r="G80" s="27"/>
      <c r="H80" s="27"/>
      <c r="I80" s="27"/>
      <c r="J80" s="27"/>
      <c r="K80" s="27"/>
      <c r="L80" s="27"/>
      <c r="M80" s="27" t="str">
        <f t="shared" si="23"/>
        <v/>
      </c>
      <c r="N80" s="27" t="str">
        <f t="shared" si="24"/>
        <v/>
      </c>
      <c r="O80" s="51"/>
      <c r="P80" s="51"/>
      <c r="Q80" s="51"/>
      <c r="R80" s="27" t="str">
        <f t="shared" si="25"/>
        <v/>
      </c>
    </row>
    <row r="81" spans="1:18">
      <c r="A81" s="52">
        <f t="shared" si="22"/>
        <v>24</v>
      </c>
      <c r="C81" s="61">
        <v>2.231E-2</v>
      </c>
      <c r="D81" s="61">
        <v>0</v>
      </c>
      <c r="G81" s="27"/>
      <c r="H81" s="27"/>
      <c r="I81" s="27"/>
      <c r="J81" s="27"/>
      <c r="K81" s="27"/>
      <c r="L81" s="27"/>
      <c r="M81" s="27" t="str">
        <f t="shared" si="23"/>
        <v/>
      </c>
      <c r="N81" s="27" t="str">
        <f t="shared" si="24"/>
        <v/>
      </c>
      <c r="O81" s="51"/>
      <c r="P81" s="51"/>
      <c r="Q81" s="51"/>
      <c r="R81" s="27" t="str">
        <f t="shared" si="25"/>
        <v/>
      </c>
    </row>
    <row r="82" spans="1:18">
      <c r="A82" s="52">
        <f t="shared" si="22"/>
        <v>25</v>
      </c>
      <c r="C82" s="61">
        <v>0</v>
      </c>
      <c r="D82" s="61">
        <v>0</v>
      </c>
      <c r="G82" s="27"/>
      <c r="H82" s="27"/>
      <c r="I82" s="27"/>
      <c r="J82" s="27"/>
      <c r="K82" s="27"/>
      <c r="L82" s="27"/>
      <c r="M82" s="27" t="str">
        <f t="shared" si="23"/>
        <v/>
      </c>
      <c r="N82" s="27" t="str">
        <f t="shared" si="24"/>
        <v/>
      </c>
      <c r="O82" s="51"/>
      <c r="P82" s="51"/>
      <c r="Q82" s="51"/>
      <c r="R82" s="27" t="str">
        <f t="shared" si="25"/>
        <v/>
      </c>
    </row>
    <row r="83" spans="1:18">
      <c r="A83" s="52">
        <f t="shared" si="22"/>
        <v>26</v>
      </c>
      <c r="C83" s="61">
        <v>0</v>
      </c>
      <c r="G83" s="27"/>
      <c r="H83" s="27"/>
      <c r="I83" s="27"/>
      <c r="J83" s="27"/>
      <c r="M83" s="27" t="str">
        <f t="shared" si="23"/>
        <v/>
      </c>
      <c r="N83" s="27" t="str">
        <f t="shared" si="24"/>
        <v/>
      </c>
      <c r="O83" s="51"/>
      <c r="P83" s="51"/>
      <c r="Q83" s="51"/>
      <c r="R83" s="27" t="str">
        <f t="shared" si="25"/>
        <v/>
      </c>
    </row>
    <row r="84" spans="1:18">
      <c r="A84" s="52">
        <f t="shared" si="22"/>
        <v>27</v>
      </c>
      <c r="C84" s="61">
        <v>0</v>
      </c>
      <c r="G84" s="27"/>
      <c r="H84" s="27"/>
      <c r="I84" s="27"/>
      <c r="J84" s="27"/>
      <c r="M84" s="27" t="str">
        <f t="shared" si="23"/>
        <v/>
      </c>
      <c r="N84" s="27" t="str">
        <f t="shared" si="24"/>
        <v/>
      </c>
      <c r="O84" s="51"/>
      <c r="P84" s="51"/>
      <c r="Q84" s="51"/>
      <c r="R84" s="27" t="str">
        <f t="shared" si="25"/>
        <v/>
      </c>
    </row>
    <row r="85" spans="1:18">
      <c r="A85" s="52">
        <f t="shared" si="22"/>
        <v>28</v>
      </c>
      <c r="C85" s="61">
        <v>0</v>
      </c>
      <c r="G85" s="27"/>
      <c r="H85" s="27"/>
      <c r="I85" s="27"/>
      <c r="J85" s="27"/>
      <c r="M85" s="27" t="str">
        <f t="shared" si="23"/>
        <v/>
      </c>
      <c r="N85" s="27" t="str">
        <f t="shared" si="24"/>
        <v/>
      </c>
      <c r="O85" s="51"/>
      <c r="P85" s="51"/>
      <c r="Q85" s="51"/>
      <c r="R85" s="27" t="str">
        <f t="shared" si="25"/>
        <v/>
      </c>
    </row>
    <row r="86" spans="1:18">
      <c r="A86" s="52">
        <f t="shared" si="22"/>
        <v>29</v>
      </c>
      <c r="C86" s="61">
        <v>0</v>
      </c>
      <c r="G86" s="27"/>
      <c r="H86" s="27"/>
      <c r="I86" s="27"/>
      <c r="J86" s="27"/>
      <c r="M86" s="27" t="str">
        <f t="shared" si="23"/>
        <v/>
      </c>
      <c r="N86" s="27" t="str">
        <f t="shared" si="24"/>
        <v/>
      </c>
      <c r="O86" s="51"/>
      <c r="P86" s="51"/>
      <c r="Q86" s="51"/>
      <c r="R86" s="27" t="str">
        <f t="shared" si="25"/>
        <v/>
      </c>
    </row>
    <row r="87" spans="1:18">
      <c r="A87" s="52">
        <f t="shared" si="22"/>
        <v>30</v>
      </c>
      <c r="C87" s="61">
        <v>0</v>
      </c>
      <c r="J87" s="27"/>
      <c r="M87" s="27" t="str">
        <f t="shared" si="23"/>
        <v/>
      </c>
      <c r="N87" s="27" t="str">
        <f t="shared" si="24"/>
        <v/>
      </c>
      <c r="R87" s="27" t="str">
        <f t="shared" si="25"/>
        <v/>
      </c>
    </row>
    <row r="88" spans="1:18">
      <c r="A88" s="52">
        <f t="shared" si="22"/>
        <v>31</v>
      </c>
      <c r="G88" s="27">
        <f t="shared" ref="G88:N88" si="26">SUM(G61:G87)</f>
        <v>167653.77118049999</v>
      </c>
      <c r="H88" s="27">
        <f t="shared" si="26"/>
        <v>343303.60207800008</v>
      </c>
      <c r="I88" s="27">
        <f t="shared" si="26"/>
        <v>6655497.9302499993</v>
      </c>
      <c r="J88" s="27">
        <f t="shared" si="26"/>
        <v>7166455.3035084996</v>
      </c>
      <c r="K88" s="27">
        <f t="shared" si="26"/>
        <v>1023674.2000000001</v>
      </c>
      <c r="L88" s="27">
        <f t="shared" si="26"/>
        <v>659801.37172050017</v>
      </c>
      <c r="M88" s="27">
        <f t="shared" si="26"/>
        <v>7530328.1317880005</v>
      </c>
      <c r="N88" s="27">
        <f t="shared" si="26"/>
        <v>376516.40658939991</v>
      </c>
      <c r="O88" s="27"/>
      <c r="P88" s="27"/>
      <c r="Q88" s="27"/>
      <c r="R88" s="27"/>
    </row>
    <row r="89" spans="1:18">
      <c r="G89" s="27"/>
      <c r="H89" s="27"/>
      <c r="I89" s="27"/>
      <c r="J89" s="27"/>
      <c r="K89" s="27"/>
      <c r="L89" s="27"/>
      <c r="R89" s="27"/>
    </row>
    <row r="91" spans="1:18">
      <c r="B91" s="60" t="s">
        <v>166</v>
      </c>
      <c r="C91" s="52" t="s">
        <v>488</v>
      </c>
    </row>
    <row r="92" spans="1:18">
      <c r="B92" s="60" t="s">
        <v>167</v>
      </c>
      <c r="C92" s="52" t="s">
        <v>487</v>
      </c>
      <c r="D92" s="245"/>
    </row>
    <row r="93" spans="1:18">
      <c r="B93" s="60" t="s">
        <v>168</v>
      </c>
      <c r="C93" s="52" t="s">
        <v>486</v>
      </c>
    </row>
  </sheetData>
  <pageMargins left="0.7" right="0.7" top="0.75" bottom="0.75" header="0.3" footer="0.3"/>
  <pageSetup scale="56" orientation="landscape" r:id="rId1"/>
  <headerFooter>
    <oddFooter>&amp;R&amp;"Times New Roman,Bold"&amp;17Exhibit 4
Page 17 of 17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0.39997558519241921"/>
  </sheetPr>
  <dimension ref="A1:U339"/>
  <sheetViews>
    <sheetView workbookViewId="0"/>
  </sheetViews>
  <sheetFormatPr defaultRowHeight="12.75"/>
  <cols>
    <col min="3" max="3" width="12.5703125" bestFit="1" customWidth="1"/>
    <col min="4" max="4" width="32.85546875" bestFit="1" customWidth="1"/>
    <col min="5" max="5" width="5.140625" customWidth="1"/>
    <col min="6" max="18" width="10.85546875" customWidth="1"/>
    <col min="20" max="20" width="10.85546875" bestFit="1" customWidth="1"/>
  </cols>
  <sheetData>
    <row r="1" spans="1:20">
      <c r="A1" s="2" t="s">
        <v>273</v>
      </c>
    </row>
    <row r="2" spans="1:20">
      <c r="A2" s="2" t="s">
        <v>274</v>
      </c>
    </row>
    <row r="3" spans="1:20">
      <c r="A3" s="2" t="s">
        <v>496</v>
      </c>
    </row>
    <row r="4" spans="1:20">
      <c r="A4" s="2"/>
      <c r="I4" s="642" t="s">
        <v>762</v>
      </c>
    </row>
    <row r="5" spans="1:20">
      <c r="A5" t="s">
        <v>480</v>
      </c>
      <c r="B5" t="s">
        <v>497</v>
      </c>
    </row>
    <row r="7" spans="1:20">
      <c r="A7" t="s">
        <v>276</v>
      </c>
      <c r="B7" t="s">
        <v>139</v>
      </c>
      <c r="C7" t="s">
        <v>141</v>
      </c>
      <c r="D7" t="s">
        <v>277</v>
      </c>
      <c r="E7" t="s">
        <v>143</v>
      </c>
      <c r="F7" t="s">
        <v>278</v>
      </c>
      <c r="G7" t="s">
        <v>279</v>
      </c>
      <c r="H7" t="s">
        <v>280</v>
      </c>
      <c r="I7" t="s">
        <v>281</v>
      </c>
      <c r="J7" t="s">
        <v>282</v>
      </c>
      <c r="K7" t="s">
        <v>283</v>
      </c>
      <c r="L7" t="s">
        <v>284</v>
      </c>
      <c r="M7" t="s">
        <v>285</v>
      </c>
      <c r="N7" t="s">
        <v>286</v>
      </c>
      <c r="O7" t="s">
        <v>287</v>
      </c>
      <c r="P7" t="s">
        <v>288</v>
      </c>
      <c r="Q7" t="s">
        <v>289</v>
      </c>
      <c r="R7" s="438" t="s">
        <v>290</v>
      </c>
    </row>
    <row r="8" spans="1:20">
      <c r="A8" t="s">
        <v>291</v>
      </c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39"/>
    </row>
    <row r="9" spans="1:20">
      <c r="A9">
        <v>380</v>
      </c>
      <c r="B9" t="s">
        <v>113</v>
      </c>
      <c r="C9" s="422" t="s">
        <v>114</v>
      </c>
      <c r="D9" s="422" t="s">
        <v>115</v>
      </c>
      <c r="E9">
        <v>2019</v>
      </c>
      <c r="F9" s="426">
        <f t="shared" ref="F9:Q14" si="0">SUMIFS($O$55:$O$339,$A$55:$A$339,F$7,$B$55:$B$339,$A9,$C$55:$C$339,$C9)</f>
        <v>0</v>
      </c>
      <c r="G9" s="421">
        <f t="shared" si="0"/>
        <v>0</v>
      </c>
      <c r="H9" s="421">
        <f t="shared" si="0"/>
        <v>1054768.6599999999</v>
      </c>
      <c r="I9" s="421">
        <f t="shared" si="0"/>
        <v>269152.17</v>
      </c>
      <c r="J9" s="421">
        <f t="shared" si="0"/>
        <v>314241.31</v>
      </c>
      <c r="K9" s="421">
        <f t="shared" si="0"/>
        <v>180309.94</v>
      </c>
      <c r="L9" s="421">
        <f t="shared" si="0"/>
        <v>216193.19</v>
      </c>
      <c r="M9" s="421">
        <f t="shared" si="0"/>
        <v>203113.62999999974</v>
      </c>
      <c r="N9" s="421">
        <f t="shared" si="0"/>
        <v>209453.17</v>
      </c>
      <c r="O9" s="421">
        <f t="shared" si="0"/>
        <v>248626.05</v>
      </c>
      <c r="P9" s="421">
        <f t="shared" si="0"/>
        <v>152162.60999999999</v>
      </c>
      <c r="Q9" s="421">
        <f t="shared" si="0"/>
        <v>132148.76</v>
      </c>
      <c r="R9" s="439">
        <f>SUM(F9:Q9)</f>
        <v>2980169.4899999993</v>
      </c>
    </row>
    <row r="10" spans="1:20">
      <c r="A10">
        <v>380</v>
      </c>
      <c r="C10" s="422" t="s">
        <v>116</v>
      </c>
      <c r="D10" s="422" t="s">
        <v>117</v>
      </c>
      <c r="E10">
        <v>2019</v>
      </c>
      <c r="F10" s="426">
        <f t="shared" si="0"/>
        <v>8345.9699999999993</v>
      </c>
      <c r="G10" s="421">
        <f t="shared" si="0"/>
        <v>5312.59</v>
      </c>
      <c r="H10" s="421">
        <f t="shared" si="0"/>
        <v>0</v>
      </c>
      <c r="I10" s="421">
        <f t="shared" si="0"/>
        <v>6316.84</v>
      </c>
      <c r="J10" s="421">
        <f t="shared" si="0"/>
        <v>8709.7900000000009</v>
      </c>
      <c r="K10" s="421">
        <f t="shared" si="0"/>
        <v>19087.150000000001</v>
      </c>
      <c r="L10" s="421">
        <f t="shared" si="0"/>
        <v>9034.86</v>
      </c>
      <c r="M10" s="421">
        <f t="shared" si="0"/>
        <v>5648.369999999999</v>
      </c>
      <c r="N10" s="421">
        <f t="shared" si="0"/>
        <v>2027.89</v>
      </c>
      <c r="O10" s="421">
        <f t="shared" si="0"/>
        <v>2163.19</v>
      </c>
      <c r="P10" s="421">
        <f t="shared" si="0"/>
        <v>4403.7299999999996</v>
      </c>
      <c r="Q10" s="421">
        <f t="shared" si="0"/>
        <v>11487.86</v>
      </c>
      <c r="R10" s="439">
        <f t="shared" ref="R10:R26" si="1">SUM(F10:Q10)</f>
        <v>82538.240000000005</v>
      </c>
    </row>
    <row r="11" spans="1:20">
      <c r="A11">
        <v>380</v>
      </c>
      <c r="C11" s="422" t="s">
        <v>118</v>
      </c>
      <c r="D11" s="422" t="s">
        <v>119</v>
      </c>
      <c r="E11">
        <v>2019</v>
      </c>
      <c r="F11" s="426">
        <f t="shared" si="0"/>
        <v>-13621.14</v>
      </c>
      <c r="G11" s="421">
        <f t="shared" si="0"/>
        <v>15790.08</v>
      </c>
      <c r="H11" s="421">
        <f t="shared" si="0"/>
        <v>2852.37</v>
      </c>
      <c r="I11" s="421">
        <f t="shared" si="0"/>
        <v>1018.98</v>
      </c>
      <c r="J11" s="421">
        <f t="shared" si="0"/>
        <v>3696.93</v>
      </c>
      <c r="K11" s="421">
        <f t="shared" si="0"/>
        <v>0</v>
      </c>
      <c r="L11" s="421">
        <f t="shared" si="0"/>
        <v>523.55999999999995</v>
      </c>
      <c r="M11" s="421">
        <f t="shared" si="0"/>
        <v>0</v>
      </c>
      <c r="N11" s="421">
        <f t="shared" si="0"/>
        <v>845.01</v>
      </c>
      <c r="O11" s="421">
        <f t="shared" si="0"/>
        <v>17011.22</v>
      </c>
      <c r="P11" s="421">
        <f t="shared" si="0"/>
        <v>6171.64</v>
      </c>
      <c r="Q11" s="421">
        <f t="shared" si="0"/>
        <v>60339</v>
      </c>
      <c r="R11" s="439">
        <f t="shared" si="1"/>
        <v>94627.65</v>
      </c>
    </row>
    <row r="12" spans="1:20">
      <c r="A12">
        <v>380</v>
      </c>
      <c r="C12" s="422" t="s">
        <v>120</v>
      </c>
      <c r="D12" s="422" t="s">
        <v>121</v>
      </c>
      <c r="E12">
        <v>2019</v>
      </c>
      <c r="F12" s="427">
        <f t="shared" si="0"/>
        <v>457313.39</v>
      </c>
      <c r="G12" s="421">
        <f t="shared" si="0"/>
        <v>278665.15000000002</v>
      </c>
      <c r="H12" s="421">
        <f t="shared" si="0"/>
        <v>428131.92</v>
      </c>
      <c r="I12" s="421">
        <f t="shared" si="0"/>
        <v>286209.09999999998</v>
      </c>
      <c r="J12" s="421">
        <f t="shared" si="0"/>
        <v>314530.95</v>
      </c>
      <c r="K12" s="421">
        <f t="shared" si="0"/>
        <v>377695.32</v>
      </c>
      <c r="L12" s="421">
        <f t="shared" si="0"/>
        <v>384921.36</v>
      </c>
      <c r="M12" s="421">
        <f t="shared" si="0"/>
        <v>372946.73999999976</v>
      </c>
      <c r="N12" s="421">
        <f t="shared" si="0"/>
        <v>422411.35</v>
      </c>
      <c r="O12" s="421">
        <f t="shared" si="0"/>
        <v>471489.46</v>
      </c>
      <c r="P12" s="421">
        <f t="shared" si="0"/>
        <v>466468.35</v>
      </c>
      <c r="Q12" s="421">
        <f t="shared" si="0"/>
        <v>451090.26</v>
      </c>
      <c r="R12" s="439">
        <f t="shared" si="1"/>
        <v>4711873.3499999996</v>
      </c>
    </row>
    <row r="13" spans="1:20">
      <c r="A13">
        <v>380</v>
      </c>
      <c r="C13" s="422" t="s">
        <v>122</v>
      </c>
      <c r="D13" s="422" t="s">
        <v>219</v>
      </c>
      <c r="E13">
        <v>2019</v>
      </c>
      <c r="F13" s="427">
        <f t="shared" si="0"/>
        <v>-20586.79</v>
      </c>
      <c r="G13" s="421">
        <f t="shared" si="0"/>
        <v>24815.56</v>
      </c>
      <c r="H13" s="421">
        <f t="shared" si="0"/>
        <v>3486.26</v>
      </c>
      <c r="I13" s="421">
        <f t="shared" si="0"/>
        <v>922.03</v>
      </c>
      <c r="J13" s="421">
        <f t="shared" si="0"/>
        <v>1761.37</v>
      </c>
      <c r="K13" s="421">
        <f t="shared" si="0"/>
        <v>6242.28</v>
      </c>
      <c r="L13" s="421">
        <f t="shared" si="0"/>
        <v>8213.9699999999993</v>
      </c>
      <c r="M13" s="421">
        <f t="shared" si="0"/>
        <v>10163.890000000007</v>
      </c>
      <c r="N13" s="421">
        <f t="shared" si="0"/>
        <v>8868.14</v>
      </c>
      <c r="O13" s="421">
        <f t="shared" si="0"/>
        <v>5016.43</v>
      </c>
      <c r="P13" s="421">
        <f t="shared" si="0"/>
        <v>5697.69</v>
      </c>
      <c r="Q13" s="421">
        <f t="shared" si="0"/>
        <v>5183.21</v>
      </c>
      <c r="R13" s="439">
        <f t="shared" si="1"/>
        <v>59784.040000000008</v>
      </c>
    </row>
    <row r="14" spans="1:20">
      <c r="A14">
        <v>380</v>
      </c>
      <c r="C14" s="422" t="s">
        <v>294</v>
      </c>
      <c r="D14" s="422" t="s">
        <v>295</v>
      </c>
      <c r="E14">
        <v>2019</v>
      </c>
      <c r="F14" s="427">
        <f t="shared" si="0"/>
        <v>-65430.65</v>
      </c>
      <c r="G14" s="421">
        <f t="shared" si="0"/>
        <v>69345.33</v>
      </c>
      <c r="H14" s="421">
        <f t="shared" si="0"/>
        <v>0</v>
      </c>
      <c r="I14" s="421">
        <f t="shared" si="0"/>
        <v>0</v>
      </c>
      <c r="J14" s="421">
        <f t="shared" si="0"/>
        <v>0</v>
      </c>
      <c r="K14" s="421">
        <f t="shared" si="0"/>
        <v>3553.6</v>
      </c>
      <c r="L14" s="421">
        <f t="shared" si="0"/>
        <v>246.85</v>
      </c>
      <c r="M14" s="421">
        <f t="shared" si="0"/>
        <v>0</v>
      </c>
      <c r="N14" s="421">
        <f t="shared" si="0"/>
        <v>1264.29</v>
      </c>
      <c r="O14" s="421">
        <f t="shared" si="0"/>
        <v>8787.6</v>
      </c>
      <c r="P14" s="421">
        <f t="shared" si="0"/>
        <v>1568.78</v>
      </c>
      <c r="Q14" s="421">
        <f t="shared" si="0"/>
        <v>10927.35</v>
      </c>
      <c r="R14" s="439">
        <f t="shared" si="1"/>
        <v>30263.15</v>
      </c>
      <c r="T14" s="421"/>
    </row>
    <row r="15" spans="1:20">
      <c r="A15">
        <v>380</v>
      </c>
      <c r="C15" s="422" t="s">
        <v>223</v>
      </c>
      <c r="D15" s="422" t="s">
        <v>224</v>
      </c>
      <c r="E15">
        <v>2019</v>
      </c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439">
        <f t="shared" si="1"/>
        <v>0</v>
      </c>
    </row>
    <row r="16" spans="1:20">
      <c r="A16">
        <v>376</v>
      </c>
      <c r="C16" s="423" t="s">
        <v>123</v>
      </c>
      <c r="D16" s="423" t="s">
        <v>124</v>
      </c>
      <c r="E16">
        <v>2019</v>
      </c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37"/>
      <c r="R16" s="439">
        <f t="shared" si="1"/>
        <v>0</v>
      </c>
    </row>
    <row r="17" spans="1:18">
      <c r="A17">
        <v>376</v>
      </c>
      <c r="C17" s="423" t="s">
        <v>128</v>
      </c>
      <c r="D17" s="423" t="s">
        <v>129</v>
      </c>
      <c r="E17">
        <v>2019</v>
      </c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439">
        <f t="shared" si="1"/>
        <v>0</v>
      </c>
    </row>
    <row r="18" spans="1:18">
      <c r="A18">
        <v>376</v>
      </c>
      <c r="C18" s="423" t="s">
        <v>126</v>
      </c>
      <c r="D18" s="423" t="s">
        <v>127</v>
      </c>
      <c r="E18">
        <v>2019</v>
      </c>
      <c r="F18" s="637"/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439">
        <f t="shared" si="1"/>
        <v>0</v>
      </c>
    </row>
    <row r="19" spans="1:18">
      <c r="A19">
        <v>376</v>
      </c>
      <c r="C19" s="423" t="s">
        <v>130</v>
      </c>
      <c r="D19" s="423" t="s">
        <v>131</v>
      </c>
      <c r="E19">
        <v>2019</v>
      </c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  <c r="Q19" s="637"/>
      <c r="R19" s="439">
        <f t="shared" si="1"/>
        <v>0</v>
      </c>
    </row>
    <row r="20" spans="1:18">
      <c r="A20">
        <v>380</v>
      </c>
      <c r="C20" s="424" t="s">
        <v>130</v>
      </c>
      <c r="D20" s="424" t="s">
        <v>131</v>
      </c>
      <c r="E20">
        <v>2019</v>
      </c>
      <c r="F20" s="426">
        <f t="shared" ref="F20:Q21" si="2">SUMIFS($O$55:$O$339,$A$55:$A$339,F$7,$B$55:$B$339,$A20,$C$55:$C$339,$C20)</f>
        <v>516934.82</v>
      </c>
      <c r="G20" s="421">
        <f t="shared" si="2"/>
        <v>199834.85</v>
      </c>
      <c r="H20" s="421">
        <f t="shared" si="2"/>
        <v>0</v>
      </c>
      <c r="I20" s="421">
        <f t="shared" si="2"/>
        <v>528130.11</v>
      </c>
      <c r="J20" s="421">
        <f t="shared" si="2"/>
        <v>333182.82</v>
      </c>
      <c r="K20" s="421">
        <f t="shared" si="2"/>
        <v>303068.81</v>
      </c>
      <c r="L20" s="421">
        <f t="shared" si="2"/>
        <v>284864.46000000002</v>
      </c>
      <c r="M20" s="421">
        <f t="shared" si="2"/>
        <v>232409.20999999996</v>
      </c>
      <c r="N20" s="421">
        <f t="shared" si="2"/>
        <v>308155.68</v>
      </c>
      <c r="O20" s="421">
        <f t="shared" si="2"/>
        <v>200869.63</v>
      </c>
      <c r="P20" s="421">
        <f t="shared" si="2"/>
        <v>168482.88</v>
      </c>
      <c r="Q20" s="421">
        <f t="shared" si="2"/>
        <v>238878.51</v>
      </c>
      <c r="R20" s="439">
        <f t="shared" si="1"/>
        <v>3314811.7800000003</v>
      </c>
    </row>
    <row r="21" spans="1:18">
      <c r="A21">
        <v>380</v>
      </c>
      <c r="C21" s="424" t="s">
        <v>132</v>
      </c>
      <c r="D21" s="424" t="s">
        <v>133</v>
      </c>
      <c r="E21">
        <v>2019</v>
      </c>
      <c r="F21" s="426">
        <f t="shared" si="2"/>
        <v>265.04000000000002</v>
      </c>
      <c r="G21" s="421">
        <f t="shared" si="2"/>
        <v>0</v>
      </c>
      <c r="H21" s="421">
        <f t="shared" si="2"/>
        <v>0</v>
      </c>
      <c r="I21" s="421">
        <f t="shared" si="2"/>
        <v>0</v>
      </c>
      <c r="J21" s="421">
        <f t="shared" si="2"/>
        <v>930.88</v>
      </c>
      <c r="K21" s="421">
        <f t="shared" si="2"/>
        <v>0</v>
      </c>
      <c r="L21" s="421">
        <f t="shared" si="2"/>
        <v>0</v>
      </c>
      <c r="M21" s="421">
        <f t="shared" si="2"/>
        <v>0</v>
      </c>
      <c r="N21" s="421">
        <f t="shared" si="2"/>
        <v>0</v>
      </c>
      <c r="O21" s="421">
        <f t="shared" si="2"/>
        <v>0</v>
      </c>
      <c r="P21" s="421">
        <f t="shared" si="2"/>
        <v>1579.31</v>
      </c>
      <c r="Q21" s="421">
        <f t="shared" si="2"/>
        <v>503.52</v>
      </c>
      <c r="R21" s="439">
        <f t="shared" si="1"/>
        <v>3278.75</v>
      </c>
    </row>
    <row r="22" spans="1:18">
      <c r="C22" s="425" t="s">
        <v>316</v>
      </c>
      <c r="D22" s="425" t="s">
        <v>317</v>
      </c>
      <c r="E22">
        <v>2019</v>
      </c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439">
        <f t="shared" si="1"/>
        <v>0</v>
      </c>
    </row>
    <row r="23" spans="1:18">
      <c r="C23" s="425" t="s">
        <v>318</v>
      </c>
      <c r="D23" s="425" t="s">
        <v>319</v>
      </c>
      <c r="E23">
        <v>2019</v>
      </c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439">
        <f t="shared" si="1"/>
        <v>0</v>
      </c>
    </row>
    <row r="24" spans="1:18">
      <c r="C24" s="425" t="s">
        <v>320</v>
      </c>
      <c r="D24" s="425" t="s">
        <v>321</v>
      </c>
      <c r="E24">
        <v>2019</v>
      </c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439">
        <f t="shared" si="1"/>
        <v>0</v>
      </c>
    </row>
    <row r="25" spans="1:18">
      <c r="A25">
        <v>380</v>
      </c>
      <c r="C25" s="422" t="s">
        <v>481</v>
      </c>
      <c r="D25" s="422" t="s">
        <v>482</v>
      </c>
      <c r="E25">
        <v>2019</v>
      </c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439">
        <f t="shared" si="1"/>
        <v>0</v>
      </c>
    </row>
    <row r="26" spans="1:18">
      <c r="C26" s="425" t="s">
        <v>483</v>
      </c>
      <c r="D26" s="425" t="s">
        <v>484</v>
      </c>
      <c r="E26">
        <v>2019</v>
      </c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439">
        <f t="shared" si="1"/>
        <v>0</v>
      </c>
    </row>
    <row r="27" spans="1:18">
      <c r="A27" t="s">
        <v>324</v>
      </c>
      <c r="F27" s="435">
        <f>SUM(F9:F26)</f>
        <v>883220.64000000013</v>
      </c>
      <c r="G27" s="436">
        <f t="shared" ref="G27:Q27" si="3">SUM(G9:G26)</f>
        <v>593763.56000000006</v>
      </c>
      <c r="H27" s="436">
        <f t="shared" si="3"/>
        <v>1489239.21</v>
      </c>
      <c r="I27" s="436">
        <f t="shared" si="3"/>
        <v>1091749.23</v>
      </c>
      <c r="J27" s="436">
        <f t="shared" si="3"/>
        <v>977054.04999999993</v>
      </c>
      <c r="K27" s="436">
        <f t="shared" si="3"/>
        <v>889957.10000000009</v>
      </c>
      <c r="L27" s="436">
        <f t="shared" si="3"/>
        <v>903998.25</v>
      </c>
      <c r="M27" s="436">
        <f t="shared" si="3"/>
        <v>824281.8399999995</v>
      </c>
      <c r="N27" s="436">
        <f t="shared" si="3"/>
        <v>953025.53</v>
      </c>
      <c r="O27" s="436">
        <f t="shared" si="3"/>
        <v>953963.58</v>
      </c>
      <c r="P27" s="436">
        <f t="shared" si="3"/>
        <v>806534.99</v>
      </c>
      <c r="Q27" s="437">
        <f t="shared" si="3"/>
        <v>910558.47</v>
      </c>
      <c r="R27" s="440">
        <f>SUM(R9:R26)</f>
        <v>11277346.449999999</v>
      </c>
    </row>
    <row r="28" spans="1:18"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</row>
    <row r="29" spans="1:18">
      <c r="A29" t="s">
        <v>325</v>
      </c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</row>
    <row r="30" spans="1:18">
      <c r="B30" t="s">
        <v>135</v>
      </c>
      <c r="C30" s="428" t="s">
        <v>116</v>
      </c>
      <c r="D30" s="428" t="s">
        <v>117</v>
      </c>
      <c r="E30">
        <v>2019</v>
      </c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41">
        <f>SUM(F30:Q30)</f>
        <v>0</v>
      </c>
    </row>
    <row r="31" spans="1:18">
      <c r="C31" s="428" t="s">
        <v>118</v>
      </c>
      <c r="D31" s="428" t="s">
        <v>119</v>
      </c>
      <c r="E31">
        <v>2019</v>
      </c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39">
        <f t="shared" ref="R31:R42" si="4">SUM(F31:Q31)</f>
        <v>0</v>
      </c>
    </row>
    <row r="32" spans="1:18">
      <c r="C32" s="428" t="s">
        <v>223</v>
      </c>
      <c r="D32" s="428" t="s">
        <v>224</v>
      </c>
      <c r="E32">
        <v>2019</v>
      </c>
      <c r="F32" s="637"/>
      <c r="G32" s="637"/>
      <c r="H32" s="637"/>
      <c r="I32" s="637"/>
      <c r="J32" s="637"/>
      <c r="K32" s="637"/>
      <c r="L32" s="637"/>
      <c r="M32" s="637"/>
      <c r="N32" s="637"/>
      <c r="O32" s="637"/>
      <c r="P32" s="637"/>
      <c r="Q32" s="637"/>
      <c r="R32" s="439">
        <f t="shared" si="4"/>
        <v>0</v>
      </c>
    </row>
    <row r="33" spans="1:20">
      <c r="C33" s="423" t="s">
        <v>123</v>
      </c>
      <c r="D33" s="423" t="s">
        <v>124</v>
      </c>
      <c r="E33">
        <v>2019</v>
      </c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439">
        <f t="shared" si="4"/>
        <v>0</v>
      </c>
    </row>
    <row r="34" spans="1:20">
      <c r="C34" s="423" t="s">
        <v>126</v>
      </c>
      <c r="D34" s="423" t="s">
        <v>127</v>
      </c>
      <c r="E34">
        <v>2019</v>
      </c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439">
        <f t="shared" si="4"/>
        <v>0</v>
      </c>
    </row>
    <row r="35" spans="1:20">
      <c r="C35" s="423" t="s">
        <v>128</v>
      </c>
      <c r="D35" s="423" t="s">
        <v>129</v>
      </c>
      <c r="E35">
        <v>2019</v>
      </c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439">
        <f t="shared" si="4"/>
        <v>0</v>
      </c>
    </row>
    <row r="36" spans="1:20">
      <c r="C36" s="423" t="s">
        <v>192</v>
      </c>
      <c r="D36" s="423" t="s">
        <v>193</v>
      </c>
      <c r="E36">
        <v>2019</v>
      </c>
      <c r="F36" s="637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7"/>
      <c r="R36" s="439">
        <f t="shared" si="4"/>
        <v>0</v>
      </c>
    </row>
    <row r="37" spans="1:20">
      <c r="C37" s="422" t="s">
        <v>130</v>
      </c>
      <c r="D37" s="422" t="s">
        <v>131</v>
      </c>
      <c r="E37">
        <v>2019</v>
      </c>
      <c r="F37" s="421">
        <v>4701.95</v>
      </c>
      <c r="G37" s="421">
        <v>16296.17</v>
      </c>
      <c r="H37" s="421">
        <v>24103.74</v>
      </c>
      <c r="I37" s="421">
        <v>24499.48</v>
      </c>
      <c r="J37" s="421">
        <v>4355.13</v>
      </c>
      <c r="K37" s="421">
        <v>86348.82</v>
      </c>
      <c r="L37" s="421">
        <v>32943.269999999997</v>
      </c>
      <c r="M37" s="421">
        <v>36575.300000000003</v>
      </c>
      <c r="N37" s="421">
        <v>57961.71</v>
      </c>
      <c r="O37" s="421">
        <v>37067.68</v>
      </c>
      <c r="P37" s="421">
        <v>129187.5</v>
      </c>
      <c r="Q37" s="421">
        <v>85854.35</v>
      </c>
      <c r="R37" s="439">
        <f>SUM(F37:Q37)</f>
        <v>539895.1</v>
      </c>
    </row>
    <row r="38" spans="1:20">
      <c r="C38" s="422" t="s">
        <v>132</v>
      </c>
      <c r="D38" s="422" t="s">
        <v>133</v>
      </c>
      <c r="E38">
        <v>2019</v>
      </c>
      <c r="F38" s="421">
        <v>35354.42</v>
      </c>
      <c r="G38" s="421">
        <v>-688.5</v>
      </c>
      <c r="H38" s="421">
        <v>4716.4799999999996</v>
      </c>
      <c r="I38" s="421">
        <v>23536.07</v>
      </c>
      <c r="J38" s="421">
        <v>29270.2</v>
      </c>
      <c r="K38" s="421">
        <v>69483.649999999994</v>
      </c>
      <c r="L38" s="421">
        <v>11488.22</v>
      </c>
      <c r="M38" s="421">
        <v>65923.899999999994</v>
      </c>
      <c r="N38" s="421">
        <v>54326.09</v>
      </c>
      <c r="O38" s="421">
        <v>57640.5</v>
      </c>
      <c r="P38" s="421">
        <v>58693.31</v>
      </c>
      <c r="Q38" s="421">
        <v>74034.759999999995</v>
      </c>
      <c r="R38" s="439">
        <f t="shared" si="4"/>
        <v>483779.10000000003</v>
      </c>
    </row>
    <row r="39" spans="1:20">
      <c r="C39" s="425" t="s">
        <v>316</v>
      </c>
      <c r="D39" s="425" t="s">
        <v>317</v>
      </c>
      <c r="E39">
        <v>2019</v>
      </c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7"/>
      <c r="R39" s="439">
        <f t="shared" si="4"/>
        <v>0</v>
      </c>
    </row>
    <row r="40" spans="1:20">
      <c r="C40" s="425" t="s">
        <v>320</v>
      </c>
      <c r="D40" s="425" t="s">
        <v>321</v>
      </c>
      <c r="E40">
        <v>2019</v>
      </c>
      <c r="F40" s="637"/>
      <c r="G40" s="637"/>
      <c r="H40" s="637"/>
      <c r="I40" s="637"/>
      <c r="J40" s="637"/>
      <c r="K40" s="637"/>
      <c r="L40" s="637"/>
      <c r="M40" s="637"/>
      <c r="N40" s="637"/>
      <c r="O40" s="637"/>
      <c r="P40" s="637"/>
      <c r="Q40" s="637"/>
      <c r="R40" s="439">
        <f t="shared" si="4"/>
        <v>0</v>
      </c>
    </row>
    <row r="41" spans="1:20">
      <c r="C41" s="422" t="s">
        <v>481</v>
      </c>
      <c r="D41" s="422" t="s">
        <v>482</v>
      </c>
      <c r="E41">
        <v>2019</v>
      </c>
      <c r="F41" s="637"/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637"/>
      <c r="R41" s="439">
        <f t="shared" si="4"/>
        <v>0</v>
      </c>
    </row>
    <row r="42" spans="1:20">
      <c r="B42" t="s">
        <v>485</v>
      </c>
      <c r="C42" s="422" t="s">
        <v>132</v>
      </c>
      <c r="D42" s="422" t="s">
        <v>133</v>
      </c>
      <c r="E42">
        <v>2019</v>
      </c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44">
        <f t="shared" si="4"/>
        <v>0</v>
      </c>
    </row>
    <row r="43" spans="1:20">
      <c r="A43" t="s">
        <v>326</v>
      </c>
      <c r="F43" s="435">
        <f>SUM(F30:F42)</f>
        <v>40056.369999999995</v>
      </c>
      <c r="G43" s="436">
        <f>SUM(G30:G42)</f>
        <v>15607.67</v>
      </c>
      <c r="H43" s="436">
        <f t="shared" ref="H43:R43" si="5">SUM(H30:H42)</f>
        <v>28820.22</v>
      </c>
      <c r="I43" s="436">
        <f t="shared" si="5"/>
        <v>48035.55</v>
      </c>
      <c r="J43" s="436">
        <f t="shared" si="5"/>
        <v>33625.33</v>
      </c>
      <c r="K43" s="436">
        <f t="shared" si="5"/>
        <v>155832.47</v>
      </c>
      <c r="L43" s="436">
        <f t="shared" si="5"/>
        <v>44431.49</v>
      </c>
      <c r="M43" s="436">
        <f t="shared" si="5"/>
        <v>102499.2</v>
      </c>
      <c r="N43" s="436">
        <f t="shared" si="5"/>
        <v>112287.79999999999</v>
      </c>
      <c r="O43" s="436">
        <f t="shared" si="5"/>
        <v>94708.18</v>
      </c>
      <c r="P43" s="436">
        <f t="shared" si="5"/>
        <v>187880.81</v>
      </c>
      <c r="Q43" s="436">
        <f t="shared" si="5"/>
        <v>159889.10999999999</v>
      </c>
      <c r="R43" s="440">
        <f t="shared" si="5"/>
        <v>1023674.2</v>
      </c>
    </row>
    <row r="44" spans="1:20"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</row>
    <row r="45" spans="1:20">
      <c r="A45" t="s">
        <v>327</v>
      </c>
      <c r="F45" s="435">
        <f>F27+F43</f>
        <v>923277.01000000013</v>
      </c>
      <c r="G45" s="436">
        <f t="shared" ref="G45:R45" si="6">G27+G43</f>
        <v>609371.2300000001</v>
      </c>
      <c r="H45" s="436">
        <f t="shared" si="6"/>
        <v>1518059.43</v>
      </c>
      <c r="I45" s="436">
        <f t="shared" si="6"/>
        <v>1139784.78</v>
      </c>
      <c r="J45" s="436">
        <f t="shared" si="6"/>
        <v>1010679.3799999999</v>
      </c>
      <c r="K45" s="436">
        <f t="shared" si="6"/>
        <v>1045789.5700000001</v>
      </c>
      <c r="L45" s="436">
        <f t="shared" si="6"/>
        <v>948429.74</v>
      </c>
      <c r="M45" s="436">
        <f t="shared" si="6"/>
        <v>926781.03999999946</v>
      </c>
      <c r="N45" s="436">
        <f t="shared" si="6"/>
        <v>1065313.33</v>
      </c>
      <c r="O45" s="436">
        <f t="shared" si="6"/>
        <v>1048671.76</v>
      </c>
      <c r="P45" s="436">
        <f t="shared" si="6"/>
        <v>994415.8</v>
      </c>
      <c r="Q45" s="436">
        <f t="shared" si="6"/>
        <v>1070447.58</v>
      </c>
      <c r="R45" s="437">
        <f t="shared" si="6"/>
        <v>12301020.649999999</v>
      </c>
      <c r="T45" s="445"/>
    </row>
    <row r="47" spans="1:20">
      <c r="T47" s="421"/>
    </row>
    <row r="49" spans="1:21">
      <c r="D49" s="199" t="s">
        <v>574</v>
      </c>
      <c r="F49" s="642"/>
      <c r="G49" s="642"/>
      <c r="H49" s="642"/>
      <c r="I49" s="642"/>
      <c r="J49" s="642"/>
      <c r="K49" s="642"/>
      <c r="L49" s="642"/>
      <c r="M49" s="642"/>
      <c r="N49" s="642"/>
      <c r="O49" s="642"/>
      <c r="P49" s="642"/>
      <c r="Q49" s="642"/>
    </row>
    <row r="50" spans="1:21">
      <c r="F50">
        <f>F49-'Rev Req 2018-Trans'!P11</f>
        <v>0</v>
      </c>
      <c r="G50">
        <f>G49-F49</f>
        <v>0</v>
      </c>
      <c r="H50">
        <f t="shared" ref="H50:Q50" si="7">H49-G49</f>
        <v>0</v>
      </c>
      <c r="I50">
        <f t="shared" si="7"/>
        <v>0</v>
      </c>
      <c r="J50">
        <f t="shared" si="7"/>
        <v>0</v>
      </c>
      <c r="K50">
        <f t="shared" si="7"/>
        <v>0</v>
      </c>
      <c r="L50">
        <f t="shared" si="7"/>
        <v>0</v>
      </c>
      <c r="M50">
        <f t="shared" si="7"/>
        <v>0</v>
      </c>
      <c r="N50">
        <f t="shared" si="7"/>
        <v>0</v>
      </c>
      <c r="O50">
        <f t="shared" si="7"/>
        <v>0</v>
      </c>
      <c r="P50">
        <f t="shared" si="7"/>
        <v>0</v>
      </c>
      <c r="Q50">
        <f t="shared" si="7"/>
        <v>0</v>
      </c>
    </row>
    <row r="54" spans="1:21">
      <c r="F54" t="s">
        <v>502</v>
      </c>
      <c r="G54" t="s">
        <v>503</v>
      </c>
      <c r="H54" t="s">
        <v>504</v>
      </c>
      <c r="I54" t="s">
        <v>505</v>
      </c>
      <c r="J54" t="s">
        <v>506</v>
      </c>
      <c r="K54" t="s">
        <v>507</v>
      </c>
      <c r="L54" t="s">
        <v>508</v>
      </c>
      <c r="N54" t="s">
        <v>509</v>
      </c>
      <c r="O54" t="s">
        <v>510</v>
      </c>
      <c r="P54" t="s">
        <v>511</v>
      </c>
      <c r="Q54" t="s">
        <v>512</v>
      </c>
    </row>
    <row r="55" spans="1:21">
      <c r="A55" t="str">
        <f t="shared" ref="A55:A118" si="8">IF(ISERROR(VLOOKUP(K55,$T$55:$U$66,2,FALSE)),"",VLOOKUP(K55,$T$55:$U$66,2,FALSE))</f>
        <v>01_Jan</v>
      </c>
      <c r="B55">
        <v>376</v>
      </c>
      <c r="C55" t="s">
        <v>123</v>
      </c>
      <c r="F55">
        <v>405403829</v>
      </c>
      <c r="G55" t="s">
        <v>513</v>
      </c>
      <c r="H55" t="s">
        <v>514</v>
      </c>
      <c r="I55" t="s">
        <v>515</v>
      </c>
      <c r="J55" t="s">
        <v>516</v>
      </c>
      <c r="K55">
        <v>201901</v>
      </c>
      <c r="L55" t="s">
        <v>123</v>
      </c>
      <c r="N55">
        <v>1</v>
      </c>
      <c r="O55">
        <v>-623595.61</v>
      </c>
      <c r="P55">
        <v>-623595.61</v>
      </c>
      <c r="Q55">
        <v>0</v>
      </c>
      <c r="T55">
        <v>201901</v>
      </c>
      <c r="U55" s="443" t="s">
        <v>278</v>
      </c>
    </row>
    <row r="56" spans="1:21">
      <c r="A56" t="str">
        <f t="shared" si="8"/>
        <v>10_Oct</v>
      </c>
      <c r="B56">
        <v>376</v>
      </c>
      <c r="C56" t="s">
        <v>123</v>
      </c>
      <c r="F56">
        <v>405403847</v>
      </c>
      <c r="G56" t="s">
        <v>513</v>
      </c>
      <c r="H56" t="s">
        <v>514</v>
      </c>
      <c r="I56" t="s">
        <v>515</v>
      </c>
      <c r="J56" t="s">
        <v>516</v>
      </c>
      <c r="K56">
        <v>201910</v>
      </c>
      <c r="L56" t="s">
        <v>518</v>
      </c>
      <c r="N56">
        <v>2</v>
      </c>
      <c r="O56">
        <v>19615.71</v>
      </c>
      <c r="P56">
        <v>9807.8549999999996</v>
      </c>
      <c r="Q56">
        <v>0</v>
      </c>
      <c r="T56">
        <v>201902</v>
      </c>
      <c r="U56" s="443" t="s">
        <v>279</v>
      </c>
    </row>
    <row r="57" spans="1:21">
      <c r="A57" t="str">
        <f t="shared" si="8"/>
        <v>09_Sep</v>
      </c>
      <c r="B57">
        <v>376</v>
      </c>
      <c r="C57" t="s">
        <v>123</v>
      </c>
      <c r="F57">
        <v>405403847</v>
      </c>
      <c r="G57" t="s">
        <v>513</v>
      </c>
      <c r="H57" t="s">
        <v>514</v>
      </c>
      <c r="I57" t="s">
        <v>515</v>
      </c>
      <c r="J57" t="s">
        <v>516</v>
      </c>
      <c r="K57">
        <v>201909</v>
      </c>
      <c r="L57" t="s">
        <v>518</v>
      </c>
      <c r="N57">
        <v>2</v>
      </c>
      <c r="O57">
        <v>18614.91</v>
      </c>
      <c r="P57">
        <v>9307.4549999999999</v>
      </c>
      <c r="Q57">
        <v>0</v>
      </c>
      <c r="T57">
        <v>201903</v>
      </c>
      <c r="U57" s="443" t="s">
        <v>280</v>
      </c>
    </row>
    <row r="58" spans="1:21">
      <c r="A58" t="str">
        <f t="shared" si="8"/>
        <v>11_Nov</v>
      </c>
      <c r="B58">
        <v>376</v>
      </c>
      <c r="C58" t="s">
        <v>123</v>
      </c>
      <c r="F58">
        <v>405403847</v>
      </c>
      <c r="G58" t="s">
        <v>513</v>
      </c>
      <c r="H58" t="s">
        <v>514</v>
      </c>
      <c r="I58" t="s">
        <v>515</v>
      </c>
      <c r="J58" t="s">
        <v>516</v>
      </c>
      <c r="K58">
        <v>201911</v>
      </c>
      <c r="L58" t="s">
        <v>518</v>
      </c>
      <c r="N58">
        <v>2</v>
      </c>
      <c r="O58">
        <v>79040.13</v>
      </c>
      <c r="P58">
        <v>39520.065000000002</v>
      </c>
      <c r="Q58">
        <v>0</v>
      </c>
      <c r="T58">
        <v>201904</v>
      </c>
      <c r="U58" s="443" t="s">
        <v>281</v>
      </c>
    </row>
    <row r="59" spans="1:21">
      <c r="A59" t="str">
        <f t="shared" si="8"/>
        <v>01_Jan</v>
      </c>
      <c r="B59">
        <v>376</v>
      </c>
      <c r="C59" t="s">
        <v>123</v>
      </c>
      <c r="F59">
        <v>405403847</v>
      </c>
      <c r="G59" t="s">
        <v>513</v>
      </c>
      <c r="H59" t="s">
        <v>514</v>
      </c>
      <c r="I59" t="s">
        <v>515</v>
      </c>
      <c r="J59" t="s">
        <v>516</v>
      </c>
      <c r="K59">
        <v>201901</v>
      </c>
      <c r="L59" t="s">
        <v>518</v>
      </c>
      <c r="N59">
        <v>2</v>
      </c>
      <c r="O59">
        <v>619345.02</v>
      </c>
      <c r="P59">
        <v>309672.51</v>
      </c>
      <c r="Q59">
        <v>0</v>
      </c>
      <c r="T59">
        <v>201905</v>
      </c>
      <c r="U59" s="443" t="s">
        <v>282</v>
      </c>
    </row>
    <row r="60" spans="1:21">
      <c r="A60" t="str">
        <f t="shared" si="8"/>
        <v>04_Apr</v>
      </c>
      <c r="B60">
        <v>376</v>
      </c>
      <c r="C60" t="s">
        <v>123</v>
      </c>
      <c r="F60">
        <v>405403847</v>
      </c>
      <c r="G60" t="s">
        <v>513</v>
      </c>
      <c r="H60" t="s">
        <v>514</v>
      </c>
      <c r="I60" t="s">
        <v>515</v>
      </c>
      <c r="J60" t="s">
        <v>516</v>
      </c>
      <c r="K60">
        <v>201904</v>
      </c>
      <c r="L60" t="s">
        <v>518</v>
      </c>
      <c r="N60">
        <v>2</v>
      </c>
      <c r="O60">
        <v>38923.71</v>
      </c>
      <c r="P60">
        <v>19461.855</v>
      </c>
      <c r="Q60">
        <v>0</v>
      </c>
      <c r="T60">
        <v>201906</v>
      </c>
      <c r="U60" s="443" t="s">
        <v>283</v>
      </c>
    </row>
    <row r="61" spans="1:21">
      <c r="A61" t="str">
        <f t="shared" si="8"/>
        <v>02_Feb</v>
      </c>
      <c r="B61">
        <v>376</v>
      </c>
      <c r="C61" t="s">
        <v>123</v>
      </c>
      <c r="F61">
        <v>405403847</v>
      </c>
      <c r="G61" t="s">
        <v>513</v>
      </c>
      <c r="H61" t="s">
        <v>514</v>
      </c>
      <c r="I61" t="s">
        <v>515</v>
      </c>
      <c r="J61" t="s">
        <v>516</v>
      </c>
      <c r="K61">
        <v>201902</v>
      </c>
      <c r="L61" t="s">
        <v>518</v>
      </c>
      <c r="N61">
        <v>2</v>
      </c>
      <c r="O61">
        <v>14464.93</v>
      </c>
      <c r="P61">
        <v>7232.4650000000001</v>
      </c>
      <c r="Q61">
        <v>0</v>
      </c>
      <c r="T61">
        <v>201907</v>
      </c>
      <c r="U61" s="443" t="s">
        <v>284</v>
      </c>
    </row>
    <row r="62" spans="1:21">
      <c r="A62" t="str">
        <f t="shared" si="8"/>
        <v>06_Jun</v>
      </c>
      <c r="B62">
        <v>376</v>
      </c>
      <c r="C62" t="s">
        <v>123</v>
      </c>
      <c r="F62">
        <v>405403847</v>
      </c>
      <c r="G62" t="s">
        <v>513</v>
      </c>
      <c r="H62" t="s">
        <v>514</v>
      </c>
      <c r="I62" t="s">
        <v>515</v>
      </c>
      <c r="J62" t="s">
        <v>516</v>
      </c>
      <c r="K62">
        <v>201906</v>
      </c>
      <c r="L62" t="s">
        <v>518</v>
      </c>
      <c r="N62">
        <v>2</v>
      </c>
      <c r="O62">
        <v>21227.07</v>
      </c>
      <c r="P62">
        <v>10613.535</v>
      </c>
      <c r="Q62">
        <v>0</v>
      </c>
      <c r="T62">
        <v>201908</v>
      </c>
      <c r="U62" s="443" t="s">
        <v>285</v>
      </c>
    </row>
    <row r="63" spans="1:21">
      <c r="A63" t="str">
        <f t="shared" si="8"/>
        <v>08_Aug</v>
      </c>
      <c r="B63">
        <v>376</v>
      </c>
      <c r="C63" t="s">
        <v>123</v>
      </c>
      <c r="F63">
        <v>405403847</v>
      </c>
      <c r="G63" t="s">
        <v>513</v>
      </c>
      <c r="H63" t="s">
        <v>514</v>
      </c>
      <c r="I63" t="s">
        <v>515</v>
      </c>
      <c r="J63" t="s">
        <v>516</v>
      </c>
      <c r="K63">
        <v>201908</v>
      </c>
      <c r="L63" t="s">
        <v>518</v>
      </c>
      <c r="N63">
        <v>2</v>
      </c>
      <c r="O63">
        <v>21802.720000000001</v>
      </c>
      <c r="P63">
        <v>10901.36</v>
      </c>
      <c r="Q63">
        <v>0</v>
      </c>
      <c r="T63">
        <v>201909</v>
      </c>
      <c r="U63" s="443" t="s">
        <v>286</v>
      </c>
    </row>
    <row r="64" spans="1:21">
      <c r="A64" t="str">
        <f t="shared" si="8"/>
        <v>05_May</v>
      </c>
      <c r="B64">
        <v>376</v>
      </c>
      <c r="C64" t="s">
        <v>123</v>
      </c>
      <c r="F64">
        <v>405403847</v>
      </c>
      <c r="G64" t="s">
        <v>513</v>
      </c>
      <c r="H64" t="s">
        <v>514</v>
      </c>
      <c r="I64" t="s">
        <v>515</v>
      </c>
      <c r="J64" t="s">
        <v>516</v>
      </c>
      <c r="K64">
        <v>201905</v>
      </c>
      <c r="L64" t="s">
        <v>518</v>
      </c>
      <c r="N64">
        <v>2</v>
      </c>
      <c r="O64">
        <v>20480.28</v>
      </c>
      <c r="P64">
        <v>10240.14</v>
      </c>
      <c r="Q64">
        <v>0</v>
      </c>
      <c r="T64">
        <v>201910</v>
      </c>
      <c r="U64" s="443" t="s">
        <v>287</v>
      </c>
    </row>
    <row r="65" spans="1:21">
      <c r="A65" t="str">
        <f t="shared" si="8"/>
        <v>07_Jul</v>
      </c>
      <c r="B65">
        <v>376</v>
      </c>
      <c r="C65" t="s">
        <v>123</v>
      </c>
      <c r="F65">
        <v>405403847</v>
      </c>
      <c r="G65" t="s">
        <v>513</v>
      </c>
      <c r="H65" t="s">
        <v>514</v>
      </c>
      <c r="I65" t="s">
        <v>515</v>
      </c>
      <c r="J65" t="s">
        <v>516</v>
      </c>
      <c r="K65">
        <v>201907</v>
      </c>
      <c r="L65" t="s">
        <v>518</v>
      </c>
      <c r="N65">
        <v>2</v>
      </c>
      <c r="O65">
        <v>23381.06</v>
      </c>
      <c r="P65">
        <v>11690.53</v>
      </c>
      <c r="Q65">
        <v>0</v>
      </c>
      <c r="T65">
        <v>201911</v>
      </c>
      <c r="U65" s="443" t="s">
        <v>288</v>
      </c>
    </row>
    <row r="66" spans="1:21">
      <c r="A66" t="str">
        <f t="shared" si="8"/>
        <v>12_Dec</v>
      </c>
      <c r="B66">
        <v>376</v>
      </c>
      <c r="C66" t="s">
        <v>123</v>
      </c>
      <c r="F66">
        <v>405403847</v>
      </c>
      <c r="G66" t="s">
        <v>513</v>
      </c>
      <c r="H66" t="s">
        <v>514</v>
      </c>
      <c r="I66" t="s">
        <v>515</v>
      </c>
      <c r="J66" t="s">
        <v>516</v>
      </c>
      <c r="K66">
        <v>201912</v>
      </c>
      <c r="L66" t="s">
        <v>518</v>
      </c>
      <c r="N66">
        <v>2</v>
      </c>
      <c r="O66">
        <v>13353.02</v>
      </c>
      <c r="P66">
        <v>6676.51</v>
      </c>
      <c r="Q66">
        <v>0</v>
      </c>
      <c r="T66">
        <v>201912</v>
      </c>
      <c r="U66" t="s">
        <v>289</v>
      </c>
    </row>
    <row r="67" spans="1:21">
      <c r="A67" t="str">
        <f t="shared" si="8"/>
        <v>01_Jan</v>
      </c>
      <c r="B67">
        <v>376</v>
      </c>
      <c r="C67" t="s">
        <v>126</v>
      </c>
      <c r="F67">
        <v>405404675</v>
      </c>
      <c r="G67" t="s">
        <v>513</v>
      </c>
      <c r="H67" t="s">
        <v>514</v>
      </c>
      <c r="I67" t="s">
        <v>515</v>
      </c>
      <c r="J67" t="s">
        <v>516</v>
      </c>
      <c r="K67">
        <v>201901</v>
      </c>
      <c r="L67" t="s">
        <v>126</v>
      </c>
      <c r="N67">
        <v>2</v>
      </c>
      <c r="O67">
        <v>-2708.29</v>
      </c>
      <c r="P67">
        <v>-1354.145</v>
      </c>
      <c r="Q67">
        <v>0</v>
      </c>
    </row>
    <row r="68" spans="1:21">
      <c r="A68" t="str">
        <f t="shared" si="8"/>
        <v>01_Jan</v>
      </c>
      <c r="B68">
        <v>376</v>
      </c>
      <c r="C68" t="s">
        <v>126</v>
      </c>
      <c r="F68">
        <v>405437976</v>
      </c>
      <c r="G68" t="s">
        <v>513</v>
      </c>
      <c r="H68" t="s">
        <v>514</v>
      </c>
      <c r="I68" t="s">
        <v>515</v>
      </c>
      <c r="J68" t="s">
        <v>516</v>
      </c>
      <c r="K68">
        <v>201901</v>
      </c>
      <c r="L68" t="s">
        <v>519</v>
      </c>
      <c r="N68">
        <v>1</v>
      </c>
      <c r="O68">
        <v>4228.3100000000004</v>
      </c>
      <c r="P68">
        <v>4228.3100000000004</v>
      </c>
      <c r="Q68">
        <v>0</v>
      </c>
    </row>
    <row r="69" spans="1:21">
      <c r="A69" t="str">
        <f t="shared" si="8"/>
        <v>02_Feb</v>
      </c>
      <c r="B69">
        <v>376</v>
      </c>
      <c r="C69" t="s">
        <v>126</v>
      </c>
      <c r="F69">
        <v>405437976</v>
      </c>
      <c r="G69" t="s">
        <v>513</v>
      </c>
      <c r="H69" t="s">
        <v>514</v>
      </c>
      <c r="I69" t="s">
        <v>515</v>
      </c>
      <c r="J69" t="s">
        <v>516</v>
      </c>
      <c r="K69">
        <v>201902</v>
      </c>
      <c r="L69" t="s">
        <v>519</v>
      </c>
      <c r="N69">
        <v>2</v>
      </c>
      <c r="O69">
        <v>121.79</v>
      </c>
      <c r="P69">
        <v>60.895000000000003</v>
      </c>
      <c r="Q69">
        <v>0</v>
      </c>
    </row>
    <row r="70" spans="1:21">
      <c r="A70" t="str">
        <f t="shared" si="8"/>
        <v>03_Mar</v>
      </c>
      <c r="B70">
        <v>376</v>
      </c>
      <c r="C70" t="s">
        <v>128</v>
      </c>
      <c r="F70">
        <v>392804923</v>
      </c>
      <c r="G70" t="s">
        <v>513</v>
      </c>
      <c r="H70" t="s">
        <v>514</v>
      </c>
      <c r="I70" t="s">
        <v>515</v>
      </c>
      <c r="J70" t="s">
        <v>517</v>
      </c>
      <c r="K70">
        <v>201903</v>
      </c>
      <c r="L70" t="s">
        <v>128</v>
      </c>
      <c r="N70">
        <v>0</v>
      </c>
      <c r="O70">
        <v>0</v>
      </c>
      <c r="P70">
        <v>0</v>
      </c>
    </row>
    <row r="71" spans="1:21">
      <c r="A71" t="str">
        <f t="shared" si="8"/>
        <v>01_Jan</v>
      </c>
      <c r="B71">
        <v>376</v>
      </c>
      <c r="C71" t="s">
        <v>128</v>
      </c>
      <c r="F71">
        <v>405404693</v>
      </c>
      <c r="G71" t="s">
        <v>513</v>
      </c>
      <c r="H71" t="s">
        <v>514</v>
      </c>
      <c r="I71" t="s">
        <v>515</v>
      </c>
      <c r="J71" t="s">
        <v>516</v>
      </c>
      <c r="K71">
        <v>201901</v>
      </c>
      <c r="L71" t="s">
        <v>128</v>
      </c>
      <c r="N71">
        <v>1</v>
      </c>
      <c r="O71">
        <v>-68745.320000000007</v>
      </c>
      <c r="P71">
        <v>-68745.320000000007</v>
      </c>
      <c r="Q71">
        <v>0</v>
      </c>
    </row>
    <row r="72" spans="1:21">
      <c r="A72" t="str">
        <f t="shared" si="8"/>
        <v>03_Mar</v>
      </c>
      <c r="B72">
        <v>376</v>
      </c>
      <c r="C72" t="s">
        <v>128</v>
      </c>
      <c r="F72">
        <v>392804932</v>
      </c>
      <c r="G72" t="s">
        <v>513</v>
      </c>
      <c r="H72" t="s">
        <v>514</v>
      </c>
      <c r="I72" t="s">
        <v>515</v>
      </c>
      <c r="J72" t="s">
        <v>517</v>
      </c>
      <c r="K72">
        <v>201903</v>
      </c>
      <c r="L72" t="s">
        <v>128</v>
      </c>
      <c r="N72">
        <v>0</v>
      </c>
      <c r="O72">
        <v>0</v>
      </c>
      <c r="P72">
        <v>0</v>
      </c>
    </row>
    <row r="73" spans="1:21">
      <c r="A73" t="str">
        <f t="shared" si="8"/>
        <v>03_Mar</v>
      </c>
      <c r="B73">
        <v>376</v>
      </c>
      <c r="C73" t="s">
        <v>128</v>
      </c>
      <c r="F73">
        <v>310968987</v>
      </c>
      <c r="G73" t="s">
        <v>513</v>
      </c>
      <c r="H73" t="s">
        <v>514</v>
      </c>
      <c r="I73" t="s">
        <v>515</v>
      </c>
      <c r="J73" t="s">
        <v>516</v>
      </c>
      <c r="K73">
        <v>201903</v>
      </c>
      <c r="L73" t="s">
        <v>128</v>
      </c>
      <c r="N73">
        <v>0</v>
      </c>
      <c r="O73">
        <v>0</v>
      </c>
      <c r="P73">
        <v>0</v>
      </c>
    </row>
    <row r="74" spans="1:21">
      <c r="A74" t="str">
        <f t="shared" si="8"/>
        <v>03_Mar</v>
      </c>
      <c r="B74">
        <v>376</v>
      </c>
      <c r="C74" t="s">
        <v>128</v>
      </c>
      <c r="F74">
        <v>392804890</v>
      </c>
      <c r="G74" t="s">
        <v>513</v>
      </c>
      <c r="H74" t="s">
        <v>514</v>
      </c>
      <c r="I74" t="s">
        <v>515</v>
      </c>
      <c r="J74" t="s">
        <v>517</v>
      </c>
      <c r="K74">
        <v>201903</v>
      </c>
      <c r="L74" t="s">
        <v>128</v>
      </c>
      <c r="N74">
        <v>0</v>
      </c>
      <c r="O74">
        <v>0</v>
      </c>
      <c r="P74">
        <v>0</v>
      </c>
    </row>
    <row r="75" spans="1:21">
      <c r="A75" t="str">
        <f t="shared" si="8"/>
        <v>03_Mar</v>
      </c>
      <c r="B75">
        <v>376</v>
      </c>
      <c r="C75" t="s">
        <v>128</v>
      </c>
      <c r="F75">
        <v>392803814</v>
      </c>
      <c r="G75" t="s">
        <v>513</v>
      </c>
      <c r="H75" t="s">
        <v>514</v>
      </c>
      <c r="I75" t="s">
        <v>515</v>
      </c>
      <c r="J75" t="s">
        <v>517</v>
      </c>
      <c r="K75">
        <v>201903</v>
      </c>
      <c r="L75" t="s">
        <v>128</v>
      </c>
      <c r="N75">
        <v>0</v>
      </c>
      <c r="O75">
        <v>0</v>
      </c>
      <c r="P75">
        <v>0</v>
      </c>
    </row>
    <row r="76" spans="1:21">
      <c r="A76" t="str">
        <f t="shared" si="8"/>
        <v>10_Oct</v>
      </c>
      <c r="B76">
        <v>376</v>
      </c>
      <c r="C76" t="s">
        <v>128</v>
      </c>
      <c r="F76">
        <v>395570557</v>
      </c>
      <c r="G76" t="s">
        <v>513</v>
      </c>
      <c r="H76" t="s">
        <v>514</v>
      </c>
      <c r="I76" t="s">
        <v>515</v>
      </c>
      <c r="J76" t="s">
        <v>516</v>
      </c>
      <c r="K76">
        <v>201910</v>
      </c>
      <c r="L76" t="s">
        <v>520</v>
      </c>
      <c r="N76">
        <v>1</v>
      </c>
      <c r="O76">
        <v>-504.98</v>
      </c>
      <c r="P76">
        <v>-504.98</v>
      </c>
      <c r="Q76">
        <v>0</v>
      </c>
    </row>
    <row r="77" spans="1:21">
      <c r="A77" t="str">
        <f t="shared" si="8"/>
        <v>01_Jan</v>
      </c>
      <c r="B77">
        <v>376</v>
      </c>
      <c r="C77" t="s">
        <v>128</v>
      </c>
      <c r="F77">
        <v>405404711</v>
      </c>
      <c r="G77" t="s">
        <v>513</v>
      </c>
      <c r="H77" t="s">
        <v>514</v>
      </c>
      <c r="I77" t="s">
        <v>515</v>
      </c>
      <c r="J77" t="s">
        <v>516</v>
      </c>
      <c r="K77">
        <v>201901</v>
      </c>
      <c r="L77" t="s">
        <v>520</v>
      </c>
      <c r="N77">
        <v>1</v>
      </c>
      <c r="O77">
        <v>69221.899999999994</v>
      </c>
      <c r="P77">
        <v>69221.899999999994</v>
      </c>
      <c r="Q77">
        <v>0</v>
      </c>
    </row>
    <row r="78" spans="1:21">
      <c r="A78" t="str">
        <f t="shared" si="8"/>
        <v>06_Jun</v>
      </c>
      <c r="B78">
        <v>376</v>
      </c>
      <c r="C78" t="s">
        <v>130</v>
      </c>
      <c r="F78">
        <v>395570602</v>
      </c>
      <c r="G78" t="s">
        <v>513</v>
      </c>
      <c r="H78" t="s">
        <v>514</v>
      </c>
      <c r="I78" t="s">
        <v>515</v>
      </c>
      <c r="J78" t="s">
        <v>516</v>
      </c>
      <c r="K78">
        <v>201906</v>
      </c>
      <c r="L78" t="s">
        <v>130</v>
      </c>
      <c r="N78">
        <v>2</v>
      </c>
      <c r="O78">
        <v>43.98</v>
      </c>
      <c r="P78">
        <v>21.99</v>
      </c>
      <c r="Q78">
        <v>0</v>
      </c>
    </row>
    <row r="79" spans="1:21">
      <c r="A79" t="str">
        <f t="shared" si="8"/>
        <v>09_Sep</v>
      </c>
      <c r="B79">
        <v>376</v>
      </c>
      <c r="C79" t="s">
        <v>130</v>
      </c>
      <c r="F79">
        <v>395570602</v>
      </c>
      <c r="G79" t="s">
        <v>513</v>
      </c>
      <c r="H79" t="s">
        <v>514</v>
      </c>
      <c r="I79" t="s">
        <v>515</v>
      </c>
      <c r="J79" t="s">
        <v>516</v>
      </c>
      <c r="K79">
        <v>201909</v>
      </c>
      <c r="L79" t="s">
        <v>130</v>
      </c>
      <c r="N79">
        <v>2</v>
      </c>
      <c r="O79">
        <v>346.58</v>
      </c>
      <c r="P79">
        <v>173.29</v>
      </c>
      <c r="Q79">
        <v>0</v>
      </c>
    </row>
    <row r="80" spans="1:21">
      <c r="A80" t="str">
        <f t="shared" si="8"/>
        <v>02_Feb</v>
      </c>
      <c r="B80">
        <v>376</v>
      </c>
      <c r="C80" t="s">
        <v>130</v>
      </c>
      <c r="F80">
        <v>395570602</v>
      </c>
      <c r="G80" t="s">
        <v>513</v>
      </c>
      <c r="H80" t="s">
        <v>514</v>
      </c>
      <c r="I80" t="s">
        <v>515</v>
      </c>
      <c r="J80" t="s">
        <v>516</v>
      </c>
      <c r="K80">
        <v>201902</v>
      </c>
      <c r="L80" t="s">
        <v>130</v>
      </c>
      <c r="N80">
        <v>1</v>
      </c>
      <c r="O80">
        <v>81.099999999999994</v>
      </c>
      <c r="P80">
        <v>81.099999999999994</v>
      </c>
      <c r="Q80">
        <v>0</v>
      </c>
    </row>
    <row r="81" spans="1:17">
      <c r="A81" t="str">
        <f t="shared" si="8"/>
        <v>10_Oct</v>
      </c>
      <c r="B81">
        <v>376</v>
      </c>
      <c r="C81" t="s">
        <v>130</v>
      </c>
      <c r="F81">
        <v>395570602</v>
      </c>
      <c r="G81" t="s">
        <v>513</v>
      </c>
      <c r="H81" t="s">
        <v>514</v>
      </c>
      <c r="I81" t="s">
        <v>515</v>
      </c>
      <c r="J81" t="s">
        <v>516</v>
      </c>
      <c r="K81">
        <v>201910</v>
      </c>
      <c r="L81" t="s">
        <v>130</v>
      </c>
      <c r="N81">
        <v>2</v>
      </c>
      <c r="O81">
        <v>971.83</v>
      </c>
      <c r="P81">
        <v>485.91500000000002</v>
      </c>
      <c r="Q81">
        <v>0</v>
      </c>
    </row>
    <row r="82" spans="1:17">
      <c r="A82" t="str">
        <f t="shared" si="8"/>
        <v>11_Nov</v>
      </c>
      <c r="B82">
        <v>376</v>
      </c>
      <c r="C82" t="s">
        <v>130</v>
      </c>
      <c r="F82">
        <v>395570602</v>
      </c>
      <c r="G82" t="s">
        <v>513</v>
      </c>
      <c r="H82" t="s">
        <v>514</v>
      </c>
      <c r="I82" t="s">
        <v>515</v>
      </c>
      <c r="J82" t="s">
        <v>516</v>
      </c>
      <c r="K82">
        <v>201911</v>
      </c>
      <c r="L82" t="s">
        <v>130</v>
      </c>
      <c r="N82">
        <v>2</v>
      </c>
      <c r="O82">
        <v>830.88</v>
      </c>
      <c r="P82">
        <v>415.44</v>
      </c>
      <c r="Q82">
        <v>0</v>
      </c>
    </row>
    <row r="83" spans="1:17">
      <c r="A83" t="str">
        <f t="shared" si="8"/>
        <v>08_Aug</v>
      </c>
      <c r="B83">
        <v>376</v>
      </c>
      <c r="C83" t="s">
        <v>130</v>
      </c>
      <c r="F83">
        <v>395570602</v>
      </c>
      <c r="G83" t="s">
        <v>513</v>
      </c>
      <c r="H83" t="s">
        <v>514</v>
      </c>
      <c r="I83" t="s">
        <v>515</v>
      </c>
      <c r="J83" t="s">
        <v>516</v>
      </c>
      <c r="K83">
        <v>201908</v>
      </c>
      <c r="L83" t="s">
        <v>130</v>
      </c>
      <c r="N83">
        <v>2</v>
      </c>
      <c r="O83">
        <v>207.52</v>
      </c>
      <c r="P83">
        <v>103.76</v>
      </c>
      <c r="Q83">
        <v>0</v>
      </c>
    </row>
    <row r="84" spans="1:17">
      <c r="A84" t="str">
        <f t="shared" si="8"/>
        <v>12_Dec</v>
      </c>
      <c r="B84">
        <v>376</v>
      </c>
      <c r="C84" t="s">
        <v>130</v>
      </c>
      <c r="F84">
        <v>395570602</v>
      </c>
      <c r="G84" t="s">
        <v>513</v>
      </c>
      <c r="H84" t="s">
        <v>514</v>
      </c>
      <c r="I84" t="s">
        <v>515</v>
      </c>
      <c r="J84" t="s">
        <v>516</v>
      </c>
      <c r="K84">
        <v>201912</v>
      </c>
      <c r="L84" t="s">
        <v>130</v>
      </c>
      <c r="N84">
        <v>2</v>
      </c>
      <c r="O84">
        <v>661.53</v>
      </c>
      <c r="P84">
        <v>330.76499999999999</v>
      </c>
      <c r="Q84">
        <v>0</v>
      </c>
    </row>
    <row r="85" spans="1:17">
      <c r="A85" t="str">
        <f t="shared" si="8"/>
        <v>03_Mar</v>
      </c>
      <c r="B85">
        <v>376</v>
      </c>
      <c r="C85" t="s">
        <v>130</v>
      </c>
      <c r="F85">
        <v>279416891</v>
      </c>
      <c r="G85" t="s">
        <v>513</v>
      </c>
      <c r="H85" t="s">
        <v>514</v>
      </c>
      <c r="I85" t="s">
        <v>515</v>
      </c>
      <c r="J85" t="s">
        <v>516</v>
      </c>
      <c r="K85">
        <v>201903</v>
      </c>
      <c r="L85" t="s">
        <v>130</v>
      </c>
      <c r="N85">
        <v>0</v>
      </c>
      <c r="O85">
        <v>0</v>
      </c>
      <c r="P85">
        <v>0</v>
      </c>
    </row>
    <row r="86" spans="1:17">
      <c r="A86" t="str">
        <f t="shared" si="8"/>
        <v>03_Mar</v>
      </c>
      <c r="B86">
        <v>376</v>
      </c>
      <c r="C86" t="s">
        <v>130</v>
      </c>
      <c r="F86">
        <v>395570602</v>
      </c>
      <c r="G86" t="s">
        <v>513</v>
      </c>
      <c r="H86" t="s">
        <v>514</v>
      </c>
      <c r="I86" t="s">
        <v>515</v>
      </c>
      <c r="J86" t="s">
        <v>516</v>
      </c>
      <c r="K86">
        <v>201903</v>
      </c>
      <c r="L86" t="s">
        <v>130</v>
      </c>
      <c r="N86">
        <v>0</v>
      </c>
      <c r="O86">
        <v>0</v>
      </c>
      <c r="P86">
        <v>0</v>
      </c>
    </row>
    <row r="87" spans="1:17">
      <c r="A87" t="str">
        <f t="shared" si="8"/>
        <v>06_Jun</v>
      </c>
      <c r="B87">
        <v>380</v>
      </c>
      <c r="C87">
        <v>414000001</v>
      </c>
      <c r="F87">
        <v>414658967</v>
      </c>
      <c r="G87" t="s">
        <v>513</v>
      </c>
      <c r="H87" t="s">
        <v>521</v>
      </c>
      <c r="I87" t="s">
        <v>522</v>
      </c>
      <c r="J87" t="s">
        <v>516</v>
      </c>
      <c r="K87">
        <v>201906</v>
      </c>
      <c r="L87" t="s">
        <v>481</v>
      </c>
      <c r="N87">
        <v>2</v>
      </c>
      <c r="O87">
        <v>906245.31</v>
      </c>
      <c r="P87">
        <v>453122.65500000003</v>
      </c>
      <c r="Q87">
        <v>0</v>
      </c>
    </row>
    <row r="88" spans="1:17">
      <c r="A88" t="str">
        <f t="shared" si="8"/>
        <v>07_Jul</v>
      </c>
      <c r="B88">
        <v>380</v>
      </c>
      <c r="C88">
        <v>414000001</v>
      </c>
      <c r="F88">
        <v>414658967</v>
      </c>
      <c r="G88" t="s">
        <v>513</v>
      </c>
      <c r="H88" t="s">
        <v>521</v>
      </c>
      <c r="I88" t="s">
        <v>522</v>
      </c>
      <c r="J88" t="s">
        <v>516</v>
      </c>
      <c r="K88">
        <v>201907</v>
      </c>
      <c r="L88" t="s">
        <v>481</v>
      </c>
      <c r="N88">
        <v>2</v>
      </c>
      <c r="O88">
        <v>704122.58</v>
      </c>
      <c r="P88">
        <v>352061.29</v>
      </c>
      <c r="Q88">
        <v>0</v>
      </c>
    </row>
    <row r="89" spans="1:17">
      <c r="A89" t="str">
        <f t="shared" si="8"/>
        <v>05_May</v>
      </c>
      <c r="B89">
        <v>380</v>
      </c>
      <c r="C89">
        <v>414000001</v>
      </c>
      <c r="F89">
        <v>414658967</v>
      </c>
      <c r="G89" t="s">
        <v>513</v>
      </c>
      <c r="H89" t="s">
        <v>521</v>
      </c>
      <c r="I89" t="s">
        <v>522</v>
      </c>
      <c r="J89" t="s">
        <v>516</v>
      </c>
      <c r="K89">
        <v>201905</v>
      </c>
      <c r="L89" t="s">
        <v>481</v>
      </c>
      <c r="N89">
        <v>2</v>
      </c>
      <c r="O89">
        <v>755002.67</v>
      </c>
      <c r="P89">
        <v>377501.33500000002</v>
      </c>
      <c r="Q89">
        <v>0</v>
      </c>
    </row>
    <row r="90" spans="1:17">
      <c r="A90" t="str">
        <f t="shared" si="8"/>
        <v>09_Sep</v>
      </c>
      <c r="B90">
        <v>380</v>
      </c>
      <c r="C90">
        <v>414000001</v>
      </c>
      <c r="F90">
        <v>414658967</v>
      </c>
      <c r="G90" t="s">
        <v>513</v>
      </c>
      <c r="H90" t="s">
        <v>521</v>
      </c>
      <c r="I90" t="s">
        <v>522</v>
      </c>
      <c r="J90" t="s">
        <v>516</v>
      </c>
      <c r="K90">
        <v>201909</v>
      </c>
      <c r="L90" t="s">
        <v>481</v>
      </c>
      <c r="N90">
        <v>2</v>
      </c>
      <c r="O90">
        <v>780073.36</v>
      </c>
      <c r="P90">
        <v>390036.68</v>
      </c>
      <c r="Q90">
        <v>0</v>
      </c>
    </row>
    <row r="91" spans="1:17">
      <c r="A91" t="str">
        <f t="shared" si="8"/>
        <v>04_Apr</v>
      </c>
      <c r="B91">
        <v>380</v>
      </c>
      <c r="C91">
        <v>414000001</v>
      </c>
      <c r="F91">
        <v>414658967</v>
      </c>
      <c r="G91" t="s">
        <v>513</v>
      </c>
      <c r="H91" t="s">
        <v>521</v>
      </c>
      <c r="I91" t="s">
        <v>522</v>
      </c>
      <c r="J91" t="s">
        <v>516</v>
      </c>
      <c r="K91">
        <v>201904</v>
      </c>
      <c r="L91" t="s">
        <v>481</v>
      </c>
      <c r="N91">
        <v>2</v>
      </c>
      <c r="O91">
        <v>2843402.61</v>
      </c>
      <c r="P91">
        <v>1421701.3049999999</v>
      </c>
      <c r="Q91">
        <v>0</v>
      </c>
    </row>
    <row r="92" spans="1:17">
      <c r="A92" t="str">
        <f t="shared" si="8"/>
        <v>08_Aug</v>
      </c>
      <c r="B92">
        <v>380</v>
      </c>
      <c r="C92">
        <v>414000001</v>
      </c>
      <c r="F92">
        <v>414658967</v>
      </c>
      <c r="G92" t="s">
        <v>513</v>
      </c>
      <c r="H92" t="s">
        <v>521</v>
      </c>
      <c r="I92" t="s">
        <v>522</v>
      </c>
      <c r="J92" t="s">
        <v>516</v>
      </c>
      <c r="K92">
        <v>201908</v>
      </c>
      <c r="L92" t="s">
        <v>481</v>
      </c>
      <c r="N92">
        <v>2</v>
      </c>
      <c r="O92">
        <v>791386.81</v>
      </c>
      <c r="P92">
        <v>395693.40500000003</v>
      </c>
      <c r="Q92">
        <v>0</v>
      </c>
    </row>
    <row r="93" spans="1:17">
      <c r="A93" t="str">
        <f t="shared" si="8"/>
        <v>10_Oct</v>
      </c>
      <c r="B93">
        <v>380</v>
      </c>
      <c r="C93">
        <v>414000001</v>
      </c>
      <c r="F93">
        <v>414658967</v>
      </c>
      <c r="G93" t="s">
        <v>513</v>
      </c>
      <c r="H93" t="s">
        <v>521</v>
      </c>
      <c r="I93" t="s">
        <v>522</v>
      </c>
      <c r="J93" t="s">
        <v>516</v>
      </c>
      <c r="K93">
        <v>201910</v>
      </c>
      <c r="L93" t="s">
        <v>481</v>
      </c>
      <c r="N93">
        <v>2</v>
      </c>
      <c r="O93">
        <v>678227.19</v>
      </c>
      <c r="P93">
        <v>339113.59499999997</v>
      </c>
      <c r="Q93">
        <v>0</v>
      </c>
    </row>
    <row r="94" spans="1:17">
      <c r="A94" t="str">
        <f t="shared" si="8"/>
        <v>12_Dec</v>
      </c>
      <c r="B94">
        <v>380</v>
      </c>
      <c r="C94">
        <v>414000001</v>
      </c>
      <c r="F94">
        <v>414658967</v>
      </c>
      <c r="G94" t="s">
        <v>513</v>
      </c>
      <c r="H94" t="s">
        <v>521</v>
      </c>
      <c r="I94" t="s">
        <v>522</v>
      </c>
      <c r="J94" t="s">
        <v>516</v>
      </c>
      <c r="K94">
        <v>201912</v>
      </c>
      <c r="L94" t="s">
        <v>481</v>
      </c>
      <c r="N94">
        <v>2</v>
      </c>
      <c r="O94">
        <v>739148.52</v>
      </c>
      <c r="P94">
        <v>369574.26</v>
      </c>
      <c r="Q94">
        <v>0</v>
      </c>
    </row>
    <row r="95" spans="1:17">
      <c r="A95" s="457" t="str">
        <f t="shared" si="8"/>
        <v>11_Nov</v>
      </c>
      <c r="B95" s="457">
        <v>380</v>
      </c>
      <c r="C95" s="457">
        <v>414000001</v>
      </c>
      <c r="F95">
        <v>414658967</v>
      </c>
      <c r="G95" t="s">
        <v>513</v>
      </c>
      <c r="H95" t="s">
        <v>521</v>
      </c>
      <c r="I95" t="s">
        <v>522</v>
      </c>
      <c r="J95" t="s">
        <v>516</v>
      </c>
      <c r="K95">
        <v>201911</v>
      </c>
      <c r="L95" t="s">
        <v>481</v>
      </c>
      <c r="N95">
        <v>2</v>
      </c>
      <c r="O95" s="457">
        <v>1048351.57</v>
      </c>
      <c r="P95" s="457">
        <v>524175.78499999997</v>
      </c>
      <c r="Q95">
        <v>0</v>
      </c>
    </row>
    <row r="96" spans="1:17">
      <c r="A96" t="str">
        <f t="shared" si="8"/>
        <v>05_May</v>
      </c>
      <c r="B96">
        <v>380</v>
      </c>
      <c r="C96" t="s">
        <v>114</v>
      </c>
      <c r="F96">
        <v>411220508</v>
      </c>
      <c r="G96" t="s">
        <v>513</v>
      </c>
      <c r="H96" t="s">
        <v>521</v>
      </c>
      <c r="I96" t="s">
        <v>522</v>
      </c>
      <c r="J96" t="s">
        <v>516</v>
      </c>
      <c r="K96">
        <v>201905</v>
      </c>
      <c r="L96" t="s">
        <v>523</v>
      </c>
      <c r="N96">
        <v>2</v>
      </c>
      <c r="O96">
        <v>314241.31</v>
      </c>
      <c r="P96">
        <v>157120.655</v>
      </c>
      <c r="Q96">
        <v>0</v>
      </c>
    </row>
    <row r="97" spans="1:17">
      <c r="A97" t="str">
        <f t="shared" si="8"/>
        <v>06_Jun</v>
      </c>
      <c r="B97">
        <v>380</v>
      </c>
      <c r="C97" t="s">
        <v>114</v>
      </c>
      <c r="F97">
        <v>411220508</v>
      </c>
      <c r="G97" t="s">
        <v>513</v>
      </c>
      <c r="H97" t="s">
        <v>521</v>
      </c>
      <c r="I97" t="s">
        <v>522</v>
      </c>
      <c r="J97" t="s">
        <v>516</v>
      </c>
      <c r="K97">
        <v>201906</v>
      </c>
      <c r="L97" t="s">
        <v>523</v>
      </c>
      <c r="N97">
        <v>2</v>
      </c>
      <c r="O97">
        <v>180309.94</v>
      </c>
      <c r="P97">
        <v>90154.97</v>
      </c>
      <c r="Q97">
        <v>0</v>
      </c>
    </row>
    <row r="98" spans="1:17">
      <c r="A98" t="str">
        <f t="shared" si="8"/>
        <v>09_Sep</v>
      </c>
      <c r="B98">
        <v>380</v>
      </c>
      <c r="C98" t="s">
        <v>114</v>
      </c>
      <c r="F98">
        <v>411220508</v>
      </c>
      <c r="G98" t="s">
        <v>513</v>
      </c>
      <c r="H98" t="s">
        <v>521</v>
      </c>
      <c r="I98" t="s">
        <v>522</v>
      </c>
      <c r="J98" t="s">
        <v>516</v>
      </c>
      <c r="K98">
        <v>201909</v>
      </c>
      <c r="L98" t="s">
        <v>523</v>
      </c>
      <c r="N98">
        <v>2</v>
      </c>
      <c r="O98">
        <v>209453.17</v>
      </c>
      <c r="P98">
        <v>104726.58500000001</v>
      </c>
      <c r="Q98">
        <v>0</v>
      </c>
    </row>
    <row r="99" spans="1:17">
      <c r="A99" t="str">
        <f t="shared" si="8"/>
        <v>11_Nov</v>
      </c>
      <c r="B99">
        <v>380</v>
      </c>
      <c r="C99" t="s">
        <v>114</v>
      </c>
      <c r="F99">
        <v>411220508</v>
      </c>
      <c r="G99" t="s">
        <v>513</v>
      </c>
      <c r="H99" t="s">
        <v>521</v>
      </c>
      <c r="I99" t="s">
        <v>522</v>
      </c>
      <c r="J99" t="s">
        <v>516</v>
      </c>
      <c r="K99">
        <v>201911</v>
      </c>
      <c r="L99" t="s">
        <v>523</v>
      </c>
      <c r="N99">
        <v>2</v>
      </c>
      <c r="O99">
        <v>152162.60999999999</v>
      </c>
      <c r="P99">
        <v>76081.304999999993</v>
      </c>
      <c r="Q99">
        <v>0</v>
      </c>
    </row>
    <row r="100" spans="1:17">
      <c r="A100" t="str">
        <f t="shared" si="8"/>
        <v>08_Aug</v>
      </c>
      <c r="B100">
        <v>380</v>
      </c>
      <c r="C100" t="s">
        <v>114</v>
      </c>
      <c r="F100">
        <v>411220508</v>
      </c>
      <c r="G100" t="s">
        <v>513</v>
      </c>
      <c r="H100" t="s">
        <v>521</v>
      </c>
      <c r="I100" t="s">
        <v>522</v>
      </c>
      <c r="J100" t="s">
        <v>516</v>
      </c>
      <c r="K100">
        <v>201908</v>
      </c>
      <c r="L100" t="s">
        <v>523</v>
      </c>
      <c r="N100">
        <v>-8</v>
      </c>
      <c r="O100">
        <v>-1786803.57</v>
      </c>
      <c r="P100">
        <v>223350.44625000001</v>
      </c>
      <c r="Q100">
        <v>0</v>
      </c>
    </row>
    <row r="101" spans="1:17">
      <c r="A101" t="str">
        <f t="shared" si="8"/>
        <v>10_Oct</v>
      </c>
      <c r="B101">
        <v>380</v>
      </c>
      <c r="C101" t="s">
        <v>114</v>
      </c>
      <c r="F101">
        <v>411220508</v>
      </c>
      <c r="G101" t="s">
        <v>513</v>
      </c>
      <c r="H101" t="s">
        <v>521</v>
      </c>
      <c r="I101" t="s">
        <v>522</v>
      </c>
      <c r="J101" t="s">
        <v>516</v>
      </c>
      <c r="K101">
        <v>201910</v>
      </c>
      <c r="L101" t="s">
        <v>523</v>
      </c>
      <c r="N101">
        <v>2</v>
      </c>
      <c r="O101">
        <v>248626.05</v>
      </c>
      <c r="P101">
        <v>124313.02499999999</v>
      </c>
      <c r="Q101">
        <v>0</v>
      </c>
    </row>
    <row r="102" spans="1:17">
      <c r="A102" t="str">
        <f t="shared" si="8"/>
        <v>04_Apr</v>
      </c>
      <c r="B102">
        <v>380</v>
      </c>
      <c r="C102" t="s">
        <v>114</v>
      </c>
      <c r="F102">
        <v>411220508</v>
      </c>
      <c r="G102" t="s">
        <v>513</v>
      </c>
      <c r="H102" t="s">
        <v>521</v>
      </c>
      <c r="I102" t="s">
        <v>522</v>
      </c>
      <c r="J102" t="s">
        <v>516</v>
      </c>
      <c r="K102">
        <v>201904</v>
      </c>
      <c r="L102" t="s">
        <v>523</v>
      </c>
      <c r="N102">
        <v>2</v>
      </c>
      <c r="O102">
        <v>269152.17</v>
      </c>
      <c r="P102">
        <v>134576.08499999999</v>
      </c>
      <c r="Q102">
        <v>0</v>
      </c>
    </row>
    <row r="103" spans="1:17">
      <c r="A103" t="str">
        <f t="shared" si="8"/>
        <v>08_Aug</v>
      </c>
      <c r="B103">
        <v>380</v>
      </c>
      <c r="C103" t="s">
        <v>114</v>
      </c>
      <c r="F103">
        <v>452731400</v>
      </c>
      <c r="G103" t="s">
        <v>513</v>
      </c>
      <c r="H103" t="s">
        <v>521</v>
      </c>
      <c r="I103" t="s">
        <v>522</v>
      </c>
      <c r="J103" t="s">
        <v>517</v>
      </c>
      <c r="K103">
        <v>201908</v>
      </c>
      <c r="L103" t="s">
        <v>523</v>
      </c>
      <c r="N103">
        <v>6</v>
      </c>
      <c r="O103">
        <v>63151.42</v>
      </c>
      <c r="P103">
        <v>10525.2366666667</v>
      </c>
      <c r="Q103">
        <v>0</v>
      </c>
    </row>
    <row r="104" spans="1:17">
      <c r="A104" t="str">
        <f t="shared" si="8"/>
        <v>08_Aug</v>
      </c>
      <c r="B104">
        <v>380</v>
      </c>
      <c r="C104" t="s">
        <v>114</v>
      </c>
      <c r="F104">
        <v>452731391</v>
      </c>
      <c r="G104" t="s">
        <v>513</v>
      </c>
      <c r="H104" t="s">
        <v>521</v>
      </c>
      <c r="I104" t="s">
        <v>522</v>
      </c>
      <c r="J104" t="s">
        <v>517</v>
      </c>
      <c r="K104">
        <v>201908</v>
      </c>
      <c r="L104" t="s">
        <v>523</v>
      </c>
      <c r="N104">
        <v>78</v>
      </c>
      <c r="O104">
        <v>444083.39</v>
      </c>
      <c r="P104">
        <v>5693.3767948717996</v>
      </c>
      <c r="Q104">
        <v>0</v>
      </c>
    </row>
    <row r="105" spans="1:17">
      <c r="A105" t="str">
        <f t="shared" si="8"/>
        <v>08_Aug</v>
      </c>
      <c r="B105">
        <v>380</v>
      </c>
      <c r="C105" t="s">
        <v>114</v>
      </c>
      <c r="F105">
        <v>452731374</v>
      </c>
      <c r="G105" t="s">
        <v>513</v>
      </c>
      <c r="H105" t="s">
        <v>521</v>
      </c>
      <c r="I105" t="s">
        <v>522</v>
      </c>
      <c r="J105" t="s">
        <v>517</v>
      </c>
      <c r="K105">
        <v>201908</v>
      </c>
      <c r="L105" t="s">
        <v>523</v>
      </c>
      <c r="N105">
        <v>396</v>
      </c>
      <c r="O105">
        <v>1324952.23</v>
      </c>
      <c r="P105">
        <v>3345.8389646464602</v>
      </c>
      <c r="Q105">
        <v>0</v>
      </c>
    </row>
    <row r="106" spans="1:17">
      <c r="A106" t="str">
        <f t="shared" si="8"/>
        <v>07_Jul</v>
      </c>
      <c r="B106">
        <v>380</v>
      </c>
      <c r="C106" t="s">
        <v>114</v>
      </c>
      <c r="F106">
        <v>411220508</v>
      </c>
      <c r="G106" t="s">
        <v>513</v>
      </c>
      <c r="H106" t="s">
        <v>521</v>
      </c>
      <c r="I106" t="s">
        <v>522</v>
      </c>
      <c r="J106" t="s">
        <v>516</v>
      </c>
      <c r="K106">
        <v>201907</v>
      </c>
      <c r="L106" t="s">
        <v>523</v>
      </c>
      <c r="N106">
        <v>2</v>
      </c>
      <c r="O106">
        <v>216193.19</v>
      </c>
      <c r="P106">
        <v>108096.595</v>
      </c>
      <c r="Q106">
        <v>0</v>
      </c>
    </row>
    <row r="107" spans="1:17">
      <c r="A107" t="str">
        <f t="shared" si="8"/>
        <v>03_Mar</v>
      </c>
      <c r="B107">
        <v>380</v>
      </c>
      <c r="C107" t="s">
        <v>114</v>
      </c>
      <c r="F107">
        <v>411220508</v>
      </c>
      <c r="G107" t="s">
        <v>513</v>
      </c>
      <c r="H107" t="s">
        <v>521</v>
      </c>
      <c r="I107" t="s">
        <v>522</v>
      </c>
      <c r="J107" t="s">
        <v>516</v>
      </c>
      <c r="K107">
        <v>201903</v>
      </c>
      <c r="L107" t="s">
        <v>523</v>
      </c>
      <c r="N107">
        <v>2</v>
      </c>
      <c r="O107">
        <v>1054768.6599999999</v>
      </c>
      <c r="P107">
        <v>527384.32999999996</v>
      </c>
      <c r="Q107">
        <v>0</v>
      </c>
    </row>
    <row r="108" spans="1:17">
      <c r="A108" t="str">
        <f t="shared" si="8"/>
        <v>12_Dec</v>
      </c>
      <c r="B108">
        <v>380</v>
      </c>
      <c r="C108" t="s">
        <v>114</v>
      </c>
      <c r="F108">
        <v>411220508</v>
      </c>
      <c r="G108" t="s">
        <v>513</v>
      </c>
      <c r="H108" t="s">
        <v>521</v>
      </c>
      <c r="I108" t="s">
        <v>522</v>
      </c>
      <c r="J108" t="s">
        <v>516</v>
      </c>
      <c r="K108">
        <v>201912</v>
      </c>
      <c r="L108" t="s">
        <v>523</v>
      </c>
      <c r="N108">
        <v>2</v>
      </c>
      <c r="O108">
        <v>132148.76</v>
      </c>
      <c r="P108">
        <v>66074.38</v>
      </c>
      <c r="Q108">
        <v>0</v>
      </c>
    </row>
    <row r="109" spans="1:17">
      <c r="A109" t="str">
        <f t="shared" si="8"/>
        <v>08_Aug</v>
      </c>
      <c r="B109">
        <v>380</v>
      </c>
      <c r="C109" t="s">
        <v>114</v>
      </c>
      <c r="F109">
        <v>452731409</v>
      </c>
      <c r="G109" t="s">
        <v>513</v>
      </c>
      <c r="H109" t="s">
        <v>521</v>
      </c>
      <c r="I109" t="s">
        <v>522</v>
      </c>
      <c r="J109" t="s">
        <v>517</v>
      </c>
      <c r="K109">
        <v>201908</v>
      </c>
      <c r="L109" t="s">
        <v>523</v>
      </c>
      <c r="N109">
        <v>14</v>
      </c>
      <c r="O109">
        <v>157730.16</v>
      </c>
      <c r="P109">
        <v>11266.44</v>
      </c>
      <c r="Q109">
        <v>0</v>
      </c>
    </row>
    <row r="110" spans="1:17">
      <c r="A110" t="str">
        <f t="shared" si="8"/>
        <v>03_Mar</v>
      </c>
      <c r="B110">
        <v>380</v>
      </c>
      <c r="C110" t="s">
        <v>116</v>
      </c>
      <c r="F110">
        <v>392799787</v>
      </c>
      <c r="G110" t="s">
        <v>513</v>
      </c>
      <c r="H110" t="s">
        <v>521</v>
      </c>
      <c r="I110" t="s">
        <v>522</v>
      </c>
      <c r="J110" t="s">
        <v>517</v>
      </c>
      <c r="K110">
        <v>201903</v>
      </c>
      <c r="L110" t="s">
        <v>116</v>
      </c>
      <c r="N110">
        <v>0</v>
      </c>
      <c r="O110">
        <v>0</v>
      </c>
      <c r="P110">
        <v>0</v>
      </c>
    </row>
    <row r="111" spans="1:17">
      <c r="A111" t="str">
        <f t="shared" si="8"/>
        <v>03_Mar</v>
      </c>
      <c r="B111">
        <v>380</v>
      </c>
      <c r="C111" t="s">
        <v>116</v>
      </c>
      <c r="F111">
        <v>392799720</v>
      </c>
      <c r="G111" t="s">
        <v>513</v>
      </c>
      <c r="H111" t="s">
        <v>521</v>
      </c>
      <c r="I111" t="s">
        <v>522</v>
      </c>
      <c r="J111" t="s">
        <v>517</v>
      </c>
      <c r="K111">
        <v>201903</v>
      </c>
      <c r="L111" t="s">
        <v>116</v>
      </c>
      <c r="N111">
        <v>0</v>
      </c>
      <c r="O111">
        <v>0</v>
      </c>
      <c r="P111">
        <v>0</v>
      </c>
    </row>
    <row r="112" spans="1:17">
      <c r="A112" t="str">
        <f t="shared" si="8"/>
        <v>03_Mar</v>
      </c>
      <c r="B112">
        <v>380</v>
      </c>
      <c r="C112" t="s">
        <v>116</v>
      </c>
      <c r="F112">
        <v>392799778</v>
      </c>
      <c r="G112" t="s">
        <v>513</v>
      </c>
      <c r="H112" t="s">
        <v>521</v>
      </c>
      <c r="I112" t="s">
        <v>522</v>
      </c>
      <c r="J112" t="s">
        <v>517</v>
      </c>
      <c r="K112">
        <v>201903</v>
      </c>
      <c r="L112" t="s">
        <v>116</v>
      </c>
      <c r="N112">
        <v>0</v>
      </c>
      <c r="O112">
        <v>0</v>
      </c>
      <c r="P112">
        <v>0</v>
      </c>
    </row>
    <row r="113" spans="1:17">
      <c r="A113" t="str">
        <f t="shared" si="8"/>
        <v>03_Mar</v>
      </c>
      <c r="B113">
        <v>380</v>
      </c>
      <c r="C113" t="s">
        <v>116</v>
      </c>
      <c r="F113">
        <v>392799769</v>
      </c>
      <c r="G113" t="s">
        <v>513</v>
      </c>
      <c r="H113" t="s">
        <v>521</v>
      </c>
      <c r="I113" t="s">
        <v>522</v>
      </c>
      <c r="J113" t="s">
        <v>517</v>
      </c>
      <c r="K113">
        <v>201903</v>
      </c>
      <c r="L113" t="s">
        <v>116</v>
      </c>
      <c r="N113">
        <v>0</v>
      </c>
      <c r="O113">
        <v>0</v>
      </c>
      <c r="P113">
        <v>0</v>
      </c>
    </row>
    <row r="114" spans="1:17">
      <c r="A114" t="str">
        <f t="shared" si="8"/>
        <v>03_Mar</v>
      </c>
      <c r="B114">
        <v>380</v>
      </c>
      <c r="C114" t="s">
        <v>116</v>
      </c>
      <c r="F114">
        <v>310966583</v>
      </c>
      <c r="G114" t="s">
        <v>513</v>
      </c>
      <c r="H114" t="s">
        <v>521</v>
      </c>
      <c r="I114" t="s">
        <v>522</v>
      </c>
      <c r="J114" t="s">
        <v>516</v>
      </c>
      <c r="K114">
        <v>201903</v>
      </c>
      <c r="L114" t="s">
        <v>116</v>
      </c>
      <c r="N114">
        <v>0</v>
      </c>
      <c r="O114">
        <v>0</v>
      </c>
      <c r="P114">
        <v>0</v>
      </c>
    </row>
    <row r="115" spans="1:17">
      <c r="A115" t="str">
        <f t="shared" si="8"/>
        <v>03_Mar</v>
      </c>
      <c r="B115">
        <v>380</v>
      </c>
      <c r="C115" t="s">
        <v>116</v>
      </c>
      <c r="F115">
        <v>397871508</v>
      </c>
      <c r="G115" t="s">
        <v>513</v>
      </c>
      <c r="H115" t="s">
        <v>521</v>
      </c>
      <c r="I115" t="s">
        <v>522</v>
      </c>
      <c r="J115" t="s">
        <v>516</v>
      </c>
      <c r="K115">
        <v>201903</v>
      </c>
      <c r="L115" t="s">
        <v>116</v>
      </c>
      <c r="N115">
        <v>0</v>
      </c>
      <c r="O115">
        <v>0</v>
      </c>
      <c r="P115">
        <v>0</v>
      </c>
    </row>
    <row r="116" spans="1:17">
      <c r="A116" t="str">
        <f t="shared" si="8"/>
        <v>01_Jan</v>
      </c>
      <c r="B116">
        <v>380</v>
      </c>
      <c r="C116" t="s">
        <v>116</v>
      </c>
      <c r="F116">
        <v>405402253</v>
      </c>
      <c r="G116" t="s">
        <v>513</v>
      </c>
      <c r="H116" t="s">
        <v>521</v>
      </c>
      <c r="I116" t="s">
        <v>522</v>
      </c>
      <c r="J116" t="s">
        <v>516</v>
      </c>
      <c r="K116">
        <v>201901</v>
      </c>
      <c r="L116" t="s">
        <v>116</v>
      </c>
      <c r="N116">
        <v>1</v>
      </c>
      <c r="O116">
        <v>-1207.02</v>
      </c>
      <c r="P116">
        <v>-1207.02</v>
      </c>
      <c r="Q116">
        <v>0</v>
      </c>
    </row>
    <row r="117" spans="1:17">
      <c r="A117" t="str">
        <f t="shared" si="8"/>
        <v>01_Jan</v>
      </c>
      <c r="B117">
        <v>380</v>
      </c>
      <c r="C117" t="s">
        <v>116</v>
      </c>
      <c r="F117">
        <v>405402262</v>
      </c>
      <c r="G117" t="s">
        <v>513</v>
      </c>
      <c r="H117" t="s">
        <v>521</v>
      </c>
      <c r="I117" t="s">
        <v>522</v>
      </c>
      <c r="J117" t="s">
        <v>516</v>
      </c>
      <c r="K117">
        <v>201901</v>
      </c>
      <c r="L117" t="s">
        <v>116</v>
      </c>
      <c r="N117">
        <v>1</v>
      </c>
      <c r="O117">
        <v>-1206.99</v>
      </c>
      <c r="P117">
        <v>-1206.99</v>
      </c>
      <c r="Q117">
        <v>0</v>
      </c>
    </row>
    <row r="118" spans="1:17">
      <c r="A118" t="str">
        <f t="shared" si="8"/>
        <v>08_Aug</v>
      </c>
      <c r="B118">
        <v>380</v>
      </c>
      <c r="C118" t="s">
        <v>116</v>
      </c>
      <c r="F118">
        <v>452731374</v>
      </c>
      <c r="G118" t="s">
        <v>513</v>
      </c>
      <c r="H118" t="s">
        <v>521</v>
      </c>
      <c r="I118" t="s">
        <v>522</v>
      </c>
      <c r="J118" t="s">
        <v>517</v>
      </c>
      <c r="K118">
        <v>201908</v>
      </c>
      <c r="L118" t="s">
        <v>524</v>
      </c>
      <c r="N118">
        <v>12</v>
      </c>
      <c r="O118">
        <v>53376.03</v>
      </c>
      <c r="P118">
        <v>4448.0024999999996</v>
      </c>
      <c r="Q118">
        <v>0</v>
      </c>
    </row>
    <row r="119" spans="1:17">
      <c r="A119" t="str">
        <f t="shared" ref="A119:A182" si="9">IF(ISERROR(VLOOKUP(K119,$T$55:$U$66,2,FALSE)),"",VLOOKUP(K119,$T$55:$U$66,2,FALSE))</f>
        <v>08_Aug</v>
      </c>
      <c r="B119">
        <v>380</v>
      </c>
      <c r="C119" t="s">
        <v>116</v>
      </c>
      <c r="F119">
        <v>405402280</v>
      </c>
      <c r="G119" t="s">
        <v>513</v>
      </c>
      <c r="H119" t="s">
        <v>521</v>
      </c>
      <c r="I119" t="s">
        <v>522</v>
      </c>
      <c r="J119" t="s">
        <v>516</v>
      </c>
      <c r="K119">
        <v>201908</v>
      </c>
      <c r="L119" t="s">
        <v>524</v>
      </c>
      <c r="N119">
        <v>-10</v>
      </c>
      <c r="O119">
        <v>-55296.5</v>
      </c>
      <c r="P119">
        <v>5529.65</v>
      </c>
      <c r="Q119">
        <v>0</v>
      </c>
    </row>
    <row r="120" spans="1:17">
      <c r="A120" t="str">
        <f t="shared" si="9"/>
        <v>09_Sep</v>
      </c>
      <c r="B120">
        <v>380</v>
      </c>
      <c r="C120" t="s">
        <v>116</v>
      </c>
      <c r="F120">
        <v>405402280</v>
      </c>
      <c r="G120" t="s">
        <v>513</v>
      </c>
      <c r="H120" t="s">
        <v>521</v>
      </c>
      <c r="I120" t="s">
        <v>522</v>
      </c>
      <c r="J120" t="s">
        <v>516</v>
      </c>
      <c r="K120">
        <v>201909</v>
      </c>
      <c r="L120" t="s">
        <v>524</v>
      </c>
      <c r="N120">
        <v>2</v>
      </c>
      <c r="O120">
        <v>2027.89</v>
      </c>
      <c r="P120">
        <v>1013.9450000000001</v>
      </c>
      <c r="Q120">
        <v>0</v>
      </c>
    </row>
    <row r="121" spans="1:17">
      <c r="A121" t="str">
        <f t="shared" si="9"/>
        <v>12_Dec</v>
      </c>
      <c r="B121">
        <v>380</v>
      </c>
      <c r="C121" t="s">
        <v>116</v>
      </c>
      <c r="F121">
        <v>405402280</v>
      </c>
      <c r="G121" t="s">
        <v>513</v>
      </c>
      <c r="H121" t="s">
        <v>521</v>
      </c>
      <c r="I121" t="s">
        <v>522</v>
      </c>
      <c r="J121" t="s">
        <v>516</v>
      </c>
      <c r="K121">
        <v>201912</v>
      </c>
      <c r="L121" t="s">
        <v>524</v>
      </c>
      <c r="N121">
        <v>2</v>
      </c>
      <c r="O121">
        <v>11487.86</v>
      </c>
      <c r="P121">
        <v>5743.93</v>
      </c>
      <c r="Q121">
        <v>0</v>
      </c>
    </row>
    <row r="122" spans="1:17">
      <c r="A122" t="str">
        <f t="shared" si="9"/>
        <v>06_Jun</v>
      </c>
      <c r="B122">
        <v>380</v>
      </c>
      <c r="C122" t="s">
        <v>116</v>
      </c>
      <c r="F122">
        <v>405402280</v>
      </c>
      <c r="G122" t="s">
        <v>513</v>
      </c>
      <c r="H122" t="s">
        <v>521</v>
      </c>
      <c r="I122" t="s">
        <v>522</v>
      </c>
      <c r="J122" t="s">
        <v>516</v>
      </c>
      <c r="K122">
        <v>201906</v>
      </c>
      <c r="L122" t="s">
        <v>524</v>
      </c>
      <c r="N122">
        <v>2</v>
      </c>
      <c r="O122">
        <v>19087.150000000001</v>
      </c>
      <c r="P122">
        <v>9543.5750000000007</v>
      </c>
      <c r="Q122">
        <v>0</v>
      </c>
    </row>
    <row r="123" spans="1:17">
      <c r="A123" t="str">
        <f t="shared" si="9"/>
        <v>07_Jul</v>
      </c>
      <c r="B123">
        <v>380</v>
      </c>
      <c r="C123" t="s">
        <v>116</v>
      </c>
      <c r="F123">
        <v>405402280</v>
      </c>
      <c r="G123" t="s">
        <v>513</v>
      </c>
      <c r="H123" t="s">
        <v>521</v>
      </c>
      <c r="I123" t="s">
        <v>522</v>
      </c>
      <c r="J123" t="s">
        <v>516</v>
      </c>
      <c r="K123">
        <v>201907</v>
      </c>
      <c r="L123" t="s">
        <v>524</v>
      </c>
      <c r="N123">
        <v>2</v>
      </c>
      <c r="O123">
        <v>9034.86</v>
      </c>
      <c r="P123">
        <v>4517.43</v>
      </c>
      <c r="Q123">
        <v>0</v>
      </c>
    </row>
    <row r="124" spans="1:17">
      <c r="A124" t="str">
        <f t="shared" si="9"/>
        <v>11_Nov</v>
      </c>
      <c r="B124">
        <v>380</v>
      </c>
      <c r="C124" t="s">
        <v>116</v>
      </c>
      <c r="F124">
        <v>405402280</v>
      </c>
      <c r="G124" t="s">
        <v>513</v>
      </c>
      <c r="H124" t="s">
        <v>521</v>
      </c>
      <c r="I124" t="s">
        <v>522</v>
      </c>
      <c r="J124" t="s">
        <v>516</v>
      </c>
      <c r="K124">
        <v>201911</v>
      </c>
      <c r="L124" t="s">
        <v>524</v>
      </c>
      <c r="N124">
        <v>2</v>
      </c>
      <c r="O124">
        <v>4403.7299999999996</v>
      </c>
      <c r="P124">
        <v>2201.8649999999998</v>
      </c>
      <c r="Q124">
        <v>0</v>
      </c>
    </row>
    <row r="125" spans="1:17">
      <c r="A125" t="str">
        <f t="shared" si="9"/>
        <v>04_Apr</v>
      </c>
      <c r="B125">
        <v>380</v>
      </c>
      <c r="C125" t="s">
        <v>116</v>
      </c>
      <c r="F125">
        <v>405402280</v>
      </c>
      <c r="G125" t="s">
        <v>513</v>
      </c>
      <c r="H125" t="s">
        <v>521</v>
      </c>
      <c r="I125" t="s">
        <v>522</v>
      </c>
      <c r="J125" t="s">
        <v>516</v>
      </c>
      <c r="K125">
        <v>201904</v>
      </c>
      <c r="L125" t="s">
        <v>524</v>
      </c>
      <c r="N125">
        <v>2</v>
      </c>
      <c r="O125">
        <v>6316.84</v>
      </c>
      <c r="P125">
        <v>3158.42</v>
      </c>
      <c r="Q125">
        <v>0</v>
      </c>
    </row>
    <row r="126" spans="1:17">
      <c r="A126" t="str">
        <f t="shared" si="9"/>
        <v>10_Oct</v>
      </c>
      <c r="B126">
        <v>380</v>
      </c>
      <c r="C126" t="s">
        <v>116</v>
      </c>
      <c r="F126">
        <v>405402280</v>
      </c>
      <c r="G126" t="s">
        <v>513</v>
      </c>
      <c r="H126" t="s">
        <v>521</v>
      </c>
      <c r="I126" t="s">
        <v>522</v>
      </c>
      <c r="J126" t="s">
        <v>516</v>
      </c>
      <c r="K126">
        <v>201910</v>
      </c>
      <c r="L126" t="s">
        <v>524</v>
      </c>
      <c r="N126">
        <v>2</v>
      </c>
      <c r="O126">
        <v>2163.19</v>
      </c>
      <c r="P126">
        <v>1081.595</v>
      </c>
      <c r="Q126">
        <v>0</v>
      </c>
    </row>
    <row r="127" spans="1:17">
      <c r="A127" t="str">
        <f t="shared" si="9"/>
        <v>01_Jan</v>
      </c>
      <c r="B127">
        <v>380</v>
      </c>
      <c r="C127" t="s">
        <v>116</v>
      </c>
      <c r="F127">
        <v>405402280</v>
      </c>
      <c r="G127" t="s">
        <v>513</v>
      </c>
      <c r="H127" t="s">
        <v>521</v>
      </c>
      <c r="I127" t="s">
        <v>522</v>
      </c>
      <c r="J127" t="s">
        <v>516</v>
      </c>
      <c r="K127">
        <v>201901</v>
      </c>
      <c r="L127" t="s">
        <v>524</v>
      </c>
      <c r="N127">
        <v>2</v>
      </c>
      <c r="O127">
        <v>10759.98</v>
      </c>
      <c r="P127">
        <v>5379.99</v>
      </c>
      <c r="Q127">
        <v>0</v>
      </c>
    </row>
    <row r="128" spans="1:17">
      <c r="A128" t="str">
        <f t="shared" si="9"/>
        <v>05_May</v>
      </c>
      <c r="B128">
        <v>380</v>
      </c>
      <c r="C128" t="s">
        <v>116</v>
      </c>
      <c r="F128">
        <v>405402280</v>
      </c>
      <c r="G128" t="s">
        <v>513</v>
      </c>
      <c r="H128" t="s">
        <v>521</v>
      </c>
      <c r="I128" t="s">
        <v>522</v>
      </c>
      <c r="J128" t="s">
        <v>516</v>
      </c>
      <c r="K128">
        <v>201905</v>
      </c>
      <c r="L128" t="s">
        <v>524</v>
      </c>
      <c r="N128">
        <v>2</v>
      </c>
      <c r="O128">
        <v>8709.7900000000009</v>
      </c>
      <c r="P128">
        <v>4354.8950000000004</v>
      </c>
      <c r="Q128">
        <v>0</v>
      </c>
    </row>
    <row r="129" spans="1:17">
      <c r="A129" t="str">
        <f t="shared" si="9"/>
        <v>08_Aug</v>
      </c>
      <c r="B129">
        <v>380</v>
      </c>
      <c r="C129" t="s">
        <v>116</v>
      </c>
      <c r="F129">
        <v>452731391</v>
      </c>
      <c r="G129" t="s">
        <v>513</v>
      </c>
      <c r="H129" t="s">
        <v>521</v>
      </c>
      <c r="I129" t="s">
        <v>522</v>
      </c>
      <c r="J129" t="s">
        <v>517</v>
      </c>
      <c r="K129">
        <v>201908</v>
      </c>
      <c r="L129" t="s">
        <v>524</v>
      </c>
      <c r="N129">
        <v>1</v>
      </c>
      <c r="O129">
        <v>7568.84</v>
      </c>
      <c r="P129">
        <v>7568.84</v>
      </c>
      <c r="Q129">
        <v>0</v>
      </c>
    </row>
    <row r="130" spans="1:17">
      <c r="A130" t="str">
        <f t="shared" si="9"/>
        <v>02_Feb</v>
      </c>
      <c r="B130">
        <v>380</v>
      </c>
      <c r="C130" t="s">
        <v>116</v>
      </c>
      <c r="F130">
        <v>405402280</v>
      </c>
      <c r="G130" t="s">
        <v>513</v>
      </c>
      <c r="H130" t="s">
        <v>521</v>
      </c>
      <c r="I130" t="s">
        <v>522</v>
      </c>
      <c r="J130" t="s">
        <v>516</v>
      </c>
      <c r="K130">
        <v>201902</v>
      </c>
      <c r="L130" t="s">
        <v>524</v>
      </c>
      <c r="N130">
        <v>2</v>
      </c>
      <c r="O130">
        <v>5312.59</v>
      </c>
      <c r="P130">
        <v>2656.2950000000001</v>
      </c>
      <c r="Q130">
        <v>0</v>
      </c>
    </row>
    <row r="131" spans="1:17">
      <c r="A131" t="str">
        <f t="shared" si="9"/>
        <v>04_Apr</v>
      </c>
      <c r="B131">
        <v>380</v>
      </c>
      <c r="C131" t="s">
        <v>118</v>
      </c>
      <c r="F131">
        <v>405402289</v>
      </c>
      <c r="G131" t="s">
        <v>513</v>
      </c>
      <c r="H131" t="s">
        <v>521</v>
      </c>
      <c r="I131" t="s">
        <v>522</v>
      </c>
      <c r="J131" t="s">
        <v>516</v>
      </c>
      <c r="K131">
        <v>201904</v>
      </c>
      <c r="L131" t="s">
        <v>118</v>
      </c>
      <c r="N131">
        <v>1</v>
      </c>
      <c r="O131">
        <v>0</v>
      </c>
      <c r="P131">
        <v>0</v>
      </c>
      <c r="Q131">
        <v>0</v>
      </c>
    </row>
    <row r="132" spans="1:17">
      <c r="A132" t="str">
        <f t="shared" si="9"/>
        <v>07_Jul</v>
      </c>
      <c r="B132">
        <v>380</v>
      </c>
      <c r="C132" t="s">
        <v>118</v>
      </c>
      <c r="F132">
        <v>405402289</v>
      </c>
      <c r="G132" t="s">
        <v>513</v>
      </c>
      <c r="H132" t="s">
        <v>521</v>
      </c>
      <c r="I132" t="s">
        <v>522</v>
      </c>
      <c r="J132" t="s">
        <v>516</v>
      </c>
      <c r="K132">
        <v>201907</v>
      </c>
      <c r="L132" t="s">
        <v>118</v>
      </c>
      <c r="N132">
        <v>1</v>
      </c>
      <c r="O132">
        <v>0</v>
      </c>
      <c r="P132">
        <v>0</v>
      </c>
      <c r="Q132">
        <v>0</v>
      </c>
    </row>
    <row r="133" spans="1:17">
      <c r="A133" t="str">
        <f t="shared" si="9"/>
        <v>03_Mar</v>
      </c>
      <c r="B133">
        <v>380</v>
      </c>
      <c r="C133" t="s">
        <v>118</v>
      </c>
      <c r="F133">
        <v>392799778</v>
      </c>
      <c r="G133" t="s">
        <v>513</v>
      </c>
      <c r="H133" t="s">
        <v>521</v>
      </c>
      <c r="I133" t="s">
        <v>522</v>
      </c>
      <c r="J133" t="s">
        <v>517</v>
      </c>
      <c r="K133">
        <v>201903</v>
      </c>
      <c r="L133" t="s">
        <v>118</v>
      </c>
      <c r="N133">
        <v>0</v>
      </c>
      <c r="O133">
        <v>0</v>
      </c>
      <c r="P133">
        <v>0</v>
      </c>
    </row>
    <row r="134" spans="1:17">
      <c r="A134" t="str">
        <f t="shared" si="9"/>
        <v>03_Mar</v>
      </c>
      <c r="B134">
        <v>380</v>
      </c>
      <c r="C134" t="s">
        <v>118</v>
      </c>
      <c r="F134">
        <v>392799787</v>
      </c>
      <c r="G134" t="s">
        <v>513</v>
      </c>
      <c r="H134" t="s">
        <v>521</v>
      </c>
      <c r="I134" t="s">
        <v>522</v>
      </c>
      <c r="J134" t="s">
        <v>517</v>
      </c>
      <c r="K134">
        <v>201903</v>
      </c>
      <c r="L134" t="s">
        <v>118</v>
      </c>
      <c r="N134">
        <v>0</v>
      </c>
      <c r="O134">
        <v>0</v>
      </c>
      <c r="P134">
        <v>0</v>
      </c>
    </row>
    <row r="135" spans="1:17">
      <c r="A135" t="str">
        <f t="shared" si="9"/>
        <v>03_Mar</v>
      </c>
      <c r="B135">
        <v>380</v>
      </c>
      <c r="C135" t="s">
        <v>118</v>
      </c>
      <c r="F135">
        <v>310966601</v>
      </c>
      <c r="G135" t="s">
        <v>513</v>
      </c>
      <c r="H135" t="s">
        <v>521</v>
      </c>
      <c r="I135" t="s">
        <v>522</v>
      </c>
      <c r="J135" t="s">
        <v>516</v>
      </c>
      <c r="K135">
        <v>201903</v>
      </c>
      <c r="L135" t="s">
        <v>118</v>
      </c>
      <c r="N135">
        <v>0</v>
      </c>
      <c r="O135">
        <v>0</v>
      </c>
      <c r="P135">
        <v>0</v>
      </c>
    </row>
    <row r="136" spans="1:17">
      <c r="A136" t="str">
        <f t="shared" si="9"/>
        <v>02_Feb</v>
      </c>
      <c r="B136">
        <v>380</v>
      </c>
      <c r="C136" t="s">
        <v>118</v>
      </c>
      <c r="F136">
        <v>405402289</v>
      </c>
      <c r="G136" t="s">
        <v>513</v>
      </c>
      <c r="H136" t="s">
        <v>521</v>
      </c>
      <c r="I136" t="s">
        <v>522</v>
      </c>
      <c r="J136" t="s">
        <v>516</v>
      </c>
      <c r="K136">
        <v>201902</v>
      </c>
      <c r="L136" t="s">
        <v>118</v>
      </c>
      <c r="N136">
        <v>1</v>
      </c>
      <c r="O136">
        <v>0</v>
      </c>
      <c r="P136">
        <v>0</v>
      </c>
      <c r="Q136">
        <v>0</v>
      </c>
    </row>
    <row r="137" spans="1:17">
      <c r="A137" t="str">
        <f t="shared" si="9"/>
        <v>05_May</v>
      </c>
      <c r="B137">
        <v>380</v>
      </c>
      <c r="C137" t="s">
        <v>118</v>
      </c>
      <c r="F137">
        <v>405402289</v>
      </c>
      <c r="G137" t="s">
        <v>513</v>
      </c>
      <c r="H137" t="s">
        <v>521</v>
      </c>
      <c r="I137" t="s">
        <v>522</v>
      </c>
      <c r="J137" t="s">
        <v>516</v>
      </c>
      <c r="K137">
        <v>201905</v>
      </c>
      <c r="L137" t="s">
        <v>118</v>
      </c>
      <c r="N137">
        <v>1</v>
      </c>
      <c r="O137">
        <v>0</v>
      </c>
      <c r="P137">
        <v>0</v>
      </c>
      <c r="Q137">
        <v>0</v>
      </c>
    </row>
    <row r="138" spans="1:17">
      <c r="A138" t="str">
        <f t="shared" si="9"/>
        <v>01_Jan</v>
      </c>
      <c r="B138">
        <v>380</v>
      </c>
      <c r="C138" t="s">
        <v>118</v>
      </c>
      <c r="F138">
        <v>405402289</v>
      </c>
      <c r="G138" t="s">
        <v>513</v>
      </c>
      <c r="H138" t="s">
        <v>521</v>
      </c>
      <c r="I138" t="s">
        <v>522</v>
      </c>
      <c r="J138" t="s">
        <v>516</v>
      </c>
      <c r="K138">
        <v>201901</v>
      </c>
      <c r="L138" t="s">
        <v>118</v>
      </c>
      <c r="N138">
        <v>1</v>
      </c>
      <c r="O138">
        <v>-13621.14</v>
      </c>
      <c r="P138">
        <v>-13621.14</v>
      </c>
      <c r="Q138">
        <v>0</v>
      </c>
    </row>
    <row r="139" spans="1:17">
      <c r="A139" t="str">
        <f t="shared" si="9"/>
        <v>06_Jun</v>
      </c>
      <c r="B139">
        <v>380</v>
      </c>
      <c r="C139" t="s">
        <v>118</v>
      </c>
      <c r="F139">
        <v>405402289</v>
      </c>
      <c r="G139" t="s">
        <v>513</v>
      </c>
      <c r="H139" t="s">
        <v>521</v>
      </c>
      <c r="I139" t="s">
        <v>522</v>
      </c>
      <c r="J139" t="s">
        <v>516</v>
      </c>
      <c r="K139">
        <v>201906</v>
      </c>
      <c r="L139" t="s">
        <v>118</v>
      </c>
      <c r="N139">
        <v>1</v>
      </c>
      <c r="O139">
        <v>0</v>
      </c>
      <c r="P139">
        <v>0</v>
      </c>
      <c r="Q139">
        <v>0</v>
      </c>
    </row>
    <row r="140" spans="1:17">
      <c r="A140" t="str">
        <f t="shared" si="9"/>
        <v>08_Aug</v>
      </c>
      <c r="B140">
        <v>380</v>
      </c>
      <c r="C140" t="s">
        <v>118</v>
      </c>
      <c r="F140">
        <v>405402289</v>
      </c>
      <c r="G140" t="s">
        <v>513</v>
      </c>
      <c r="H140" t="s">
        <v>521</v>
      </c>
      <c r="I140" t="s">
        <v>522</v>
      </c>
      <c r="J140" t="s">
        <v>516</v>
      </c>
      <c r="K140">
        <v>201908</v>
      </c>
      <c r="L140" t="s">
        <v>118</v>
      </c>
      <c r="N140">
        <v>1</v>
      </c>
      <c r="O140">
        <v>0</v>
      </c>
      <c r="P140">
        <v>0</v>
      </c>
      <c r="Q140">
        <v>0</v>
      </c>
    </row>
    <row r="141" spans="1:17">
      <c r="A141" t="str">
        <f t="shared" si="9"/>
        <v>11_Nov</v>
      </c>
      <c r="B141">
        <v>380</v>
      </c>
      <c r="C141" t="s">
        <v>118</v>
      </c>
      <c r="F141">
        <v>405402289</v>
      </c>
      <c r="G141" t="s">
        <v>513</v>
      </c>
      <c r="H141" t="s">
        <v>521</v>
      </c>
      <c r="I141" t="s">
        <v>522</v>
      </c>
      <c r="J141" t="s">
        <v>516</v>
      </c>
      <c r="K141">
        <v>201911</v>
      </c>
      <c r="L141" t="s">
        <v>118</v>
      </c>
      <c r="N141">
        <v>1</v>
      </c>
      <c r="O141">
        <v>0</v>
      </c>
      <c r="P141">
        <v>0</v>
      </c>
      <c r="Q141">
        <v>0</v>
      </c>
    </row>
    <row r="142" spans="1:17">
      <c r="A142" t="str">
        <f t="shared" si="9"/>
        <v>12_Dec</v>
      </c>
      <c r="B142">
        <v>380</v>
      </c>
      <c r="C142" t="s">
        <v>118</v>
      </c>
      <c r="F142">
        <v>405402289</v>
      </c>
      <c r="G142" t="s">
        <v>513</v>
      </c>
      <c r="H142" t="s">
        <v>521</v>
      </c>
      <c r="I142" t="s">
        <v>522</v>
      </c>
      <c r="J142" t="s">
        <v>516</v>
      </c>
      <c r="K142">
        <v>201912</v>
      </c>
      <c r="L142" t="s">
        <v>118</v>
      </c>
      <c r="N142">
        <v>1</v>
      </c>
      <c r="O142">
        <v>0</v>
      </c>
      <c r="P142">
        <v>0</v>
      </c>
      <c r="Q142">
        <v>0</v>
      </c>
    </row>
    <row r="143" spans="1:17">
      <c r="A143" t="str">
        <f t="shared" si="9"/>
        <v>03_Mar</v>
      </c>
      <c r="B143">
        <v>380</v>
      </c>
      <c r="C143" t="s">
        <v>118</v>
      </c>
      <c r="F143">
        <v>392799769</v>
      </c>
      <c r="G143" t="s">
        <v>513</v>
      </c>
      <c r="H143" t="s">
        <v>521</v>
      </c>
      <c r="I143" t="s">
        <v>522</v>
      </c>
      <c r="J143" t="s">
        <v>517</v>
      </c>
      <c r="K143">
        <v>201903</v>
      </c>
      <c r="L143" t="s">
        <v>118</v>
      </c>
      <c r="N143">
        <v>0</v>
      </c>
      <c r="O143">
        <v>0</v>
      </c>
      <c r="P143">
        <v>0</v>
      </c>
    </row>
    <row r="144" spans="1:17">
      <c r="A144" t="str">
        <f t="shared" si="9"/>
        <v>03_Mar</v>
      </c>
      <c r="B144">
        <v>380</v>
      </c>
      <c r="C144" t="s">
        <v>118</v>
      </c>
      <c r="F144">
        <v>392799720</v>
      </c>
      <c r="G144" t="s">
        <v>513</v>
      </c>
      <c r="H144" t="s">
        <v>521</v>
      </c>
      <c r="I144" t="s">
        <v>522</v>
      </c>
      <c r="J144" t="s">
        <v>517</v>
      </c>
      <c r="K144">
        <v>201903</v>
      </c>
      <c r="L144" t="s">
        <v>118</v>
      </c>
      <c r="N144">
        <v>0</v>
      </c>
      <c r="O144">
        <v>0</v>
      </c>
      <c r="P144">
        <v>0</v>
      </c>
    </row>
    <row r="145" spans="1:17">
      <c r="A145" t="str">
        <f t="shared" si="9"/>
        <v>10_Oct</v>
      </c>
      <c r="B145">
        <v>380</v>
      </c>
      <c r="C145" t="s">
        <v>118</v>
      </c>
      <c r="F145">
        <v>405402289</v>
      </c>
      <c r="G145" t="s">
        <v>513</v>
      </c>
      <c r="H145" t="s">
        <v>521</v>
      </c>
      <c r="I145" t="s">
        <v>522</v>
      </c>
      <c r="J145" t="s">
        <v>516</v>
      </c>
      <c r="K145">
        <v>201910</v>
      </c>
      <c r="L145" t="s">
        <v>118</v>
      </c>
      <c r="N145">
        <v>1</v>
      </c>
      <c r="O145">
        <v>0</v>
      </c>
      <c r="P145">
        <v>0</v>
      </c>
      <c r="Q145">
        <v>0</v>
      </c>
    </row>
    <row r="146" spans="1:17">
      <c r="A146" t="str">
        <f t="shared" si="9"/>
        <v>09_Sep</v>
      </c>
      <c r="B146">
        <v>380</v>
      </c>
      <c r="C146" t="s">
        <v>118</v>
      </c>
      <c r="F146">
        <v>405402289</v>
      </c>
      <c r="G146" t="s">
        <v>513</v>
      </c>
      <c r="H146" t="s">
        <v>521</v>
      </c>
      <c r="I146" t="s">
        <v>522</v>
      </c>
      <c r="J146" t="s">
        <v>516</v>
      </c>
      <c r="K146">
        <v>201909</v>
      </c>
      <c r="L146" t="s">
        <v>118</v>
      </c>
      <c r="N146">
        <v>1</v>
      </c>
      <c r="O146">
        <v>0</v>
      </c>
      <c r="P146">
        <v>0</v>
      </c>
      <c r="Q146">
        <v>0</v>
      </c>
    </row>
    <row r="147" spans="1:17">
      <c r="A147" t="str">
        <f t="shared" si="9"/>
        <v>03_Mar</v>
      </c>
      <c r="B147">
        <v>380</v>
      </c>
      <c r="C147" t="s">
        <v>118</v>
      </c>
      <c r="F147">
        <v>405402289</v>
      </c>
      <c r="G147" t="s">
        <v>513</v>
      </c>
      <c r="H147" t="s">
        <v>521</v>
      </c>
      <c r="I147" t="s">
        <v>522</v>
      </c>
      <c r="J147" t="s">
        <v>516</v>
      </c>
      <c r="K147">
        <v>201903</v>
      </c>
      <c r="L147" t="s">
        <v>118</v>
      </c>
      <c r="N147">
        <v>1</v>
      </c>
      <c r="O147">
        <v>0</v>
      </c>
      <c r="P147">
        <v>0</v>
      </c>
      <c r="Q147">
        <v>0</v>
      </c>
    </row>
    <row r="148" spans="1:17">
      <c r="A148" t="str">
        <f t="shared" si="9"/>
        <v>08_Aug</v>
      </c>
      <c r="B148">
        <v>380</v>
      </c>
      <c r="C148" t="s">
        <v>118</v>
      </c>
      <c r="F148">
        <v>452731400</v>
      </c>
      <c r="G148" t="s">
        <v>513</v>
      </c>
      <c r="H148" t="s">
        <v>521</v>
      </c>
      <c r="I148" t="s">
        <v>522</v>
      </c>
      <c r="J148" t="s">
        <v>517</v>
      </c>
      <c r="K148">
        <v>201908</v>
      </c>
      <c r="L148" t="s">
        <v>525</v>
      </c>
      <c r="N148">
        <v>1</v>
      </c>
      <c r="O148">
        <v>5986.68</v>
      </c>
      <c r="P148">
        <v>5986.68</v>
      </c>
      <c r="Q148">
        <v>0</v>
      </c>
    </row>
    <row r="149" spans="1:17">
      <c r="A149" t="str">
        <f t="shared" si="9"/>
        <v>02_Feb</v>
      </c>
      <c r="B149">
        <v>380</v>
      </c>
      <c r="C149" t="s">
        <v>118</v>
      </c>
      <c r="F149">
        <v>408216851</v>
      </c>
      <c r="G149" t="s">
        <v>513</v>
      </c>
      <c r="H149" t="s">
        <v>521</v>
      </c>
      <c r="I149" t="s">
        <v>522</v>
      </c>
      <c r="J149" t="s">
        <v>516</v>
      </c>
      <c r="K149">
        <v>201902</v>
      </c>
      <c r="L149" t="s">
        <v>525</v>
      </c>
      <c r="N149">
        <v>1</v>
      </c>
      <c r="O149">
        <v>15790.08</v>
      </c>
      <c r="P149">
        <v>15790.08</v>
      </c>
      <c r="Q149">
        <v>0</v>
      </c>
    </row>
    <row r="150" spans="1:17">
      <c r="A150" t="str">
        <f t="shared" si="9"/>
        <v>07_Jul</v>
      </c>
      <c r="B150">
        <v>380</v>
      </c>
      <c r="C150" t="s">
        <v>118</v>
      </c>
      <c r="F150">
        <v>408216851</v>
      </c>
      <c r="G150" t="s">
        <v>513</v>
      </c>
      <c r="H150" t="s">
        <v>521</v>
      </c>
      <c r="I150" t="s">
        <v>522</v>
      </c>
      <c r="J150" t="s">
        <v>516</v>
      </c>
      <c r="K150">
        <v>201907</v>
      </c>
      <c r="L150" t="s">
        <v>525</v>
      </c>
      <c r="N150">
        <v>1</v>
      </c>
      <c r="O150">
        <v>523.55999999999995</v>
      </c>
      <c r="P150">
        <v>523.55999999999995</v>
      </c>
      <c r="Q150">
        <v>0</v>
      </c>
    </row>
    <row r="151" spans="1:17">
      <c r="A151" t="str">
        <f t="shared" si="9"/>
        <v>08_Aug</v>
      </c>
      <c r="B151">
        <v>380</v>
      </c>
      <c r="C151" t="s">
        <v>118</v>
      </c>
      <c r="F151">
        <v>452731391</v>
      </c>
      <c r="G151" t="s">
        <v>513</v>
      </c>
      <c r="H151" t="s">
        <v>521</v>
      </c>
      <c r="I151" t="s">
        <v>522</v>
      </c>
      <c r="J151" t="s">
        <v>517</v>
      </c>
      <c r="K151">
        <v>201908</v>
      </c>
      <c r="L151" t="s">
        <v>525</v>
      </c>
      <c r="N151">
        <v>2</v>
      </c>
      <c r="O151">
        <v>6476.69</v>
      </c>
      <c r="P151">
        <v>3238.3449999999998</v>
      </c>
      <c r="Q151">
        <v>0</v>
      </c>
    </row>
    <row r="152" spans="1:17">
      <c r="A152" t="str">
        <f t="shared" si="9"/>
        <v>05_May</v>
      </c>
      <c r="B152">
        <v>380</v>
      </c>
      <c r="C152" t="s">
        <v>118</v>
      </c>
      <c r="F152">
        <v>408216851</v>
      </c>
      <c r="G152" t="s">
        <v>513</v>
      </c>
      <c r="H152" t="s">
        <v>521</v>
      </c>
      <c r="I152" t="s">
        <v>522</v>
      </c>
      <c r="J152" t="s">
        <v>516</v>
      </c>
      <c r="K152">
        <v>201905</v>
      </c>
      <c r="L152" t="s">
        <v>525</v>
      </c>
      <c r="N152">
        <v>2</v>
      </c>
      <c r="O152">
        <v>3696.93</v>
      </c>
      <c r="P152">
        <v>1848.4649999999999</v>
      </c>
      <c r="Q152">
        <v>0</v>
      </c>
    </row>
    <row r="153" spans="1:17">
      <c r="A153" t="str">
        <f t="shared" si="9"/>
        <v>08_Aug</v>
      </c>
      <c r="B153">
        <v>380</v>
      </c>
      <c r="C153" t="s">
        <v>118</v>
      </c>
      <c r="F153">
        <v>408216851</v>
      </c>
      <c r="G153" t="s">
        <v>513</v>
      </c>
      <c r="H153" t="s">
        <v>521</v>
      </c>
      <c r="I153" t="s">
        <v>522</v>
      </c>
      <c r="J153" t="s">
        <v>516</v>
      </c>
      <c r="K153">
        <v>201908</v>
      </c>
      <c r="L153" t="s">
        <v>525</v>
      </c>
      <c r="N153">
        <v>-9</v>
      </c>
      <c r="O153">
        <v>-23881.919999999998</v>
      </c>
      <c r="P153">
        <v>2653.5466666666698</v>
      </c>
      <c r="Q153">
        <v>0</v>
      </c>
    </row>
    <row r="154" spans="1:17">
      <c r="A154" t="str">
        <f t="shared" si="9"/>
        <v>06_Jun</v>
      </c>
      <c r="B154">
        <v>380</v>
      </c>
      <c r="C154" t="s">
        <v>118</v>
      </c>
      <c r="F154">
        <v>408216851</v>
      </c>
      <c r="G154" t="s">
        <v>513</v>
      </c>
      <c r="H154" t="s">
        <v>521</v>
      </c>
      <c r="I154" t="s">
        <v>522</v>
      </c>
      <c r="J154" t="s">
        <v>516</v>
      </c>
      <c r="K154">
        <v>201906</v>
      </c>
      <c r="L154" t="s">
        <v>525</v>
      </c>
      <c r="N154">
        <v>1</v>
      </c>
      <c r="O154">
        <v>0</v>
      </c>
      <c r="P154">
        <v>0</v>
      </c>
      <c r="Q154">
        <v>0</v>
      </c>
    </row>
    <row r="155" spans="1:17">
      <c r="A155" t="str">
        <f t="shared" si="9"/>
        <v>03_Mar</v>
      </c>
      <c r="B155">
        <v>380</v>
      </c>
      <c r="C155" t="s">
        <v>118</v>
      </c>
      <c r="F155">
        <v>408216851</v>
      </c>
      <c r="G155" t="s">
        <v>513</v>
      </c>
      <c r="H155" t="s">
        <v>521</v>
      </c>
      <c r="I155" t="s">
        <v>522</v>
      </c>
      <c r="J155" t="s">
        <v>516</v>
      </c>
      <c r="K155">
        <v>201903</v>
      </c>
      <c r="L155" t="s">
        <v>525</v>
      </c>
      <c r="N155">
        <v>2</v>
      </c>
      <c r="O155">
        <v>2852.37</v>
      </c>
      <c r="P155">
        <v>1426.1849999999999</v>
      </c>
      <c r="Q155">
        <v>0</v>
      </c>
    </row>
    <row r="156" spans="1:17">
      <c r="A156" t="str">
        <f t="shared" si="9"/>
        <v>04_Apr</v>
      </c>
      <c r="B156">
        <v>380</v>
      </c>
      <c r="C156" t="s">
        <v>118</v>
      </c>
      <c r="F156">
        <v>408216851</v>
      </c>
      <c r="G156" t="s">
        <v>513</v>
      </c>
      <c r="H156" t="s">
        <v>521</v>
      </c>
      <c r="I156" t="s">
        <v>522</v>
      </c>
      <c r="J156" t="s">
        <v>516</v>
      </c>
      <c r="K156">
        <v>201904</v>
      </c>
      <c r="L156" t="s">
        <v>525</v>
      </c>
      <c r="N156">
        <v>2</v>
      </c>
      <c r="O156">
        <v>1018.98</v>
      </c>
      <c r="P156">
        <v>509.49</v>
      </c>
      <c r="Q156">
        <v>0</v>
      </c>
    </row>
    <row r="157" spans="1:17">
      <c r="A157" t="str">
        <f t="shared" si="9"/>
        <v>08_Aug</v>
      </c>
      <c r="B157">
        <v>380</v>
      </c>
      <c r="C157" t="s">
        <v>118</v>
      </c>
      <c r="F157">
        <v>452731374</v>
      </c>
      <c r="G157" t="s">
        <v>513</v>
      </c>
      <c r="H157" t="s">
        <v>521</v>
      </c>
      <c r="I157" t="s">
        <v>522</v>
      </c>
      <c r="J157" t="s">
        <v>517</v>
      </c>
      <c r="K157">
        <v>201908</v>
      </c>
      <c r="L157" t="s">
        <v>525</v>
      </c>
      <c r="N157">
        <v>6</v>
      </c>
      <c r="O157">
        <v>11418.55</v>
      </c>
      <c r="P157">
        <v>1903.0916666666701</v>
      </c>
      <c r="Q157">
        <v>0</v>
      </c>
    </row>
    <row r="158" spans="1:17">
      <c r="A158" t="str">
        <f t="shared" si="9"/>
        <v>09_Sep</v>
      </c>
      <c r="B158">
        <v>380</v>
      </c>
      <c r="C158" t="s">
        <v>118</v>
      </c>
      <c r="F158">
        <v>408216851</v>
      </c>
      <c r="G158" t="s">
        <v>513</v>
      </c>
      <c r="H158" t="s">
        <v>521</v>
      </c>
      <c r="I158" t="s">
        <v>522</v>
      </c>
      <c r="J158" t="s">
        <v>516</v>
      </c>
      <c r="K158">
        <v>201909</v>
      </c>
      <c r="L158" t="s">
        <v>525</v>
      </c>
      <c r="N158">
        <v>2</v>
      </c>
      <c r="O158">
        <v>845.01</v>
      </c>
      <c r="P158">
        <v>422.505</v>
      </c>
      <c r="Q158">
        <v>0</v>
      </c>
    </row>
    <row r="159" spans="1:17">
      <c r="A159" t="str">
        <f t="shared" si="9"/>
        <v>10_Oct</v>
      </c>
      <c r="B159">
        <v>380</v>
      </c>
      <c r="C159" t="s">
        <v>118</v>
      </c>
      <c r="F159">
        <v>408216851</v>
      </c>
      <c r="G159" t="s">
        <v>513</v>
      </c>
      <c r="H159" t="s">
        <v>521</v>
      </c>
      <c r="I159" t="s">
        <v>522</v>
      </c>
      <c r="J159" t="s">
        <v>516</v>
      </c>
      <c r="K159">
        <v>201910</v>
      </c>
      <c r="L159" t="s">
        <v>525</v>
      </c>
      <c r="N159">
        <v>2</v>
      </c>
      <c r="O159">
        <v>17011.22</v>
      </c>
      <c r="P159">
        <v>8505.61</v>
      </c>
      <c r="Q159">
        <v>0</v>
      </c>
    </row>
    <row r="160" spans="1:17">
      <c r="A160" t="str">
        <f t="shared" si="9"/>
        <v>11_Nov</v>
      </c>
      <c r="B160">
        <v>380</v>
      </c>
      <c r="C160" t="s">
        <v>118</v>
      </c>
      <c r="F160">
        <v>408216851</v>
      </c>
      <c r="G160" t="s">
        <v>513</v>
      </c>
      <c r="H160" t="s">
        <v>521</v>
      </c>
      <c r="I160" t="s">
        <v>522</v>
      </c>
      <c r="J160" t="s">
        <v>516</v>
      </c>
      <c r="K160">
        <v>201911</v>
      </c>
      <c r="L160" t="s">
        <v>525</v>
      </c>
      <c r="N160">
        <v>1</v>
      </c>
      <c r="O160">
        <v>6171.64</v>
      </c>
      <c r="P160">
        <v>6171.64</v>
      </c>
      <c r="Q160">
        <v>0</v>
      </c>
    </row>
    <row r="161" spans="1:17">
      <c r="A161" t="str">
        <f t="shared" si="9"/>
        <v>12_Dec</v>
      </c>
      <c r="B161">
        <v>380</v>
      </c>
      <c r="C161" t="s">
        <v>118</v>
      </c>
      <c r="F161">
        <v>408216851</v>
      </c>
      <c r="G161" t="s">
        <v>513</v>
      </c>
      <c r="H161" t="s">
        <v>521</v>
      </c>
      <c r="I161" t="s">
        <v>522</v>
      </c>
      <c r="J161" t="s">
        <v>516</v>
      </c>
      <c r="K161">
        <v>201912</v>
      </c>
      <c r="L161" t="s">
        <v>525</v>
      </c>
      <c r="N161">
        <v>2</v>
      </c>
      <c r="O161">
        <v>60339</v>
      </c>
      <c r="P161">
        <v>30169.5</v>
      </c>
      <c r="Q161">
        <v>0</v>
      </c>
    </row>
    <row r="162" spans="1:17">
      <c r="A162" t="str">
        <f t="shared" si="9"/>
        <v>08_Aug</v>
      </c>
      <c r="B162">
        <v>380</v>
      </c>
      <c r="C162" t="s">
        <v>120</v>
      </c>
      <c r="F162">
        <v>452731409</v>
      </c>
      <c r="G162" t="s">
        <v>513</v>
      </c>
      <c r="H162" t="s">
        <v>521</v>
      </c>
      <c r="I162" t="s">
        <v>522</v>
      </c>
      <c r="J162" t="s">
        <v>517</v>
      </c>
      <c r="K162">
        <v>201908</v>
      </c>
      <c r="L162" t="s">
        <v>526</v>
      </c>
      <c r="N162">
        <v>28</v>
      </c>
      <c r="O162">
        <v>159136.38</v>
      </c>
      <c r="P162">
        <v>5683.4421428571404</v>
      </c>
      <c r="Q162">
        <v>0</v>
      </c>
    </row>
    <row r="163" spans="1:17">
      <c r="A163" t="str">
        <f t="shared" si="9"/>
        <v>08_Aug</v>
      </c>
      <c r="B163">
        <v>380</v>
      </c>
      <c r="C163" t="s">
        <v>120</v>
      </c>
      <c r="F163">
        <v>452731400</v>
      </c>
      <c r="G163" t="s">
        <v>513</v>
      </c>
      <c r="H163" t="s">
        <v>521</v>
      </c>
      <c r="I163" t="s">
        <v>522</v>
      </c>
      <c r="J163" t="s">
        <v>517</v>
      </c>
      <c r="K163">
        <v>201908</v>
      </c>
      <c r="L163" t="s">
        <v>526</v>
      </c>
      <c r="N163">
        <v>27</v>
      </c>
      <c r="O163">
        <v>143357.54999999999</v>
      </c>
      <c r="P163">
        <v>5309.5388888888901</v>
      </c>
      <c r="Q163">
        <v>0</v>
      </c>
    </row>
    <row r="164" spans="1:17">
      <c r="A164" t="str">
        <f t="shared" si="9"/>
        <v>03_Mar</v>
      </c>
      <c r="B164">
        <v>380</v>
      </c>
      <c r="C164" t="s">
        <v>120</v>
      </c>
      <c r="F164">
        <v>405402504</v>
      </c>
      <c r="G164" t="s">
        <v>513</v>
      </c>
      <c r="H164" t="s">
        <v>521</v>
      </c>
      <c r="I164" t="s">
        <v>522</v>
      </c>
      <c r="J164" t="s">
        <v>516</v>
      </c>
      <c r="K164">
        <v>201903</v>
      </c>
      <c r="L164" t="s">
        <v>526</v>
      </c>
      <c r="N164">
        <v>2</v>
      </c>
      <c r="O164">
        <v>428131.92</v>
      </c>
      <c r="P164">
        <v>214065.96</v>
      </c>
      <c r="Q164">
        <v>0</v>
      </c>
    </row>
    <row r="165" spans="1:17">
      <c r="A165" t="str">
        <f t="shared" si="9"/>
        <v>06_Jun</v>
      </c>
      <c r="B165">
        <v>380</v>
      </c>
      <c r="C165" t="s">
        <v>120</v>
      </c>
      <c r="F165">
        <v>405402504</v>
      </c>
      <c r="G165" t="s">
        <v>513</v>
      </c>
      <c r="H165" t="s">
        <v>521</v>
      </c>
      <c r="I165" t="s">
        <v>522</v>
      </c>
      <c r="J165" t="s">
        <v>516</v>
      </c>
      <c r="K165">
        <v>201906</v>
      </c>
      <c r="L165" t="s">
        <v>526</v>
      </c>
      <c r="N165">
        <v>2</v>
      </c>
      <c r="O165">
        <v>377695.32</v>
      </c>
      <c r="P165">
        <v>188847.66</v>
      </c>
      <c r="Q165">
        <v>0</v>
      </c>
    </row>
    <row r="166" spans="1:17">
      <c r="A166" t="str">
        <f t="shared" si="9"/>
        <v>11_Nov</v>
      </c>
      <c r="B166">
        <v>380</v>
      </c>
      <c r="C166" t="s">
        <v>120</v>
      </c>
      <c r="F166">
        <v>405402504</v>
      </c>
      <c r="G166" t="s">
        <v>513</v>
      </c>
      <c r="H166" t="s">
        <v>521</v>
      </c>
      <c r="I166" t="s">
        <v>522</v>
      </c>
      <c r="J166" t="s">
        <v>516</v>
      </c>
      <c r="K166">
        <v>201911</v>
      </c>
      <c r="L166" t="s">
        <v>526</v>
      </c>
      <c r="N166">
        <v>2</v>
      </c>
      <c r="O166">
        <v>466468.35</v>
      </c>
      <c r="P166">
        <v>233234.17499999999</v>
      </c>
      <c r="Q166">
        <v>0</v>
      </c>
    </row>
    <row r="167" spans="1:17">
      <c r="A167" t="str">
        <f t="shared" si="9"/>
        <v>02_Feb</v>
      </c>
      <c r="B167">
        <v>380</v>
      </c>
      <c r="C167" t="s">
        <v>120</v>
      </c>
      <c r="F167">
        <v>405402504</v>
      </c>
      <c r="G167" t="s">
        <v>513</v>
      </c>
      <c r="H167" t="s">
        <v>521</v>
      </c>
      <c r="I167" t="s">
        <v>522</v>
      </c>
      <c r="J167" t="s">
        <v>516</v>
      </c>
      <c r="K167">
        <v>201902</v>
      </c>
      <c r="L167" t="s">
        <v>526</v>
      </c>
      <c r="N167">
        <v>2</v>
      </c>
      <c r="O167">
        <v>278665.15000000002</v>
      </c>
      <c r="P167">
        <v>139332.57500000001</v>
      </c>
      <c r="Q167">
        <v>0</v>
      </c>
    </row>
    <row r="168" spans="1:17">
      <c r="A168" t="str">
        <f t="shared" si="9"/>
        <v>05_May</v>
      </c>
      <c r="B168">
        <v>380</v>
      </c>
      <c r="C168" t="s">
        <v>120</v>
      </c>
      <c r="F168">
        <v>405402504</v>
      </c>
      <c r="G168" t="s">
        <v>513</v>
      </c>
      <c r="H168" t="s">
        <v>521</v>
      </c>
      <c r="I168" t="s">
        <v>522</v>
      </c>
      <c r="J168" t="s">
        <v>516</v>
      </c>
      <c r="K168">
        <v>201905</v>
      </c>
      <c r="L168" t="s">
        <v>526</v>
      </c>
      <c r="N168">
        <v>2</v>
      </c>
      <c r="O168">
        <v>314530.95</v>
      </c>
      <c r="P168">
        <v>157265.47500000001</v>
      </c>
      <c r="Q168">
        <v>0</v>
      </c>
    </row>
    <row r="169" spans="1:17">
      <c r="A169" t="str">
        <f t="shared" si="9"/>
        <v>10_Oct</v>
      </c>
      <c r="B169">
        <v>380</v>
      </c>
      <c r="C169" t="s">
        <v>120</v>
      </c>
      <c r="F169">
        <v>405402504</v>
      </c>
      <c r="G169" t="s">
        <v>513</v>
      </c>
      <c r="H169" t="s">
        <v>521</v>
      </c>
      <c r="I169" t="s">
        <v>522</v>
      </c>
      <c r="J169" t="s">
        <v>516</v>
      </c>
      <c r="K169">
        <v>201910</v>
      </c>
      <c r="L169" t="s">
        <v>526</v>
      </c>
      <c r="N169">
        <v>2</v>
      </c>
      <c r="O169">
        <v>471489.46</v>
      </c>
      <c r="P169">
        <v>235744.73</v>
      </c>
      <c r="Q169">
        <v>0</v>
      </c>
    </row>
    <row r="170" spans="1:17">
      <c r="A170" t="str">
        <f t="shared" si="9"/>
        <v>12_Dec</v>
      </c>
      <c r="B170">
        <v>380</v>
      </c>
      <c r="C170" t="s">
        <v>120</v>
      </c>
      <c r="F170">
        <v>405402504</v>
      </c>
      <c r="G170" t="s">
        <v>513</v>
      </c>
      <c r="H170" t="s">
        <v>521</v>
      </c>
      <c r="I170" t="s">
        <v>522</v>
      </c>
      <c r="J170" t="s">
        <v>516</v>
      </c>
      <c r="K170">
        <v>201912</v>
      </c>
      <c r="L170" t="s">
        <v>526</v>
      </c>
      <c r="N170">
        <v>2</v>
      </c>
      <c r="O170">
        <v>451090.26</v>
      </c>
      <c r="P170">
        <v>225545.13</v>
      </c>
      <c r="Q170">
        <v>0</v>
      </c>
    </row>
    <row r="171" spans="1:17">
      <c r="A171" t="str">
        <f t="shared" si="9"/>
        <v>08_Aug</v>
      </c>
      <c r="B171">
        <v>380</v>
      </c>
      <c r="C171" t="s">
        <v>120</v>
      </c>
      <c r="F171">
        <v>452731522</v>
      </c>
      <c r="G171" t="s">
        <v>513</v>
      </c>
      <c r="H171" t="s">
        <v>521</v>
      </c>
      <c r="I171" t="s">
        <v>522</v>
      </c>
      <c r="J171" t="s">
        <v>517</v>
      </c>
      <c r="K171">
        <v>201908</v>
      </c>
      <c r="L171" t="s">
        <v>526</v>
      </c>
      <c r="N171">
        <v>7</v>
      </c>
      <c r="O171">
        <v>53904.74</v>
      </c>
      <c r="P171">
        <v>7700.6771428571401</v>
      </c>
      <c r="Q171">
        <v>0</v>
      </c>
    </row>
    <row r="172" spans="1:17">
      <c r="A172" t="str">
        <f t="shared" si="9"/>
        <v>08_Aug</v>
      </c>
      <c r="B172">
        <v>380</v>
      </c>
      <c r="C172" t="s">
        <v>120</v>
      </c>
      <c r="F172">
        <v>452731391</v>
      </c>
      <c r="G172" t="s">
        <v>513</v>
      </c>
      <c r="H172" t="s">
        <v>521</v>
      </c>
      <c r="I172" t="s">
        <v>522</v>
      </c>
      <c r="J172" t="s">
        <v>517</v>
      </c>
      <c r="K172">
        <v>201908</v>
      </c>
      <c r="L172" t="s">
        <v>526</v>
      </c>
      <c r="N172">
        <v>1093</v>
      </c>
      <c r="O172">
        <v>3139170.73</v>
      </c>
      <c r="P172">
        <v>2872.0683714547099</v>
      </c>
      <c r="Q172">
        <v>0</v>
      </c>
    </row>
    <row r="173" spans="1:17">
      <c r="A173" t="str">
        <f t="shared" si="9"/>
        <v>08_Aug</v>
      </c>
      <c r="B173">
        <v>380</v>
      </c>
      <c r="C173" t="s">
        <v>120</v>
      </c>
      <c r="F173">
        <v>452731374</v>
      </c>
      <c r="G173" t="s">
        <v>513</v>
      </c>
      <c r="H173" t="s">
        <v>521</v>
      </c>
      <c r="I173" t="s">
        <v>522</v>
      </c>
      <c r="J173" t="s">
        <v>517</v>
      </c>
      <c r="K173">
        <v>201908</v>
      </c>
      <c r="L173" t="s">
        <v>526</v>
      </c>
      <c r="N173">
        <v>20</v>
      </c>
      <c r="O173">
        <v>33756.69</v>
      </c>
      <c r="P173">
        <v>1687.8344999999999</v>
      </c>
      <c r="Q173">
        <v>0</v>
      </c>
    </row>
    <row r="174" spans="1:17">
      <c r="A174" t="str">
        <f t="shared" si="9"/>
        <v>09_Sep</v>
      </c>
      <c r="B174">
        <v>380</v>
      </c>
      <c r="C174" t="s">
        <v>120</v>
      </c>
      <c r="F174">
        <v>405402504</v>
      </c>
      <c r="G174" t="s">
        <v>513</v>
      </c>
      <c r="H174" t="s">
        <v>521</v>
      </c>
      <c r="I174" t="s">
        <v>522</v>
      </c>
      <c r="J174" t="s">
        <v>516</v>
      </c>
      <c r="K174">
        <v>201909</v>
      </c>
      <c r="L174" t="s">
        <v>526</v>
      </c>
      <c r="N174">
        <v>2</v>
      </c>
      <c r="O174">
        <v>422411.35</v>
      </c>
      <c r="P174">
        <v>211205.67499999999</v>
      </c>
      <c r="Q174">
        <v>0</v>
      </c>
    </row>
    <row r="175" spans="1:17">
      <c r="A175" t="str">
        <f t="shared" si="9"/>
        <v>04_Apr</v>
      </c>
      <c r="B175">
        <v>380</v>
      </c>
      <c r="C175" t="s">
        <v>120</v>
      </c>
      <c r="F175">
        <v>405402504</v>
      </c>
      <c r="G175" t="s">
        <v>513</v>
      </c>
      <c r="H175" t="s">
        <v>521</v>
      </c>
      <c r="I175" t="s">
        <v>522</v>
      </c>
      <c r="J175" t="s">
        <v>516</v>
      </c>
      <c r="K175">
        <v>201904</v>
      </c>
      <c r="L175" t="s">
        <v>526</v>
      </c>
      <c r="N175">
        <v>2</v>
      </c>
      <c r="O175">
        <v>286209.09999999998</v>
      </c>
      <c r="P175">
        <v>143104.54999999999</v>
      </c>
      <c r="Q175">
        <v>0</v>
      </c>
    </row>
    <row r="176" spans="1:17">
      <c r="A176" t="str">
        <f t="shared" si="9"/>
        <v>07_Jul</v>
      </c>
      <c r="B176">
        <v>380</v>
      </c>
      <c r="C176" t="s">
        <v>120</v>
      </c>
      <c r="F176">
        <v>405402504</v>
      </c>
      <c r="G176" t="s">
        <v>513</v>
      </c>
      <c r="H176" t="s">
        <v>521</v>
      </c>
      <c r="I176" t="s">
        <v>522</v>
      </c>
      <c r="J176" t="s">
        <v>516</v>
      </c>
      <c r="K176">
        <v>201907</v>
      </c>
      <c r="L176" t="s">
        <v>526</v>
      </c>
      <c r="N176">
        <v>2</v>
      </c>
      <c r="O176">
        <v>384921.36</v>
      </c>
      <c r="P176">
        <v>192460.68</v>
      </c>
      <c r="Q176">
        <v>0</v>
      </c>
    </row>
    <row r="177" spans="1:17">
      <c r="A177" t="str">
        <f t="shared" si="9"/>
        <v>08_Aug</v>
      </c>
      <c r="B177">
        <v>380</v>
      </c>
      <c r="C177" t="s">
        <v>120</v>
      </c>
      <c r="F177">
        <v>395569410</v>
      </c>
      <c r="G177" t="s">
        <v>513</v>
      </c>
      <c r="H177" t="s">
        <v>521</v>
      </c>
      <c r="I177" t="s">
        <v>522</v>
      </c>
      <c r="J177" t="s">
        <v>516</v>
      </c>
      <c r="K177">
        <v>201908</v>
      </c>
      <c r="L177" t="s">
        <v>526</v>
      </c>
      <c r="N177">
        <v>-4</v>
      </c>
      <c r="O177">
        <v>-1029592.65</v>
      </c>
      <c r="P177">
        <v>257398.16250000001</v>
      </c>
      <c r="Q177">
        <v>0</v>
      </c>
    </row>
    <row r="178" spans="1:17">
      <c r="A178" t="str">
        <f t="shared" si="9"/>
        <v>01_Jan</v>
      </c>
      <c r="B178">
        <v>380</v>
      </c>
      <c r="C178" t="s">
        <v>120</v>
      </c>
      <c r="F178">
        <v>405402504</v>
      </c>
      <c r="G178" t="s">
        <v>513</v>
      </c>
      <c r="H178" t="s">
        <v>521</v>
      </c>
      <c r="I178" t="s">
        <v>522</v>
      </c>
      <c r="J178" t="s">
        <v>516</v>
      </c>
      <c r="K178">
        <v>201901</v>
      </c>
      <c r="L178" t="s">
        <v>526</v>
      </c>
      <c r="N178">
        <v>2</v>
      </c>
      <c r="O178">
        <v>457313.39</v>
      </c>
      <c r="P178">
        <v>228656.69500000001</v>
      </c>
      <c r="Q178">
        <v>0</v>
      </c>
    </row>
    <row r="179" spans="1:17">
      <c r="A179" t="str">
        <f t="shared" si="9"/>
        <v>08_Aug</v>
      </c>
      <c r="B179">
        <v>380</v>
      </c>
      <c r="C179" t="s">
        <v>120</v>
      </c>
      <c r="F179">
        <v>405402504</v>
      </c>
      <c r="G179" t="s">
        <v>513</v>
      </c>
      <c r="H179" t="s">
        <v>521</v>
      </c>
      <c r="I179" t="s">
        <v>522</v>
      </c>
      <c r="J179" t="s">
        <v>516</v>
      </c>
      <c r="K179">
        <v>201908</v>
      </c>
      <c r="L179" t="s">
        <v>526</v>
      </c>
      <c r="N179">
        <v>-12</v>
      </c>
      <c r="O179">
        <v>-2126786.7000000002</v>
      </c>
      <c r="P179">
        <v>177232.22500000001</v>
      </c>
      <c r="Q179">
        <v>0</v>
      </c>
    </row>
    <row r="180" spans="1:17">
      <c r="A180" t="str">
        <f t="shared" si="9"/>
        <v>08_Aug</v>
      </c>
      <c r="B180">
        <v>380</v>
      </c>
      <c r="C180" t="s">
        <v>122</v>
      </c>
      <c r="F180">
        <v>405402513</v>
      </c>
      <c r="G180" t="s">
        <v>513</v>
      </c>
      <c r="H180" t="s">
        <v>521</v>
      </c>
      <c r="I180" t="s">
        <v>522</v>
      </c>
      <c r="J180" t="s">
        <v>516</v>
      </c>
      <c r="K180">
        <v>201908</v>
      </c>
      <c r="L180" t="s">
        <v>122</v>
      </c>
      <c r="N180">
        <v>1</v>
      </c>
      <c r="O180">
        <v>0</v>
      </c>
      <c r="P180">
        <v>0</v>
      </c>
      <c r="Q180">
        <v>0</v>
      </c>
    </row>
    <row r="181" spans="1:17">
      <c r="A181" t="str">
        <f t="shared" si="9"/>
        <v>09_Sep</v>
      </c>
      <c r="B181">
        <v>380</v>
      </c>
      <c r="C181" t="s">
        <v>122</v>
      </c>
      <c r="F181">
        <v>405402513</v>
      </c>
      <c r="G181" t="s">
        <v>513</v>
      </c>
      <c r="H181" t="s">
        <v>521</v>
      </c>
      <c r="I181" t="s">
        <v>522</v>
      </c>
      <c r="J181" t="s">
        <v>516</v>
      </c>
      <c r="K181">
        <v>201909</v>
      </c>
      <c r="L181" t="s">
        <v>122</v>
      </c>
      <c r="N181">
        <v>1</v>
      </c>
      <c r="O181">
        <v>0</v>
      </c>
      <c r="P181">
        <v>0</v>
      </c>
      <c r="Q181">
        <v>0</v>
      </c>
    </row>
    <row r="182" spans="1:17">
      <c r="A182" t="str">
        <f t="shared" si="9"/>
        <v>11_Nov</v>
      </c>
      <c r="B182">
        <v>380</v>
      </c>
      <c r="C182" t="s">
        <v>122</v>
      </c>
      <c r="F182">
        <v>405402513</v>
      </c>
      <c r="G182" t="s">
        <v>513</v>
      </c>
      <c r="H182" t="s">
        <v>521</v>
      </c>
      <c r="I182" t="s">
        <v>522</v>
      </c>
      <c r="J182" t="s">
        <v>516</v>
      </c>
      <c r="K182">
        <v>201911</v>
      </c>
      <c r="L182" t="s">
        <v>122</v>
      </c>
      <c r="N182">
        <v>1</v>
      </c>
      <c r="O182">
        <v>0</v>
      </c>
      <c r="P182">
        <v>0</v>
      </c>
      <c r="Q182">
        <v>0</v>
      </c>
    </row>
    <row r="183" spans="1:17">
      <c r="A183" t="str">
        <f t="shared" ref="A183:A246" si="10">IF(ISERROR(VLOOKUP(K183,$T$55:$U$66,2,FALSE)),"",VLOOKUP(K183,$T$55:$U$66,2,FALSE))</f>
        <v>05_May</v>
      </c>
      <c r="B183">
        <v>380</v>
      </c>
      <c r="C183" t="s">
        <v>122</v>
      </c>
      <c r="F183">
        <v>405402513</v>
      </c>
      <c r="G183" t="s">
        <v>513</v>
      </c>
      <c r="H183" t="s">
        <v>521</v>
      </c>
      <c r="I183" t="s">
        <v>522</v>
      </c>
      <c r="J183" t="s">
        <v>516</v>
      </c>
      <c r="K183">
        <v>201905</v>
      </c>
      <c r="L183" t="s">
        <v>122</v>
      </c>
      <c r="N183">
        <v>1</v>
      </c>
      <c r="O183">
        <v>0</v>
      </c>
      <c r="P183">
        <v>0</v>
      </c>
      <c r="Q183">
        <v>0</v>
      </c>
    </row>
    <row r="184" spans="1:17">
      <c r="A184" t="str">
        <f t="shared" si="10"/>
        <v>01_Jan</v>
      </c>
      <c r="B184">
        <v>380</v>
      </c>
      <c r="C184" t="s">
        <v>122</v>
      </c>
      <c r="F184">
        <v>405402513</v>
      </c>
      <c r="G184" t="s">
        <v>513</v>
      </c>
      <c r="H184" t="s">
        <v>521</v>
      </c>
      <c r="I184" t="s">
        <v>522</v>
      </c>
      <c r="J184" t="s">
        <v>516</v>
      </c>
      <c r="K184">
        <v>201901</v>
      </c>
      <c r="L184" t="s">
        <v>122</v>
      </c>
      <c r="N184">
        <v>2</v>
      </c>
      <c r="O184">
        <v>-20586.79</v>
      </c>
      <c r="P184">
        <v>-10293.395</v>
      </c>
      <c r="Q184">
        <v>0</v>
      </c>
    </row>
    <row r="185" spans="1:17">
      <c r="A185" t="str">
        <f t="shared" si="10"/>
        <v>02_Feb</v>
      </c>
      <c r="B185">
        <v>380</v>
      </c>
      <c r="C185" t="s">
        <v>122</v>
      </c>
      <c r="F185">
        <v>405402513</v>
      </c>
      <c r="G185" t="s">
        <v>513</v>
      </c>
      <c r="H185" t="s">
        <v>521</v>
      </c>
      <c r="I185" t="s">
        <v>522</v>
      </c>
      <c r="J185" t="s">
        <v>516</v>
      </c>
      <c r="K185">
        <v>201902</v>
      </c>
      <c r="L185" t="s">
        <v>122</v>
      </c>
      <c r="N185">
        <v>1</v>
      </c>
      <c r="O185">
        <v>0</v>
      </c>
      <c r="P185">
        <v>0</v>
      </c>
      <c r="Q185">
        <v>0</v>
      </c>
    </row>
    <row r="186" spans="1:17">
      <c r="A186" t="str">
        <f t="shared" si="10"/>
        <v>03_Mar</v>
      </c>
      <c r="B186">
        <v>380</v>
      </c>
      <c r="C186" t="s">
        <v>122</v>
      </c>
      <c r="F186">
        <v>405402513</v>
      </c>
      <c r="G186" t="s">
        <v>513</v>
      </c>
      <c r="H186" t="s">
        <v>521</v>
      </c>
      <c r="I186" t="s">
        <v>522</v>
      </c>
      <c r="J186" t="s">
        <v>516</v>
      </c>
      <c r="K186">
        <v>201903</v>
      </c>
      <c r="L186" t="s">
        <v>122</v>
      </c>
      <c r="N186">
        <v>1</v>
      </c>
      <c r="O186">
        <v>0</v>
      </c>
      <c r="P186">
        <v>0</v>
      </c>
      <c r="Q186">
        <v>0</v>
      </c>
    </row>
    <row r="187" spans="1:17">
      <c r="A187" t="str">
        <f t="shared" si="10"/>
        <v>06_Jun</v>
      </c>
      <c r="B187">
        <v>380</v>
      </c>
      <c r="C187" t="s">
        <v>122</v>
      </c>
      <c r="F187">
        <v>405402513</v>
      </c>
      <c r="G187" t="s">
        <v>513</v>
      </c>
      <c r="H187" t="s">
        <v>521</v>
      </c>
      <c r="I187" t="s">
        <v>522</v>
      </c>
      <c r="J187" t="s">
        <v>516</v>
      </c>
      <c r="K187">
        <v>201906</v>
      </c>
      <c r="L187" t="s">
        <v>122</v>
      </c>
      <c r="N187">
        <v>1</v>
      </c>
      <c r="O187">
        <v>0</v>
      </c>
      <c r="P187">
        <v>0</v>
      </c>
      <c r="Q187">
        <v>0</v>
      </c>
    </row>
    <row r="188" spans="1:17">
      <c r="A188" t="str">
        <f t="shared" si="10"/>
        <v>04_Apr</v>
      </c>
      <c r="B188">
        <v>380</v>
      </c>
      <c r="C188" t="s">
        <v>122</v>
      </c>
      <c r="F188">
        <v>405402513</v>
      </c>
      <c r="G188" t="s">
        <v>513</v>
      </c>
      <c r="H188" t="s">
        <v>521</v>
      </c>
      <c r="I188" t="s">
        <v>522</v>
      </c>
      <c r="J188" t="s">
        <v>516</v>
      </c>
      <c r="K188">
        <v>201904</v>
      </c>
      <c r="L188" t="s">
        <v>122</v>
      </c>
      <c r="N188">
        <v>1</v>
      </c>
      <c r="O188">
        <v>0</v>
      </c>
      <c r="P188">
        <v>0</v>
      </c>
      <c r="Q188">
        <v>0</v>
      </c>
    </row>
    <row r="189" spans="1:17">
      <c r="A189" t="str">
        <f t="shared" si="10"/>
        <v>10_Oct</v>
      </c>
      <c r="B189">
        <v>380</v>
      </c>
      <c r="C189" t="s">
        <v>122</v>
      </c>
      <c r="F189">
        <v>405402513</v>
      </c>
      <c r="G189" t="s">
        <v>513</v>
      </c>
      <c r="H189" t="s">
        <v>521</v>
      </c>
      <c r="I189" t="s">
        <v>522</v>
      </c>
      <c r="J189" t="s">
        <v>516</v>
      </c>
      <c r="K189">
        <v>201910</v>
      </c>
      <c r="L189" t="s">
        <v>122</v>
      </c>
      <c r="N189">
        <v>1</v>
      </c>
      <c r="O189">
        <v>0</v>
      </c>
      <c r="P189">
        <v>0</v>
      </c>
      <c r="Q189">
        <v>0</v>
      </c>
    </row>
    <row r="190" spans="1:17">
      <c r="A190" t="str">
        <f t="shared" si="10"/>
        <v>07_Jul</v>
      </c>
      <c r="B190">
        <v>380</v>
      </c>
      <c r="C190" t="s">
        <v>122</v>
      </c>
      <c r="F190">
        <v>405402513</v>
      </c>
      <c r="G190" t="s">
        <v>513</v>
      </c>
      <c r="H190" t="s">
        <v>521</v>
      </c>
      <c r="I190" t="s">
        <v>522</v>
      </c>
      <c r="J190" t="s">
        <v>516</v>
      </c>
      <c r="K190">
        <v>201907</v>
      </c>
      <c r="L190" t="s">
        <v>122</v>
      </c>
      <c r="N190">
        <v>1</v>
      </c>
      <c r="O190">
        <v>0</v>
      </c>
      <c r="P190">
        <v>0</v>
      </c>
      <c r="Q190">
        <v>0</v>
      </c>
    </row>
    <row r="191" spans="1:17">
      <c r="A191" t="str">
        <f t="shared" si="10"/>
        <v>12_Dec</v>
      </c>
      <c r="B191">
        <v>380</v>
      </c>
      <c r="C191" t="s">
        <v>122</v>
      </c>
      <c r="F191">
        <v>405402513</v>
      </c>
      <c r="G191" t="s">
        <v>513</v>
      </c>
      <c r="H191" t="s">
        <v>521</v>
      </c>
      <c r="I191" t="s">
        <v>522</v>
      </c>
      <c r="J191" t="s">
        <v>516</v>
      </c>
      <c r="K191">
        <v>201912</v>
      </c>
      <c r="L191" t="s">
        <v>122</v>
      </c>
      <c r="N191">
        <v>1</v>
      </c>
      <c r="O191">
        <v>0</v>
      </c>
      <c r="P191">
        <v>0</v>
      </c>
      <c r="Q191">
        <v>0</v>
      </c>
    </row>
    <row r="192" spans="1:17">
      <c r="A192" t="str">
        <f t="shared" si="10"/>
        <v>08_Aug</v>
      </c>
      <c r="B192">
        <v>380</v>
      </c>
      <c r="C192" t="s">
        <v>122</v>
      </c>
      <c r="F192">
        <v>452731391</v>
      </c>
      <c r="G192" t="s">
        <v>513</v>
      </c>
      <c r="H192" t="s">
        <v>521</v>
      </c>
      <c r="I192" t="s">
        <v>522</v>
      </c>
      <c r="J192" t="s">
        <v>517</v>
      </c>
      <c r="K192">
        <v>201908</v>
      </c>
      <c r="L192" t="s">
        <v>527</v>
      </c>
      <c r="N192">
        <v>6</v>
      </c>
      <c r="O192">
        <v>47000.73</v>
      </c>
      <c r="P192">
        <v>7833.4549999999999</v>
      </c>
      <c r="Q192">
        <v>0</v>
      </c>
    </row>
    <row r="193" spans="1:17">
      <c r="A193" t="str">
        <f t="shared" si="10"/>
        <v>05_May</v>
      </c>
      <c r="B193">
        <v>380</v>
      </c>
      <c r="C193" t="s">
        <v>122</v>
      </c>
      <c r="F193">
        <v>408160257</v>
      </c>
      <c r="G193" t="s">
        <v>513</v>
      </c>
      <c r="H193" t="s">
        <v>521</v>
      </c>
      <c r="I193" t="s">
        <v>522</v>
      </c>
      <c r="J193" t="s">
        <v>516</v>
      </c>
      <c r="K193">
        <v>201905</v>
      </c>
      <c r="L193" t="s">
        <v>527</v>
      </c>
      <c r="N193">
        <v>2</v>
      </c>
      <c r="O193">
        <v>1761.37</v>
      </c>
      <c r="P193">
        <v>880.68499999999995</v>
      </c>
      <c r="Q193">
        <v>0</v>
      </c>
    </row>
    <row r="194" spans="1:17">
      <c r="A194" t="str">
        <f t="shared" si="10"/>
        <v>12_Dec</v>
      </c>
      <c r="B194">
        <v>380</v>
      </c>
      <c r="C194" t="s">
        <v>122</v>
      </c>
      <c r="F194">
        <v>408160257</v>
      </c>
      <c r="G194" t="s">
        <v>513</v>
      </c>
      <c r="H194" t="s">
        <v>521</v>
      </c>
      <c r="I194" t="s">
        <v>522</v>
      </c>
      <c r="J194" t="s">
        <v>516</v>
      </c>
      <c r="K194">
        <v>201912</v>
      </c>
      <c r="L194" t="s">
        <v>527</v>
      </c>
      <c r="N194">
        <v>2</v>
      </c>
      <c r="O194">
        <v>5183.21</v>
      </c>
      <c r="P194">
        <v>2591.605</v>
      </c>
      <c r="Q194">
        <v>0</v>
      </c>
    </row>
    <row r="195" spans="1:17">
      <c r="A195" t="str">
        <f t="shared" si="10"/>
        <v>04_Apr</v>
      </c>
      <c r="B195">
        <v>380</v>
      </c>
      <c r="C195" t="s">
        <v>122</v>
      </c>
      <c r="F195">
        <v>408160257</v>
      </c>
      <c r="G195" t="s">
        <v>513</v>
      </c>
      <c r="H195" t="s">
        <v>521</v>
      </c>
      <c r="I195" t="s">
        <v>522</v>
      </c>
      <c r="J195" t="s">
        <v>516</v>
      </c>
      <c r="K195">
        <v>201904</v>
      </c>
      <c r="L195" t="s">
        <v>527</v>
      </c>
      <c r="N195">
        <v>2</v>
      </c>
      <c r="O195">
        <v>922.03</v>
      </c>
      <c r="P195">
        <v>461.01499999999999</v>
      </c>
      <c r="Q195">
        <v>0</v>
      </c>
    </row>
    <row r="196" spans="1:17">
      <c r="A196" t="str">
        <f t="shared" si="10"/>
        <v>10_Oct</v>
      </c>
      <c r="B196">
        <v>380</v>
      </c>
      <c r="C196" t="s">
        <v>122</v>
      </c>
      <c r="F196">
        <v>408160257</v>
      </c>
      <c r="G196" t="s">
        <v>513</v>
      </c>
      <c r="H196" t="s">
        <v>521</v>
      </c>
      <c r="I196" t="s">
        <v>522</v>
      </c>
      <c r="J196" t="s">
        <v>516</v>
      </c>
      <c r="K196">
        <v>201910</v>
      </c>
      <c r="L196" t="s">
        <v>527</v>
      </c>
      <c r="N196">
        <v>2</v>
      </c>
      <c r="O196">
        <v>5016.43</v>
      </c>
      <c r="P196">
        <v>2508.2150000000001</v>
      </c>
      <c r="Q196">
        <v>0</v>
      </c>
    </row>
    <row r="197" spans="1:17">
      <c r="A197" t="str">
        <f t="shared" si="10"/>
        <v>11_Nov</v>
      </c>
      <c r="B197">
        <v>380</v>
      </c>
      <c r="C197" t="s">
        <v>122</v>
      </c>
      <c r="F197">
        <v>408160257</v>
      </c>
      <c r="G197" t="s">
        <v>513</v>
      </c>
      <c r="H197" t="s">
        <v>521</v>
      </c>
      <c r="I197" t="s">
        <v>522</v>
      </c>
      <c r="J197" t="s">
        <v>516</v>
      </c>
      <c r="K197">
        <v>201911</v>
      </c>
      <c r="L197" t="s">
        <v>527</v>
      </c>
      <c r="N197">
        <v>2</v>
      </c>
      <c r="O197">
        <v>5697.69</v>
      </c>
      <c r="P197">
        <v>2848.8449999999998</v>
      </c>
      <c r="Q197">
        <v>0</v>
      </c>
    </row>
    <row r="198" spans="1:17">
      <c r="A198" t="str">
        <f t="shared" si="10"/>
        <v>03_Mar</v>
      </c>
      <c r="B198">
        <v>380</v>
      </c>
      <c r="C198" t="s">
        <v>122</v>
      </c>
      <c r="F198">
        <v>408160257</v>
      </c>
      <c r="G198" t="s">
        <v>513</v>
      </c>
      <c r="H198" t="s">
        <v>521</v>
      </c>
      <c r="I198" t="s">
        <v>522</v>
      </c>
      <c r="J198" t="s">
        <v>516</v>
      </c>
      <c r="K198">
        <v>201903</v>
      </c>
      <c r="L198" t="s">
        <v>527</v>
      </c>
      <c r="N198">
        <v>2</v>
      </c>
      <c r="O198">
        <v>3486.26</v>
      </c>
      <c r="P198">
        <v>1743.13</v>
      </c>
      <c r="Q198">
        <v>0</v>
      </c>
    </row>
    <row r="199" spans="1:17">
      <c r="A199" t="str">
        <f t="shared" si="10"/>
        <v>06_Jun</v>
      </c>
      <c r="B199">
        <v>380</v>
      </c>
      <c r="C199" t="s">
        <v>122</v>
      </c>
      <c r="F199">
        <v>408160257</v>
      </c>
      <c r="G199" t="s">
        <v>513</v>
      </c>
      <c r="H199" t="s">
        <v>521</v>
      </c>
      <c r="I199" t="s">
        <v>522</v>
      </c>
      <c r="J199" t="s">
        <v>516</v>
      </c>
      <c r="K199">
        <v>201906</v>
      </c>
      <c r="L199" t="s">
        <v>527</v>
      </c>
      <c r="N199">
        <v>2</v>
      </c>
      <c r="O199">
        <v>6242.28</v>
      </c>
      <c r="P199">
        <v>3121.14</v>
      </c>
      <c r="Q199">
        <v>0</v>
      </c>
    </row>
    <row r="200" spans="1:17">
      <c r="A200" t="str">
        <f t="shared" si="10"/>
        <v>09_Sep</v>
      </c>
      <c r="B200">
        <v>380</v>
      </c>
      <c r="C200" t="s">
        <v>122</v>
      </c>
      <c r="F200">
        <v>408160257</v>
      </c>
      <c r="G200" t="s">
        <v>513</v>
      </c>
      <c r="H200" t="s">
        <v>521</v>
      </c>
      <c r="I200" t="s">
        <v>522</v>
      </c>
      <c r="J200" t="s">
        <v>516</v>
      </c>
      <c r="K200">
        <v>201909</v>
      </c>
      <c r="L200" t="s">
        <v>527</v>
      </c>
      <c r="N200">
        <v>2</v>
      </c>
      <c r="O200">
        <v>8868.14</v>
      </c>
      <c r="P200">
        <v>4434.07</v>
      </c>
      <c r="Q200">
        <v>0</v>
      </c>
    </row>
    <row r="201" spans="1:17">
      <c r="A201" t="str">
        <f t="shared" si="10"/>
        <v>02_Feb</v>
      </c>
      <c r="B201">
        <v>380</v>
      </c>
      <c r="C201" t="s">
        <v>122</v>
      </c>
      <c r="F201">
        <v>408160257</v>
      </c>
      <c r="G201" t="s">
        <v>513</v>
      </c>
      <c r="H201" t="s">
        <v>521</v>
      </c>
      <c r="I201" t="s">
        <v>522</v>
      </c>
      <c r="J201" t="s">
        <v>516</v>
      </c>
      <c r="K201">
        <v>201902</v>
      </c>
      <c r="L201" t="s">
        <v>527</v>
      </c>
      <c r="N201">
        <v>2</v>
      </c>
      <c r="O201">
        <v>24815.56</v>
      </c>
      <c r="P201">
        <v>12407.78</v>
      </c>
      <c r="Q201">
        <v>0</v>
      </c>
    </row>
    <row r="202" spans="1:17">
      <c r="A202" t="str">
        <f t="shared" si="10"/>
        <v>07_Jul</v>
      </c>
      <c r="B202">
        <v>380</v>
      </c>
      <c r="C202" t="s">
        <v>122</v>
      </c>
      <c r="F202">
        <v>408160257</v>
      </c>
      <c r="G202" t="s">
        <v>513</v>
      </c>
      <c r="H202" t="s">
        <v>521</v>
      </c>
      <c r="I202" t="s">
        <v>522</v>
      </c>
      <c r="J202" t="s">
        <v>516</v>
      </c>
      <c r="K202">
        <v>201907</v>
      </c>
      <c r="L202" t="s">
        <v>527</v>
      </c>
      <c r="N202">
        <v>2</v>
      </c>
      <c r="O202">
        <v>8213.9699999999993</v>
      </c>
      <c r="P202">
        <v>4106.9849999999997</v>
      </c>
      <c r="Q202">
        <v>0</v>
      </c>
    </row>
    <row r="203" spans="1:17">
      <c r="A203" t="str">
        <f t="shared" si="10"/>
        <v>08_Aug</v>
      </c>
      <c r="B203">
        <v>380</v>
      </c>
      <c r="C203" t="s">
        <v>122</v>
      </c>
      <c r="F203">
        <v>408160257</v>
      </c>
      <c r="G203" t="s">
        <v>513</v>
      </c>
      <c r="H203" t="s">
        <v>521</v>
      </c>
      <c r="I203" t="s">
        <v>522</v>
      </c>
      <c r="J203" t="s">
        <v>516</v>
      </c>
      <c r="K203">
        <v>201908</v>
      </c>
      <c r="L203" t="s">
        <v>527</v>
      </c>
      <c r="N203">
        <v>-10</v>
      </c>
      <c r="O203">
        <v>-36836.839999999997</v>
      </c>
      <c r="P203">
        <v>3683.6840000000002</v>
      </c>
      <c r="Q203">
        <v>0</v>
      </c>
    </row>
    <row r="204" spans="1:17">
      <c r="A204" t="str">
        <f t="shared" si="10"/>
        <v>09_Sep</v>
      </c>
      <c r="B204">
        <v>380</v>
      </c>
      <c r="C204" t="s">
        <v>294</v>
      </c>
      <c r="F204">
        <v>405402531</v>
      </c>
      <c r="G204" t="s">
        <v>513</v>
      </c>
      <c r="H204" t="s">
        <v>521</v>
      </c>
      <c r="I204" t="s">
        <v>522</v>
      </c>
      <c r="J204" t="s">
        <v>516</v>
      </c>
      <c r="K204">
        <v>201909</v>
      </c>
      <c r="L204" t="s">
        <v>294</v>
      </c>
      <c r="N204">
        <v>1</v>
      </c>
      <c r="O204">
        <v>0</v>
      </c>
      <c r="P204">
        <v>0</v>
      </c>
      <c r="Q204">
        <v>0</v>
      </c>
    </row>
    <row r="205" spans="1:17">
      <c r="A205" t="str">
        <f t="shared" si="10"/>
        <v>10_Oct</v>
      </c>
      <c r="B205">
        <v>380</v>
      </c>
      <c r="C205" t="s">
        <v>294</v>
      </c>
      <c r="F205">
        <v>405402531</v>
      </c>
      <c r="G205" t="s">
        <v>513</v>
      </c>
      <c r="H205" t="s">
        <v>521</v>
      </c>
      <c r="I205" t="s">
        <v>522</v>
      </c>
      <c r="J205" t="s">
        <v>516</v>
      </c>
      <c r="K205">
        <v>201910</v>
      </c>
      <c r="L205" t="s">
        <v>294</v>
      </c>
      <c r="N205">
        <v>1</v>
      </c>
      <c r="O205">
        <v>0</v>
      </c>
      <c r="P205">
        <v>0</v>
      </c>
      <c r="Q205">
        <v>0</v>
      </c>
    </row>
    <row r="206" spans="1:17">
      <c r="A206" t="str">
        <f t="shared" si="10"/>
        <v>12_Dec</v>
      </c>
      <c r="B206">
        <v>380</v>
      </c>
      <c r="C206" t="s">
        <v>294</v>
      </c>
      <c r="F206">
        <v>405402531</v>
      </c>
      <c r="G206" t="s">
        <v>513</v>
      </c>
      <c r="H206" t="s">
        <v>521</v>
      </c>
      <c r="I206" t="s">
        <v>522</v>
      </c>
      <c r="J206" t="s">
        <v>516</v>
      </c>
      <c r="K206">
        <v>201912</v>
      </c>
      <c r="L206" t="s">
        <v>294</v>
      </c>
      <c r="N206">
        <v>1</v>
      </c>
      <c r="O206">
        <v>0</v>
      </c>
      <c r="P206">
        <v>0</v>
      </c>
      <c r="Q206">
        <v>0</v>
      </c>
    </row>
    <row r="207" spans="1:17">
      <c r="A207" t="str">
        <f t="shared" si="10"/>
        <v>02_Feb</v>
      </c>
      <c r="B207">
        <v>380</v>
      </c>
      <c r="C207" t="s">
        <v>294</v>
      </c>
      <c r="F207">
        <v>405402531</v>
      </c>
      <c r="G207" t="s">
        <v>513</v>
      </c>
      <c r="H207" t="s">
        <v>521</v>
      </c>
      <c r="I207" t="s">
        <v>522</v>
      </c>
      <c r="J207" t="s">
        <v>516</v>
      </c>
      <c r="K207">
        <v>201902</v>
      </c>
      <c r="L207" t="s">
        <v>294</v>
      </c>
      <c r="N207">
        <v>1</v>
      </c>
      <c r="O207">
        <v>0</v>
      </c>
      <c r="P207">
        <v>0</v>
      </c>
      <c r="Q207">
        <v>0</v>
      </c>
    </row>
    <row r="208" spans="1:17">
      <c r="A208" t="str">
        <f t="shared" si="10"/>
        <v>03_Mar</v>
      </c>
      <c r="B208">
        <v>380</v>
      </c>
      <c r="C208" t="s">
        <v>294</v>
      </c>
      <c r="F208">
        <v>405402531</v>
      </c>
      <c r="G208" t="s">
        <v>513</v>
      </c>
      <c r="H208" t="s">
        <v>521</v>
      </c>
      <c r="I208" t="s">
        <v>522</v>
      </c>
      <c r="J208" t="s">
        <v>516</v>
      </c>
      <c r="K208">
        <v>201903</v>
      </c>
      <c r="L208" t="s">
        <v>294</v>
      </c>
      <c r="N208">
        <v>1</v>
      </c>
      <c r="O208">
        <v>0</v>
      </c>
      <c r="P208">
        <v>0</v>
      </c>
      <c r="Q208">
        <v>0</v>
      </c>
    </row>
    <row r="209" spans="1:17">
      <c r="A209" t="str">
        <f t="shared" si="10"/>
        <v>07_Jul</v>
      </c>
      <c r="B209">
        <v>380</v>
      </c>
      <c r="C209" t="s">
        <v>294</v>
      </c>
      <c r="F209">
        <v>405402531</v>
      </c>
      <c r="G209" t="s">
        <v>513</v>
      </c>
      <c r="H209" t="s">
        <v>521</v>
      </c>
      <c r="I209" t="s">
        <v>522</v>
      </c>
      <c r="J209" t="s">
        <v>516</v>
      </c>
      <c r="K209">
        <v>201907</v>
      </c>
      <c r="L209" t="s">
        <v>294</v>
      </c>
      <c r="N209">
        <v>1</v>
      </c>
      <c r="O209">
        <v>0</v>
      </c>
      <c r="P209">
        <v>0</v>
      </c>
      <c r="Q209">
        <v>0</v>
      </c>
    </row>
    <row r="210" spans="1:17">
      <c r="A210" t="str">
        <f t="shared" si="10"/>
        <v>11_Nov</v>
      </c>
      <c r="B210">
        <v>380</v>
      </c>
      <c r="C210" t="s">
        <v>294</v>
      </c>
      <c r="F210">
        <v>405402531</v>
      </c>
      <c r="G210" t="s">
        <v>513</v>
      </c>
      <c r="H210" t="s">
        <v>521</v>
      </c>
      <c r="I210" t="s">
        <v>522</v>
      </c>
      <c r="J210" t="s">
        <v>516</v>
      </c>
      <c r="K210">
        <v>201911</v>
      </c>
      <c r="L210" t="s">
        <v>294</v>
      </c>
      <c r="N210">
        <v>1</v>
      </c>
      <c r="O210">
        <v>0</v>
      </c>
      <c r="P210">
        <v>0</v>
      </c>
      <c r="Q210">
        <v>0</v>
      </c>
    </row>
    <row r="211" spans="1:17">
      <c r="A211" t="str">
        <f t="shared" si="10"/>
        <v>04_Apr</v>
      </c>
      <c r="B211">
        <v>380</v>
      </c>
      <c r="C211" t="s">
        <v>294</v>
      </c>
      <c r="F211">
        <v>405402531</v>
      </c>
      <c r="G211" t="s">
        <v>513</v>
      </c>
      <c r="H211" t="s">
        <v>521</v>
      </c>
      <c r="I211" t="s">
        <v>522</v>
      </c>
      <c r="J211" t="s">
        <v>516</v>
      </c>
      <c r="K211">
        <v>201904</v>
      </c>
      <c r="L211" t="s">
        <v>294</v>
      </c>
      <c r="N211">
        <v>1</v>
      </c>
      <c r="O211">
        <v>0</v>
      </c>
      <c r="P211">
        <v>0</v>
      </c>
      <c r="Q211">
        <v>0</v>
      </c>
    </row>
    <row r="212" spans="1:17">
      <c r="A212" t="str">
        <f t="shared" si="10"/>
        <v>05_May</v>
      </c>
      <c r="B212">
        <v>380</v>
      </c>
      <c r="C212" t="s">
        <v>294</v>
      </c>
      <c r="F212">
        <v>405402531</v>
      </c>
      <c r="G212" t="s">
        <v>513</v>
      </c>
      <c r="H212" t="s">
        <v>521</v>
      </c>
      <c r="I212" t="s">
        <v>522</v>
      </c>
      <c r="J212" t="s">
        <v>516</v>
      </c>
      <c r="K212">
        <v>201905</v>
      </c>
      <c r="L212" t="s">
        <v>294</v>
      </c>
      <c r="N212">
        <v>1</v>
      </c>
      <c r="O212">
        <v>0</v>
      </c>
      <c r="P212">
        <v>0</v>
      </c>
      <c r="Q212">
        <v>0</v>
      </c>
    </row>
    <row r="213" spans="1:17">
      <c r="A213" t="str">
        <f t="shared" si="10"/>
        <v>01_Jan</v>
      </c>
      <c r="B213">
        <v>380</v>
      </c>
      <c r="C213" t="s">
        <v>294</v>
      </c>
      <c r="F213">
        <v>405402531</v>
      </c>
      <c r="G213" t="s">
        <v>513</v>
      </c>
      <c r="H213" t="s">
        <v>521</v>
      </c>
      <c r="I213" t="s">
        <v>522</v>
      </c>
      <c r="J213" t="s">
        <v>516</v>
      </c>
      <c r="K213">
        <v>201901</v>
      </c>
      <c r="L213" t="s">
        <v>294</v>
      </c>
      <c r="N213">
        <v>2</v>
      </c>
      <c r="O213">
        <v>-65430.65</v>
      </c>
      <c r="P213">
        <v>-32715.325000000001</v>
      </c>
      <c r="Q213">
        <v>0</v>
      </c>
    </row>
    <row r="214" spans="1:17">
      <c r="A214" t="str">
        <f t="shared" si="10"/>
        <v>06_Jun</v>
      </c>
      <c r="B214">
        <v>380</v>
      </c>
      <c r="C214" t="s">
        <v>294</v>
      </c>
      <c r="F214">
        <v>405402531</v>
      </c>
      <c r="G214" t="s">
        <v>513</v>
      </c>
      <c r="H214" t="s">
        <v>521</v>
      </c>
      <c r="I214" t="s">
        <v>522</v>
      </c>
      <c r="J214" t="s">
        <v>516</v>
      </c>
      <c r="K214">
        <v>201906</v>
      </c>
      <c r="L214" t="s">
        <v>294</v>
      </c>
      <c r="N214">
        <v>1</v>
      </c>
      <c r="O214">
        <v>0</v>
      </c>
      <c r="P214">
        <v>0</v>
      </c>
      <c r="Q214">
        <v>0</v>
      </c>
    </row>
    <row r="215" spans="1:17">
      <c r="A215" t="str">
        <f t="shared" si="10"/>
        <v>08_Aug</v>
      </c>
      <c r="B215">
        <v>380</v>
      </c>
      <c r="C215" t="s">
        <v>294</v>
      </c>
      <c r="F215">
        <v>405402531</v>
      </c>
      <c r="G215" t="s">
        <v>513</v>
      </c>
      <c r="H215" t="s">
        <v>521</v>
      </c>
      <c r="I215" t="s">
        <v>522</v>
      </c>
      <c r="J215" t="s">
        <v>516</v>
      </c>
      <c r="K215">
        <v>201908</v>
      </c>
      <c r="L215" t="s">
        <v>294</v>
      </c>
      <c r="N215">
        <v>1</v>
      </c>
      <c r="O215">
        <v>0</v>
      </c>
      <c r="P215">
        <v>0</v>
      </c>
      <c r="Q215">
        <v>0</v>
      </c>
    </row>
    <row r="216" spans="1:17">
      <c r="A216" t="str">
        <f t="shared" si="10"/>
        <v>07_Jul</v>
      </c>
      <c r="B216">
        <v>380</v>
      </c>
      <c r="C216" t="s">
        <v>294</v>
      </c>
      <c r="F216">
        <v>408160282</v>
      </c>
      <c r="G216" t="s">
        <v>513</v>
      </c>
      <c r="H216" t="s">
        <v>521</v>
      </c>
      <c r="I216" t="s">
        <v>522</v>
      </c>
      <c r="J216" t="s">
        <v>516</v>
      </c>
      <c r="K216">
        <v>201907</v>
      </c>
      <c r="L216" t="s">
        <v>528</v>
      </c>
      <c r="N216">
        <v>1</v>
      </c>
      <c r="O216">
        <v>246.85</v>
      </c>
      <c r="P216">
        <v>246.85</v>
      </c>
      <c r="Q216">
        <v>0</v>
      </c>
    </row>
    <row r="217" spans="1:17">
      <c r="A217" t="str">
        <f t="shared" si="10"/>
        <v>10_Oct</v>
      </c>
      <c r="B217">
        <v>380</v>
      </c>
      <c r="C217" t="s">
        <v>294</v>
      </c>
      <c r="F217">
        <v>408160282</v>
      </c>
      <c r="G217" t="s">
        <v>513</v>
      </c>
      <c r="H217" t="s">
        <v>521</v>
      </c>
      <c r="I217" t="s">
        <v>522</v>
      </c>
      <c r="J217" t="s">
        <v>516</v>
      </c>
      <c r="K217">
        <v>201910</v>
      </c>
      <c r="L217" t="s">
        <v>528</v>
      </c>
      <c r="N217">
        <v>2</v>
      </c>
      <c r="O217">
        <v>8787.6</v>
      </c>
      <c r="P217">
        <v>4393.8</v>
      </c>
      <c r="Q217">
        <v>0</v>
      </c>
    </row>
    <row r="218" spans="1:17">
      <c r="A218" t="str">
        <f t="shared" si="10"/>
        <v>02_Feb</v>
      </c>
      <c r="B218">
        <v>380</v>
      </c>
      <c r="C218" t="s">
        <v>294</v>
      </c>
      <c r="F218">
        <v>408160282</v>
      </c>
      <c r="G218" t="s">
        <v>513</v>
      </c>
      <c r="H218" t="s">
        <v>521</v>
      </c>
      <c r="I218" t="s">
        <v>522</v>
      </c>
      <c r="J218" t="s">
        <v>516</v>
      </c>
      <c r="K218">
        <v>201902</v>
      </c>
      <c r="L218" t="s">
        <v>528</v>
      </c>
      <c r="N218">
        <v>1</v>
      </c>
      <c r="O218">
        <v>69345.33</v>
      </c>
      <c r="P218">
        <v>69345.33</v>
      </c>
      <c r="Q218">
        <v>0</v>
      </c>
    </row>
    <row r="219" spans="1:17">
      <c r="A219" t="str">
        <f t="shared" si="10"/>
        <v>03_Mar</v>
      </c>
      <c r="B219">
        <v>380</v>
      </c>
      <c r="C219" t="s">
        <v>294</v>
      </c>
      <c r="F219">
        <v>408160282</v>
      </c>
      <c r="G219" t="s">
        <v>513</v>
      </c>
      <c r="H219" t="s">
        <v>521</v>
      </c>
      <c r="I219" t="s">
        <v>522</v>
      </c>
      <c r="J219" t="s">
        <v>516</v>
      </c>
      <c r="K219">
        <v>201903</v>
      </c>
      <c r="L219" t="s">
        <v>528</v>
      </c>
      <c r="N219">
        <v>1</v>
      </c>
      <c r="O219">
        <v>0</v>
      </c>
      <c r="P219">
        <v>0</v>
      </c>
      <c r="Q219">
        <v>0</v>
      </c>
    </row>
    <row r="220" spans="1:17">
      <c r="A220" t="str">
        <f t="shared" si="10"/>
        <v>08_Aug</v>
      </c>
      <c r="B220">
        <v>380</v>
      </c>
      <c r="C220" t="s">
        <v>294</v>
      </c>
      <c r="F220">
        <v>408160282</v>
      </c>
      <c r="G220" t="s">
        <v>513</v>
      </c>
      <c r="H220" t="s">
        <v>521</v>
      </c>
      <c r="I220" t="s">
        <v>522</v>
      </c>
      <c r="J220" t="s">
        <v>516</v>
      </c>
      <c r="K220">
        <v>201908</v>
      </c>
      <c r="L220" t="s">
        <v>528</v>
      </c>
      <c r="N220">
        <v>-7</v>
      </c>
      <c r="O220">
        <v>-73145.78</v>
      </c>
      <c r="P220">
        <v>10449.3971428571</v>
      </c>
      <c r="Q220">
        <v>0</v>
      </c>
    </row>
    <row r="221" spans="1:17">
      <c r="A221" t="str">
        <f t="shared" si="10"/>
        <v>09_Sep</v>
      </c>
      <c r="B221">
        <v>380</v>
      </c>
      <c r="C221" t="s">
        <v>294</v>
      </c>
      <c r="F221">
        <v>408160282</v>
      </c>
      <c r="G221" t="s">
        <v>513</v>
      </c>
      <c r="H221" t="s">
        <v>521</v>
      </c>
      <c r="I221" t="s">
        <v>522</v>
      </c>
      <c r="J221" t="s">
        <v>516</v>
      </c>
      <c r="K221">
        <v>201909</v>
      </c>
      <c r="L221" t="s">
        <v>528</v>
      </c>
      <c r="N221">
        <v>1</v>
      </c>
      <c r="O221">
        <v>1264.29</v>
      </c>
      <c r="P221">
        <v>1264.29</v>
      </c>
      <c r="Q221">
        <v>0</v>
      </c>
    </row>
    <row r="222" spans="1:17">
      <c r="A222" t="str">
        <f t="shared" si="10"/>
        <v>12_Dec</v>
      </c>
      <c r="B222">
        <v>380</v>
      </c>
      <c r="C222" t="s">
        <v>294</v>
      </c>
      <c r="F222">
        <v>408160282</v>
      </c>
      <c r="G222" t="s">
        <v>513</v>
      </c>
      <c r="H222" t="s">
        <v>521</v>
      </c>
      <c r="I222" t="s">
        <v>522</v>
      </c>
      <c r="J222" t="s">
        <v>516</v>
      </c>
      <c r="K222">
        <v>201912</v>
      </c>
      <c r="L222" t="s">
        <v>528</v>
      </c>
      <c r="N222">
        <v>1</v>
      </c>
      <c r="O222">
        <v>10927.35</v>
      </c>
      <c r="P222">
        <v>10927.35</v>
      </c>
      <c r="Q222">
        <v>0</v>
      </c>
    </row>
    <row r="223" spans="1:17">
      <c r="A223" t="str">
        <f t="shared" si="10"/>
        <v>08_Aug</v>
      </c>
      <c r="B223">
        <v>380</v>
      </c>
      <c r="C223" t="s">
        <v>294</v>
      </c>
      <c r="F223">
        <v>452731391</v>
      </c>
      <c r="G223" t="s">
        <v>513</v>
      </c>
      <c r="H223" t="s">
        <v>521</v>
      </c>
      <c r="I223" t="s">
        <v>522</v>
      </c>
      <c r="J223" t="s">
        <v>517</v>
      </c>
      <c r="K223">
        <v>201908</v>
      </c>
      <c r="L223" t="s">
        <v>528</v>
      </c>
      <c r="N223">
        <v>4</v>
      </c>
      <c r="O223">
        <v>45457.89</v>
      </c>
      <c r="P223">
        <v>11364.4725</v>
      </c>
      <c r="Q223">
        <v>0</v>
      </c>
    </row>
    <row r="224" spans="1:17">
      <c r="A224" t="str">
        <f t="shared" si="10"/>
        <v>08_Aug</v>
      </c>
      <c r="B224">
        <v>380</v>
      </c>
      <c r="C224" t="s">
        <v>294</v>
      </c>
      <c r="F224">
        <v>452731374</v>
      </c>
      <c r="G224" t="s">
        <v>513</v>
      </c>
      <c r="H224" t="s">
        <v>521</v>
      </c>
      <c r="I224" t="s">
        <v>522</v>
      </c>
      <c r="J224" t="s">
        <v>517</v>
      </c>
      <c r="K224">
        <v>201908</v>
      </c>
      <c r="L224" t="s">
        <v>528</v>
      </c>
      <c r="N224">
        <v>1</v>
      </c>
      <c r="O224">
        <v>6678.61</v>
      </c>
      <c r="P224">
        <v>6678.61</v>
      </c>
      <c r="Q224">
        <v>0</v>
      </c>
    </row>
    <row r="225" spans="1:17">
      <c r="A225" t="str">
        <f t="shared" si="10"/>
        <v>04_Apr</v>
      </c>
      <c r="B225">
        <v>380</v>
      </c>
      <c r="C225" t="s">
        <v>294</v>
      </c>
      <c r="F225">
        <v>408160282</v>
      </c>
      <c r="G225" t="s">
        <v>513</v>
      </c>
      <c r="H225" t="s">
        <v>521</v>
      </c>
      <c r="I225" t="s">
        <v>522</v>
      </c>
      <c r="J225" t="s">
        <v>516</v>
      </c>
      <c r="K225">
        <v>201904</v>
      </c>
      <c r="L225" t="s">
        <v>528</v>
      </c>
      <c r="N225">
        <v>1</v>
      </c>
      <c r="O225">
        <v>0</v>
      </c>
      <c r="P225">
        <v>0</v>
      </c>
      <c r="Q225">
        <v>0</v>
      </c>
    </row>
    <row r="226" spans="1:17">
      <c r="A226" t="str">
        <f t="shared" si="10"/>
        <v>11_Nov</v>
      </c>
      <c r="B226">
        <v>380</v>
      </c>
      <c r="C226" t="s">
        <v>294</v>
      </c>
      <c r="F226">
        <v>408160282</v>
      </c>
      <c r="G226" t="s">
        <v>513</v>
      </c>
      <c r="H226" t="s">
        <v>521</v>
      </c>
      <c r="I226" t="s">
        <v>522</v>
      </c>
      <c r="J226" t="s">
        <v>516</v>
      </c>
      <c r="K226">
        <v>201911</v>
      </c>
      <c r="L226" t="s">
        <v>528</v>
      </c>
      <c r="N226">
        <v>2</v>
      </c>
      <c r="O226">
        <v>1568.78</v>
      </c>
      <c r="P226">
        <v>784.39</v>
      </c>
      <c r="Q226">
        <v>0</v>
      </c>
    </row>
    <row r="227" spans="1:17">
      <c r="A227" t="str">
        <f t="shared" si="10"/>
        <v>08_Aug</v>
      </c>
      <c r="B227">
        <v>380</v>
      </c>
      <c r="C227" t="s">
        <v>294</v>
      </c>
      <c r="F227">
        <v>452731400</v>
      </c>
      <c r="G227" t="s">
        <v>513</v>
      </c>
      <c r="H227" t="s">
        <v>521</v>
      </c>
      <c r="I227" t="s">
        <v>522</v>
      </c>
      <c r="J227" t="s">
        <v>517</v>
      </c>
      <c r="K227">
        <v>201908</v>
      </c>
      <c r="L227" t="s">
        <v>528</v>
      </c>
      <c r="N227">
        <v>1</v>
      </c>
      <c r="O227">
        <v>21009.279999999999</v>
      </c>
      <c r="P227">
        <v>21009.279999999999</v>
      </c>
      <c r="Q227">
        <v>0</v>
      </c>
    </row>
    <row r="228" spans="1:17">
      <c r="A228" t="str">
        <f t="shared" si="10"/>
        <v>06_Jun</v>
      </c>
      <c r="B228">
        <v>380</v>
      </c>
      <c r="C228" t="s">
        <v>294</v>
      </c>
      <c r="F228">
        <v>408160282</v>
      </c>
      <c r="G228" t="s">
        <v>513</v>
      </c>
      <c r="H228" t="s">
        <v>521</v>
      </c>
      <c r="I228" t="s">
        <v>522</v>
      </c>
      <c r="J228" t="s">
        <v>516</v>
      </c>
      <c r="K228">
        <v>201906</v>
      </c>
      <c r="L228" t="s">
        <v>528</v>
      </c>
      <c r="N228">
        <v>2</v>
      </c>
      <c r="O228">
        <v>3553.6</v>
      </c>
      <c r="P228">
        <v>1776.8</v>
      </c>
      <c r="Q228">
        <v>0</v>
      </c>
    </row>
    <row r="229" spans="1:17">
      <c r="A229" t="str">
        <f t="shared" si="10"/>
        <v>05_May</v>
      </c>
      <c r="B229">
        <v>380</v>
      </c>
      <c r="C229" t="s">
        <v>294</v>
      </c>
      <c r="F229">
        <v>408160282</v>
      </c>
      <c r="G229" t="s">
        <v>513</v>
      </c>
      <c r="H229" t="s">
        <v>521</v>
      </c>
      <c r="I229" t="s">
        <v>522</v>
      </c>
      <c r="J229" t="s">
        <v>516</v>
      </c>
      <c r="K229">
        <v>201905</v>
      </c>
      <c r="L229" t="s">
        <v>528</v>
      </c>
      <c r="N229">
        <v>1</v>
      </c>
      <c r="O229">
        <v>0</v>
      </c>
      <c r="P229">
        <v>0</v>
      </c>
      <c r="Q229">
        <v>0</v>
      </c>
    </row>
    <row r="230" spans="1:17">
      <c r="A230" t="str">
        <f t="shared" si="10"/>
        <v>05_May</v>
      </c>
      <c r="B230">
        <v>380</v>
      </c>
      <c r="C230" t="s">
        <v>529</v>
      </c>
      <c r="F230">
        <v>422399289</v>
      </c>
      <c r="G230" t="s">
        <v>513</v>
      </c>
      <c r="H230" t="s">
        <v>521</v>
      </c>
      <c r="I230" t="s">
        <v>522</v>
      </c>
      <c r="J230" t="s">
        <v>517</v>
      </c>
      <c r="K230">
        <v>201905</v>
      </c>
      <c r="L230" t="s">
        <v>529</v>
      </c>
      <c r="N230">
        <v>1</v>
      </c>
      <c r="O230">
        <v>432734.28</v>
      </c>
      <c r="P230">
        <v>432734.28</v>
      </c>
      <c r="Q230">
        <v>0</v>
      </c>
    </row>
    <row r="231" spans="1:17">
      <c r="A231" t="str">
        <f t="shared" si="10"/>
        <v>05_May</v>
      </c>
      <c r="B231">
        <v>380</v>
      </c>
      <c r="C231" t="s">
        <v>529</v>
      </c>
      <c r="F231">
        <v>321308097</v>
      </c>
      <c r="G231" t="s">
        <v>513</v>
      </c>
      <c r="H231" t="s">
        <v>521</v>
      </c>
      <c r="I231" t="s">
        <v>522</v>
      </c>
      <c r="J231" t="s">
        <v>517</v>
      </c>
      <c r="K231">
        <v>201905</v>
      </c>
      <c r="L231" t="s">
        <v>529</v>
      </c>
      <c r="N231">
        <v>-5</v>
      </c>
      <c r="O231">
        <v>-22111.84</v>
      </c>
      <c r="P231">
        <v>4422.3680000000004</v>
      </c>
      <c r="Q231">
        <v>0</v>
      </c>
    </row>
    <row r="232" spans="1:17">
      <c r="A232" t="str">
        <f t="shared" si="10"/>
        <v>05_May</v>
      </c>
      <c r="B232">
        <v>380</v>
      </c>
      <c r="C232" t="s">
        <v>529</v>
      </c>
      <c r="F232">
        <v>392799805</v>
      </c>
      <c r="G232" t="s">
        <v>513</v>
      </c>
      <c r="H232" t="s">
        <v>521</v>
      </c>
      <c r="I232" t="s">
        <v>522</v>
      </c>
      <c r="J232" t="s">
        <v>517</v>
      </c>
      <c r="K232">
        <v>201905</v>
      </c>
      <c r="L232" t="s">
        <v>529</v>
      </c>
      <c r="N232">
        <v>2</v>
      </c>
      <c r="O232">
        <v>432734.28</v>
      </c>
      <c r="P232">
        <v>216367.14</v>
      </c>
      <c r="Q232">
        <v>0</v>
      </c>
    </row>
    <row r="233" spans="1:17">
      <c r="A233" t="str">
        <f t="shared" si="10"/>
        <v>05_May</v>
      </c>
      <c r="B233">
        <v>380</v>
      </c>
      <c r="C233" t="s">
        <v>529</v>
      </c>
      <c r="F233">
        <v>392799787</v>
      </c>
      <c r="G233" t="s">
        <v>513</v>
      </c>
      <c r="H233" t="s">
        <v>521</v>
      </c>
      <c r="I233" t="s">
        <v>522</v>
      </c>
      <c r="J233" t="s">
        <v>517</v>
      </c>
      <c r="K233">
        <v>201905</v>
      </c>
      <c r="L233" t="s">
        <v>529</v>
      </c>
      <c r="N233">
        <v>11</v>
      </c>
      <c r="O233">
        <v>432734.28</v>
      </c>
      <c r="P233">
        <v>39339.480000000003</v>
      </c>
      <c r="Q233">
        <v>0</v>
      </c>
    </row>
    <row r="234" spans="1:17">
      <c r="A234" t="str">
        <f t="shared" si="10"/>
        <v>05_May</v>
      </c>
      <c r="B234">
        <v>380</v>
      </c>
      <c r="C234" t="s">
        <v>529</v>
      </c>
      <c r="F234">
        <v>321308063</v>
      </c>
      <c r="G234" t="s">
        <v>513</v>
      </c>
      <c r="H234" t="s">
        <v>521</v>
      </c>
      <c r="I234" t="s">
        <v>522</v>
      </c>
      <c r="J234" t="s">
        <v>517</v>
      </c>
      <c r="K234">
        <v>201905</v>
      </c>
      <c r="L234" t="s">
        <v>529</v>
      </c>
      <c r="N234">
        <v>-1</v>
      </c>
      <c r="O234">
        <v>-6406.73</v>
      </c>
      <c r="P234">
        <v>6406.73</v>
      </c>
      <c r="Q234">
        <v>0</v>
      </c>
    </row>
    <row r="235" spans="1:17">
      <c r="A235" t="str">
        <f t="shared" si="10"/>
        <v>05_May</v>
      </c>
      <c r="B235">
        <v>380</v>
      </c>
      <c r="C235" t="s">
        <v>529</v>
      </c>
      <c r="F235">
        <v>321308029</v>
      </c>
      <c r="G235" t="s">
        <v>513</v>
      </c>
      <c r="H235" t="s">
        <v>521</v>
      </c>
      <c r="I235" t="s">
        <v>522</v>
      </c>
      <c r="J235" t="s">
        <v>517</v>
      </c>
      <c r="K235">
        <v>201905</v>
      </c>
      <c r="L235" t="s">
        <v>529</v>
      </c>
      <c r="N235">
        <v>-1</v>
      </c>
      <c r="O235">
        <v>-432734.23</v>
      </c>
      <c r="P235">
        <v>432734.23</v>
      </c>
      <c r="Q235">
        <v>0</v>
      </c>
    </row>
    <row r="236" spans="1:17">
      <c r="A236" t="str">
        <f t="shared" si="10"/>
        <v>05_May</v>
      </c>
      <c r="B236">
        <v>380</v>
      </c>
      <c r="C236" t="s">
        <v>529</v>
      </c>
      <c r="F236">
        <v>321308020</v>
      </c>
      <c r="G236" t="s">
        <v>513</v>
      </c>
      <c r="H236" t="s">
        <v>521</v>
      </c>
      <c r="I236" t="s">
        <v>522</v>
      </c>
      <c r="J236" t="s">
        <v>517</v>
      </c>
      <c r="K236">
        <v>201905</v>
      </c>
      <c r="L236" t="s">
        <v>529</v>
      </c>
      <c r="N236">
        <v>-1</v>
      </c>
      <c r="O236">
        <v>-432734.28</v>
      </c>
      <c r="P236">
        <v>432734.28</v>
      </c>
      <c r="Q236">
        <v>0</v>
      </c>
    </row>
    <row r="237" spans="1:17">
      <c r="A237" t="str">
        <f t="shared" si="10"/>
        <v>05_May</v>
      </c>
      <c r="B237">
        <v>380</v>
      </c>
      <c r="C237" t="s">
        <v>529</v>
      </c>
      <c r="F237">
        <v>321307993</v>
      </c>
      <c r="G237" t="s">
        <v>513</v>
      </c>
      <c r="H237" t="s">
        <v>521</v>
      </c>
      <c r="I237" t="s">
        <v>522</v>
      </c>
      <c r="J237" t="s">
        <v>517</v>
      </c>
      <c r="K237">
        <v>201905</v>
      </c>
      <c r="L237" t="s">
        <v>529</v>
      </c>
      <c r="N237">
        <v>-11</v>
      </c>
      <c r="O237">
        <v>-432734.28</v>
      </c>
      <c r="P237">
        <v>39339.480000000003</v>
      </c>
      <c r="Q237">
        <v>0</v>
      </c>
    </row>
    <row r="238" spans="1:17">
      <c r="A238" t="str">
        <f t="shared" si="10"/>
        <v>05_May</v>
      </c>
      <c r="B238">
        <v>380</v>
      </c>
      <c r="C238" t="s">
        <v>529</v>
      </c>
      <c r="F238">
        <v>279363480</v>
      </c>
      <c r="G238" t="s">
        <v>513</v>
      </c>
      <c r="H238" t="s">
        <v>521</v>
      </c>
      <c r="I238" t="s">
        <v>522</v>
      </c>
      <c r="J238" t="s">
        <v>517</v>
      </c>
      <c r="K238">
        <v>201905</v>
      </c>
      <c r="L238" t="s">
        <v>529</v>
      </c>
      <c r="N238">
        <v>-1</v>
      </c>
      <c r="O238">
        <v>-163662.07999999999</v>
      </c>
      <c r="P238">
        <v>163662.07999999999</v>
      </c>
      <c r="Q238">
        <v>0</v>
      </c>
    </row>
    <row r="239" spans="1:17">
      <c r="A239" t="str">
        <f t="shared" si="10"/>
        <v>05_May</v>
      </c>
      <c r="B239">
        <v>380</v>
      </c>
      <c r="C239" t="s">
        <v>529</v>
      </c>
      <c r="F239">
        <v>264941162</v>
      </c>
      <c r="G239" t="s">
        <v>513</v>
      </c>
      <c r="H239" t="s">
        <v>521</v>
      </c>
      <c r="I239" t="s">
        <v>522</v>
      </c>
      <c r="J239" t="s">
        <v>517</v>
      </c>
      <c r="K239">
        <v>201905</v>
      </c>
      <c r="L239" t="s">
        <v>529</v>
      </c>
      <c r="N239">
        <v>1</v>
      </c>
      <c r="O239">
        <v>163662.07999999999</v>
      </c>
      <c r="P239">
        <v>163662.07999999999</v>
      </c>
      <c r="Q239">
        <v>0</v>
      </c>
    </row>
    <row r="240" spans="1:17">
      <c r="A240" t="str">
        <f t="shared" si="10"/>
        <v>05_May</v>
      </c>
      <c r="B240">
        <v>380</v>
      </c>
      <c r="C240" t="s">
        <v>529</v>
      </c>
      <c r="F240">
        <v>321307984</v>
      </c>
      <c r="G240" t="s">
        <v>513</v>
      </c>
      <c r="H240" t="s">
        <v>521</v>
      </c>
      <c r="I240" t="s">
        <v>522</v>
      </c>
      <c r="J240" t="s">
        <v>517</v>
      </c>
      <c r="K240">
        <v>201905</v>
      </c>
      <c r="L240" t="s">
        <v>529</v>
      </c>
      <c r="N240">
        <v>-438</v>
      </c>
      <c r="O240">
        <v>-432734.28</v>
      </c>
      <c r="P240">
        <v>987.97780821917797</v>
      </c>
      <c r="Q240">
        <v>0</v>
      </c>
    </row>
    <row r="241" spans="1:17">
      <c r="A241" t="str">
        <f t="shared" si="10"/>
        <v>05_May</v>
      </c>
      <c r="B241">
        <v>380</v>
      </c>
      <c r="C241" t="s">
        <v>529</v>
      </c>
      <c r="F241">
        <v>321308002</v>
      </c>
      <c r="G241" t="s">
        <v>513</v>
      </c>
      <c r="H241" t="s">
        <v>521</v>
      </c>
      <c r="I241" t="s">
        <v>522</v>
      </c>
      <c r="J241" t="s">
        <v>517</v>
      </c>
      <c r="K241">
        <v>201905</v>
      </c>
      <c r="L241" t="s">
        <v>529</v>
      </c>
      <c r="N241">
        <v>-19</v>
      </c>
      <c r="O241">
        <v>-432734.28</v>
      </c>
      <c r="P241">
        <v>22775.4884210526</v>
      </c>
      <c r="Q241">
        <v>0</v>
      </c>
    </row>
    <row r="242" spans="1:17">
      <c r="A242" t="str">
        <f t="shared" si="10"/>
        <v>05_May</v>
      </c>
      <c r="B242">
        <v>380</v>
      </c>
      <c r="C242" t="s">
        <v>529</v>
      </c>
      <c r="F242">
        <v>422399330</v>
      </c>
      <c r="G242" t="s">
        <v>513</v>
      </c>
      <c r="H242" t="s">
        <v>521</v>
      </c>
      <c r="I242" t="s">
        <v>522</v>
      </c>
      <c r="J242" t="s">
        <v>517</v>
      </c>
      <c r="K242">
        <v>201905</v>
      </c>
      <c r="L242" t="s">
        <v>529</v>
      </c>
      <c r="N242">
        <v>1</v>
      </c>
      <c r="O242">
        <v>432734.23</v>
      </c>
      <c r="P242">
        <v>432734.23</v>
      </c>
      <c r="Q242">
        <v>0</v>
      </c>
    </row>
    <row r="243" spans="1:17">
      <c r="A243" t="str">
        <f t="shared" si="10"/>
        <v>05_May</v>
      </c>
      <c r="B243">
        <v>380</v>
      </c>
      <c r="C243" t="s">
        <v>529</v>
      </c>
      <c r="F243">
        <v>321308011</v>
      </c>
      <c r="G243" t="s">
        <v>513</v>
      </c>
      <c r="H243" t="s">
        <v>521</v>
      </c>
      <c r="I243" t="s">
        <v>522</v>
      </c>
      <c r="J243" t="s">
        <v>517</v>
      </c>
      <c r="K243">
        <v>201905</v>
      </c>
      <c r="L243" t="s">
        <v>529</v>
      </c>
      <c r="N243">
        <v>-2</v>
      </c>
      <c r="O243">
        <v>-432734.28</v>
      </c>
      <c r="P243">
        <v>216367.14</v>
      </c>
      <c r="Q243">
        <v>0</v>
      </c>
    </row>
    <row r="244" spans="1:17">
      <c r="A244" t="str">
        <f t="shared" si="10"/>
        <v>05_May</v>
      </c>
      <c r="B244">
        <v>380</v>
      </c>
      <c r="C244" t="s">
        <v>529</v>
      </c>
      <c r="F244">
        <v>321308072</v>
      </c>
      <c r="G244" t="s">
        <v>513</v>
      </c>
      <c r="H244" t="s">
        <v>521</v>
      </c>
      <c r="I244" t="s">
        <v>522</v>
      </c>
      <c r="J244" t="s">
        <v>517</v>
      </c>
      <c r="K244">
        <v>201905</v>
      </c>
      <c r="L244" t="s">
        <v>529</v>
      </c>
      <c r="N244">
        <v>-3</v>
      </c>
      <c r="O244">
        <v>-13267.13</v>
      </c>
      <c r="P244">
        <v>4422.3766666666697</v>
      </c>
      <c r="Q244">
        <v>0</v>
      </c>
    </row>
    <row r="245" spans="1:17">
      <c r="A245" t="str">
        <f t="shared" si="10"/>
        <v>05_May</v>
      </c>
      <c r="B245">
        <v>380</v>
      </c>
      <c r="C245" t="s">
        <v>529</v>
      </c>
      <c r="F245">
        <v>392799796</v>
      </c>
      <c r="G245" t="s">
        <v>513</v>
      </c>
      <c r="H245" t="s">
        <v>521</v>
      </c>
      <c r="I245" t="s">
        <v>522</v>
      </c>
      <c r="J245" t="s">
        <v>517</v>
      </c>
      <c r="K245">
        <v>201905</v>
      </c>
      <c r="L245" t="s">
        <v>529</v>
      </c>
      <c r="N245">
        <v>20</v>
      </c>
      <c r="O245">
        <v>439141.01</v>
      </c>
      <c r="P245">
        <v>21957.050500000001</v>
      </c>
      <c r="Q245">
        <v>0</v>
      </c>
    </row>
    <row r="246" spans="1:17">
      <c r="A246" t="str">
        <f t="shared" si="10"/>
        <v>05_May</v>
      </c>
      <c r="B246">
        <v>380</v>
      </c>
      <c r="C246" t="s">
        <v>529</v>
      </c>
      <c r="F246">
        <v>392799769</v>
      </c>
      <c r="G246" t="s">
        <v>513</v>
      </c>
      <c r="H246" t="s">
        <v>521</v>
      </c>
      <c r="I246" t="s">
        <v>522</v>
      </c>
      <c r="J246" t="s">
        <v>517</v>
      </c>
      <c r="K246">
        <v>201905</v>
      </c>
      <c r="L246" t="s">
        <v>529</v>
      </c>
      <c r="N246">
        <v>489</v>
      </c>
      <c r="O246">
        <v>446001.41</v>
      </c>
      <c r="P246">
        <v>912.06832310838399</v>
      </c>
      <c r="Q246">
        <v>0</v>
      </c>
    </row>
    <row r="247" spans="1:17">
      <c r="A247" t="str">
        <f t="shared" ref="A247:A310" si="11">IF(ISERROR(VLOOKUP(K247,$T$55:$U$66,2,FALSE)),"",VLOOKUP(K247,$T$55:$U$66,2,FALSE))</f>
        <v>05_May</v>
      </c>
      <c r="B247">
        <v>380</v>
      </c>
      <c r="C247" t="s">
        <v>529</v>
      </c>
      <c r="F247">
        <v>321308038</v>
      </c>
      <c r="G247" t="s">
        <v>513</v>
      </c>
      <c r="H247" t="s">
        <v>521</v>
      </c>
      <c r="I247" t="s">
        <v>522</v>
      </c>
      <c r="J247" t="s">
        <v>517</v>
      </c>
      <c r="K247">
        <v>201905</v>
      </c>
      <c r="L247" t="s">
        <v>529</v>
      </c>
      <c r="N247">
        <v>-9</v>
      </c>
      <c r="O247">
        <v>-57660.63</v>
      </c>
      <c r="P247">
        <v>6406.7366666666703</v>
      </c>
      <c r="Q247">
        <v>0</v>
      </c>
    </row>
    <row r="248" spans="1:17">
      <c r="A248" t="str">
        <f t="shared" si="11"/>
        <v>05_May</v>
      </c>
      <c r="B248">
        <v>380</v>
      </c>
      <c r="C248" t="s">
        <v>529</v>
      </c>
      <c r="F248">
        <v>321307959</v>
      </c>
      <c r="G248" t="s">
        <v>513</v>
      </c>
      <c r="H248" t="s">
        <v>521</v>
      </c>
      <c r="I248" t="s">
        <v>522</v>
      </c>
      <c r="J248" t="s">
        <v>517</v>
      </c>
      <c r="K248">
        <v>201905</v>
      </c>
      <c r="L248" t="s">
        <v>529</v>
      </c>
      <c r="N248">
        <v>-486</v>
      </c>
      <c r="O248">
        <v>-432734.28</v>
      </c>
      <c r="P248">
        <v>890.39975308641999</v>
      </c>
      <c r="Q248">
        <v>0</v>
      </c>
    </row>
    <row r="249" spans="1:17">
      <c r="A249" t="str">
        <f t="shared" si="11"/>
        <v>05_May</v>
      </c>
      <c r="B249">
        <v>380</v>
      </c>
      <c r="C249" t="s">
        <v>529</v>
      </c>
      <c r="F249">
        <v>392799778</v>
      </c>
      <c r="G249" t="s">
        <v>513</v>
      </c>
      <c r="H249" t="s">
        <v>521</v>
      </c>
      <c r="I249" t="s">
        <v>522</v>
      </c>
      <c r="J249" t="s">
        <v>517</v>
      </c>
      <c r="K249">
        <v>201905</v>
      </c>
      <c r="L249" t="s">
        <v>529</v>
      </c>
      <c r="N249">
        <v>452</v>
      </c>
      <c r="O249">
        <v>512506.75</v>
      </c>
      <c r="P249">
        <v>1133.86449115044</v>
      </c>
      <c r="Q249">
        <v>0</v>
      </c>
    </row>
    <row r="250" spans="1:17">
      <c r="A250" t="str">
        <f t="shared" si="11"/>
        <v>01_Jan</v>
      </c>
      <c r="B250">
        <v>380</v>
      </c>
      <c r="C250" t="s">
        <v>223</v>
      </c>
      <c r="F250">
        <v>405403160</v>
      </c>
      <c r="G250" t="s">
        <v>513</v>
      </c>
      <c r="H250" t="s">
        <v>521</v>
      </c>
      <c r="I250" t="s">
        <v>522</v>
      </c>
      <c r="J250" t="s">
        <v>516</v>
      </c>
      <c r="K250">
        <v>201901</v>
      </c>
      <c r="L250" t="s">
        <v>223</v>
      </c>
      <c r="N250">
        <v>1</v>
      </c>
      <c r="O250">
        <v>-5012089.13</v>
      </c>
      <c r="P250">
        <v>-5012089.13</v>
      </c>
      <c r="Q250">
        <v>0</v>
      </c>
    </row>
    <row r="251" spans="1:17">
      <c r="A251" t="str">
        <f t="shared" si="11"/>
        <v>05_May</v>
      </c>
      <c r="B251">
        <v>380</v>
      </c>
      <c r="C251" t="s">
        <v>223</v>
      </c>
      <c r="F251">
        <v>397856076</v>
      </c>
      <c r="G251" t="s">
        <v>513</v>
      </c>
      <c r="H251" t="s">
        <v>521</v>
      </c>
      <c r="I251" t="s">
        <v>522</v>
      </c>
      <c r="J251" t="s">
        <v>516</v>
      </c>
      <c r="K251">
        <v>201905</v>
      </c>
      <c r="L251" t="s">
        <v>223</v>
      </c>
      <c r="N251">
        <v>-1</v>
      </c>
      <c r="O251">
        <v>-680888.33</v>
      </c>
      <c r="P251">
        <v>680888.33</v>
      </c>
      <c r="Q251">
        <v>0</v>
      </c>
    </row>
    <row r="252" spans="1:17">
      <c r="A252" t="str">
        <f t="shared" si="11"/>
        <v>05_May</v>
      </c>
      <c r="B252">
        <v>380</v>
      </c>
      <c r="C252" t="s">
        <v>223</v>
      </c>
      <c r="F252">
        <v>333468652</v>
      </c>
      <c r="G252" t="s">
        <v>513</v>
      </c>
      <c r="H252" t="s">
        <v>521</v>
      </c>
      <c r="I252" t="s">
        <v>522</v>
      </c>
      <c r="J252" t="s">
        <v>516</v>
      </c>
      <c r="K252">
        <v>201905</v>
      </c>
      <c r="L252" t="s">
        <v>223</v>
      </c>
      <c r="N252">
        <v>-14</v>
      </c>
      <c r="O252">
        <v>-3467523.49</v>
      </c>
      <c r="P252">
        <v>247680.249285714</v>
      </c>
      <c r="Q252">
        <v>0</v>
      </c>
    </row>
    <row r="253" spans="1:17">
      <c r="A253" t="str">
        <f t="shared" si="11"/>
        <v>05_May</v>
      </c>
      <c r="B253">
        <v>380</v>
      </c>
      <c r="C253" t="s">
        <v>223</v>
      </c>
      <c r="F253">
        <v>395569890</v>
      </c>
      <c r="G253" t="s">
        <v>513</v>
      </c>
      <c r="H253" t="s">
        <v>521</v>
      </c>
      <c r="I253" t="s">
        <v>522</v>
      </c>
      <c r="J253" t="s">
        <v>516</v>
      </c>
      <c r="K253">
        <v>201905</v>
      </c>
      <c r="L253" t="s">
        <v>223</v>
      </c>
      <c r="N253">
        <v>-2</v>
      </c>
      <c r="O253">
        <v>-541028.06999999995</v>
      </c>
      <c r="P253">
        <v>270514.03499999997</v>
      </c>
      <c r="Q253">
        <v>0</v>
      </c>
    </row>
    <row r="254" spans="1:17">
      <c r="A254" t="str">
        <f t="shared" si="11"/>
        <v>05_May</v>
      </c>
      <c r="B254">
        <v>380</v>
      </c>
      <c r="C254" t="s">
        <v>223</v>
      </c>
      <c r="F254">
        <v>405403160</v>
      </c>
      <c r="G254" t="s">
        <v>513</v>
      </c>
      <c r="H254" t="s">
        <v>521</v>
      </c>
      <c r="I254" t="s">
        <v>522</v>
      </c>
      <c r="J254" t="s">
        <v>516</v>
      </c>
      <c r="K254">
        <v>201905</v>
      </c>
      <c r="L254" t="s">
        <v>223</v>
      </c>
      <c r="N254">
        <v>-1</v>
      </c>
      <c r="O254">
        <v>5012089.13</v>
      </c>
      <c r="P254">
        <v>-5012089.13</v>
      </c>
      <c r="Q254">
        <v>0</v>
      </c>
    </row>
    <row r="255" spans="1:17">
      <c r="A255" t="str">
        <f t="shared" si="11"/>
        <v>05_May</v>
      </c>
      <c r="B255">
        <v>380</v>
      </c>
      <c r="C255" t="s">
        <v>223</v>
      </c>
      <c r="F255">
        <v>321447376</v>
      </c>
      <c r="G255" t="s">
        <v>513</v>
      </c>
      <c r="H255" t="s">
        <v>521</v>
      </c>
      <c r="I255" t="s">
        <v>522</v>
      </c>
      <c r="J255" t="s">
        <v>516</v>
      </c>
      <c r="K255">
        <v>201905</v>
      </c>
      <c r="L255" t="s">
        <v>223</v>
      </c>
      <c r="N255">
        <v>-2</v>
      </c>
      <c r="O255">
        <v>-322649.24</v>
      </c>
      <c r="P255">
        <v>161324.62</v>
      </c>
      <c r="Q255">
        <v>0</v>
      </c>
    </row>
    <row r="256" spans="1:17">
      <c r="A256" t="str">
        <f t="shared" si="11"/>
        <v>04_Apr</v>
      </c>
      <c r="B256">
        <v>380</v>
      </c>
      <c r="C256" t="s">
        <v>223</v>
      </c>
      <c r="F256">
        <v>414578011</v>
      </c>
      <c r="G256" t="s">
        <v>513</v>
      </c>
      <c r="H256" t="s">
        <v>521</v>
      </c>
      <c r="I256" t="s">
        <v>522</v>
      </c>
      <c r="J256" t="s">
        <v>517</v>
      </c>
      <c r="K256">
        <v>201904</v>
      </c>
      <c r="L256" t="s">
        <v>530</v>
      </c>
      <c r="N256">
        <v>6630</v>
      </c>
      <c r="O256">
        <v>3648035.6</v>
      </c>
      <c r="P256">
        <v>550.23161387632001</v>
      </c>
      <c r="Q256">
        <v>0</v>
      </c>
    </row>
    <row r="257" spans="1:17">
      <c r="A257" t="str">
        <f t="shared" si="11"/>
        <v>04_Apr</v>
      </c>
      <c r="B257">
        <v>380</v>
      </c>
      <c r="C257" t="s">
        <v>223</v>
      </c>
      <c r="F257">
        <v>414577984</v>
      </c>
      <c r="G257" t="s">
        <v>513</v>
      </c>
      <c r="H257" t="s">
        <v>521</v>
      </c>
      <c r="I257" t="s">
        <v>522</v>
      </c>
      <c r="J257" t="s">
        <v>517</v>
      </c>
      <c r="K257">
        <v>201904</v>
      </c>
      <c r="L257" t="s">
        <v>530</v>
      </c>
      <c r="N257">
        <v>2480</v>
      </c>
      <c r="O257">
        <v>340659.71</v>
      </c>
      <c r="P257">
        <v>137.36278629032299</v>
      </c>
      <c r="Q257">
        <v>0</v>
      </c>
    </row>
    <row r="258" spans="1:17">
      <c r="A258" t="str">
        <f t="shared" si="11"/>
        <v>04_Apr</v>
      </c>
      <c r="B258">
        <v>380</v>
      </c>
      <c r="C258" t="s">
        <v>223</v>
      </c>
      <c r="F258">
        <v>414577975</v>
      </c>
      <c r="G258" t="s">
        <v>513</v>
      </c>
      <c r="H258" t="s">
        <v>521</v>
      </c>
      <c r="I258" t="s">
        <v>522</v>
      </c>
      <c r="J258" t="s">
        <v>517</v>
      </c>
      <c r="K258">
        <v>201904</v>
      </c>
      <c r="L258" t="s">
        <v>530</v>
      </c>
      <c r="N258">
        <v>3763</v>
      </c>
      <c r="O258">
        <v>438110.65</v>
      </c>
      <c r="P258">
        <v>116.425896890779</v>
      </c>
      <c r="Q258">
        <v>0</v>
      </c>
    </row>
    <row r="259" spans="1:17">
      <c r="A259" t="str">
        <f t="shared" si="11"/>
        <v>04_Apr</v>
      </c>
      <c r="B259">
        <v>380</v>
      </c>
      <c r="C259" t="s">
        <v>223</v>
      </c>
      <c r="F259">
        <v>414577966</v>
      </c>
      <c r="G259" t="s">
        <v>513</v>
      </c>
      <c r="H259" t="s">
        <v>521</v>
      </c>
      <c r="I259" t="s">
        <v>522</v>
      </c>
      <c r="J259" t="s">
        <v>517</v>
      </c>
      <c r="K259">
        <v>201904</v>
      </c>
      <c r="L259" t="s">
        <v>530</v>
      </c>
      <c r="N259">
        <v>41</v>
      </c>
      <c r="O259">
        <v>32318.68</v>
      </c>
      <c r="P259">
        <v>788.26048780487804</v>
      </c>
      <c r="Q259">
        <v>0</v>
      </c>
    </row>
    <row r="260" spans="1:17">
      <c r="A260" t="str">
        <f t="shared" si="11"/>
        <v>01_Jan</v>
      </c>
      <c r="B260">
        <v>380</v>
      </c>
      <c r="C260" t="s">
        <v>223</v>
      </c>
      <c r="F260">
        <v>405403169</v>
      </c>
      <c r="G260" t="s">
        <v>513</v>
      </c>
      <c r="H260" t="s">
        <v>521</v>
      </c>
      <c r="I260" t="s">
        <v>522</v>
      </c>
      <c r="J260" t="s">
        <v>516</v>
      </c>
      <c r="K260">
        <v>201901</v>
      </c>
      <c r="L260" t="s">
        <v>530</v>
      </c>
      <c r="N260">
        <v>2</v>
      </c>
      <c r="O260">
        <v>4898717.21</v>
      </c>
      <c r="P260">
        <v>2449358.605</v>
      </c>
      <c r="Q260">
        <v>0</v>
      </c>
    </row>
    <row r="261" spans="1:17">
      <c r="A261" t="str">
        <f t="shared" si="11"/>
        <v>04_Apr</v>
      </c>
      <c r="B261">
        <v>380</v>
      </c>
      <c r="C261" t="s">
        <v>223</v>
      </c>
      <c r="F261">
        <v>414577940</v>
      </c>
      <c r="G261" t="s">
        <v>513</v>
      </c>
      <c r="H261" t="s">
        <v>521</v>
      </c>
      <c r="I261" t="s">
        <v>522</v>
      </c>
      <c r="J261" t="s">
        <v>517</v>
      </c>
      <c r="K261">
        <v>201904</v>
      </c>
      <c r="L261" t="s">
        <v>530</v>
      </c>
      <c r="N261">
        <v>1909</v>
      </c>
      <c r="O261">
        <v>262225.56</v>
      </c>
      <c r="P261">
        <v>137.36278679937101</v>
      </c>
      <c r="Q261">
        <v>0</v>
      </c>
    </row>
    <row r="262" spans="1:17">
      <c r="A262" t="str">
        <f t="shared" si="11"/>
        <v>04_Apr</v>
      </c>
      <c r="B262">
        <v>380</v>
      </c>
      <c r="C262" t="s">
        <v>223</v>
      </c>
      <c r="F262">
        <v>414578002</v>
      </c>
      <c r="G262" t="s">
        <v>513</v>
      </c>
      <c r="H262" t="s">
        <v>521</v>
      </c>
      <c r="I262" t="s">
        <v>522</v>
      </c>
      <c r="J262" t="s">
        <v>517</v>
      </c>
      <c r="K262">
        <v>201904</v>
      </c>
      <c r="L262" t="s">
        <v>530</v>
      </c>
      <c r="N262">
        <v>1</v>
      </c>
      <c r="O262">
        <v>788.2</v>
      </c>
      <c r="P262">
        <v>788.2</v>
      </c>
      <c r="Q262">
        <v>0</v>
      </c>
    </row>
    <row r="263" spans="1:17">
      <c r="A263" t="str">
        <f t="shared" si="11"/>
        <v>04_Apr</v>
      </c>
      <c r="B263">
        <v>380</v>
      </c>
      <c r="C263" t="s">
        <v>223</v>
      </c>
      <c r="F263">
        <v>414577993</v>
      </c>
      <c r="G263" t="s">
        <v>513</v>
      </c>
      <c r="H263" t="s">
        <v>521</v>
      </c>
      <c r="I263" t="s">
        <v>522</v>
      </c>
      <c r="J263" t="s">
        <v>517</v>
      </c>
      <c r="K263">
        <v>201904</v>
      </c>
      <c r="L263" t="s">
        <v>530</v>
      </c>
      <c r="N263">
        <v>56</v>
      </c>
      <c r="O263">
        <v>72042.05</v>
      </c>
      <c r="P263">
        <v>1286.46517857143</v>
      </c>
      <c r="Q263">
        <v>0</v>
      </c>
    </row>
    <row r="264" spans="1:17">
      <c r="A264" t="str">
        <f t="shared" si="11"/>
        <v>09_Sep</v>
      </c>
      <c r="B264">
        <v>380</v>
      </c>
      <c r="C264" t="s">
        <v>223</v>
      </c>
      <c r="F264">
        <v>414577975</v>
      </c>
      <c r="G264" t="s">
        <v>513</v>
      </c>
      <c r="H264" t="s">
        <v>521</v>
      </c>
      <c r="I264" t="s">
        <v>522</v>
      </c>
      <c r="J264" t="s">
        <v>517</v>
      </c>
      <c r="K264">
        <v>201909</v>
      </c>
      <c r="L264" t="s">
        <v>530</v>
      </c>
      <c r="N264">
        <v>150</v>
      </c>
      <c r="O264">
        <v>4212.38</v>
      </c>
      <c r="P264">
        <v>28.082533333333298</v>
      </c>
      <c r="Q264">
        <v>0</v>
      </c>
    </row>
    <row r="265" spans="1:17">
      <c r="A265" t="str">
        <f t="shared" si="11"/>
        <v>04_Apr</v>
      </c>
      <c r="B265">
        <v>380</v>
      </c>
      <c r="C265" t="s">
        <v>223</v>
      </c>
      <c r="F265">
        <v>414577957</v>
      </c>
      <c r="G265" t="s">
        <v>513</v>
      </c>
      <c r="H265" t="s">
        <v>521</v>
      </c>
      <c r="I265" t="s">
        <v>522</v>
      </c>
      <c r="J265" t="s">
        <v>517</v>
      </c>
      <c r="K265">
        <v>201904</v>
      </c>
      <c r="L265" t="s">
        <v>530</v>
      </c>
      <c r="N265">
        <v>82</v>
      </c>
      <c r="O265">
        <v>105490.26</v>
      </c>
      <c r="P265">
        <v>1286.4665853658501</v>
      </c>
      <c r="Q265">
        <v>0</v>
      </c>
    </row>
    <row r="266" spans="1:17">
      <c r="A266" t="str">
        <f t="shared" si="11"/>
        <v>02_Feb</v>
      </c>
      <c r="B266">
        <v>380</v>
      </c>
      <c r="C266" t="s">
        <v>223</v>
      </c>
      <c r="F266">
        <v>405403169</v>
      </c>
      <c r="G266" t="s">
        <v>513</v>
      </c>
      <c r="H266" t="s">
        <v>521</v>
      </c>
      <c r="I266" t="s">
        <v>522</v>
      </c>
      <c r="J266" t="s">
        <v>516</v>
      </c>
      <c r="K266">
        <v>201902</v>
      </c>
      <c r="L266" t="s">
        <v>530</v>
      </c>
      <c r="N266">
        <v>1</v>
      </c>
      <c r="O266">
        <v>953.5</v>
      </c>
      <c r="P266">
        <v>953.5</v>
      </c>
      <c r="Q266">
        <v>0</v>
      </c>
    </row>
    <row r="267" spans="1:17">
      <c r="A267" t="str">
        <f t="shared" si="11"/>
        <v>04_Apr</v>
      </c>
      <c r="B267">
        <v>380</v>
      </c>
      <c r="C267" t="s">
        <v>223</v>
      </c>
      <c r="F267">
        <v>405403169</v>
      </c>
      <c r="G267" t="s">
        <v>513</v>
      </c>
      <c r="H267" t="s">
        <v>521</v>
      </c>
      <c r="I267" t="s">
        <v>522</v>
      </c>
      <c r="J267" t="s">
        <v>516</v>
      </c>
      <c r="K267">
        <v>201904</v>
      </c>
      <c r="L267" t="s">
        <v>530</v>
      </c>
      <c r="N267">
        <v>-3</v>
      </c>
      <c r="O267">
        <v>-4899670.71</v>
      </c>
      <c r="P267">
        <v>1633223.57</v>
      </c>
      <c r="Q267">
        <v>0</v>
      </c>
    </row>
    <row r="268" spans="1:17">
      <c r="A268" t="str">
        <f t="shared" si="11"/>
        <v>02_Feb</v>
      </c>
      <c r="B268">
        <v>380</v>
      </c>
      <c r="C268" t="s">
        <v>130</v>
      </c>
      <c r="F268">
        <v>395570674</v>
      </c>
      <c r="G268" t="s">
        <v>513</v>
      </c>
      <c r="H268" t="s">
        <v>521</v>
      </c>
      <c r="I268" t="s">
        <v>522</v>
      </c>
      <c r="J268" t="s">
        <v>516</v>
      </c>
      <c r="K268">
        <v>201902</v>
      </c>
      <c r="L268" t="s">
        <v>130</v>
      </c>
      <c r="N268">
        <v>1</v>
      </c>
      <c r="O268">
        <v>81.099999999999994</v>
      </c>
      <c r="P268">
        <v>81.099999999999994</v>
      </c>
      <c r="Q268">
        <v>0</v>
      </c>
    </row>
    <row r="269" spans="1:17">
      <c r="A269" t="str">
        <f t="shared" si="11"/>
        <v>12_Dec</v>
      </c>
      <c r="B269">
        <v>380</v>
      </c>
      <c r="C269" t="s">
        <v>130</v>
      </c>
      <c r="F269">
        <v>397871557</v>
      </c>
      <c r="G269" t="s">
        <v>513</v>
      </c>
      <c r="H269" t="s">
        <v>521</v>
      </c>
      <c r="I269" t="s">
        <v>522</v>
      </c>
      <c r="J269" t="s">
        <v>516</v>
      </c>
      <c r="K269">
        <v>201912</v>
      </c>
      <c r="L269" t="s">
        <v>130</v>
      </c>
      <c r="N269">
        <v>2</v>
      </c>
      <c r="O269">
        <v>15.32</v>
      </c>
      <c r="P269">
        <v>7.66</v>
      </c>
      <c r="Q269">
        <v>0</v>
      </c>
    </row>
    <row r="270" spans="1:17">
      <c r="A270" t="str">
        <f t="shared" si="11"/>
        <v>03_Mar</v>
      </c>
      <c r="B270">
        <v>380</v>
      </c>
      <c r="C270" t="s">
        <v>130</v>
      </c>
      <c r="F270">
        <v>395430420</v>
      </c>
      <c r="G270" t="s">
        <v>513</v>
      </c>
      <c r="H270" t="s">
        <v>521</v>
      </c>
      <c r="I270" t="s">
        <v>522</v>
      </c>
      <c r="J270" t="s">
        <v>517</v>
      </c>
      <c r="K270">
        <v>201903</v>
      </c>
      <c r="L270" t="s">
        <v>130</v>
      </c>
      <c r="N270">
        <v>0</v>
      </c>
      <c r="O270">
        <v>0</v>
      </c>
      <c r="P270">
        <v>0</v>
      </c>
    </row>
    <row r="271" spans="1:17">
      <c r="A271" t="str">
        <f t="shared" si="11"/>
        <v>06_Jun</v>
      </c>
      <c r="B271">
        <v>380</v>
      </c>
      <c r="C271" t="s">
        <v>130</v>
      </c>
      <c r="F271">
        <v>395570674</v>
      </c>
      <c r="G271" t="s">
        <v>513</v>
      </c>
      <c r="H271" t="s">
        <v>521</v>
      </c>
      <c r="I271" t="s">
        <v>522</v>
      </c>
      <c r="J271" t="s">
        <v>516</v>
      </c>
      <c r="K271">
        <v>201906</v>
      </c>
      <c r="L271" t="s">
        <v>130</v>
      </c>
      <c r="N271">
        <v>2</v>
      </c>
      <c r="O271">
        <v>43.98</v>
      </c>
      <c r="P271">
        <v>21.99</v>
      </c>
      <c r="Q271">
        <v>0</v>
      </c>
    </row>
    <row r="272" spans="1:17">
      <c r="A272" t="str">
        <f t="shared" si="11"/>
        <v>10_Oct</v>
      </c>
      <c r="B272">
        <v>380</v>
      </c>
      <c r="C272" t="s">
        <v>130</v>
      </c>
      <c r="F272">
        <v>395570674</v>
      </c>
      <c r="G272" t="s">
        <v>513</v>
      </c>
      <c r="H272" t="s">
        <v>521</v>
      </c>
      <c r="I272" t="s">
        <v>522</v>
      </c>
      <c r="J272" t="s">
        <v>516</v>
      </c>
      <c r="K272">
        <v>201910</v>
      </c>
      <c r="L272" t="s">
        <v>130</v>
      </c>
      <c r="N272">
        <v>2</v>
      </c>
      <c r="O272">
        <v>971.83</v>
      </c>
      <c r="P272">
        <v>485.91500000000002</v>
      </c>
      <c r="Q272">
        <v>0</v>
      </c>
    </row>
    <row r="273" spans="1:17">
      <c r="A273" t="str">
        <f t="shared" si="11"/>
        <v>12_Dec</v>
      </c>
      <c r="B273">
        <v>380</v>
      </c>
      <c r="C273" t="s">
        <v>130</v>
      </c>
      <c r="F273">
        <v>395570638</v>
      </c>
      <c r="G273" t="s">
        <v>513</v>
      </c>
      <c r="H273" t="s">
        <v>521</v>
      </c>
      <c r="I273" t="s">
        <v>522</v>
      </c>
      <c r="J273" t="s">
        <v>516</v>
      </c>
      <c r="K273">
        <v>201912</v>
      </c>
      <c r="L273" t="s">
        <v>130</v>
      </c>
      <c r="N273">
        <v>2</v>
      </c>
      <c r="O273">
        <v>661.53</v>
      </c>
      <c r="P273">
        <v>330.76499999999999</v>
      </c>
      <c r="Q273">
        <v>0</v>
      </c>
    </row>
    <row r="274" spans="1:17">
      <c r="A274" t="str">
        <f t="shared" si="11"/>
        <v>09_Sep</v>
      </c>
      <c r="B274">
        <v>380</v>
      </c>
      <c r="C274" t="s">
        <v>130</v>
      </c>
      <c r="F274">
        <v>395570620</v>
      </c>
      <c r="G274" t="s">
        <v>513</v>
      </c>
      <c r="H274" t="s">
        <v>521</v>
      </c>
      <c r="I274" t="s">
        <v>522</v>
      </c>
      <c r="J274" t="s">
        <v>516</v>
      </c>
      <c r="K274">
        <v>201909</v>
      </c>
      <c r="L274" t="s">
        <v>130</v>
      </c>
      <c r="N274">
        <v>2</v>
      </c>
      <c r="O274">
        <v>346.58</v>
      </c>
      <c r="P274">
        <v>173.29</v>
      </c>
      <c r="Q274">
        <v>0</v>
      </c>
    </row>
    <row r="275" spans="1:17">
      <c r="A275" t="str">
        <f t="shared" si="11"/>
        <v>11_Nov</v>
      </c>
      <c r="B275">
        <v>380</v>
      </c>
      <c r="C275" t="s">
        <v>130</v>
      </c>
      <c r="F275">
        <v>395570620</v>
      </c>
      <c r="G275" t="s">
        <v>513</v>
      </c>
      <c r="H275" t="s">
        <v>521</v>
      </c>
      <c r="I275" t="s">
        <v>522</v>
      </c>
      <c r="J275" t="s">
        <v>516</v>
      </c>
      <c r="K275">
        <v>201911</v>
      </c>
      <c r="L275" t="s">
        <v>130</v>
      </c>
      <c r="N275">
        <v>2</v>
      </c>
      <c r="O275">
        <v>830.89</v>
      </c>
      <c r="P275">
        <v>415.44499999999999</v>
      </c>
      <c r="Q275">
        <v>0</v>
      </c>
    </row>
    <row r="276" spans="1:17">
      <c r="A276" t="str">
        <f t="shared" si="11"/>
        <v>03_Mar</v>
      </c>
      <c r="B276">
        <v>380</v>
      </c>
      <c r="C276" t="s">
        <v>130</v>
      </c>
      <c r="F276">
        <v>279416673</v>
      </c>
      <c r="G276" t="s">
        <v>513</v>
      </c>
      <c r="H276" t="s">
        <v>521</v>
      </c>
      <c r="I276" t="s">
        <v>522</v>
      </c>
      <c r="J276" t="s">
        <v>516</v>
      </c>
      <c r="K276">
        <v>201903</v>
      </c>
      <c r="L276" t="s">
        <v>130</v>
      </c>
      <c r="N276">
        <v>0</v>
      </c>
      <c r="O276">
        <v>0</v>
      </c>
      <c r="P276">
        <v>0</v>
      </c>
    </row>
    <row r="277" spans="1:17">
      <c r="A277" t="str">
        <f t="shared" si="11"/>
        <v>02_Feb</v>
      </c>
      <c r="B277">
        <v>380</v>
      </c>
      <c r="C277" t="s">
        <v>130</v>
      </c>
      <c r="F277">
        <v>395570665</v>
      </c>
      <c r="G277" t="s">
        <v>513</v>
      </c>
      <c r="H277" t="s">
        <v>521</v>
      </c>
      <c r="I277" t="s">
        <v>522</v>
      </c>
      <c r="J277" t="s">
        <v>516</v>
      </c>
      <c r="K277">
        <v>201902</v>
      </c>
      <c r="L277" t="s">
        <v>130</v>
      </c>
      <c r="N277">
        <v>1</v>
      </c>
      <c r="O277">
        <v>81.099999999999994</v>
      </c>
      <c r="P277">
        <v>81.099999999999994</v>
      </c>
      <c r="Q277">
        <v>0</v>
      </c>
    </row>
    <row r="278" spans="1:17">
      <c r="A278" t="str">
        <f t="shared" si="11"/>
        <v>06_Jun</v>
      </c>
      <c r="B278">
        <v>380</v>
      </c>
      <c r="C278" t="s">
        <v>130</v>
      </c>
      <c r="F278">
        <v>395570665</v>
      </c>
      <c r="G278" t="s">
        <v>513</v>
      </c>
      <c r="H278" t="s">
        <v>521</v>
      </c>
      <c r="I278" t="s">
        <v>522</v>
      </c>
      <c r="J278" t="s">
        <v>516</v>
      </c>
      <c r="K278">
        <v>201906</v>
      </c>
      <c r="L278" t="s">
        <v>130</v>
      </c>
      <c r="N278">
        <v>2</v>
      </c>
      <c r="O278">
        <v>43.98</v>
      </c>
      <c r="P278">
        <v>21.99</v>
      </c>
      <c r="Q278">
        <v>0</v>
      </c>
    </row>
    <row r="279" spans="1:17">
      <c r="A279" t="str">
        <f t="shared" si="11"/>
        <v>11_Nov</v>
      </c>
      <c r="B279">
        <v>380</v>
      </c>
      <c r="C279" t="s">
        <v>130</v>
      </c>
      <c r="F279">
        <v>395570665</v>
      </c>
      <c r="G279" t="s">
        <v>513</v>
      </c>
      <c r="H279" t="s">
        <v>521</v>
      </c>
      <c r="I279" t="s">
        <v>522</v>
      </c>
      <c r="J279" t="s">
        <v>516</v>
      </c>
      <c r="K279">
        <v>201911</v>
      </c>
      <c r="L279" t="s">
        <v>130</v>
      </c>
      <c r="N279">
        <v>2</v>
      </c>
      <c r="O279">
        <v>830.88</v>
      </c>
      <c r="P279">
        <v>415.44</v>
      </c>
      <c r="Q279">
        <v>0</v>
      </c>
    </row>
    <row r="280" spans="1:17">
      <c r="A280" t="str">
        <f t="shared" si="11"/>
        <v>11_Nov</v>
      </c>
      <c r="B280">
        <v>380</v>
      </c>
      <c r="C280" t="s">
        <v>130</v>
      </c>
      <c r="F280">
        <v>395570638</v>
      </c>
      <c r="G280" t="s">
        <v>513</v>
      </c>
      <c r="H280" t="s">
        <v>521</v>
      </c>
      <c r="I280" t="s">
        <v>522</v>
      </c>
      <c r="J280" t="s">
        <v>516</v>
      </c>
      <c r="K280">
        <v>201911</v>
      </c>
      <c r="L280" t="s">
        <v>130</v>
      </c>
      <c r="N280">
        <v>2</v>
      </c>
      <c r="O280">
        <v>830.88</v>
      </c>
      <c r="P280">
        <v>415.44</v>
      </c>
      <c r="Q280">
        <v>0</v>
      </c>
    </row>
    <row r="281" spans="1:17">
      <c r="A281" t="str">
        <f t="shared" si="11"/>
        <v>06_Jun</v>
      </c>
      <c r="B281">
        <v>380</v>
      </c>
      <c r="C281" t="s">
        <v>130</v>
      </c>
      <c r="F281">
        <v>395570620</v>
      </c>
      <c r="G281" t="s">
        <v>513</v>
      </c>
      <c r="H281" t="s">
        <v>521</v>
      </c>
      <c r="I281" t="s">
        <v>522</v>
      </c>
      <c r="J281" t="s">
        <v>516</v>
      </c>
      <c r="K281">
        <v>201906</v>
      </c>
      <c r="L281" t="s">
        <v>130</v>
      </c>
      <c r="N281">
        <v>2</v>
      </c>
      <c r="O281">
        <v>43.98</v>
      </c>
      <c r="P281">
        <v>21.99</v>
      </c>
      <c r="Q281">
        <v>0</v>
      </c>
    </row>
    <row r="282" spans="1:17">
      <c r="A282" t="str">
        <f t="shared" si="11"/>
        <v>10_Oct</v>
      </c>
      <c r="B282">
        <v>380</v>
      </c>
      <c r="C282" t="s">
        <v>130</v>
      </c>
      <c r="F282">
        <v>395570620</v>
      </c>
      <c r="G282" t="s">
        <v>513</v>
      </c>
      <c r="H282" t="s">
        <v>521</v>
      </c>
      <c r="I282" t="s">
        <v>522</v>
      </c>
      <c r="J282" t="s">
        <v>516</v>
      </c>
      <c r="K282">
        <v>201910</v>
      </c>
      <c r="L282" t="s">
        <v>130</v>
      </c>
      <c r="N282">
        <v>2</v>
      </c>
      <c r="O282">
        <v>971.84</v>
      </c>
      <c r="P282">
        <v>485.92</v>
      </c>
      <c r="Q282">
        <v>0</v>
      </c>
    </row>
    <row r="283" spans="1:17">
      <c r="A283" t="str">
        <f t="shared" si="11"/>
        <v>09_Sep</v>
      </c>
      <c r="B283">
        <v>380</v>
      </c>
      <c r="C283" t="s">
        <v>130</v>
      </c>
      <c r="F283">
        <v>397871557</v>
      </c>
      <c r="G283" t="s">
        <v>513</v>
      </c>
      <c r="H283" t="s">
        <v>521</v>
      </c>
      <c r="I283" t="s">
        <v>522</v>
      </c>
      <c r="J283" t="s">
        <v>516</v>
      </c>
      <c r="K283">
        <v>201909</v>
      </c>
      <c r="L283" t="s">
        <v>130</v>
      </c>
      <c r="N283">
        <v>2</v>
      </c>
      <c r="O283">
        <v>338.98</v>
      </c>
      <c r="P283">
        <v>169.49</v>
      </c>
      <c r="Q283">
        <v>0</v>
      </c>
    </row>
    <row r="284" spans="1:17">
      <c r="A284" t="str">
        <f t="shared" si="11"/>
        <v>03_Mar</v>
      </c>
      <c r="B284">
        <v>380</v>
      </c>
      <c r="C284" t="s">
        <v>130</v>
      </c>
      <c r="F284">
        <v>395430567</v>
      </c>
      <c r="G284" t="s">
        <v>513</v>
      </c>
      <c r="H284" t="s">
        <v>521</v>
      </c>
      <c r="I284" t="s">
        <v>522</v>
      </c>
      <c r="J284" t="s">
        <v>517</v>
      </c>
      <c r="K284">
        <v>201903</v>
      </c>
      <c r="L284" t="s">
        <v>130</v>
      </c>
      <c r="N284">
        <v>0</v>
      </c>
      <c r="O284">
        <v>0</v>
      </c>
      <c r="P284">
        <v>0</v>
      </c>
    </row>
    <row r="285" spans="1:17">
      <c r="A285" t="str">
        <f t="shared" si="11"/>
        <v>03_Mar</v>
      </c>
      <c r="B285">
        <v>380</v>
      </c>
      <c r="C285" t="s">
        <v>130</v>
      </c>
      <c r="F285">
        <v>395430558</v>
      </c>
      <c r="G285" t="s">
        <v>513</v>
      </c>
      <c r="H285" t="s">
        <v>521</v>
      </c>
      <c r="I285" t="s">
        <v>522</v>
      </c>
      <c r="J285" t="s">
        <v>517</v>
      </c>
      <c r="K285">
        <v>201903</v>
      </c>
      <c r="L285" t="s">
        <v>130</v>
      </c>
      <c r="N285">
        <v>0</v>
      </c>
      <c r="O285">
        <v>0</v>
      </c>
      <c r="P285">
        <v>0</v>
      </c>
    </row>
    <row r="286" spans="1:17">
      <c r="A286" t="str">
        <f t="shared" si="11"/>
        <v>08_Aug</v>
      </c>
      <c r="B286">
        <v>380</v>
      </c>
      <c r="C286" t="s">
        <v>130</v>
      </c>
      <c r="F286">
        <v>395570665</v>
      </c>
      <c r="G286" t="s">
        <v>513</v>
      </c>
      <c r="H286" t="s">
        <v>521</v>
      </c>
      <c r="I286" t="s">
        <v>522</v>
      </c>
      <c r="J286" t="s">
        <v>516</v>
      </c>
      <c r="K286">
        <v>201908</v>
      </c>
      <c r="L286" t="s">
        <v>130</v>
      </c>
      <c r="N286">
        <v>2</v>
      </c>
      <c r="O286">
        <v>207.52</v>
      </c>
      <c r="P286">
        <v>103.76</v>
      </c>
      <c r="Q286">
        <v>0</v>
      </c>
    </row>
    <row r="287" spans="1:17">
      <c r="A287" t="str">
        <f t="shared" si="11"/>
        <v>09_Sep</v>
      </c>
      <c r="B287">
        <v>380</v>
      </c>
      <c r="C287" t="s">
        <v>130</v>
      </c>
      <c r="F287">
        <v>395570665</v>
      </c>
      <c r="G287" t="s">
        <v>513</v>
      </c>
      <c r="H287" t="s">
        <v>521</v>
      </c>
      <c r="I287" t="s">
        <v>522</v>
      </c>
      <c r="J287" t="s">
        <v>516</v>
      </c>
      <c r="K287">
        <v>201909</v>
      </c>
      <c r="L287" t="s">
        <v>130</v>
      </c>
      <c r="N287">
        <v>2</v>
      </c>
      <c r="O287">
        <v>346.58</v>
      </c>
      <c r="P287">
        <v>173.29</v>
      </c>
      <c r="Q287">
        <v>0</v>
      </c>
    </row>
    <row r="288" spans="1:17">
      <c r="A288" t="str">
        <f t="shared" si="11"/>
        <v>02_Feb</v>
      </c>
      <c r="B288">
        <v>380</v>
      </c>
      <c r="C288" t="s">
        <v>130</v>
      </c>
      <c r="F288">
        <v>395570638</v>
      </c>
      <c r="G288" t="s">
        <v>513</v>
      </c>
      <c r="H288" t="s">
        <v>521</v>
      </c>
      <c r="I288" t="s">
        <v>522</v>
      </c>
      <c r="J288" t="s">
        <v>516</v>
      </c>
      <c r="K288">
        <v>201902</v>
      </c>
      <c r="L288" t="s">
        <v>130</v>
      </c>
      <c r="N288">
        <v>1</v>
      </c>
      <c r="O288">
        <v>81.099999999999994</v>
      </c>
      <c r="P288">
        <v>81.099999999999994</v>
      </c>
      <c r="Q288">
        <v>0</v>
      </c>
    </row>
    <row r="289" spans="1:17">
      <c r="A289" t="str">
        <f t="shared" si="11"/>
        <v>03_Mar</v>
      </c>
      <c r="B289">
        <v>380</v>
      </c>
      <c r="C289" t="s">
        <v>130</v>
      </c>
      <c r="F289">
        <v>395570638</v>
      </c>
      <c r="G289" t="s">
        <v>513</v>
      </c>
      <c r="H289" t="s">
        <v>521</v>
      </c>
      <c r="I289" t="s">
        <v>522</v>
      </c>
      <c r="J289" t="s">
        <v>516</v>
      </c>
      <c r="K289">
        <v>201903</v>
      </c>
      <c r="L289" t="s">
        <v>130</v>
      </c>
      <c r="N289">
        <v>0</v>
      </c>
      <c r="O289">
        <v>0</v>
      </c>
      <c r="P289">
        <v>0</v>
      </c>
    </row>
    <row r="290" spans="1:17">
      <c r="A290" t="str">
        <f t="shared" si="11"/>
        <v>08_Aug</v>
      </c>
      <c r="B290">
        <v>380</v>
      </c>
      <c r="C290" t="s">
        <v>130</v>
      </c>
      <c r="F290">
        <v>395570638</v>
      </c>
      <c r="G290" t="s">
        <v>513</v>
      </c>
      <c r="H290" t="s">
        <v>521</v>
      </c>
      <c r="I290" t="s">
        <v>522</v>
      </c>
      <c r="J290" t="s">
        <v>516</v>
      </c>
      <c r="K290">
        <v>201908</v>
      </c>
      <c r="L290" t="s">
        <v>130</v>
      </c>
      <c r="N290">
        <v>2</v>
      </c>
      <c r="O290">
        <v>207.52</v>
      </c>
      <c r="P290">
        <v>103.76</v>
      </c>
      <c r="Q290">
        <v>0</v>
      </c>
    </row>
    <row r="291" spans="1:17">
      <c r="A291" t="str">
        <f t="shared" si="11"/>
        <v>09_Sep</v>
      </c>
      <c r="B291">
        <v>380</v>
      </c>
      <c r="C291" t="s">
        <v>130</v>
      </c>
      <c r="F291">
        <v>395570638</v>
      </c>
      <c r="G291" t="s">
        <v>513</v>
      </c>
      <c r="H291" t="s">
        <v>521</v>
      </c>
      <c r="I291" t="s">
        <v>522</v>
      </c>
      <c r="J291" t="s">
        <v>516</v>
      </c>
      <c r="K291">
        <v>201909</v>
      </c>
      <c r="L291" t="s">
        <v>130</v>
      </c>
      <c r="N291">
        <v>2</v>
      </c>
      <c r="O291">
        <v>346.58</v>
      </c>
      <c r="P291">
        <v>173.29</v>
      </c>
      <c r="Q291">
        <v>0</v>
      </c>
    </row>
    <row r="292" spans="1:17">
      <c r="A292" t="str">
        <f t="shared" si="11"/>
        <v>12_Dec</v>
      </c>
      <c r="B292">
        <v>380</v>
      </c>
      <c r="C292" t="s">
        <v>130</v>
      </c>
      <c r="F292">
        <v>395570620</v>
      </c>
      <c r="G292" t="s">
        <v>513</v>
      </c>
      <c r="H292" t="s">
        <v>521</v>
      </c>
      <c r="I292" t="s">
        <v>522</v>
      </c>
      <c r="J292" t="s">
        <v>516</v>
      </c>
      <c r="K292">
        <v>201912</v>
      </c>
      <c r="L292" t="s">
        <v>130</v>
      </c>
      <c r="N292">
        <v>2</v>
      </c>
      <c r="O292">
        <v>661.54</v>
      </c>
      <c r="P292">
        <v>330.77</v>
      </c>
      <c r="Q292">
        <v>0</v>
      </c>
    </row>
    <row r="293" spans="1:17">
      <c r="A293" t="str">
        <f t="shared" si="11"/>
        <v>02_Feb</v>
      </c>
      <c r="B293">
        <v>380</v>
      </c>
      <c r="C293" t="s">
        <v>130</v>
      </c>
      <c r="F293">
        <v>397871557</v>
      </c>
      <c r="G293" t="s">
        <v>513</v>
      </c>
      <c r="H293" t="s">
        <v>521</v>
      </c>
      <c r="I293" t="s">
        <v>522</v>
      </c>
      <c r="J293" t="s">
        <v>516</v>
      </c>
      <c r="K293">
        <v>201902</v>
      </c>
      <c r="L293" t="s">
        <v>130</v>
      </c>
      <c r="N293">
        <v>1</v>
      </c>
      <c r="O293">
        <v>0</v>
      </c>
      <c r="P293">
        <v>0</v>
      </c>
      <c r="Q293">
        <v>0</v>
      </c>
    </row>
    <row r="294" spans="1:17">
      <c r="A294" t="str">
        <f t="shared" si="11"/>
        <v>11_Nov</v>
      </c>
      <c r="B294">
        <v>380</v>
      </c>
      <c r="C294" t="s">
        <v>130</v>
      </c>
      <c r="F294">
        <v>395570674</v>
      </c>
      <c r="G294" t="s">
        <v>513</v>
      </c>
      <c r="H294" t="s">
        <v>521</v>
      </c>
      <c r="I294" t="s">
        <v>522</v>
      </c>
      <c r="J294" t="s">
        <v>516</v>
      </c>
      <c r="K294">
        <v>201911</v>
      </c>
      <c r="L294" t="s">
        <v>130</v>
      </c>
      <c r="N294">
        <v>2</v>
      </c>
      <c r="O294">
        <v>830.88</v>
      </c>
      <c r="P294">
        <v>415.44</v>
      </c>
      <c r="Q294">
        <v>0</v>
      </c>
    </row>
    <row r="295" spans="1:17">
      <c r="A295" t="str">
        <f t="shared" si="11"/>
        <v>10_Oct</v>
      </c>
      <c r="B295">
        <v>380</v>
      </c>
      <c r="C295" t="s">
        <v>130</v>
      </c>
      <c r="F295">
        <v>395570665</v>
      </c>
      <c r="G295" t="s">
        <v>513</v>
      </c>
      <c r="H295" t="s">
        <v>521</v>
      </c>
      <c r="I295" t="s">
        <v>522</v>
      </c>
      <c r="J295" t="s">
        <v>516</v>
      </c>
      <c r="K295">
        <v>201910</v>
      </c>
      <c r="L295" t="s">
        <v>130</v>
      </c>
      <c r="N295">
        <v>2</v>
      </c>
      <c r="O295">
        <v>971.83</v>
      </c>
      <c r="P295">
        <v>485.91500000000002</v>
      </c>
      <c r="Q295">
        <v>0</v>
      </c>
    </row>
    <row r="296" spans="1:17">
      <c r="A296" t="str">
        <f t="shared" si="11"/>
        <v>12_Dec</v>
      </c>
      <c r="B296">
        <v>380</v>
      </c>
      <c r="C296" t="s">
        <v>130</v>
      </c>
      <c r="F296">
        <v>395570665</v>
      </c>
      <c r="G296" t="s">
        <v>513</v>
      </c>
      <c r="H296" t="s">
        <v>521</v>
      </c>
      <c r="I296" t="s">
        <v>522</v>
      </c>
      <c r="J296" t="s">
        <v>516</v>
      </c>
      <c r="K296">
        <v>201912</v>
      </c>
      <c r="L296" t="s">
        <v>130</v>
      </c>
      <c r="N296">
        <v>2</v>
      </c>
      <c r="O296">
        <v>661.53</v>
      </c>
      <c r="P296">
        <v>330.76499999999999</v>
      </c>
      <c r="Q296">
        <v>0</v>
      </c>
    </row>
    <row r="297" spans="1:17">
      <c r="A297" t="str">
        <f t="shared" si="11"/>
        <v>06_Jun</v>
      </c>
      <c r="B297">
        <v>380</v>
      </c>
      <c r="C297" t="s">
        <v>130</v>
      </c>
      <c r="F297">
        <v>395570638</v>
      </c>
      <c r="G297" t="s">
        <v>513</v>
      </c>
      <c r="H297" t="s">
        <v>521</v>
      </c>
      <c r="I297" t="s">
        <v>522</v>
      </c>
      <c r="J297" t="s">
        <v>516</v>
      </c>
      <c r="K297">
        <v>201906</v>
      </c>
      <c r="L297" t="s">
        <v>130</v>
      </c>
      <c r="N297">
        <v>2</v>
      </c>
      <c r="O297">
        <v>43.98</v>
      </c>
      <c r="P297">
        <v>21.99</v>
      </c>
      <c r="Q297">
        <v>0</v>
      </c>
    </row>
    <row r="298" spans="1:17">
      <c r="A298" t="str">
        <f t="shared" si="11"/>
        <v>02_Feb</v>
      </c>
      <c r="B298">
        <v>380</v>
      </c>
      <c r="C298" t="s">
        <v>130</v>
      </c>
      <c r="F298">
        <v>395570620</v>
      </c>
      <c r="G298" t="s">
        <v>513</v>
      </c>
      <c r="H298" t="s">
        <v>521</v>
      </c>
      <c r="I298" t="s">
        <v>522</v>
      </c>
      <c r="J298" t="s">
        <v>516</v>
      </c>
      <c r="K298">
        <v>201902</v>
      </c>
      <c r="L298" t="s">
        <v>130</v>
      </c>
      <c r="N298">
        <v>1</v>
      </c>
      <c r="O298">
        <v>81.099999999999994</v>
      </c>
      <c r="P298">
        <v>81.099999999999994</v>
      </c>
      <c r="Q298">
        <v>0</v>
      </c>
    </row>
    <row r="299" spans="1:17">
      <c r="A299" t="str">
        <f t="shared" si="11"/>
        <v>03_Mar</v>
      </c>
      <c r="B299">
        <v>380</v>
      </c>
      <c r="C299" t="s">
        <v>130</v>
      </c>
      <c r="F299">
        <v>395570620</v>
      </c>
      <c r="G299" t="s">
        <v>513</v>
      </c>
      <c r="H299" t="s">
        <v>521</v>
      </c>
      <c r="I299" t="s">
        <v>522</v>
      </c>
      <c r="J299" t="s">
        <v>516</v>
      </c>
      <c r="K299">
        <v>201903</v>
      </c>
      <c r="L299" t="s">
        <v>130</v>
      </c>
      <c r="N299">
        <v>0</v>
      </c>
      <c r="O299">
        <v>0</v>
      </c>
      <c r="P299">
        <v>0</v>
      </c>
    </row>
    <row r="300" spans="1:17">
      <c r="A300" t="str">
        <f t="shared" si="11"/>
        <v>10_Oct</v>
      </c>
      <c r="B300">
        <v>380</v>
      </c>
      <c r="C300" t="s">
        <v>130</v>
      </c>
      <c r="F300">
        <v>397871557</v>
      </c>
      <c r="G300" t="s">
        <v>513</v>
      </c>
      <c r="H300" t="s">
        <v>521</v>
      </c>
      <c r="I300" t="s">
        <v>522</v>
      </c>
      <c r="J300" t="s">
        <v>516</v>
      </c>
      <c r="K300">
        <v>201910</v>
      </c>
      <c r="L300" t="s">
        <v>130</v>
      </c>
      <c r="N300">
        <v>2</v>
      </c>
      <c r="O300">
        <v>22.56</v>
      </c>
      <c r="P300">
        <v>11.28</v>
      </c>
      <c r="Q300">
        <v>0</v>
      </c>
    </row>
    <row r="301" spans="1:17">
      <c r="A301" t="str">
        <f t="shared" si="11"/>
        <v>11_Nov</v>
      </c>
      <c r="B301">
        <v>380</v>
      </c>
      <c r="C301" t="s">
        <v>130</v>
      </c>
      <c r="F301">
        <v>397871557</v>
      </c>
      <c r="G301" t="s">
        <v>513</v>
      </c>
      <c r="H301" t="s">
        <v>521</v>
      </c>
      <c r="I301" t="s">
        <v>522</v>
      </c>
      <c r="J301" t="s">
        <v>516</v>
      </c>
      <c r="K301">
        <v>201911</v>
      </c>
      <c r="L301" t="s">
        <v>130</v>
      </c>
      <c r="N301">
        <v>2</v>
      </c>
      <c r="O301">
        <v>19.28</v>
      </c>
      <c r="P301">
        <v>9.64</v>
      </c>
      <c r="Q301">
        <v>0</v>
      </c>
    </row>
    <row r="302" spans="1:17">
      <c r="A302" t="str">
        <f t="shared" si="11"/>
        <v>03_Mar</v>
      </c>
      <c r="B302">
        <v>380</v>
      </c>
      <c r="C302" t="s">
        <v>130</v>
      </c>
      <c r="F302">
        <v>279416710</v>
      </c>
      <c r="G302" t="s">
        <v>513</v>
      </c>
      <c r="H302" t="s">
        <v>521</v>
      </c>
      <c r="I302" t="s">
        <v>522</v>
      </c>
      <c r="J302" t="s">
        <v>516</v>
      </c>
      <c r="K302">
        <v>201903</v>
      </c>
      <c r="L302" t="s">
        <v>130</v>
      </c>
      <c r="N302">
        <v>0</v>
      </c>
      <c r="O302">
        <v>0</v>
      </c>
      <c r="P302">
        <v>0</v>
      </c>
    </row>
    <row r="303" spans="1:17">
      <c r="A303" t="str">
        <f t="shared" si="11"/>
        <v>03_Mar</v>
      </c>
      <c r="B303">
        <v>380</v>
      </c>
      <c r="C303" t="s">
        <v>130</v>
      </c>
      <c r="F303">
        <v>395430576</v>
      </c>
      <c r="G303" t="s">
        <v>513</v>
      </c>
      <c r="H303" t="s">
        <v>521</v>
      </c>
      <c r="I303" t="s">
        <v>522</v>
      </c>
      <c r="J303" t="s">
        <v>517</v>
      </c>
      <c r="K303">
        <v>201903</v>
      </c>
      <c r="L303" t="s">
        <v>130</v>
      </c>
      <c r="N303">
        <v>0</v>
      </c>
      <c r="O303">
        <v>0</v>
      </c>
      <c r="P303">
        <v>0</v>
      </c>
    </row>
    <row r="304" spans="1:17">
      <c r="A304" t="str">
        <f t="shared" si="11"/>
        <v>08_Aug</v>
      </c>
      <c r="B304">
        <v>380</v>
      </c>
      <c r="C304" t="s">
        <v>130</v>
      </c>
      <c r="F304">
        <v>395570674</v>
      </c>
      <c r="G304" t="s">
        <v>513</v>
      </c>
      <c r="H304" t="s">
        <v>521</v>
      </c>
      <c r="I304" t="s">
        <v>522</v>
      </c>
      <c r="J304" t="s">
        <v>516</v>
      </c>
      <c r="K304">
        <v>201908</v>
      </c>
      <c r="L304" t="s">
        <v>130</v>
      </c>
      <c r="N304">
        <v>2</v>
      </c>
      <c r="O304">
        <v>207.52</v>
      </c>
      <c r="P304">
        <v>103.76</v>
      </c>
      <c r="Q304">
        <v>0</v>
      </c>
    </row>
    <row r="305" spans="1:17">
      <c r="A305" t="str">
        <f t="shared" si="11"/>
        <v>03_Mar</v>
      </c>
      <c r="B305">
        <v>380</v>
      </c>
      <c r="C305" t="s">
        <v>130</v>
      </c>
      <c r="F305">
        <v>395570665</v>
      </c>
      <c r="G305" t="s">
        <v>513</v>
      </c>
      <c r="H305" t="s">
        <v>521</v>
      </c>
      <c r="I305" t="s">
        <v>522</v>
      </c>
      <c r="J305" t="s">
        <v>516</v>
      </c>
      <c r="K305">
        <v>201903</v>
      </c>
      <c r="L305" t="s">
        <v>130</v>
      </c>
      <c r="N305">
        <v>0</v>
      </c>
      <c r="O305">
        <v>0</v>
      </c>
      <c r="P305">
        <v>0</v>
      </c>
    </row>
    <row r="306" spans="1:17">
      <c r="A306" t="str">
        <f t="shared" si="11"/>
        <v>03_Mar</v>
      </c>
      <c r="B306">
        <v>380</v>
      </c>
      <c r="C306" t="s">
        <v>130</v>
      </c>
      <c r="F306">
        <v>397871557</v>
      </c>
      <c r="G306" t="s">
        <v>513</v>
      </c>
      <c r="H306" t="s">
        <v>521</v>
      </c>
      <c r="I306" t="s">
        <v>522</v>
      </c>
      <c r="J306" t="s">
        <v>516</v>
      </c>
      <c r="K306">
        <v>201903</v>
      </c>
      <c r="L306" t="s">
        <v>130</v>
      </c>
      <c r="N306">
        <v>0</v>
      </c>
      <c r="O306">
        <v>0</v>
      </c>
      <c r="P306">
        <v>0</v>
      </c>
    </row>
    <row r="307" spans="1:17">
      <c r="A307" t="str">
        <f t="shared" si="11"/>
        <v>08_Aug</v>
      </c>
      <c r="B307">
        <v>380</v>
      </c>
      <c r="C307" t="s">
        <v>130</v>
      </c>
      <c r="F307">
        <v>397871557</v>
      </c>
      <c r="G307" t="s">
        <v>513</v>
      </c>
      <c r="H307" t="s">
        <v>521</v>
      </c>
      <c r="I307" t="s">
        <v>522</v>
      </c>
      <c r="J307" t="s">
        <v>516</v>
      </c>
      <c r="K307">
        <v>201908</v>
      </c>
      <c r="L307" t="s">
        <v>130</v>
      </c>
      <c r="N307">
        <v>2</v>
      </c>
      <c r="O307">
        <v>0</v>
      </c>
      <c r="P307">
        <v>0</v>
      </c>
      <c r="Q307">
        <v>0</v>
      </c>
    </row>
    <row r="308" spans="1:17">
      <c r="A308" t="str">
        <f t="shared" si="11"/>
        <v>03_Mar</v>
      </c>
      <c r="B308">
        <v>380</v>
      </c>
      <c r="C308" t="s">
        <v>130</v>
      </c>
      <c r="F308">
        <v>279416636</v>
      </c>
      <c r="G308" t="s">
        <v>513</v>
      </c>
      <c r="H308" t="s">
        <v>521</v>
      </c>
      <c r="I308" t="s">
        <v>522</v>
      </c>
      <c r="J308" t="s">
        <v>516</v>
      </c>
      <c r="K308">
        <v>201903</v>
      </c>
      <c r="L308" t="s">
        <v>130</v>
      </c>
      <c r="N308">
        <v>0</v>
      </c>
      <c r="O308">
        <v>0</v>
      </c>
      <c r="P308">
        <v>0</v>
      </c>
    </row>
    <row r="309" spans="1:17">
      <c r="A309" t="str">
        <f t="shared" si="11"/>
        <v>09_Sep</v>
      </c>
      <c r="B309">
        <v>380</v>
      </c>
      <c r="C309" t="s">
        <v>130</v>
      </c>
      <c r="F309">
        <v>395570674</v>
      </c>
      <c r="G309" t="s">
        <v>513</v>
      </c>
      <c r="H309" t="s">
        <v>521</v>
      </c>
      <c r="I309" t="s">
        <v>522</v>
      </c>
      <c r="J309" t="s">
        <v>516</v>
      </c>
      <c r="K309">
        <v>201909</v>
      </c>
      <c r="L309" t="s">
        <v>130</v>
      </c>
      <c r="N309">
        <v>2</v>
      </c>
      <c r="O309">
        <v>346.58</v>
      </c>
      <c r="P309">
        <v>173.29</v>
      </c>
      <c r="Q309">
        <v>0</v>
      </c>
    </row>
    <row r="310" spans="1:17">
      <c r="A310" t="str">
        <f t="shared" si="11"/>
        <v>08_Aug</v>
      </c>
      <c r="B310">
        <v>380</v>
      </c>
      <c r="C310" t="s">
        <v>130</v>
      </c>
      <c r="F310">
        <v>395570620</v>
      </c>
      <c r="G310" t="s">
        <v>513</v>
      </c>
      <c r="H310" t="s">
        <v>521</v>
      </c>
      <c r="I310" t="s">
        <v>522</v>
      </c>
      <c r="J310" t="s">
        <v>516</v>
      </c>
      <c r="K310">
        <v>201908</v>
      </c>
      <c r="L310" t="s">
        <v>130</v>
      </c>
      <c r="N310">
        <v>2</v>
      </c>
      <c r="O310">
        <v>207.53</v>
      </c>
      <c r="P310">
        <v>103.765</v>
      </c>
      <c r="Q310">
        <v>0</v>
      </c>
    </row>
    <row r="311" spans="1:17">
      <c r="A311" t="str">
        <f t="shared" ref="A311:A339" si="12">IF(ISERROR(VLOOKUP(K311,$T$55:$U$66,2,FALSE)),"",VLOOKUP(K311,$T$55:$U$66,2,FALSE))</f>
        <v>06_Jun</v>
      </c>
      <c r="B311">
        <v>380</v>
      </c>
      <c r="C311" t="s">
        <v>130</v>
      </c>
      <c r="F311">
        <v>397871557</v>
      </c>
      <c r="G311" t="s">
        <v>513</v>
      </c>
      <c r="H311" t="s">
        <v>521</v>
      </c>
      <c r="I311" t="s">
        <v>522</v>
      </c>
      <c r="J311" t="s">
        <v>516</v>
      </c>
      <c r="K311">
        <v>201906</v>
      </c>
      <c r="L311" t="s">
        <v>130</v>
      </c>
      <c r="N311">
        <v>2</v>
      </c>
      <c r="O311">
        <v>0</v>
      </c>
      <c r="P311">
        <v>0</v>
      </c>
      <c r="Q311">
        <v>0</v>
      </c>
    </row>
    <row r="312" spans="1:17">
      <c r="A312" t="str">
        <f t="shared" si="12"/>
        <v>03_Mar</v>
      </c>
      <c r="B312">
        <v>380</v>
      </c>
      <c r="C312" t="s">
        <v>130</v>
      </c>
      <c r="F312">
        <v>279416599</v>
      </c>
      <c r="G312" t="s">
        <v>513</v>
      </c>
      <c r="H312" t="s">
        <v>521</v>
      </c>
      <c r="I312" t="s">
        <v>522</v>
      </c>
      <c r="J312" t="s">
        <v>516</v>
      </c>
      <c r="K312">
        <v>201903</v>
      </c>
      <c r="L312" t="s">
        <v>130</v>
      </c>
      <c r="N312">
        <v>0</v>
      </c>
      <c r="O312">
        <v>0</v>
      </c>
      <c r="P312">
        <v>0</v>
      </c>
    </row>
    <row r="313" spans="1:17">
      <c r="A313" t="str">
        <f t="shared" si="12"/>
        <v>03_Mar</v>
      </c>
      <c r="B313">
        <v>380</v>
      </c>
      <c r="C313" t="s">
        <v>130</v>
      </c>
      <c r="F313">
        <v>395430549</v>
      </c>
      <c r="G313" t="s">
        <v>513</v>
      </c>
      <c r="H313" t="s">
        <v>521</v>
      </c>
      <c r="I313" t="s">
        <v>522</v>
      </c>
      <c r="J313" t="s">
        <v>517</v>
      </c>
      <c r="K313">
        <v>201903</v>
      </c>
      <c r="L313" t="s">
        <v>130</v>
      </c>
      <c r="N313">
        <v>0</v>
      </c>
      <c r="O313">
        <v>0</v>
      </c>
      <c r="P313">
        <v>0</v>
      </c>
    </row>
    <row r="314" spans="1:17">
      <c r="A314" t="str">
        <f t="shared" si="12"/>
        <v>03_Mar</v>
      </c>
      <c r="B314">
        <v>380</v>
      </c>
      <c r="C314" t="s">
        <v>130</v>
      </c>
      <c r="F314">
        <v>395570674</v>
      </c>
      <c r="G314" t="s">
        <v>513</v>
      </c>
      <c r="H314" t="s">
        <v>521</v>
      </c>
      <c r="I314" t="s">
        <v>522</v>
      </c>
      <c r="J314" t="s">
        <v>516</v>
      </c>
      <c r="K314">
        <v>201903</v>
      </c>
      <c r="L314" t="s">
        <v>130</v>
      </c>
      <c r="N314">
        <v>0</v>
      </c>
      <c r="O314">
        <v>0</v>
      </c>
      <c r="P314">
        <v>0</v>
      </c>
    </row>
    <row r="315" spans="1:17">
      <c r="A315" t="str">
        <f t="shared" si="12"/>
        <v>12_Dec</v>
      </c>
      <c r="B315">
        <v>380</v>
      </c>
      <c r="C315" t="s">
        <v>130</v>
      </c>
      <c r="F315">
        <v>395570674</v>
      </c>
      <c r="G315" t="s">
        <v>513</v>
      </c>
      <c r="H315" t="s">
        <v>521</v>
      </c>
      <c r="I315" t="s">
        <v>522</v>
      </c>
      <c r="J315" t="s">
        <v>516</v>
      </c>
      <c r="K315">
        <v>201912</v>
      </c>
      <c r="L315" t="s">
        <v>130</v>
      </c>
      <c r="N315">
        <v>2</v>
      </c>
      <c r="O315">
        <v>661.53</v>
      </c>
      <c r="P315">
        <v>330.76499999999999</v>
      </c>
      <c r="Q315">
        <v>0</v>
      </c>
    </row>
    <row r="316" spans="1:17">
      <c r="A316" t="str">
        <f t="shared" si="12"/>
        <v>10_Oct</v>
      </c>
      <c r="B316">
        <v>380</v>
      </c>
      <c r="C316" t="s">
        <v>130</v>
      </c>
      <c r="F316">
        <v>395570638</v>
      </c>
      <c r="G316" t="s">
        <v>513</v>
      </c>
      <c r="H316" t="s">
        <v>521</v>
      </c>
      <c r="I316" t="s">
        <v>522</v>
      </c>
      <c r="J316" t="s">
        <v>516</v>
      </c>
      <c r="K316">
        <v>201910</v>
      </c>
      <c r="L316" t="s">
        <v>130</v>
      </c>
      <c r="N316">
        <v>2</v>
      </c>
      <c r="O316">
        <v>971.83</v>
      </c>
      <c r="P316">
        <v>485.91500000000002</v>
      </c>
      <c r="Q316">
        <v>0</v>
      </c>
    </row>
    <row r="317" spans="1:17">
      <c r="A317" t="str">
        <f t="shared" si="12"/>
        <v>08_Aug</v>
      </c>
      <c r="B317">
        <v>380</v>
      </c>
      <c r="C317" t="s">
        <v>130</v>
      </c>
      <c r="F317">
        <v>452732085</v>
      </c>
      <c r="G317" t="s">
        <v>513</v>
      </c>
      <c r="H317" t="s">
        <v>521</v>
      </c>
      <c r="I317" t="s">
        <v>522</v>
      </c>
      <c r="J317" t="s">
        <v>517</v>
      </c>
      <c r="K317">
        <v>201908</v>
      </c>
      <c r="L317" t="s">
        <v>531</v>
      </c>
      <c r="N317">
        <v>191</v>
      </c>
      <c r="O317">
        <v>1678220.67</v>
      </c>
      <c r="P317">
        <v>8786.4956544502602</v>
      </c>
      <c r="Q317">
        <v>0</v>
      </c>
    </row>
    <row r="318" spans="1:17">
      <c r="A318" t="str">
        <f t="shared" si="12"/>
        <v>12_Dec</v>
      </c>
      <c r="B318">
        <v>380</v>
      </c>
      <c r="C318" t="s">
        <v>130</v>
      </c>
      <c r="F318">
        <v>405404720</v>
      </c>
      <c r="G318" t="s">
        <v>513</v>
      </c>
      <c r="H318" t="s">
        <v>521</v>
      </c>
      <c r="I318" t="s">
        <v>522</v>
      </c>
      <c r="J318" t="s">
        <v>516</v>
      </c>
      <c r="K318">
        <v>201912</v>
      </c>
      <c r="L318" t="s">
        <v>531</v>
      </c>
      <c r="N318">
        <v>2</v>
      </c>
      <c r="O318">
        <v>236217.06</v>
      </c>
      <c r="P318">
        <v>118108.53</v>
      </c>
      <c r="Q318">
        <v>0</v>
      </c>
    </row>
    <row r="319" spans="1:17">
      <c r="A319" t="str">
        <f t="shared" si="12"/>
        <v>08_Aug</v>
      </c>
      <c r="B319">
        <v>380</v>
      </c>
      <c r="C319" t="s">
        <v>130</v>
      </c>
      <c r="F319">
        <v>452732110</v>
      </c>
      <c r="G319" t="s">
        <v>513</v>
      </c>
      <c r="H319" t="s">
        <v>521</v>
      </c>
      <c r="I319" t="s">
        <v>522</v>
      </c>
      <c r="J319" t="s">
        <v>517</v>
      </c>
      <c r="K319">
        <v>201908</v>
      </c>
      <c r="L319" t="s">
        <v>531</v>
      </c>
      <c r="N319">
        <v>38</v>
      </c>
      <c r="O319">
        <v>470383.1</v>
      </c>
      <c r="P319">
        <v>12378.5026315789</v>
      </c>
      <c r="Q319">
        <v>0</v>
      </c>
    </row>
    <row r="320" spans="1:17">
      <c r="A320" t="str">
        <f t="shared" si="12"/>
        <v>07_Jul</v>
      </c>
      <c r="B320">
        <v>380</v>
      </c>
      <c r="C320" t="s">
        <v>130</v>
      </c>
      <c r="F320">
        <v>405404720</v>
      </c>
      <c r="G320" t="s">
        <v>513</v>
      </c>
      <c r="H320" t="s">
        <v>521</v>
      </c>
      <c r="I320" t="s">
        <v>522</v>
      </c>
      <c r="J320" t="s">
        <v>516</v>
      </c>
      <c r="K320">
        <v>201907</v>
      </c>
      <c r="L320" t="s">
        <v>531</v>
      </c>
      <c r="N320">
        <v>2</v>
      </c>
      <c r="O320">
        <v>284864.46000000002</v>
      </c>
      <c r="P320">
        <v>142432.23000000001</v>
      </c>
      <c r="Q320">
        <v>0</v>
      </c>
    </row>
    <row r="321" spans="1:17">
      <c r="A321" t="str">
        <f t="shared" si="12"/>
        <v>09_Sep</v>
      </c>
      <c r="B321">
        <v>380</v>
      </c>
      <c r="C321" t="s">
        <v>130</v>
      </c>
      <c r="F321">
        <v>405404720</v>
      </c>
      <c r="G321" t="s">
        <v>513</v>
      </c>
      <c r="H321" t="s">
        <v>521</v>
      </c>
      <c r="I321" t="s">
        <v>522</v>
      </c>
      <c r="J321" t="s">
        <v>516</v>
      </c>
      <c r="K321">
        <v>201909</v>
      </c>
      <c r="L321" t="s">
        <v>531</v>
      </c>
      <c r="N321">
        <v>2</v>
      </c>
      <c r="O321">
        <v>306430.38</v>
      </c>
      <c r="P321">
        <v>153215.19</v>
      </c>
      <c r="Q321">
        <v>0</v>
      </c>
    </row>
    <row r="322" spans="1:17">
      <c r="A322" t="str">
        <f t="shared" si="12"/>
        <v>11_Nov</v>
      </c>
      <c r="B322">
        <v>380</v>
      </c>
      <c r="C322" t="s">
        <v>130</v>
      </c>
      <c r="F322">
        <v>405404720</v>
      </c>
      <c r="G322" t="s">
        <v>513</v>
      </c>
      <c r="H322" t="s">
        <v>521</v>
      </c>
      <c r="I322" t="s">
        <v>522</v>
      </c>
      <c r="J322" t="s">
        <v>516</v>
      </c>
      <c r="K322">
        <v>201911</v>
      </c>
      <c r="L322" t="s">
        <v>531</v>
      </c>
      <c r="N322">
        <v>2</v>
      </c>
      <c r="O322">
        <v>165140.07</v>
      </c>
      <c r="P322">
        <v>82570.035000000003</v>
      </c>
      <c r="Q322">
        <v>0</v>
      </c>
    </row>
    <row r="323" spans="1:17">
      <c r="A323" t="str">
        <f t="shared" si="12"/>
        <v>05_May</v>
      </c>
      <c r="B323">
        <v>380</v>
      </c>
      <c r="C323" t="s">
        <v>130</v>
      </c>
      <c r="F323">
        <v>405404720</v>
      </c>
      <c r="G323" t="s">
        <v>513</v>
      </c>
      <c r="H323" t="s">
        <v>521</v>
      </c>
      <c r="I323" t="s">
        <v>522</v>
      </c>
      <c r="J323" t="s">
        <v>516</v>
      </c>
      <c r="K323">
        <v>201905</v>
      </c>
      <c r="L323" t="s">
        <v>531</v>
      </c>
      <c r="N323">
        <v>2</v>
      </c>
      <c r="O323">
        <v>333182.82</v>
      </c>
      <c r="P323">
        <v>166591.41</v>
      </c>
      <c r="Q323">
        <v>0</v>
      </c>
    </row>
    <row r="324" spans="1:17">
      <c r="A324" t="str">
        <f t="shared" si="12"/>
        <v>08_Aug</v>
      </c>
      <c r="B324">
        <v>380</v>
      </c>
      <c r="C324" t="s">
        <v>130</v>
      </c>
      <c r="F324">
        <v>405404720</v>
      </c>
      <c r="G324" t="s">
        <v>513</v>
      </c>
      <c r="H324" t="s">
        <v>521</v>
      </c>
      <c r="I324" t="s">
        <v>522</v>
      </c>
      <c r="J324" t="s">
        <v>516</v>
      </c>
      <c r="K324">
        <v>201908</v>
      </c>
      <c r="L324" t="s">
        <v>531</v>
      </c>
      <c r="N324">
        <v>-10</v>
      </c>
      <c r="O324">
        <v>-2026569.41</v>
      </c>
      <c r="P324">
        <v>202656.94099999999</v>
      </c>
      <c r="Q324">
        <v>0</v>
      </c>
    </row>
    <row r="325" spans="1:17">
      <c r="A325" t="str">
        <f t="shared" si="12"/>
        <v>02_Feb</v>
      </c>
      <c r="B325">
        <v>380</v>
      </c>
      <c r="C325" t="s">
        <v>130</v>
      </c>
      <c r="F325">
        <v>405404720</v>
      </c>
      <c r="G325" t="s">
        <v>513</v>
      </c>
      <c r="H325" t="s">
        <v>521</v>
      </c>
      <c r="I325" t="s">
        <v>522</v>
      </c>
      <c r="J325" t="s">
        <v>516</v>
      </c>
      <c r="K325">
        <v>201902</v>
      </c>
      <c r="L325" t="s">
        <v>531</v>
      </c>
      <c r="N325">
        <v>2</v>
      </c>
      <c r="O325">
        <v>199510.45</v>
      </c>
      <c r="P325">
        <v>99755.225000000006</v>
      </c>
      <c r="Q325">
        <v>0</v>
      </c>
    </row>
    <row r="326" spans="1:17">
      <c r="A326" t="str">
        <f t="shared" si="12"/>
        <v>08_Aug</v>
      </c>
      <c r="B326">
        <v>380</v>
      </c>
      <c r="C326" t="s">
        <v>130</v>
      </c>
      <c r="F326">
        <v>395570701</v>
      </c>
      <c r="G326" t="s">
        <v>513</v>
      </c>
      <c r="H326" t="s">
        <v>521</v>
      </c>
      <c r="I326" t="s">
        <v>522</v>
      </c>
      <c r="J326" t="s">
        <v>516</v>
      </c>
      <c r="K326">
        <v>201908</v>
      </c>
      <c r="L326" t="s">
        <v>531</v>
      </c>
      <c r="N326">
        <v>-2</v>
      </c>
      <c r="O326">
        <v>-197410.8</v>
      </c>
      <c r="P326">
        <v>98705.4</v>
      </c>
      <c r="Q326">
        <v>0</v>
      </c>
    </row>
    <row r="327" spans="1:17">
      <c r="A327" t="str">
        <f t="shared" si="12"/>
        <v>04_Apr</v>
      </c>
      <c r="B327">
        <v>380</v>
      </c>
      <c r="C327" t="s">
        <v>130</v>
      </c>
      <c r="F327">
        <v>405404720</v>
      </c>
      <c r="G327" t="s">
        <v>513</v>
      </c>
      <c r="H327" t="s">
        <v>521</v>
      </c>
      <c r="I327" t="s">
        <v>522</v>
      </c>
      <c r="J327" t="s">
        <v>516</v>
      </c>
      <c r="K327">
        <v>201904</v>
      </c>
      <c r="L327" t="s">
        <v>531</v>
      </c>
      <c r="N327">
        <v>2</v>
      </c>
      <c r="O327">
        <v>528130.11</v>
      </c>
      <c r="P327">
        <v>264065.05499999999</v>
      </c>
      <c r="Q327">
        <v>0</v>
      </c>
    </row>
    <row r="328" spans="1:17">
      <c r="A328" t="str">
        <f t="shared" si="12"/>
        <v>06_Jun</v>
      </c>
      <c r="B328">
        <v>380</v>
      </c>
      <c r="C328" t="s">
        <v>130</v>
      </c>
      <c r="F328">
        <v>405404720</v>
      </c>
      <c r="G328" t="s">
        <v>513</v>
      </c>
      <c r="H328" t="s">
        <v>521</v>
      </c>
      <c r="I328" t="s">
        <v>522</v>
      </c>
      <c r="J328" t="s">
        <v>516</v>
      </c>
      <c r="K328">
        <v>201906</v>
      </c>
      <c r="L328" t="s">
        <v>531</v>
      </c>
      <c r="N328">
        <v>2</v>
      </c>
      <c r="O328">
        <v>302892.89</v>
      </c>
      <c r="P328">
        <v>151446.44500000001</v>
      </c>
      <c r="Q328">
        <v>0</v>
      </c>
    </row>
    <row r="329" spans="1:17">
      <c r="A329" t="str">
        <f t="shared" si="12"/>
        <v>01_Jan</v>
      </c>
      <c r="B329">
        <v>380</v>
      </c>
      <c r="C329" t="s">
        <v>130</v>
      </c>
      <c r="F329">
        <v>405404720</v>
      </c>
      <c r="G329" t="s">
        <v>513</v>
      </c>
      <c r="H329" t="s">
        <v>521</v>
      </c>
      <c r="I329" t="s">
        <v>522</v>
      </c>
      <c r="J329" t="s">
        <v>516</v>
      </c>
      <c r="K329">
        <v>201901</v>
      </c>
      <c r="L329" t="s">
        <v>531</v>
      </c>
      <c r="N329">
        <v>2</v>
      </c>
      <c r="O329">
        <v>516934.82</v>
      </c>
      <c r="P329">
        <v>258467.41</v>
      </c>
      <c r="Q329">
        <v>0</v>
      </c>
    </row>
    <row r="330" spans="1:17">
      <c r="A330" t="str">
        <f t="shared" si="12"/>
        <v>10_Oct</v>
      </c>
      <c r="B330">
        <v>380</v>
      </c>
      <c r="C330" t="s">
        <v>130</v>
      </c>
      <c r="F330">
        <v>405404720</v>
      </c>
      <c r="G330" t="s">
        <v>513</v>
      </c>
      <c r="H330" t="s">
        <v>521</v>
      </c>
      <c r="I330" t="s">
        <v>522</v>
      </c>
      <c r="J330" t="s">
        <v>516</v>
      </c>
      <c r="K330">
        <v>201910</v>
      </c>
      <c r="L330" t="s">
        <v>531</v>
      </c>
      <c r="N330">
        <v>2</v>
      </c>
      <c r="O330">
        <v>196959.74</v>
      </c>
      <c r="P330">
        <v>98479.87</v>
      </c>
      <c r="Q330">
        <v>0</v>
      </c>
    </row>
    <row r="331" spans="1:17">
      <c r="A331" t="str">
        <f t="shared" si="12"/>
        <v>08_Aug</v>
      </c>
      <c r="B331">
        <v>380</v>
      </c>
      <c r="C331" t="s">
        <v>130</v>
      </c>
      <c r="F331">
        <v>452732128</v>
      </c>
      <c r="G331" t="s">
        <v>513</v>
      </c>
      <c r="H331" t="s">
        <v>521</v>
      </c>
      <c r="I331" t="s">
        <v>522</v>
      </c>
      <c r="J331" t="s">
        <v>517</v>
      </c>
      <c r="K331">
        <v>201908</v>
      </c>
      <c r="L331" t="s">
        <v>531</v>
      </c>
      <c r="N331">
        <v>12</v>
      </c>
      <c r="O331">
        <v>180148.04</v>
      </c>
      <c r="P331">
        <v>15012.336666666701</v>
      </c>
      <c r="Q331">
        <v>0</v>
      </c>
    </row>
    <row r="332" spans="1:17">
      <c r="A332" t="str">
        <f t="shared" si="12"/>
        <v>08_Aug</v>
      </c>
      <c r="B332">
        <v>380</v>
      </c>
      <c r="C332" t="s">
        <v>130</v>
      </c>
      <c r="F332">
        <v>452732119</v>
      </c>
      <c r="G332" t="s">
        <v>513</v>
      </c>
      <c r="H332" t="s">
        <v>521</v>
      </c>
      <c r="I332" t="s">
        <v>522</v>
      </c>
      <c r="J332" t="s">
        <v>517</v>
      </c>
      <c r="K332">
        <v>201908</v>
      </c>
      <c r="L332" t="s">
        <v>531</v>
      </c>
      <c r="N332">
        <v>6</v>
      </c>
      <c r="O332">
        <v>126807.52</v>
      </c>
      <c r="P332">
        <v>21134.586666666699</v>
      </c>
      <c r="Q332">
        <v>0</v>
      </c>
    </row>
    <row r="333" spans="1:17">
      <c r="A333" t="str">
        <f t="shared" si="12"/>
        <v>03_Mar</v>
      </c>
      <c r="B333">
        <v>380</v>
      </c>
      <c r="C333" t="s">
        <v>132</v>
      </c>
      <c r="F333">
        <v>395430719</v>
      </c>
      <c r="G333" t="s">
        <v>513</v>
      </c>
      <c r="H333" t="s">
        <v>521</v>
      </c>
      <c r="I333" t="s">
        <v>522</v>
      </c>
      <c r="J333" t="s">
        <v>517</v>
      </c>
      <c r="K333">
        <v>201903</v>
      </c>
      <c r="L333" t="s">
        <v>132</v>
      </c>
      <c r="N333">
        <v>0</v>
      </c>
      <c r="O333">
        <v>0</v>
      </c>
      <c r="P333">
        <v>0</v>
      </c>
    </row>
    <row r="334" spans="1:17">
      <c r="A334" t="str">
        <f t="shared" si="12"/>
        <v>03_Mar</v>
      </c>
      <c r="B334">
        <v>380</v>
      </c>
      <c r="C334" t="s">
        <v>132</v>
      </c>
      <c r="F334">
        <v>395430710</v>
      </c>
      <c r="G334" t="s">
        <v>513</v>
      </c>
      <c r="H334" t="s">
        <v>521</v>
      </c>
      <c r="I334" t="s">
        <v>522</v>
      </c>
      <c r="J334" t="s">
        <v>517</v>
      </c>
      <c r="K334">
        <v>201903</v>
      </c>
      <c r="L334" t="s">
        <v>132</v>
      </c>
      <c r="N334">
        <v>0</v>
      </c>
      <c r="O334">
        <v>0</v>
      </c>
      <c r="P334">
        <v>0</v>
      </c>
    </row>
    <row r="335" spans="1:17">
      <c r="A335" t="str">
        <f t="shared" si="12"/>
        <v>03_Mar</v>
      </c>
      <c r="B335">
        <v>380</v>
      </c>
      <c r="C335" t="s">
        <v>132</v>
      </c>
      <c r="F335">
        <v>395430693</v>
      </c>
      <c r="G335" t="s">
        <v>513</v>
      </c>
      <c r="H335" t="s">
        <v>521</v>
      </c>
      <c r="I335" t="s">
        <v>522</v>
      </c>
      <c r="J335" t="s">
        <v>517</v>
      </c>
      <c r="K335">
        <v>201903</v>
      </c>
      <c r="L335" t="s">
        <v>132</v>
      </c>
      <c r="N335">
        <v>0</v>
      </c>
      <c r="O335">
        <v>0</v>
      </c>
      <c r="P335">
        <v>0</v>
      </c>
    </row>
    <row r="336" spans="1:17">
      <c r="A336" t="str">
        <f t="shared" si="12"/>
        <v>05_May</v>
      </c>
      <c r="B336">
        <v>380</v>
      </c>
      <c r="C336" t="s">
        <v>132</v>
      </c>
      <c r="F336">
        <v>405404738</v>
      </c>
      <c r="G336" t="s">
        <v>513</v>
      </c>
      <c r="H336" t="s">
        <v>521</v>
      </c>
      <c r="I336" t="s">
        <v>522</v>
      </c>
      <c r="J336" t="s">
        <v>516</v>
      </c>
      <c r="K336">
        <v>201905</v>
      </c>
      <c r="L336" t="s">
        <v>532</v>
      </c>
      <c r="N336">
        <v>2</v>
      </c>
      <c r="O336">
        <v>930.88</v>
      </c>
      <c r="P336">
        <v>465.44</v>
      </c>
      <c r="Q336">
        <v>0</v>
      </c>
    </row>
    <row r="337" spans="1:17">
      <c r="A337" t="str">
        <f t="shared" si="12"/>
        <v>11_Nov</v>
      </c>
      <c r="B337">
        <v>380</v>
      </c>
      <c r="C337" t="s">
        <v>132</v>
      </c>
      <c r="F337">
        <v>405404738</v>
      </c>
      <c r="G337" t="s">
        <v>513</v>
      </c>
      <c r="H337" t="s">
        <v>521</v>
      </c>
      <c r="I337" t="s">
        <v>522</v>
      </c>
      <c r="J337" t="s">
        <v>516</v>
      </c>
      <c r="K337">
        <v>201911</v>
      </c>
      <c r="L337" t="s">
        <v>532</v>
      </c>
      <c r="N337">
        <v>1</v>
      </c>
      <c r="O337">
        <v>1579.31</v>
      </c>
      <c r="P337">
        <v>1579.31</v>
      </c>
      <c r="Q337">
        <v>0</v>
      </c>
    </row>
    <row r="338" spans="1:17">
      <c r="A338" t="str">
        <f t="shared" si="12"/>
        <v>12_Dec</v>
      </c>
      <c r="B338">
        <v>380</v>
      </c>
      <c r="C338" t="s">
        <v>132</v>
      </c>
      <c r="F338">
        <v>405404738</v>
      </c>
      <c r="G338" t="s">
        <v>513</v>
      </c>
      <c r="H338" t="s">
        <v>521</v>
      </c>
      <c r="I338" t="s">
        <v>522</v>
      </c>
      <c r="J338" t="s">
        <v>516</v>
      </c>
      <c r="K338">
        <v>201912</v>
      </c>
      <c r="L338" t="s">
        <v>532</v>
      </c>
      <c r="N338">
        <v>1</v>
      </c>
      <c r="O338">
        <v>503.52</v>
      </c>
      <c r="P338">
        <v>503.52</v>
      </c>
      <c r="Q338">
        <v>0</v>
      </c>
    </row>
    <row r="339" spans="1:17">
      <c r="A339" t="str">
        <f t="shared" si="12"/>
        <v>01_Jan</v>
      </c>
      <c r="B339">
        <v>380</v>
      </c>
      <c r="C339" t="s">
        <v>132</v>
      </c>
      <c r="F339">
        <v>405404738</v>
      </c>
      <c r="G339" t="s">
        <v>513</v>
      </c>
      <c r="H339" t="s">
        <v>521</v>
      </c>
      <c r="I339" t="s">
        <v>522</v>
      </c>
      <c r="J339" t="s">
        <v>516</v>
      </c>
      <c r="K339">
        <v>201901</v>
      </c>
      <c r="L339" t="s">
        <v>532</v>
      </c>
      <c r="N339">
        <v>1</v>
      </c>
      <c r="O339">
        <v>265.04000000000002</v>
      </c>
      <c r="P339">
        <v>265.04000000000002</v>
      </c>
      <c r="Q339">
        <v>0</v>
      </c>
    </row>
  </sheetData>
  <autoFilter ref="F54:L55" xr:uid="{EFB05FA6-18AA-4A90-A28D-DB0A292B3D4E}"/>
  <pageMargins left="0.7" right="0.7" top="0.75" bottom="0.75" header="0.3" footer="0.3"/>
  <pageSetup scale="57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8" tint="0.39997558519241921"/>
  </sheetPr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8" tint="0.39997558519241921"/>
    <pageSetUpPr fitToPage="1"/>
  </sheetPr>
  <dimension ref="A1:AJ1048576"/>
  <sheetViews>
    <sheetView zoomScale="70" zoomScaleNormal="70" workbookViewId="0"/>
  </sheetViews>
  <sheetFormatPr defaultColWidth="9.140625" defaultRowHeight="20.25"/>
  <cols>
    <col min="1" max="1" width="9" style="72" customWidth="1"/>
    <col min="2" max="2" width="9.140625" style="72"/>
    <col min="3" max="3" width="60.85546875" style="72" customWidth="1"/>
    <col min="4" max="17" width="19.140625" style="72" customWidth="1"/>
    <col min="18" max="18" width="13.85546875" customWidth="1"/>
    <col min="19" max="19" width="18.85546875" style="72" customWidth="1"/>
    <col min="20" max="20" width="18" style="72" customWidth="1"/>
    <col min="21" max="21" width="17" style="72" customWidth="1"/>
    <col min="22" max="22" width="14.85546875" style="72" bestFit="1" customWidth="1"/>
    <col min="23" max="23" width="14.5703125" style="72" bestFit="1" customWidth="1"/>
    <col min="24" max="24" width="13.140625" style="72" bestFit="1" customWidth="1"/>
    <col min="25" max="25" width="14" style="72" customWidth="1"/>
    <col min="26" max="26" width="15.5703125" style="72" customWidth="1"/>
    <col min="27" max="27" width="14.42578125" style="72" bestFit="1" customWidth="1"/>
    <col min="28" max="28" width="14.85546875" style="72" customWidth="1"/>
    <col min="29" max="29" width="15.85546875" style="72" customWidth="1"/>
    <col min="30" max="30" width="13.42578125" style="72" customWidth="1"/>
    <col min="31" max="31" width="12.140625" style="72" bestFit="1" customWidth="1"/>
    <col min="32" max="32" width="16.5703125" style="72" customWidth="1"/>
    <col min="33" max="33" width="14.42578125" style="72" customWidth="1"/>
    <col min="34" max="34" width="15.140625" style="72" customWidth="1"/>
    <col min="35" max="35" width="9.42578125" style="72" bestFit="1" customWidth="1"/>
    <col min="36" max="36" width="12.85546875" style="72" customWidth="1"/>
    <col min="37" max="16384" width="9.140625" style="72"/>
  </cols>
  <sheetData>
    <row r="1" spans="1:36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3" t="s">
        <v>255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3" t="s">
        <v>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>
      <c r="D5" s="226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677"/>
      <c r="AD5" s="677"/>
      <c r="AE5" s="677"/>
      <c r="AF5" s="677"/>
      <c r="AG5" s="677"/>
      <c r="AH5" s="677"/>
      <c r="AI5" s="677"/>
      <c r="AJ5" s="677"/>
    </row>
    <row r="6" spans="1:36" s="31" customFormat="1">
      <c r="A6" s="224" t="s">
        <v>4</v>
      </c>
      <c r="B6" s="32"/>
      <c r="D6" s="115">
        <v>2017</v>
      </c>
      <c r="E6" s="95">
        <v>2018</v>
      </c>
      <c r="F6" s="95">
        <f>$E$6</f>
        <v>2018</v>
      </c>
      <c r="G6" s="95">
        <f>$E$6</f>
        <v>2018</v>
      </c>
      <c r="H6" s="95">
        <f>$E$6</f>
        <v>2018</v>
      </c>
      <c r="I6" s="95">
        <f>$E$6</f>
        <v>2018</v>
      </c>
      <c r="J6" s="95">
        <f>$E$6</f>
        <v>2018</v>
      </c>
      <c r="K6" s="95">
        <f t="shared" ref="K6:Q6" si="0">$E$6</f>
        <v>2018</v>
      </c>
      <c r="L6" s="95">
        <f t="shared" si="0"/>
        <v>2018</v>
      </c>
      <c r="M6" s="95">
        <f t="shared" si="0"/>
        <v>2018</v>
      </c>
      <c r="N6" s="95">
        <f t="shared" si="0"/>
        <v>2018</v>
      </c>
      <c r="O6" s="95">
        <f t="shared" si="0"/>
        <v>2018</v>
      </c>
      <c r="P6" s="95">
        <f t="shared" si="0"/>
        <v>2018</v>
      </c>
      <c r="Q6" s="133">
        <f t="shared" si="0"/>
        <v>2018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347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>
      <c r="A10" s="32"/>
      <c r="B10" s="77" t="s">
        <v>51</v>
      </c>
      <c r="D10" s="122"/>
      <c r="E10" s="597"/>
      <c r="F10" s="597"/>
      <c r="G10" s="13"/>
      <c r="H10" s="13"/>
      <c r="I10" s="13"/>
      <c r="J10" s="13"/>
      <c r="K10" s="13"/>
      <c r="L10" s="13"/>
      <c r="M10" s="13"/>
      <c r="N10" s="13"/>
      <c r="O10" s="13"/>
      <c r="P10" s="367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>
      <c r="A11" s="32">
        <v>1</v>
      </c>
      <c r="B11" s="32"/>
      <c r="C11" s="78" t="s">
        <v>452</v>
      </c>
      <c r="D11" s="370">
        <f>'Rev Req 2017-Distr'!P11</f>
        <v>4789044.3899999997</v>
      </c>
      <c r="E11" s="371">
        <f>SUM('201801 Bk Depr'!R13,'201801 Bk Depr'!R14:R16,'201801 Bk Depr'!R20,'201801 Bk Depr'!R21:R22)</f>
        <v>5560766.5700000003</v>
      </c>
      <c r="F11" s="371">
        <f>SUM('201802 Bk Depr'!R13,'201802 Bk Depr'!R14:R16,'201802 Bk Depr'!R20,'201802 Bk Depr'!R21:R22)</f>
        <v>6313146.2300000004</v>
      </c>
      <c r="G11" s="371">
        <f>SUM('201803 Bk Depr'!R13,'201803 Bk Depr'!R14:R16,'201803 Bk Depr'!R20,'201803 Bk Depr'!R21:R22)</f>
        <v>7010829.1900000004</v>
      </c>
      <c r="H11" s="371">
        <f>SUM('201804 Bk Depr'!R13,'201804 Bk Depr'!R14:R16,'201804 Bk Depr'!R20,'201804 Bk Depr'!R21:R22)</f>
        <v>7595437.5300000012</v>
      </c>
      <c r="I11" s="371">
        <f>SUM('201805 Bk Depr'!R13,'201805 Bk Depr'!R14:R16,'201805 Bk Depr'!R20,'201805 Bk Depr'!R21:R22)</f>
        <v>8229466.7500000009</v>
      </c>
      <c r="J11" s="371">
        <f>SUM('201806 Bk Depr'!R13,'201806 Bk Depr'!R14:R16,'201806 Bk Depr'!R20,'201806 Bk Depr'!R21:R22)</f>
        <v>8737348.370000001</v>
      </c>
      <c r="K11" s="371">
        <f>SUM('201807 Bk Depr'!R13,'201807 Bk Depr'!R14:R16,'201807 Bk Depr'!R20,'201807 Bk Depr'!R21:R22)</f>
        <v>9406877.5100000016</v>
      </c>
      <c r="L11" s="371">
        <f>SUM('201808 Bk Depr'!R13,'201808 Bk Depr'!R14:R16,'201808 Bk Depr'!R20,'201808 Bk Depr'!R21:R22)</f>
        <v>9990718.3000000007</v>
      </c>
      <c r="M11" s="371">
        <f>SUM('201809 Bk Depr'!R13,'201809 Bk Depr'!R14:R16,'201809 Bk Depr'!R20,'201809 Bk Depr'!R21:R22)</f>
        <v>10643530.410000002</v>
      </c>
      <c r="N11" s="371">
        <f>SUM('201810 Bk Depr'!R13,'201810 Bk Depr'!R14:R16,'201810 Bk Depr'!R20,'201810 Bk Depr'!R21:R22)</f>
        <v>11188576.060000002</v>
      </c>
      <c r="O11" s="371">
        <f>SUM('201811 Bk Depr'!R13,'201811 Bk Depr'!R14:R16,'201811 Bk Depr'!R20,'201811 Bk Depr'!R21:R22)</f>
        <v>14111556.210000001</v>
      </c>
      <c r="P11" s="371">
        <f>SUM('201812 Bk Depr'!R13,'201812 Bk Depr'!R14:R16,'201812 Bk Depr'!R20,'201812 Bk Depr'!R21:R22)</f>
        <v>14614351.460000001</v>
      </c>
      <c r="Q11" s="372">
        <f>AVERAGE(D11:P11)</f>
        <v>9091665.3061538469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>
      <c r="A12" s="32">
        <v>2</v>
      </c>
      <c r="B12" s="32"/>
      <c r="C12" s="31" t="s">
        <v>19</v>
      </c>
      <c r="D12" s="370">
        <f>'201712 Bk Depr'!R31</f>
        <v>187096.43000000002</v>
      </c>
      <c r="E12" s="371">
        <f>SUM('201801 Bk Depr'!R28,'201801 Bk Depr'!R29:R30)</f>
        <v>198474.47000000003</v>
      </c>
      <c r="F12" s="371">
        <f>SUM('201802 Bk Depr'!R28,'201802 Bk Depr'!R29:R30)</f>
        <v>229413.98000000004</v>
      </c>
      <c r="G12" s="371">
        <f>SUM('201803 Bk Depr'!R28,'201803 Bk Depr'!R29:R30)</f>
        <v>281057.64</v>
      </c>
      <c r="H12" s="371">
        <f>SUM('201804 Bk Depr'!R28,'201804 Bk Depr'!R29:R30)</f>
        <v>329401.18</v>
      </c>
      <c r="I12" s="371">
        <f>SUM('201805 Bk Depr'!R28,'201805 Bk Depr'!R29:R30)</f>
        <v>359633.58</v>
      </c>
      <c r="J12" s="371">
        <f>SUM('201806 Bk Depr'!R28,'201806 Bk Depr'!R29:R30)</f>
        <v>392910.97000000003</v>
      </c>
      <c r="K12" s="371">
        <f>SUM('201807 Bk Depr'!R28,'201807 Bk Depr'!R29:R30)</f>
        <v>416428.77</v>
      </c>
      <c r="L12" s="371">
        <f>SUM('201808 Bk Depr'!R28,'201808 Bk Depr'!R29:R30)</f>
        <v>449157.55000000005</v>
      </c>
      <c r="M12" s="371">
        <f>SUM('201809 Bk Depr'!R28,'201809 Bk Depr'!R29:R30)</f>
        <v>515410.13000000006</v>
      </c>
      <c r="N12" s="371">
        <f>SUM('201810 Bk Depr'!R28,'201810 Bk Depr'!R29:R30)</f>
        <v>532226.05000000005</v>
      </c>
      <c r="O12" s="371">
        <f>SUM('201811 Bk Depr'!R28,'201811 Bk Depr'!R29:R30)</f>
        <v>569796.57000000007</v>
      </c>
      <c r="P12" s="371">
        <f>SUM('201812 Bk Depr'!R28,'201812 Bk Depr'!R29:R30)</f>
        <v>609097.41</v>
      </c>
      <c r="Q12" s="372">
        <f>AVERAGE(D12:P12)</f>
        <v>390008.05615384621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>
      <c r="A13" s="32">
        <v>3</v>
      </c>
      <c r="B13" s="32"/>
      <c r="C13" s="31" t="s">
        <v>52</v>
      </c>
      <c r="D13" s="378">
        <f>'Rev Req 2017-Distr'!P13</f>
        <v>-36231.528838500009</v>
      </c>
      <c r="E13" s="379">
        <f>-'Cap&amp;OpEx 2018'!C23-SUM('201801 Bk Depr'!P13,'201801 Bk Depr'!P14:P16)+D13</f>
        <v>-50203.773634500016</v>
      </c>
      <c r="F13" s="379">
        <f>-'Cap&amp;OpEx 2018'!C23-SUM('201802 Bk Depr'!P13,'201802 Bk Depr'!P14:P16)+E13</f>
        <v>-66233.555914500015</v>
      </c>
      <c r="G13" s="379">
        <f>-'Cap&amp;OpEx 2018'!C23-SUM('201803 Bk Depr'!P13,'201803 Bk Depr'!P14:P16)+F13</f>
        <v>-84220.922731500017</v>
      </c>
      <c r="H13" s="379">
        <f>-'Cap&amp;OpEx 2018'!C23-SUM('201804 Bk Depr'!P13,'201804 Bk Depr'!P14:P16)+G13</f>
        <v>-103939.38280350002</v>
      </c>
      <c r="I13" s="379">
        <f>-'Cap&amp;OpEx 2018'!C23-SUM('201805 Bk Depr'!P13,'201805 Bk Depr'!P14:P16)+H13</f>
        <v>-125303.00358150003</v>
      </c>
      <c r="J13" s="379">
        <f>-'Cap&amp;OpEx 2018'!C23-SUM('201806 Bk Depr'!P13,'201806 Bk Depr'!P14:P16)+I13</f>
        <v>-148208.20399350004</v>
      </c>
      <c r="K13" s="379">
        <f>-'Cap&amp;OpEx 2018'!C23-SUM('201807 Bk Depr'!P13,'201807 Bk Depr'!P14:P16)+J13</f>
        <v>-172702.90893150005</v>
      </c>
      <c r="L13" s="379">
        <f>-'Cap&amp;OpEx 2018'!C23-SUM('201808 Bk Depr'!P13,'201808 Bk Depr'!P14:P16)+K13</f>
        <v>-198889.66327500006</v>
      </c>
      <c r="M13" s="379">
        <f>-'Cap&amp;OpEx 2018'!C23-SUM('201809 Bk Depr'!P13,'201809 Bk Depr'!P14:P16)+L13</f>
        <v>-226745.89903350006</v>
      </c>
      <c r="N13" s="379">
        <f>-'Cap&amp;OpEx 2018'!C23-SUM('201810 Bk Depr'!P13,'201810 Bk Depr'!P14:P16)+M13</f>
        <v>-256219.24276800005</v>
      </c>
      <c r="O13" s="379">
        <f>-'Cap&amp;OpEx 2018'!C23-SUM('201811 Bk Depr'!P13,'201811 Bk Depr'!P14:P16)+N13</f>
        <v>-290374.42133250006</v>
      </c>
      <c r="P13" s="379">
        <f>-'Cap&amp;OpEx 2018'!C23-SUM('201812 Bk Depr'!P13,'201812 Bk Depr'!P14:P16)+O13</f>
        <v>-329154.39668700006</v>
      </c>
      <c r="Q13" s="377">
        <f>AVERAGE(D13:P13)</f>
        <v>-160648.22334807695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>
      <c r="A14" s="32">
        <v>4</v>
      </c>
      <c r="B14" s="32"/>
      <c r="C14" s="31" t="s">
        <v>53</v>
      </c>
      <c r="D14" s="410">
        <f t="shared" ref="D14:J14" si="1">SUM(D11:D13)</f>
        <v>4939909.291161499</v>
      </c>
      <c r="E14" s="371">
        <f t="shared" si="1"/>
        <v>5709037.2663655002</v>
      </c>
      <c r="F14" s="371">
        <f t="shared" si="1"/>
        <v>6476326.6540855011</v>
      </c>
      <c r="G14" s="371">
        <f t="shared" si="1"/>
        <v>7207665.9072685</v>
      </c>
      <c r="H14" s="371">
        <f t="shared" si="1"/>
        <v>7820899.3271965012</v>
      </c>
      <c r="I14" s="371">
        <f t="shared" si="1"/>
        <v>8463797.3264185004</v>
      </c>
      <c r="J14" s="371">
        <f t="shared" si="1"/>
        <v>8982051.1360065024</v>
      </c>
      <c r="K14" s="371">
        <f t="shared" ref="K14:Q14" si="2">SUM(K11:K13)</f>
        <v>9650603.3710685018</v>
      </c>
      <c r="L14" s="371">
        <f t="shared" si="2"/>
        <v>10240986.186725002</v>
      </c>
      <c r="M14" s="371">
        <f t="shared" si="2"/>
        <v>10932194.640966503</v>
      </c>
      <c r="N14" s="371">
        <f t="shared" si="2"/>
        <v>11464582.867232002</v>
      </c>
      <c r="O14" s="371">
        <f t="shared" si="2"/>
        <v>14390978.3586675</v>
      </c>
      <c r="P14" s="371">
        <f t="shared" si="2"/>
        <v>14894294.473313</v>
      </c>
      <c r="Q14" s="372">
        <f t="shared" si="2"/>
        <v>9321025.1389596164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>
      <c r="A16" s="32">
        <v>5</v>
      </c>
      <c r="B16" s="32"/>
      <c r="C16" s="31" t="s">
        <v>54</v>
      </c>
      <c r="D16" s="378">
        <f>'Rev Req 2017-Distr'!P16</f>
        <v>-1404439.0692280733</v>
      </c>
      <c r="E16" s="379">
        <f>-'Tax Depr 2018'!Q17</f>
        <v>-1516373.3807316851</v>
      </c>
      <c r="F16" s="379">
        <f>-'Tax Depr 2018'!Q18</f>
        <v>-1624121.1267750387</v>
      </c>
      <c r="G16" s="379">
        <f>-'Tax Depr 2018'!Q19</f>
        <v>-1725467.5267829113</v>
      </c>
      <c r="H16" s="379">
        <f>-'Tax Depr 2018'!Q20</f>
        <v>-1834160.9208857235</v>
      </c>
      <c r="I16" s="379">
        <f>-'Tax Depr 2018'!Q21</f>
        <v>-1957051.5515611388</v>
      </c>
      <c r="J16" s="379">
        <f>-'Tax Depr 2018'!Q22</f>
        <v>-2048444.2731715587</v>
      </c>
      <c r="K16" s="379">
        <f>-'Tax Depr 2018'!Q23</f>
        <v>-2164839.1862770538</v>
      </c>
      <c r="L16" s="379">
        <f>-'Tax Depr 2018'!Q24</f>
        <v>-2273571.8924989393</v>
      </c>
      <c r="M16" s="379">
        <f>-'Tax Depr 2018'!Q25</f>
        <v>-2405678.1645849696</v>
      </c>
      <c r="N16" s="379">
        <f>-'Tax Depr 2018'!Q26</f>
        <v>-2490549.3715948011</v>
      </c>
      <c r="O16" s="379">
        <f>-'Tax Depr 2018'!Q27</f>
        <v>-2761623.9059989224</v>
      </c>
      <c r="P16" s="379">
        <f>-'Tax Depr 2018'!Q28</f>
        <v>-2772233.5661514383</v>
      </c>
      <c r="Q16" s="377">
        <f>AVERAGE(D16:P16)</f>
        <v>-2075273.3797109425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>
      <c r="A18" s="32">
        <v>6</v>
      </c>
      <c r="B18" s="32"/>
      <c r="C18" s="78" t="s">
        <v>55</v>
      </c>
      <c r="D18" s="370">
        <f t="shared" ref="D18:J18" si="3">SUM(D14:D16)</f>
        <v>3535470.2219334254</v>
      </c>
      <c r="E18" s="371">
        <f t="shared" si="3"/>
        <v>4192663.8856338151</v>
      </c>
      <c r="F18" s="371">
        <f t="shared" si="3"/>
        <v>4852205.5273104627</v>
      </c>
      <c r="G18" s="371">
        <f t="shared" si="3"/>
        <v>5482198.3804855887</v>
      </c>
      <c r="H18" s="371">
        <f t="shared" si="3"/>
        <v>5986738.4063107781</v>
      </c>
      <c r="I18" s="371">
        <f t="shared" si="3"/>
        <v>6506745.7748573618</v>
      </c>
      <c r="J18" s="371">
        <f t="shared" si="3"/>
        <v>6933606.8628349435</v>
      </c>
      <c r="K18" s="371">
        <f t="shared" ref="K18:P18" si="4">SUM(K14:K16)</f>
        <v>7485764.1847914476</v>
      </c>
      <c r="L18" s="371">
        <f t="shared" si="4"/>
        <v>7967414.2942260625</v>
      </c>
      <c r="M18" s="371">
        <f t="shared" si="4"/>
        <v>8526516.4763815328</v>
      </c>
      <c r="N18" s="371">
        <f t="shared" si="4"/>
        <v>8974033.4956372008</v>
      </c>
      <c r="O18" s="371">
        <f t="shared" si="4"/>
        <v>11629354.452668577</v>
      </c>
      <c r="P18" s="371">
        <f t="shared" si="4"/>
        <v>12122060.907161562</v>
      </c>
      <c r="Q18" s="372">
        <f>SUM(Q14:Q16)</f>
        <v>7245751.7592486739</v>
      </c>
      <c r="R18"/>
      <c r="S18" s="80"/>
    </row>
    <row r="19" spans="1:19" s="31" customFormat="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>
      <c r="A20" s="32">
        <v>7</v>
      </c>
      <c r="B20" s="32"/>
      <c r="C20" s="31" t="s">
        <v>56</v>
      </c>
      <c r="D20" s="126">
        <v>8.5431530257663712E-3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v>7.2333333333333338E-3</v>
      </c>
      <c r="J20" s="37">
        <v>7.2333333333333338E-3</v>
      </c>
      <c r="K20" s="37">
        <v>7.2333333333333338E-3</v>
      </c>
      <c r="L20" s="37">
        <v>7.2333333333333338E-3</v>
      </c>
      <c r="M20" s="37">
        <v>7.2333333333333338E-3</v>
      </c>
      <c r="N20" s="37">
        <v>7.2333333333333338E-3</v>
      </c>
      <c r="O20" s="37">
        <v>7.2333333333333338E-3</v>
      </c>
      <c r="P20" s="37">
        <v>7.2333333333333338E-3</v>
      </c>
      <c r="Q20" s="127">
        <f>SUM(E20:P20)</f>
        <v>8.6799999999999988E-2</v>
      </c>
      <c r="R20"/>
    </row>
    <row r="21" spans="1:19" s="31" customFormat="1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>
      <c r="A22" s="32">
        <v>8</v>
      </c>
      <c r="B22" s="32"/>
      <c r="C22" s="31" t="s">
        <v>57</v>
      </c>
      <c r="D22" s="401">
        <f t="shared" ref="D22:J22" si="5">D18*D20</f>
        <v>30204.063124017448</v>
      </c>
      <c r="E22" s="402">
        <f t="shared" si="5"/>
        <v>30326.935439417932</v>
      </c>
      <c r="F22" s="402">
        <f t="shared" si="5"/>
        <v>35097.619980879019</v>
      </c>
      <c r="G22" s="402">
        <f t="shared" si="5"/>
        <v>39654.568285512425</v>
      </c>
      <c r="H22" s="402">
        <f t="shared" si="5"/>
        <v>43304.074472314634</v>
      </c>
      <c r="I22" s="402">
        <f t="shared" si="5"/>
        <v>47065.461104801587</v>
      </c>
      <c r="J22" s="402">
        <f t="shared" si="5"/>
        <v>50153.089641172759</v>
      </c>
      <c r="K22" s="402">
        <f t="shared" ref="K22:Q22" si="6">K18*K20</f>
        <v>54147.027603324808</v>
      </c>
      <c r="L22" s="402">
        <f t="shared" si="6"/>
        <v>57630.963394901853</v>
      </c>
      <c r="M22" s="402">
        <f t="shared" si="6"/>
        <v>61675.135845826422</v>
      </c>
      <c r="N22" s="402">
        <f t="shared" si="6"/>
        <v>64912.175618442423</v>
      </c>
      <c r="O22" s="402">
        <f t="shared" si="6"/>
        <v>84118.997207636043</v>
      </c>
      <c r="P22" s="402">
        <f t="shared" si="6"/>
        <v>87682.907228468641</v>
      </c>
      <c r="Q22" s="403">
        <f t="shared" si="6"/>
        <v>628931.25270278484</v>
      </c>
      <c r="R22"/>
    </row>
    <row r="23" spans="1:19" s="31" customFormat="1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>
      <c r="A25" s="32">
        <v>9</v>
      </c>
      <c r="B25" s="32"/>
      <c r="C25" s="31" t="s">
        <v>0</v>
      </c>
      <c r="D25" s="370">
        <f>'Rev Req 2017-Distr'!P25</f>
        <v>11625.839847000003</v>
      </c>
      <c r="E25" s="371">
        <f>'201801 Bk Depr'!P25</f>
        <v>13972.244796000004</v>
      </c>
      <c r="F25" s="371">
        <f>'201802 Bk Depr'!P25</f>
        <v>16029.782280000003</v>
      </c>
      <c r="G25" s="371">
        <f>'201803 Bk Depr'!P25</f>
        <v>17987.366817000006</v>
      </c>
      <c r="H25" s="371">
        <f>'201804 Bk Depr'!P25</f>
        <v>19718.460072000005</v>
      </c>
      <c r="I25" s="371">
        <f>'201805 Bk Depr'!P25</f>
        <v>21363.620778000004</v>
      </c>
      <c r="J25" s="371">
        <f>'201806 Bk Depr'!P25</f>
        <v>22905.200412000006</v>
      </c>
      <c r="K25" s="371">
        <f>'201807 Bk Depr'!P25</f>
        <v>24494.704938000006</v>
      </c>
      <c r="L25" s="371">
        <f>'201808 Bk Depr'!P25</f>
        <v>26186.754343500008</v>
      </c>
      <c r="M25" s="371">
        <f>'201809 Bk Depr'!P25</f>
        <v>27856.235758500014</v>
      </c>
      <c r="N25" s="371">
        <f>'201810 Bk Depr'!P25</f>
        <v>29473.343734500013</v>
      </c>
      <c r="O25" s="371">
        <f>'201811 Bk Depr'!P25</f>
        <v>34155.178564500013</v>
      </c>
      <c r="P25" s="371">
        <f>'201812 Bk Depr'!P25</f>
        <v>38779.975354500013</v>
      </c>
      <c r="Q25" s="372">
        <f>SUM(E25:P25)</f>
        <v>292922.86784850009</v>
      </c>
      <c r="R25"/>
      <c r="S25" s="80"/>
    </row>
    <row r="26" spans="1:19" s="31" customFormat="1">
      <c r="A26" s="32">
        <v>10</v>
      </c>
      <c r="B26" s="32"/>
      <c r="C26" s="13" t="s">
        <v>59</v>
      </c>
      <c r="D26" s="370">
        <f>'Rev Req 2017-Distr'!P26</f>
        <v>88839.3</v>
      </c>
      <c r="E26" s="371">
        <f>'Cap&amp;OpEx 2018'!C31</f>
        <v>116637.37</v>
      </c>
      <c r="F26" s="371">
        <f>'Cap&amp;OpEx 2018'!D31</f>
        <v>-32468.410000000011</v>
      </c>
      <c r="G26" s="371">
        <f>'Cap&amp;OpEx 2018'!E31</f>
        <v>-13517.44999999999</v>
      </c>
      <c r="H26" s="371">
        <f>'Cap&amp;OpEx 2018'!F31</f>
        <v>-106295.09</v>
      </c>
      <c r="I26" s="371">
        <f>'Cap&amp;OpEx 2018'!G31</f>
        <v>74792.559999999983</v>
      </c>
      <c r="J26" s="371">
        <f>'Cap&amp;OpEx 2018'!H31</f>
        <v>59565.02</v>
      </c>
      <c r="K26" s="371">
        <f>'Cap&amp;OpEx 2018'!I31</f>
        <v>71171.619999999981</v>
      </c>
      <c r="L26" s="371">
        <f>'Cap&amp;OpEx 2018'!J31</f>
        <v>101207.37999999998</v>
      </c>
      <c r="M26" s="371">
        <f>'Cap&amp;OpEx 2018'!K31</f>
        <v>63358.099999999991</v>
      </c>
      <c r="N26" s="371">
        <f>'Cap&amp;OpEx 2018'!L31</f>
        <v>120155.35</v>
      </c>
      <c r="O26" s="371">
        <f>'Cap&amp;OpEx 2018'!M31</f>
        <v>48892.760000000009</v>
      </c>
      <c r="P26" s="371">
        <f>'Cap&amp;OpEx 2018'!N31</f>
        <v>177111.56000000003</v>
      </c>
      <c r="Q26" s="372">
        <f>SUM(E26:P26)</f>
        <v>680610.77</v>
      </c>
      <c r="R26"/>
      <c r="S26" s="80"/>
    </row>
    <row r="27" spans="1:19" s="31" customFormat="1">
      <c r="A27" s="32">
        <v>11</v>
      </c>
      <c r="B27" s="32"/>
      <c r="C27" s="31" t="s">
        <v>178</v>
      </c>
      <c r="D27" s="370">
        <f>'Rev Req 2017-Distr'!P27</f>
        <v>0</v>
      </c>
      <c r="E27" s="371">
        <f>'Cap&amp;OpEx 2018'!C32</f>
        <v>20784</v>
      </c>
      <c r="F27" s="371">
        <f>'Cap&amp;OpEx 2018'!D32</f>
        <v>20784</v>
      </c>
      <c r="G27" s="371">
        <f>'Cap&amp;OpEx 2018'!E32</f>
        <v>20784</v>
      </c>
      <c r="H27" s="371">
        <f>'Cap&amp;OpEx 2018'!F32</f>
        <v>20784</v>
      </c>
      <c r="I27" s="371">
        <f>'Cap&amp;OpEx 2018'!G32</f>
        <v>20784</v>
      </c>
      <c r="J27" s="371">
        <f>'Cap&amp;OpEx 2018'!H32</f>
        <v>20784</v>
      </c>
      <c r="K27" s="371">
        <f>'Cap&amp;OpEx 2018'!I32</f>
        <v>20784</v>
      </c>
      <c r="L27" s="371">
        <f>'Cap&amp;OpEx 2018'!J32</f>
        <v>20784</v>
      </c>
      <c r="M27" s="371">
        <f>'Cap&amp;OpEx 2018'!K32</f>
        <v>20784</v>
      </c>
      <c r="N27" s="371">
        <f>'Cap&amp;OpEx 2018'!L32</f>
        <v>20784</v>
      </c>
      <c r="O27" s="371">
        <f>'Cap&amp;OpEx 2018'!M32</f>
        <v>20784</v>
      </c>
      <c r="P27" s="371">
        <f>'Cap&amp;OpEx 2018'!N32</f>
        <v>20784</v>
      </c>
      <c r="Q27" s="372">
        <f t="shared" ref="Q27" si="7">SUM(E27:P27)</f>
        <v>249408</v>
      </c>
      <c r="R27"/>
      <c r="S27" s="80"/>
    </row>
    <row r="28" spans="1:19" s="31" customFormat="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>
      <c r="A29" s="32">
        <v>12</v>
      </c>
      <c r="B29" s="32"/>
      <c r="C29" s="31" t="s">
        <v>60</v>
      </c>
      <c r="D29" s="370">
        <f t="shared" ref="D29:K29" si="8">SUM(D25:D28)</f>
        <v>100465.13984700001</v>
      </c>
      <c r="E29" s="371">
        <f t="shared" si="8"/>
        <v>151393.61479600001</v>
      </c>
      <c r="F29" s="371">
        <f t="shared" si="8"/>
        <v>4345.3722799999923</v>
      </c>
      <c r="G29" s="371">
        <f t="shared" si="8"/>
        <v>25253.916817000016</v>
      </c>
      <c r="H29" s="371">
        <f t="shared" si="8"/>
        <v>-65792.629927999995</v>
      </c>
      <c r="I29" s="371">
        <f t="shared" si="8"/>
        <v>116940.18077799998</v>
      </c>
      <c r="J29" s="371">
        <f t="shared" si="8"/>
        <v>103254.220412</v>
      </c>
      <c r="K29" s="371">
        <f t="shared" si="8"/>
        <v>116450.32493799999</v>
      </c>
      <c r="L29" s="371">
        <f t="shared" ref="L29:P29" si="9">SUM(L25:L28)</f>
        <v>148178.13434349999</v>
      </c>
      <c r="M29" s="371">
        <f t="shared" si="9"/>
        <v>111998.3357585</v>
      </c>
      <c r="N29" s="371">
        <f t="shared" si="9"/>
        <v>170412.69373450003</v>
      </c>
      <c r="O29" s="371">
        <f t="shared" si="9"/>
        <v>103831.93856450001</v>
      </c>
      <c r="P29" s="371">
        <f t="shared" si="9"/>
        <v>236675.53535450005</v>
      </c>
      <c r="Q29" s="372">
        <f>SUM(Q25:Q28)</f>
        <v>1222941.6378485002</v>
      </c>
      <c r="R29"/>
    </row>
    <row r="30" spans="1:19" s="31" customFormat="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>
      <c r="A31" s="32">
        <v>13</v>
      </c>
      <c r="B31" s="77" t="s">
        <v>165</v>
      </c>
      <c r="D31" s="407">
        <f t="shared" ref="D31:J31" si="10">D22+D29</f>
        <v>130669.20297101745</v>
      </c>
      <c r="E31" s="408">
        <f>E22+E29</f>
        <v>181720.55023541793</v>
      </c>
      <c r="F31" s="408">
        <f t="shared" si="10"/>
        <v>39442.992260879008</v>
      </c>
      <c r="G31" s="408">
        <f t="shared" si="10"/>
        <v>64908.485102512437</v>
      </c>
      <c r="H31" s="408">
        <f t="shared" si="10"/>
        <v>-22488.55545568536</v>
      </c>
      <c r="I31" s="408">
        <f t="shared" si="10"/>
        <v>164005.64188280157</v>
      </c>
      <c r="J31" s="408">
        <f t="shared" si="10"/>
        <v>153407.31005317275</v>
      </c>
      <c r="K31" s="408">
        <f t="shared" ref="K31:Q31" si="11">K22+K29</f>
        <v>170597.3525413248</v>
      </c>
      <c r="L31" s="408">
        <f t="shared" si="11"/>
        <v>205809.09773840185</v>
      </c>
      <c r="M31" s="408">
        <f t="shared" si="11"/>
        <v>173673.47160432642</v>
      </c>
      <c r="N31" s="408">
        <f t="shared" si="11"/>
        <v>235324.86935294245</v>
      </c>
      <c r="O31" s="408">
        <f t="shared" si="11"/>
        <v>187950.93577213606</v>
      </c>
      <c r="P31" s="408">
        <f t="shared" si="11"/>
        <v>324358.44258296868</v>
      </c>
      <c r="Q31" s="409">
        <f t="shared" si="11"/>
        <v>1851872.8905512849</v>
      </c>
      <c r="R31"/>
    </row>
    <row r="32" spans="1:19" s="31" customFormat="1">
      <c r="D32" s="3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R32"/>
    </row>
    <row r="33" spans="1:28" s="31" customFormat="1">
      <c r="D33" s="36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R33"/>
    </row>
    <row r="34" spans="1:28" s="31" customFormat="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R34"/>
    </row>
    <row r="35" spans="1:28" s="31" customFormat="1">
      <c r="B35" s="30" t="s">
        <v>499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>
      <c r="A36" s="159"/>
      <c r="B36" s="16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159"/>
      <c r="B40" s="159"/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3"/>
      <c r="C41" s="16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164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165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3"/>
      <c r="C46" s="23"/>
      <c r="D46" s="23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>
      <c r="A49" s="167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>
      <c r="A50" s="2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36">
      <c r="A51" s="159"/>
      <c r="B51" s="15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S51" s="23"/>
      <c r="T51" s="23"/>
      <c r="U51" s="19"/>
      <c r="V51" s="20"/>
      <c r="W51" s="20"/>
      <c r="X51" s="20"/>
      <c r="Y51" s="20"/>
      <c r="Z51" s="20"/>
      <c r="AA51" s="20"/>
      <c r="AB51" s="20"/>
      <c r="AC51" s="94"/>
      <c r="AD51" s="94"/>
      <c r="AE51" s="94"/>
      <c r="AF51" s="94"/>
      <c r="AG51" s="94"/>
      <c r="AH51" s="94"/>
      <c r="AI51" s="94"/>
      <c r="AJ51" s="94"/>
    </row>
    <row r="52" spans="1:36">
      <c r="A52" s="21"/>
      <c r="B52" s="159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S52" s="23"/>
      <c r="T52" s="23"/>
      <c r="U52" s="21"/>
      <c r="V52" s="22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>
      <c r="A53" s="84"/>
      <c r="B53" s="159"/>
      <c r="C53" s="84"/>
      <c r="D53" s="83"/>
      <c r="E53" s="8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S53" s="23"/>
      <c r="T53" s="23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36">
      <c r="A54" s="21"/>
      <c r="B54" s="159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S54" s="23"/>
      <c r="T54" s="23"/>
      <c r="U54" s="2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>
      <c r="A55" s="159"/>
      <c r="B55" s="15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5"/>
      <c r="AE55" s="25"/>
      <c r="AF55" s="25"/>
      <c r="AG55" s="24"/>
      <c r="AH55" s="24"/>
      <c r="AI55" s="24"/>
      <c r="AJ55" s="24"/>
    </row>
    <row r="56" spans="1:36">
      <c r="A56" s="159"/>
      <c r="B56" s="1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>
      <c r="A57" s="159"/>
      <c r="B57" s="159"/>
      <c r="C57" s="161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4"/>
      <c r="W59" s="24"/>
      <c r="X59" s="24"/>
      <c r="Y59" s="24"/>
      <c r="Z59" s="24"/>
      <c r="AA59" s="24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3"/>
      <c r="W61" s="23"/>
      <c r="X61" s="23"/>
      <c r="Y61" s="23"/>
      <c r="Z61" s="23"/>
      <c r="AA61" s="23"/>
      <c r="AB61" s="25"/>
      <c r="AC61" s="24"/>
      <c r="AD61" s="24"/>
      <c r="AE61" s="24"/>
      <c r="AF61" s="25"/>
      <c r="AG61" s="24"/>
      <c r="AH61" s="24"/>
      <c r="AI61" s="24"/>
      <c r="AJ61" s="24"/>
    </row>
    <row r="62" spans="1:36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1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>
      <c r="A63" s="159"/>
      <c r="B63" s="159"/>
      <c r="C63" s="23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161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5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159"/>
      <c r="B70" s="16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59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159"/>
      <c r="B76" s="169"/>
      <c r="C76" s="2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5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159"/>
      <c r="B79" s="169"/>
      <c r="C79" s="23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59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159"/>
      <c r="B81" s="16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61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59"/>
      <c r="C86" s="17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64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159"/>
      <c r="B88" s="159"/>
      <c r="C88" s="16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11" spans="1:28">
      <c r="A111" s="128"/>
      <c r="B111" s="128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82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34" spans="14:19">
      <c r="N134"/>
      <c r="O134"/>
      <c r="P134"/>
      <c r="Q134"/>
      <c r="S134"/>
    </row>
    <row r="1048576" spans="19:19">
      <c r="S1048576" s="80">
        <f>SUM(D1048576:P1048576)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1 of 17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8" tint="0.39997558519241921"/>
    <pageSetUpPr fitToPage="1"/>
  </sheetPr>
  <dimension ref="A1:AJ1048492"/>
  <sheetViews>
    <sheetView zoomScale="70" zoomScaleNormal="70" workbookViewId="0"/>
  </sheetViews>
  <sheetFormatPr defaultColWidth="9.140625" defaultRowHeight="20.25"/>
  <cols>
    <col min="1" max="1" width="9" style="72" customWidth="1"/>
    <col min="2" max="2" width="9.140625" style="72"/>
    <col min="3" max="3" width="60.85546875" style="72" customWidth="1"/>
    <col min="4" max="17" width="19.140625" style="72" customWidth="1"/>
    <col min="18" max="18" width="20.85546875" bestFit="1" customWidth="1"/>
    <col min="19" max="19" width="18.85546875" style="72" customWidth="1"/>
    <col min="20" max="20" width="18" style="72" customWidth="1"/>
    <col min="21" max="21" width="17" style="72" customWidth="1"/>
    <col min="22" max="22" width="14.85546875" style="72" bestFit="1" customWidth="1"/>
    <col min="23" max="23" width="14.5703125" style="72" bestFit="1" customWidth="1"/>
    <col min="24" max="24" width="13.140625" style="72" bestFit="1" customWidth="1"/>
    <col min="25" max="25" width="14" style="72" customWidth="1"/>
    <col min="26" max="26" width="15.5703125" style="72" customWidth="1"/>
    <col min="27" max="27" width="14.42578125" style="72" bestFit="1" customWidth="1"/>
    <col min="28" max="28" width="14.85546875" style="72" customWidth="1"/>
    <col min="29" max="29" width="15.85546875" style="72" customWidth="1"/>
    <col min="30" max="30" width="13.42578125" style="72" customWidth="1"/>
    <col min="31" max="31" width="12.140625" style="72" bestFit="1" customWidth="1"/>
    <col min="32" max="32" width="16.5703125" style="72" customWidth="1"/>
    <col min="33" max="33" width="14.42578125" style="72" customWidth="1"/>
    <col min="34" max="34" width="15.140625" style="72" customWidth="1"/>
    <col min="35" max="35" width="9.42578125" style="72" bestFit="1" customWidth="1"/>
    <col min="36" max="36" width="12.85546875" style="72" customWidth="1"/>
    <col min="37" max="16384" width="9.140625" style="72"/>
  </cols>
  <sheetData>
    <row r="1" spans="1:36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6">
      <c r="A3" s="193" t="s">
        <v>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>
      <c r="D5" s="226"/>
      <c r="E5" s="227"/>
      <c r="F5" s="227"/>
      <c r="G5" s="227"/>
      <c r="H5" s="227"/>
      <c r="I5" s="227"/>
      <c r="J5" s="227"/>
      <c r="K5" s="227"/>
      <c r="L5" s="228"/>
      <c r="M5" s="228"/>
      <c r="N5" s="228"/>
      <c r="O5" s="228"/>
      <c r="P5" s="228"/>
      <c r="Q5" s="229"/>
      <c r="R5"/>
      <c r="U5" s="15"/>
      <c r="V5" s="14"/>
      <c r="W5" s="14"/>
      <c r="X5" s="14"/>
      <c r="Y5" s="14"/>
      <c r="Z5" s="14"/>
      <c r="AA5" s="14"/>
      <c r="AB5" s="14"/>
      <c r="AC5" s="677"/>
      <c r="AD5" s="677"/>
      <c r="AE5" s="677"/>
      <c r="AF5" s="677"/>
      <c r="AG5" s="677"/>
      <c r="AH5" s="677"/>
      <c r="AI5" s="677"/>
      <c r="AJ5" s="677"/>
    </row>
    <row r="6" spans="1:36" s="31" customFormat="1">
      <c r="A6" s="224" t="s">
        <v>4</v>
      </c>
      <c r="B6" s="32"/>
      <c r="D6" s="131">
        <v>2017</v>
      </c>
      <c r="E6" s="132">
        <v>2018</v>
      </c>
      <c r="F6" s="132">
        <f>$E$6</f>
        <v>2018</v>
      </c>
      <c r="G6" s="132">
        <f>$E$6</f>
        <v>2018</v>
      </c>
      <c r="H6" s="132">
        <f>$E$6</f>
        <v>2018</v>
      </c>
      <c r="I6" s="132">
        <f>$E$6</f>
        <v>2018</v>
      </c>
      <c r="J6" s="132">
        <f>$E$6</f>
        <v>2018</v>
      </c>
      <c r="K6" s="132">
        <f t="shared" ref="K6:Q6" si="0">$E$6</f>
        <v>2018</v>
      </c>
      <c r="L6" s="132">
        <f t="shared" si="0"/>
        <v>2018</v>
      </c>
      <c r="M6" s="132">
        <f t="shared" si="0"/>
        <v>2018</v>
      </c>
      <c r="N6" s="132">
        <f t="shared" si="0"/>
        <v>2018</v>
      </c>
      <c r="O6" s="132">
        <f t="shared" si="0"/>
        <v>2018</v>
      </c>
      <c r="P6" s="132">
        <f t="shared" si="0"/>
        <v>2018</v>
      </c>
      <c r="Q6" s="133">
        <f t="shared" si="0"/>
        <v>2018</v>
      </c>
      <c r="R6"/>
      <c r="U6" s="95"/>
      <c r="V6" s="16"/>
      <c r="W6" s="95"/>
      <c r="X6" s="95"/>
      <c r="Y6" s="95"/>
      <c r="Z6" s="95"/>
      <c r="AA6" s="95"/>
      <c r="AB6" s="95"/>
      <c r="AC6" s="95"/>
      <c r="AD6" s="95"/>
      <c r="AE6" s="95"/>
      <c r="AF6" s="16"/>
      <c r="AG6" s="95"/>
      <c r="AH6" s="95"/>
      <c r="AI6" s="95"/>
      <c r="AJ6" s="95"/>
    </row>
    <row r="7" spans="1:36" s="31" customFormat="1">
      <c r="A7" s="74" t="s">
        <v>5</v>
      </c>
      <c r="B7" s="32"/>
      <c r="C7" s="74" t="s">
        <v>6</v>
      </c>
      <c r="D7" s="117" t="s">
        <v>107</v>
      </c>
      <c r="E7" s="75" t="s">
        <v>95</v>
      </c>
      <c r="F7" s="75" t="s">
        <v>98</v>
      </c>
      <c r="G7" s="75" t="s">
        <v>99</v>
      </c>
      <c r="H7" s="75" t="s">
        <v>100</v>
      </c>
      <c r="I7" s="75" t="s">
        <v>88</v>
      </c>
      <c r="J7" s="75" t="s">
        <v>101</v>
      </c>
      <c r="K7" s="75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347</v>
      </c>
      <c r="R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16"/>
      <c r="AG7" s="95"/>
      <c r="AH7" s="95"/>
      <c r="AI7" s="95"/>
      <c r="AJ7" s="95"/>
    </row>
    <row r="8" spans="1:36" s="31" customFormat="1">
      <c r="A8" s="224"/>
      <c r="B8" s="32"/>
      <c r="C8" s="76">
        <v>-1</v>
      </c>
      <c r="D8" s="119">
        <v>-2</v>
      </c>
      <c r="E8" s="120">
        <v>-3</v>
      </c>
      <c r="F8" s="120">
        <v>-4</v>
      </c>
      <c r="G8" s="120">
        <v>-5</v>
      </c>
      <c r="H8" s="120">
        <v>-6</v>
      </c>
      <c r="I8" s="120">
        <v>-7</v>
      </c>
      <c r="J8" s="120">
        <v>-8</v>
      </c>
      <c r="K8" s="120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5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>
      <c r="A9" s="32"/>
      <c r="B9" s="32"/>
      <c r="D9" s="12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3"/>
      <c r="R9"/>
      <c r="U9" s="95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>
      <c r="A10" s="32"/>
      <c r="B10" s="77" t="s">
        <v>51</v>
      </c>
      <c r="D10" s="12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67"/>
      <c r="Q10" s="123"/>
      <c r="R10"/>
      <c r="U10" s="95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>
      <c r="A11" s="32">
        <v>1</v>
      </c>
      <c r="B11" s="32"/>
      <c r="C11" s="78" t="s">
        <v>459</v>
      </c>
      <c r="D11" s="370">
        <f>'Rev Req 2017-Trans'!P11</f>
        <v>0</v>
      </c>
      <c r="E11" s="371">
        <f>'Cap&amp;OpEx 2018'!C11+D11</f>
        <v>0</v>
      </c>
      <c r="F11" s="371">
        <f>'Cap&amp;OpEx 2018'!D11+E11</f>
        <v>0</v>
      </c>
      <c r="G11" s="371">
        <f>'Cap&amp;OpEx 2018'!E11+F11</f>
        <v>0</v>
      </c>
      <c r="H11" s="371">
        <f>'Cap&amp;OpEx 2018'!F11+G11</f>
        <v>0</v>
      </c>
      <c r="I11" s="371">
        <f>'Cap&amp;OpEx 2018'!G11+H11</f>
        <v>0</v>
      </c>
      <c r="J11" s="371">
        <f>'Cap&amp;OpEx 2018'!H11+I11</f>
        <v>0</v>
      </c>
      <c r="K11" s="371">
        <f>'Cap&amp;OpEx 2018'!I11+J11</f>
        <v>0</v>
      </c>
      <c r="L11" s="371">
        <f>'Cap&amp;OpEx 2018'!J11+K11</f>
        <v>0</v>
      </c>
      <c r="M11" s="371">
        <f>'Cap&amp;OpEx 2018'!K11+L11</f>
        <v>0</v>
      </c>
      <c r="N11" s="371">
        <f>'Cap&amp;OpEx 2018'!L11+M11</f>
        <v>0</v>
      </c>
      <c r="O11" s="371">
        <f>'Cap&amp;OpEx 2018'!M11+N11</f>
        <v>0</v>
      </c>
      <c r="P11" s="371">
        <f>'Cap&amp;OpEx 2018'!N11+O11</f>
        <v>0</v>
      </c>
      <c r="Q11" s="372">
        <f>AVERAGE(D11:P11)</f>
        <v>0</v>
      </c>
      <c r="R11"/>
      <c r="U11" s="95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>
      <c r="A12" s="32">
        <v>2</v>
      </c>
      <c r="B12" s="32"/>
      <c r="C12" s="31" t="s">
        <v>19</v>
      </c>
      <c r="D12" s="370">
        <v>0</v>
      </c>
      <c r="E12" s="371">
        <f>'Cap&amp;OpEx 2018'!C26+D12</f>
        <v>0</v>
      </c>
      <c r="F12" s="371">
        <f>'Cap&amp;OpEx 2018'!D26+E12</f>
        <v>0</v>
      </c>
      <c r="G12" s="371">
        <f>'Cap&amp;OpEx 2018'!E26+F12</f>
        <v>0</v>
      </c>
      <c r="H12" s="371">
        <f>'Cap&amp;OpEx 2018'!F26+G12</f>
        <v>0</v>
      </c>
      <c r="I12" s="371">
        <f>'Cap&amp;OpEx 2018'!G26+H12</f>
        <v>0</v>
      </c>
      <c r="J12" s="371">
        <f>'Cap&amp;OpEx 2018'!H26+I12</f>
        <v>0</v>
      </c>
      <c r="K12" s="371">
        <f>'Cap&amp;OpEx 2018'!I26+J12</f>
        <v>0</v>
      </c>
      <c r="L12" s="371">
        <f>'Cap&amp;OpEx 2018'!J26+K12</f>
        <v>0</v>
      </c>
      <c r="M12" s="371">
        <f>'Cap&amp;OpEx 2018'!K26+L12</f>
        <v>0</v>
      </c>
      <c r="N12" s="371">
        <f>'Cap&amp;OpEx 2018'!L26+M12</f>
        <v>0</v>
      </c>
      <c r="O12" s="371">
        <f>'Cap&amp;OpEx 2018'!M26+N12</f>
        <v>0</v>
      </c>
      <c r="P12" s="371">
        <f>'Cap&amp;OpEx 2018'!N26+O12</f>
        <v>0</v>
      </c>
      <c r="Q12" s="372">
        <f t="shared" ref="Q12:Q13" si="1">AVERAGE(D12:P12)</f>
        <v>0</v>
      </c>
      <c r="R12"/>
      <c r="U12" s="95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>
      <c r="A13" s="32">
        <v>3</v>
      </c>
      <c r="B13" s="32"/>
      <c r="C13" s="31" t="s">
        <v>52</v>
      </c>
      <c r="D13" s="375">
        <v>0</v>
      </c>
      <c r="E13" s="376">
        <v>0</v>
      </c>
      <c r="F13" s="376">
        <v>0</v>
      </c>
      <c r="G13" s="376">
        <v>0</v>
      </c>
      <c r="H13" s="376">
        <v>0</v>
      </c>
      <c r="I13" s="376">
        <v>0</v>
      </c>
      <c r="J13" s="376">
        <v>0</v>
      </c>
      <c r="K13" s="376">
        <v>0</v>
      </c>
      <c r="L13" s="376">
        <v>0</v>
      </c>
      <c r="M13" s="376">
        <v>0</v>
      </c>
      <c r="N13" s="376">
        <v>0</v>
      </c>
      <c r="O13" s="376">
        <v>0</v>
      </c>
      <c r="P13" s="376">
        <v>0</v>
      </c>
      <c r="Q13" s="377">
        <f t="shared" si="1"/>
        <v>0</v>
      </c>
      <c r="R13"/>
      <c r="U13" s="95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>
      <c r="A14" s="32">
        <v>4</v>
      </c>
      <c r="B14" s="32"/>
      <c r="C14" s="31" t="s">
        <v>53</v>
      </c>
      <c r="D14" s="370">
        <f>SUM(D11:D13)</f>
        <v>0</v>
      </c>
      <c r="E14" s="371">
        <f t="shared" ref="E14:J14" si="2">SUM(E11:E13)</f>
        <v>0</v>
      </c>
      <c r="F14" s="371">
        <f t="shared" si="2"/>
        <v>0</v>
      </c>
      <c r="G14" s="371">
        <f t="shared" si="2"/>
        <v>0</v>
      </c>
      <c r="H14" s="371">
        <f t="shared" si="2"/>
        <v>0</v>
      </c>
      <c r="I14" s="371">
        <f t="shared" si="2"/>
        <v>0</v>
      </c>
      <c r="J14" s="371">
        <f t="shared" si="2"/>
        <v>0</v>
      </c>
      <c r="K14" s="371">
        <f t="shared" ref="K14:Q14" si="3">SUM(K11:K13)</f>
        <v>0</v>
      </c>
      <c r="L14" s="371">
        <f t="shared" si="3"/>
        <v>0</v>
      </c>
      <c r="M14" s="371">
        <f t="shared" si="3"/>
        <v>0</v>
      </c>
      <c r="N14" s="371">
        <f t="shared" si="3"/>
        <v>0</v>
      </c>
      <c r="O14" s="371">
        <f t="shared" si="3"/>
        <v>0</v>
      </c>
      <c r="P14" s="371">
        <f t="shared" si="3"/>
        <v>0</v>
      </c>
      <c r="Q14" s="372">
        <f t="shared" si="3"/>
        <v>0</v>
      </c>
      <c r="R14"/>
      <c r="U14" s="95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>
      <c r="A15" s="32"/>
      <c r="B15" s="32"/>
      <c r="D15" s="124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125"/>
      <c r="R15"/>
      <c r="U15" s="95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>
      <c r="A16" s="32">
        <v>5</v>
      </c>
      <c r="B16" s="32"/>
      <c r="C16" s="31" t="s">
        <v>54</v>
      </c>
      <c r="D16" s="375">
        <v>0</v>
      </c>
      <c r="E16" s="376">
        <v>0</v>
      </c>
      <c r="F16" s="376">
        <v>0</v>
      </c>
      <c r="G16" s="376">
        <v>0</v>
      </c>
      <c r="H16" s="376">
        <v>0</v>
      </c>
      <c r="I16" s="376">
        <v>0</v>
      </c>
      <c r="J16" s="376">
        <v>0</v>
      </c>
      <c r="K16" s="376">
        <v>0</v>
      </c>
      <c r="L16" s="376">
        <v>0</v>
      </c>
      <c r="M16" s="376">
        <v>0</v>
      </c>
      <c r="N16" s="376">
        <v>0</v>
      </c>
      <c r="O16" s="376">
        <v>0</v>
      </c>
      <c r="P16" s="376">
        <v>0</v>
      </c>
      <c r="Q16" s="377">
        <f>AVERAGE(D16:P16)</f>
        <v>0</v>
      </c>
      <c r="R16"/>
      <c r="U16" s="95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24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125"/>
      <c r="R17"/>
    </row>
    <row r="18" spans="1:19" s="31" customFormat="1">
      <c r="A18" s="32">
        <v>6</v>
      </c>
      <c r="B18" s="32"/>
      <c r="C18" s="78" t="s">
        <v>55</v>
      </c>
      <c r="D18" s="370">
        <f>SUM(D14:D16)</f>
        <v>0</v>
      </c>
      <c r="E18" s="371">
        <f t="shared" ref="E18:J18" si="4">SUM(E14:E16)</f>
        <v>0</v>
      </c>
      <c r="F18" s="371">
        <f t="shared" si="4"/>
        <v>0</v>
      </c>
      <c r="G18" s="371">
        <f t="shared" si="4"/>
        <v>0</v>
      </c>
      <c r="H18" s="371">
        <f t="shared" si="4"/>
        <v>0</v>
      </c>
      <c r="I18" s="371">
        <f t="shared" si="4"/>
        <v>0</v>
      </c>
      <c r="J18" s="371">
        <f t="shared" si="4"/>
        <v>0</v>
      </c>
      <c r="K18" s="371">
        <f t="shared" ref="K18:P18" si="5">SUM(K14:K16)</f>
        <v>0</v>
      </c>
      <c r="L18" s="371">
        <f t="shared" si="5"/>
        <v>0</v>
      </c>
      <c r="M18" s="371">
        <f t="shared" si="5"/>
        <v>0</v>
      </c>
      <c r="N18" s="371">
        <f t="shared" si="5"/>
        <v>0</v>
      </c>
      <c r="O18" s="371">
        <f t="shared" si="5"/>
        <v>0</v>
      </c>
      <c r="P18" s="371">
        <f t="shared" si="5"/>
        <v>0</v>
      </c>
      <c r="Q18" s="372">
        <f>SUM(Q14:Q16)</f>
        <v>0</v>
      </c>
      <c r="R18"/>
      <c r="S18" s="80"/>
    </row>
    <row r="19" spans="1:19" s="31" customFormat="1">
      <c r="A19" s="32"/>
      <c r="B19" s="32"/>
      <c r="D19" s="12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3"/>
      <c r="R19"/>
    </row>
    <row r="20" spans="1:19" s="31" customFormat="1">
      <c r="A20" s="32">
        <v>7</v>
      </c>
      <c r="B20" s="32"/>
      <c r="C20" s="31" t="s">
        <v>56</v>
      </c>
      <c r="D20" s="126">
        <v>8.5431530257663712E-3</v>
      </c>
      <c r="E20" s="37">
        <v>7.2333333333333338E-3</v>
      </c>
      <c r="F20" s="37">
        <v>7.2333333333333338E-3</v>
      </c>
      <c r="G20" s="37">
        <v>7.2333333333333338E-3</v>
      </c>
      <c r="H20" s="37">
        <v>7.2333333333333338E-3</v>
      </c>
      <c r="I20" s="37">
        <v>7.2333333333333338E-3</v>
      </c>
      <c r="J20" s="37">
        <v>7.2333333333333338E-3</v>
      </c>
      <c r="K20" s="37">
        <v>7.2333333333333338E-3</v>
      </c>
      <c r="L20" s="37">
        <v>7.2333333333333338E-3</v>
      </c>
      <c r="M20" s="37">
        <v>7.2333333333333338E-3</v>
      </c>
      <c r="N20" s="37">
        <v>7.2333333333333338E-3</v>
      </c>
      <c r="O20" s="37">
        <v>7.2333333333333338E-3</v>
      </c>
      <c r="P20" s="37">
        <v>7.2333333333333338E-3</v>
      </c>
      <c r="Q20" s="127">
        <f>SUM(E20:P20)</f>
        <v>8.6799999999999988E-2</v>
      </c>
      <c r="R20"/>
    </row>
    <row r="21" spans="1:19" s="31" customFormat="1">
      <c r="A21" s="32"/>
      <c r="B21" s="32"/>
      <c r="D21" s="23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3"/>
      <c r="R21"/>
    </row>
    <row r="22" spans="1:19" s="31" customFormat="1">
      <c r="A22" s="32">
        <v>8</v>
      </c>
      <c r="B22" s="32"/>
      <c r="C22" s="31" t="s">
        <v>57</v>
      </c>
      <c r="D22" s="401">
        <f t="shared" ref="D22:J22" si="6">D18*D20</f>
        <v>0</v>
      </c>
      <c r="E22" s="402">
        <f>E18*E20</f>
        <v>0</v>
      </c>
      <c r="F22" s="402">
        <f t="shared" si="6"/>
        <v>0</v>
      </c>
      <c r="G22" s="402">
        <f t="shared" si="6"/>
        <v>0</v>
      </c>
      <c r="H22" s="402">
        <f t="shared" si="6"/>
        <v>0</v>
      </c>
      <c r="I22" s="402">
        <f t="shared" si="6"/>
        <v>0</v>
      </c>
      <c r="J22" s="402">
        <f t="shared" si="6"/>
        <v>0</v>
      </c>
      <c r="K22" s="402">
        <f t="shared" ref="K22:Q22" si="7">K18*K20</f>
        <v>0</v>
      </c>
      <c r="L22" s="402">
        <f t="shared" si="7"/>
        <v>0</v>
      </c>
      <c r="M22" s="402">
        <f t="shared" si="7"/>
        <v>0</v>
      </c>
      <c r="N22" s="402">
        <f t="shared" si="7"/>
        <v>0</v>
      </c>
      <c r="O22" s="402">
        <f t="shared" si="7"/>
        <v>0</v>
      </c>
      <c r="P22" s="402">
        <f t="shared" si="7"/>
        <v>0</v>
      </c>
      <c r="Q22" s="403">
        <f t="shared" si="7"/>
        <v>0</v>
      </c>
      <c r="R22"/>
    </row>
    <row r="23" spans="1:19" s="31" customFormat="1">
      <c r="A23" s="32"/>
      <c r="B23" s="32"/>
      <c r="D23" s="2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3"/>
      <c r="R23"/>
    </row>
    <row r="24" spans="1:19" s="31" customFormat="1">
      <c r="A24" s="32"/>
      <c r="B24" s="77" t="s">
        <v>58</v>
      </c>
      <c r="D24" s="12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3"/>
      <c r="R24"/>
    </row>
    <row r="25" spans="1:19" s="31" customFormat="1">
      <c r="A25" s="32">
        <v>9</v>
      </c>
      <c r="B25" s="32"/>
      <c r="C25" s="31" t="s">
        <v>0</v>
      </c>
      <c r="D25" s="373">
        <v>0</v>
      </c>
      <c r="E25" s="374">
        <v>0</v>
      </c>
      <c r="F25" s="374">
        <v>0</v>
      </c>
      <c r="G25" s="374">
        <v>0</v>
      </c>
      <c r="H25" s="374">
        <v>0</v>
      </c>
      <c r="I25" s="374">
        <v>0</v>
      </c>
      <c r="J25" s="374">
        <v>0</v>
      </c>
      <c r="K25" s="374">
        <v>0</v>
      </c>
      <c r="L25" s="374">
        <v>0</v>
      </c>
      <c r="M25" s="374">
        <v>0</v>
      </c>
      <c r="N25" s="374">
        <v>0</v>
      </c>
      <c r="O25" s="374">
        <v>0</v>
      </c>
      <c r="P25" s="374">
        <v>0</v>
      </c>
      <c r="Q25" s="372">
        <f>SUM(E25:P25)</f>
        <v>0</v>
      </c>
      <c r="R25"/>
      <c r="S25" s="80"/>
    </row>
    <row r="26" spans="1:19" s="31" customFormat="1">
      <c r="A26" s="32">
        <v>10</v>
      </c>
      <c r="B26" s="32"/>
      <c r="C26" s="13" t="s">
        <v>59</v>
      </c>
      <c r="D26" s="373">
        <v>0</v>
      </c>
      <c r="E26" s="374">
        <v>0</v>
      </c>
      <c r="F26" s="374">
        <v>0</v>
      </c>
      <c r="G26" s="374">
        <v>0</v>
      </c>
      <c r="H26" s="374">
        <v>0</v>
      </c>
      <c r="I26" s="374">
        <v>0</v>
      </c>
      <c r="J26" s="374">
        <v>0</v>
      </c>
      <c r="K26" s="374">
        <v>0</v>
      </c>
      <c r="L26" s="374">
        <v>0</v>
      </c>
      <c r="M26" s="374">
        <v>0</v>
      </c>
      <c r="N26" s="374">
        <v>0</v>
      </c>
      <c r="O26" s="374">
        <v>0</v>
      </c>
      <c r="P26" s="374">
        <v>0</v>
      </c>
      <c r="Q26" s="372">
        <f>SUM(E26:P26)</f>
        <v>0</v>
      </c>
      <c r="R26"/>
      <c r="S26" s="80"/>
    </row>
    <row r="27" spans="1:19" s="31" customFormat="1">
      <c r="A27" s="32">
        <v>11</v>
      </c>
      <c r="B27" s="32"/>
      <c r="C27" s="31" t="s">
        <v>178</v>
      </c>
      <c r="D27" s="373">
        <v>0</v>
      </c>
      <c r="E27" s="371">
        <f>'Cap&amp;OpEx 2018'!C33</f>
        <v>440.78</v>
      </c>
      <c r="F27" s="371">
        <f>'Cap&amp;OpEx 2018'!D33</f>
        <v>440.78</v>
      </c>
      <c r="G27" s="371">
        <f>'Cap&amp;OpEx 2018'!E33</f>
        <v>440.78</v>
      </c>
      <c r="H27" s="371">
        <f>'Cap&amp;OpEx 2018'!F33</f>
        <v>440.78</v>
      </c>
      <c r="I27" s="371">
        <f>'Cap&amp;OpEx 2018'!G33</f>
        <v>440.78</v>
      </c>
      <c r="J27" s="371">
        <f>'Cap&amp;OpEx 2018'!H33</f>
        <v>440.78</v>
      </c>
      <c r="K27" s="371">
        <f>'Cap&amp;OpEx 2018'!I33</f>
        <v>440.78</v>
      </c>
      <c r="L27" s="371">
        <f>'Cap&amp;OpEx 2018'!J33</f>
        <v>440.78</v>
      </c>
      <c r="M27" s="371">
        <f>'Cap&amp;OpEx 2018'!K33</f>
        <v>440.78</v>
      </c>
      <c r="N27" s="371">
        <f>'Cap&amp;OpEx 2018'!L33</f>
        <v>440.78</v>
      </c>
      <c r="O27" s="371">
        <f>'Cap&amp;OpEx 2018'!M33</f>
        <v>440.78</v>
      </c>
      <c r="P27" s="371">
        <f>'Cap&amp;OpEx 2018'!N33</f>
        <v>440.78</v>
      </c>
      <c r="Q27" s="372">
        <f>SUM(E27:P27)</f>
        <v>5289.3599999999979</v>
      </c>
      <c r="R27"/>
      <c r="S27" s="80"/>
    </row>
    <row r="28" spans="1:19" s="31" customFormat="1">
      <c r="A28" s="32"/>
      <c r="B28" s="32"/>
      <c r="D28" s="12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25"/>
      <c r="R28"/>
    </row>
    <row r="29" spans="1:19" s="31" customFormat="1">
      <c r="A29" s="32">
        <v>12</v>
      </c>
      <c r="B29" s="32"/>
      <c r="C29" s="31" t="s">
        <v>60</v>
      </c>
      <c r="D29" s="370">
        <f>SUM(D25:D28)</f>
        <v>0</v>
      </c>
      <c r="E29" s="371">
        <f t="shared" ref="E29:J29" si="8">SUM(E25:E28)</f>
        <v>440.78</v>
      </c>
      <c r="F29" s="371">
        <f t="shared" si="8"/>
        <v>440.78</v>
      </c>
      <c r="G29" s="371">
        <f t="shared" si="8"/>
        <v>440.78</v>
      </c>
      <c r="H29" s="371">
        <f t="shared" si="8"/>
        <v>440.78</v>
      </c>
      <c r="I29" s="371">
        <f t="shared" si="8"/>
        <v>440.78</v>
      </c>
      <c r="J29" s="371">
        <f t="shared" si="8"/>
        <v>440.78</v>
      </c>
      <c r="K29" s="371">
        <f t="shared" ref="K29:Q29" si="9">SUM(K25:K28)</f>
        <v>440.78</v>
      </c>
      <c r="L29" s="371">
        <f t="shared" si="9"/>
        <v>440.78</v>
      </c>
      <c r="M29" s="371">
        <f t="shared" si="9"/>
        <v>440.78</v>
      </c>
      <c r="N29" s="371">
        <f t="shared" si="9"/>
        <v>440.78</v>
      </c>
      <c r="O29" s="371">
        <f t="shared" si="9"/>
        <v>440.78</v>
      </c>
      <c r="P29" s="371">
        <f t="shared" si="9"/>
        <v>440.78</v>
      </c>
      <c r="Q29" s="372">
        <f t="shared" si="9"/>
        <v>5289.3599999999979</v>
      </c>
      <c r="R29"/>
    </row>
    <row r="30" spans="1:19" s="31" customFormat="1">
      <c r="A30" s="32"/>
      <c r="B30" s="32"/>
      <c r="D30" s="12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3"/>
      <c r="R30"/>
    </row>
    <row r="31" spans="1:19" s="31" customFormat="1">
      <c r="A31" s="32">
        <v>13</v>
      </c>
      <c r="B31" s="77" t="s">
        <v>165</v>
      </c>
      <c r="D31" s="407">
        <f>D22+D29</f>
        <v>0</v>
      </c>
      <c r="E31" s="408">
        <f t="shared" ref="E31:J31" si="10">E22+E29</f>
        <v>440.78</v>
      </c>
      <c r="F31" s="408">
        <f t="shared" si="10"/>
        <v>440.78</v>
      </c>
      <c r="G31" s="408">
        <f t="shared" si="10"/>
        <v>440.78</v>
      </c>
      <c r="H31" s="408">
        <f t="shared" si="10"/>
        <v>440.78</v>
      </c>
      <c r="I31" s="408">
        <f t="shared" si="10"/>
        <v>440.78</v>
      </c>
      <c r="J31" s="408">
        <f t="shared" si="10"/>
        <v>440.78</v>
      </c>
      <c r="K31" s="408">
        <f t="shared" ref="K31:Q31" si="11">K22+K29</f>
        <v>440.78</v>
      </c>
      <c r="L31" s="408">
        <f t="shared" si="11"/>
        <v>440.78</v>
      </c>
      <c r="M31" s="408">
        <f t="shared" si="11"/>
        <v>440.78</v>
      </c>
      <c r="N31" s="408">
        <f t="shared" si="11"/>
        <v>440.78</v>
      </c>
      <c r="O31" s="408">
        <f t="shared" si="11"/>
        <v>440.78</v>
      </c>
      <c r="P31" s="408">
        <f t="shared" si="11"/>
        <v>440.78</v>
      </c>
      <c r="Q31" s="409">
        <f t="shared" si="11"/>
        <v>5289.3599999999979</v>
      </c>
      <c r="R31"/>
    </row>
    <row r="32" spans="1:19" s="31" customFormat="1">
      <c r="A32" s="32"/>
      <c r="B32" s="32"/>
      <c r="D32" s="80"/>
      <c r="P32" s="80"/>
      <c r="R32"/>
    </row>
    <row r="33" spans="1:18" customFormat="1" ht="21" customHeight="1"/>
    <row r="34" spans="1:18" s="31" customFormat="1">
      <c r="D34" s="3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36"/>
      <c r="Q34" s="36"/>
      <c r="R34"/>
    </row>
    <row r="35" spans="1:18" s="31" customFormat="1">
      <c r="A35" s="79"/>
      <c r="B35" s="30" t="s">
        <v>499</v>
      </c>
      <c r="Q35" s="80"/>
      <c r="R35"/>
    </row>
    <row r="1048492" spans="19:19">
      <c r="S1048492" s="80">
        <f>SUM(D1048492:P1048576)</f>
        <v>0</v>
      </c>
    </row>
  </sheetData>
  <mergeCells count="1">
    <mergeCell ref="AC5:AJ5"/>
  </mergeCells>
  <pageMargins left="0.7" right="0.7" top="0.75" bottom="0.75" header="0.3" footer="0.3"/>
  <pageSetup scale="36" orientation="landscape" r:id="rId1"/>
  <headerFooter scaleWithDoc="0">
    <oddFooter>&amp;R&amp;"Times New Roman,Bold"Exhibit 4
Page 2 of 17</oddFooter>
  </headerFooter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  <pageSetUpPr fitToPage="1"/>
  </sheetPr>
  <dimension ref="A1:H45"/>
  <sheetViews>
    <sheetView zoomScaleNormal="100" zoomScaleSheetLayoutView="85" workbookViewId="0"/>
  </sheetViews>
  <sheetFormatPr defaultColWidth="9.140625" defaultRowHeight="12.75"/>
  <cols>
    <col min="1" max="1" width="20.85546875" style="307" customWidth="1"/>
    <col min="2" max="2" width="14.140625" style="307" customWidth="1"/>
    <col min="3" max="3" width="15.5703125" style="307" customWidth="1"/>
    <col min="4" max="6" width="14.85546875" style="307" customWidth="1"/>
    <col min="7" max="7" width="15.85546875" style="272" customWidth="1"/>
    <col min="8" max="8" width="9.140625" style="272" customWidth="1"/>
    <col min="9" max="9" width="9.140625" style="272"/>
    <col min="10" max="10" width="9.140625" style="272" customWidth="1"/>
    <col min="11" max="16384" width="9.140625" style="272"/>
  </cols>
  <sheetData>
    <row r="1" spans="1:8" ht="15.75">
      <c r="A1" s="413" t="s">
        <v>67</v>
      </c>
      <c r="B1" s="304"/>
      <c r="C1" s="304"/>
      <c r="D1" s="304"/>
      <c r="E1" s="304"/>
      <c r="F1" s="304"/>
      <c r="G1" s="305"/>
    </row>
    <row r="2" spans="1:8" ht="15.75" customHeight="1">
      <c r="A2" s="303" t="s">
        <v>371</v>
      </c>
      <c r="B2" s="303"/>
      <c r="C2" s="303"/>
      <c r="D2" s="304"/>
      <c r="E2" s="304"/>
      <c r="F2" s="304"/>
      <c r="G2" s="305"/>
    </row>
    <row r="3" spans="1:8" ht="15.75" customHeight="1">
      <c r="A3" s="306" t="s">
        <v>629</v>
      </c>
      <c r="B3" s="304"/>
      <c r="C3" s="306"/>
      <c r="D3" s="306"/>
      <c r="E3" s="304"/>
      <c r="F3" s="304"/>
      <c r="G3" s="305"/>
    </row>
    <row r="4" spans="1:8" ht="15.75" customHeight="1"/>
    <row r="5" spans="1:8" ht="15.75" customHeight="1"/>
    <row r="6" spans="1:8" ht="15.75" customHeight="1">
      <c r="A6" s="308" t="s">
        <v>372</v>
      </c>
      <c r="B6" s="309" t="s">
        <v>373</v>
      </c>
      <c r="C6" s="309" t="s">
        <v>374</v>
      </c>
      <c r="D6" s="309" t="s">
        <v>375</v>
      </c>
      <c r="E6" s="309" t="s">
        <v>376</v>
      </c>
      <c r="F6" s="309" t="s">
        <v>377</v>
      </c>
      <c r="G6" s="309" t="s">
        <v>378</v>
      </c>
    </row>
    <row r="7" spans="1:8" s="307" customFormat="1" ht="15.95" customHeight="1">
      <c r="A7" s="671" t="s">
        <v>379</v>
      </c>
      <c r="B7" s="670" t="s">
        <v>160</v>
      </c>
      <c r="C7" s="670" t="s">
        <v>380</v>
      </c>
      <c r="D7" s="670" t="s">
        <v>381</v>
      </c>
      <c r="E7" s="670" t="s">
        <v>382</v>
      </c>
      <c r="F7" s="670" t="s">
        <v>383</v>
      </c>
      <c r="G7" s="670" t="s">
        <v>384</v>
      </c>
    </row>
    <row r="8" spans="1:8" s="307" customFormat="1" ht="15.95" customHeight="1">
      <c r="A8" s="671"/>
      <c r="B8" s="671"/>
      <c r="C8" s="671"/>
      <c r="D8" s="671"/>
      <c r="E8" s="671"/>
      <c r="F8" s="673"/>
      <c r="G8" s="671"/>
    </row>
    <row r="9" spans="1:8" s="307" customFormat="1">
      <c r="A9" s="672"/>
      <c r="B9" s="672"/>
      <c r="C9" s="672"/>
      <c r="D9" s="672"/>
      <c r="E9" s="672"/>
      <c r="F9" s="672"/>
      <c r="G9" s="672"/>
    </row>
    <row r="10" spans="1:8" s="312" customFormat="1" ht="15.75" customHeight="1">
      <c r="A10" s="310"/>
      <c r="B10" s="311"/>
      <c r="C10" s="311"/>
      <c r="D10" s="311" t="s">
        <v>385</v>
      </c>
      <c r="E10" s="311"/>
      <c r="F10" s="311"/>
      <c r="G10" s="310" t="s">
        <v>386</v>
      </c>
    </row>
    <row r="11" spans="1:8" ht="15.95" customHeight="1">
      <c r="A11" s="335">
        <v>43831</v>
      </c>
      <c r="B11" s="313">
        <f>RevReq!I14</f>
        <v>864165.77401732025</v>
      </c>
      <c r="C11" s="313">
        <v>-71209.78</v>
      </c>
      <c r="D11" s="313">
        <f t="shared" ref="D11:D22" si="0">B11+C11</f>
        <v>792955.99401732022</v>
      </c>
      <c r="E11" s="313">
        <v>458853.11</v>
      </c>
      <c r="F11" s="313">
        <v>0</v>
      </c>
      <c r="G11" s="314">
        <f>D11-E11-F11</f>
        <v>334102.88401732023</v>
      </c>
      <c r="H11" s="307"/>
    </row>
    <row r="12" spans="1:8" ht="15.95" customHeight="1">
      <c r="A12" s="315">
        <f>DATE(YEAR(A11+45),MONTH(A11+45),1)</f>
        <v>43862</v>
      </c>
      <c r="B12" s="313">
        <f>RevReq!I15</f>
        <v>784756.88401732023</v>
      </c>
      <c r="C12" s="313">
        <v>-71209.78</v>
      </c>
      <c r="D12" s="313">
        <f t="shared" si="0"/>
        <v>713547.10401732021</v>
      </c>
      <c r="E12" s="313">
        <v>455604.38</v>
      </c>
      <c r="F12" s="313">
        <v>0</v>
      </c>
      <c r="G12" s="316">
        <f t="shared" ref="G12:G22" si="1">D12-E12-F12</f>
        <v>257942.7240173202</v>
      </c>
      <c r="H12" s="307"/>
    </row>
    <row r="13" spans="1:8" ht="15.95" customHeight="1">
      <c r="A13" s="315">
        <f t="shared" ref="A13:A22" si="2">DATE(YEAR(A12+45),MONTH(A12+45),1)</f>
        <v>43891</v>
      </c>
      <c r="B13" s="313">
        <f>RevReq!I16</f>
        <v>756915.06401732028</v>
      </c>
      <c r="C13" s="313">
        <v>-71209.78</v>
      </c>
      <c r="D13" s="313">
        <f t="shared" si="0"/>
        <v>685705.28401732026</v>
      </c>
      <c r="E13" s="313">
        <v>455873.45</v>
      </c>
      <c r="F13" s="313">
        <v>0</v>
      </c>
      <c r="G13" s="316">
        <f t="shared" si="1"/>
        <v>229831.83401732025</v>
      </c>
      <c r="H13" s="307"/>
    </row>
    <row r="14" spans="1:8" ht="15.95" customHeight="1">
      <c r="A14" s="315">
        <f t="shared" si="2"/>
        <v>43922</v>
      </c>
      <c r="B14" s="313">
        <f>RevReq!I17</f>
        <v>774124.64401732024</v>
      </c>
      <c r="C14" s="313">
        <v>-71209.78</v>
      </c>
      <c r="D14" s="313">
        <f t="shared" si="0"/>
        <v>702914.86401732021</v>
      </c>
      <c r="E14" s="313">
        <v>456019.61</v>
      </c>
      <c r="F14" s="313">
        <v>0</v>
      </c>
      <c r="G14" s="316">
        <f t="shared" si="1"/>
        <v>246895.25401732023</v>
      </c>
      <c r="H14" s="307"/>
    </row>
    <row r="15" spans="1:8" ht="15.95" customHeight="1">
      <c r="A15" s="315">
        <f t="shared" si="2"/>
        <v>43952</v>
      </c>
      <c r="B15" s="313">
        <f>RevReq!I18</f>
        <v>888658.00401732023</v>
      </c>
      <c r="C15" s="313">
        <v>-17796.39</v>
      </c>
      <c r="D15" s="313">
        <f t="shared" si="0"/>
        <v>870861.61401732021</v>
      </c>
      <c r="E15" s="313">
        <v>626927.82999999996</v>
      </c>
      <c r="F15" s="313">
        <v>419</v>
      </c>
      <c r="G15" s="316">
        <f t="shared" si="1"/>
        <v>243514.78401732026</v>
      </c>
      <c r="H15" s="307"/>
    </row>
    <row r="16" spans="1:8" ht="15.95" customHeight="1">
      <c r="A16" s="315">
        <f t="shared" si="2"/>
        <v>43983</v>
      </c>
      <c r="B16" s="313">
        <f>RevReq!I19</f>
        <v>775370.76401732024</v>
      </c>
      <c r="C16" s="313">
        <v>35617.050000000003</v>
      </c>
      <c r="D16" s="313">
        <f t="shared" si="0"/>
        <v>810987.81401732028</v>
      </c>
      <c r="E16" s="313">
        <v>826960.08</v>
      </c>
      <c r="F16" s="313">
        <v>0</v>
      </c>
      <c r="G16" s="316">
        <f t="shared" si="1"/>
        <v>-15972.265982679673</v>
      </c>
      <c r="H16" s="307"/>
    </row>
    <row r="17" spans="1:8" ht="15.95" customHeight="1">
      <c r="A17" s="315">
        <f t="shared" si="2"/>
        <v>44013</v>
      </c>
      <c r="B17" s="313">
        <f>RevReq!I20</f>
        <v>824052.46401732019</v>
      </c>
      <c r="C17" s="313">
        <v>35617.050000000003</v>
      </c>
      <c r="D17" s="313">
        <f t="shared" si="0"/>
        <v>859669.51401732024</v>
      </c>
      <c r="E17" s="313">
        <v>823824.31</v>
      </c>
      <c r="F17" s="313">
        <v>0</v>
      </c>
      <c r="G17" s="316">
        <f t="shared" si="1"/>
        <v>35845.204017320182</v>
      </c>
      <c r="H17" s="307"/>
    </row>
    <row r="18" spans="1:8" ht="15.95" customHeight="1">
      <c r="A18" s="315">
        <f t="shared" si="2"/>
        <v>44044</v>
      </c>
      <c r="B18" s="313">
        <f>RevReq!I21</f>
        <v>802523.26401732024</v>
      </c>
      <c r="C18" s="313">
        <v>35617.050000000003</v>
      </c>
      <c r="D18" s="313">
        <f t="shared" si="0"/>
        <v>838140.31401732028</v>
      </c>
      <c r="E18" s="313">
        <v>822055.08</v>
      </c>
      <c r="F18" s="313">
        <v>0</v>
      </c>
      <c r="G18" s="316">
        <f t="shared" si="1"/>
        <v>16085.234017320327</v>
      </c>
      <c r="H18" s="307"/>
    </row>
    <row r="19" spans="1:8" ht="15.95" customHeight="1">
      <c r="A19" s="315">
        <f t="shared" si="2"/>
        <v>44075</v>
      </c>
      <c r="B19" s="313">
        <f>RevReq!I22</f>
        <v>847952.14401732013</v>
      </c>
      <c r="C19" s="313">
        <v>35617.050000000003</v>
      </c>
      <c r="D19" s="313">
        <f t="shared" si="0"/>
        <v>883569.19401732017</v>
      </c>
      <c r="E19" s="313">
        <v>820615.99</v>
      </c>
      <c r="F19" s="313">
        <v>0</v>
      </c>
      <c r="G19" s="316">
        <f t="shared" si="1"/>
        <v>62953.204017320182</v>
      </c>
      <c r="H19" s="307"/>
    </row>
    <row r="20" spans="1:8" ht="15.95" customHeight="1">
      <c r="A20" s="315">
        <f t="shared" si="2"/>
        <v>44105</v>
      </c>
      <c r="B20" s="313">
        <f>RevReq!I23</f>
        <v>836548.53401732026</v>
      </c>
      <c r="C20" s="313">
        <v>35617.050000000003</v>
      </c>
      <c r="D20" s="313">
        <f t="shared" si="0"/>
        <v>872165.5840173203</v>
      </c>
      <c r="E20" s="313">
        <v>824135.82</v>
      </c>
      <c r="F20" s="313">
        <v>0</v>
      </c>
      <c r="G20" s="316">
        <f t="shared" si="1"/>
        <v>48029.764017320354</v>
      </c>
      <c r="H20" s="307"/>
    </row>
    <row r="21" spans="1:8" ht="15.95" customHeight="1">
      <c r="A21" s="315">
        <f t="shared" si="2"/>
        <v>44136</v>
      </c>
      <c r="B21" s="313">
        <f>RevReq!I24</f>
        <v>818969.66401732014</v>
      </c>
      <c r="C21" s="313">
        <v>35617.050000000003</v>
      </c>
      <c r="D21" s="313">
        <f t="shared" si="0"/>
        <v>854586.71401732019</v>
      </c>
      <c r="E21" s="313">
        <v>821469.4</v>
      </c>
      <c r="F21" s="313">
        <v>0</v>
      </c>
      <c r="G21" s="316">
        <f t="shared" si="1"/>
        <v>33117.314017320168</v>
      </c>
      <c r="H21" s="307"/>
    </row>
    <row r="22" spans="1:8" ht="15.95" customHeight="1">
      <c r="A22" s="317">
        <f t="shared" si="2"/>
        <v>44166</v>
      </c>
      <c r="B22" s="318">
        <f>RevReq!I25</f>
        <v>813937.26401732024</v>
      </c>
      <c r="C22" s="318">
        <v>35617.050000000003</v>
      </c>
      <c r="D22" s="318">
        <f t="shared" si="0"/>
        <v>849554.31401732028</v>
      </c>
      <c r="E22" s="318">
        <v>835728.43</v>
      </c>
      <c r="F22" s="318">
        <v>0</v>
      </c>
      <c r="G22" s="318">
        <f t="shared" si="1"/>
        <v>13825.884017320233</v>
      </c>
      <c r="H22" s="307"/>
    </row>
    <row r="23" spans="1:8" s="307" customFormat="1" ht="15.95" customHeight="1" thickBot="1">
      <c r="A23" s="312"/>
      <c r="B23" s="319"/>
      <c r="C23" s="319"/>
      <c r="D23" s="319"/>
      <c r="F23" s="320" t="str">
        <f>+"TOTAL for Year, "&amp;TEXT(A11,"mm/yy")&amp;" - "&amp;TEXT(A22,"mm/yy")</f>
        <v>TOTAL for Year, 01/20 - 12/20</v>
      </c>
      <c r="G23" s="321">
        <f>SUM(G11:G22)</f>
        <v>1506171.8182078428</v>
      </c>
    </row>
    <row r="24" spans="1:8" s="307" customFormat="1" ht="15.75" customHeight="1" thickTop="1"/>
    <row r="25" spans="1:8" s="307" customFormat="1" ht="15.75" customHeight="1"/>
    <row r="26" spans="1:8" s="307" customFormat="1" ht="15.75" customHeight="1">
      <c r="A26" s="322"/>
      <c r="B26" s="323"/>
    </row>
    <row r="27" spans="1:8" s="307" customFormat="1" ht="15.75">
      <c r="A27" s="308" t="s">
        <v>387</v>
      </c>
      <c r="B27" s="309" t="s">
        <v>388</v>
      </c>
      <c r="C27" s="309" t="s">
        <v>389</v>
      </c>
      <c r="D27" s="309" t="s">
        <v>390</v>
      </c>
      <c r="E27" s="309" t="s">
        <v>391</v>
      </c>
      <c r="F27" s="309" t="s">
        <v>392</v>
      </c>
      <c r="G27" s="309" t="s">
        <v>393</v>
      </c>
    </row>
    <row r="28" spans="1:8" s="307" customFormat="1" ht="15.75" customHeight="1">
      <c r="A28" s="671" t="s">
        <v>379</v>
      </c>
      <c r="B28" s="670" t="s">
        <v>160</v>
      </c>
      <c r="C28" s="670" t="s">
        <v>380</v>
      </c>
      <c r="D28" s="670" t="s">
        <v>381</v>
      </c>
      <c r="E28" s="670" t="s">
        <v>382</v>
      </c>
      <c r="F28" s="670" t="s">
        <v>383</v>
      </c>
      <c r="G28" s="670" t="s">
        <v>384</v>
      </c>
    </row>
    <row r="29" spans="1:8" s="307" customFormat="1" ht="15.75" customHeight="1">
      <c r="A29" s="671"/>
      <c r="B29" s="671"/>
      <c r="C29" s="671"/>
      <c r="D29" s="671"/>
      <c r="E29" s="671"/>
      <c r="F29" s="673"/>
      <c r="G29" s="671"/>
    </row>
    <row r="30" spans="1:8" s="307" customFormat="1" ht="15.75" customHeight="1">
      <c r="A30" s="672"/>
      <c r="B30" s="672"/>
      <c r="C30" s="672"/>
      <c r="D30" s="672"/>
      <c r="E30" s="672"/>
      <c r="F30" s="672"/>
      <c r="G30" s="672"/>
    </row>
    <row r="31" spans="1:8" s="307" customFormat="1" ht="15.75">
      <c r="A31" s="310"/>
      <c r="B31" s="311"/>
      <c r="C31" s="311"/>
      <c r="D31" s="311" t="s">
        <v>394</v>
      </c>
      <c r="E31" s="311"/>
      <c r="F31" s="311"/>
      <c r="G31" s="310" t="s">
        <v>395</v>
      </c>
    </row>
    <row r="32" spans="1:8" s="307" customFormat="1" ht="15.75">
      <c r="A32" s="324">
        <f>A11</f>
        <v>43831</v>
      </c>
      <c r="B32" s="313">
        <f>RevReq!I38</f>
        <v>524077.50470046158</v>
      </c>
      <c r="C32" s="313">
        <v>-22683.14</v>
      </c>
      <c r="D32" s="313">
        <f t="shared" ref="D32:D43" si="3">B32+C32</f>
        <v>501394.36470046156</v>
      </c>
      <c r="E32" s="313">
        <v>367512.91</v>
      </c>
      <c r="F32" s="313">
        <v>33799</v>
      </c>
      <c r="G32" s="314">
        <f>D32-E32-F32</f>
        <v>100082.45470046159</v>
      </c>
    </row>
    <row r="33" spans="1:7" ht="15.75">
      <c r="A33" s="315">
        <f t="shared" ref="A33:A43" si="4">A12</f>
        <v>43862</v>
      </c>
      <c r="B33" s="313">
        <f>RevReq!I39</f>
        <v>524077.50470046158</v>
      </c>
      <c r="C33" s="313">
        <v>-22683.14</v>
      </c>
      <c r="D33" s="313">
        <f t="shared" si="3"/>
        <v>501394.36470046156</v>
      </c>
      <c r="E33" s="313">
        <v>387140.63</v>
      </c>
      <c r="F33" s="313">
        <v>6982</v>
      </c>
      <c r="G33" s="316">
        <f t="shared" ref="G33:G43" si="5">D33-E33-F33</f>
        <v>107271.73470046156</v>
      </c>
    </row>
    <row r="34" spans="1:7" ht="15.75">
      <c r="A34" s="315">
        <f t="shared" si="4"/>
        <v>43891</v>
      </c>
      <c r="B34" s="313">
        <f>RevReq!I40</f>
        <v>524077.50470046158</v>
      </c>
      <c r="C34" s="313">
        <v>-22683.14</v>
      </c>
      <c r="D34" s="313">
        <f t="shared" si="3"/>
        <v>501394.36470046156</v>
      </c>
      <c r="E34" s="313">
        <v>329405.12</v>
      </c>
      <c r="F34" s="313">
        <v>-110282</v>
      </c>
      <c r="G34" s="316">
        <f t="shared" si="5"/>
        <v>282271.24470046157</v>
      </c>
    </row>
    <row r="35" spans="1:7" ht="15.75">
      <c r="A35" s="315">
        <f t="shared" si="4"/>
        <v>43922</v>
      </c>
      <c r="B35" s="313">
        <f>RevReq!I41</f>
        <v>524077.50470046158</v>
      </c>
      <c r="C35" s="313">
        <v>-22683.14</v>
      </c>
      <c r="D35" s="313">
        <f t="shared" si="3"/>
        <v>501394.36470046156</v>
      </c>
      <c r="E35" s="313">
        <v>189260.68</v>
      </c>
      <c r="F35" s="313">
        <v>-36603</v>
      </c>
      <c r="G35" s="316">
        <f t="shared" si="5"/>
        <v>348736.68470046157</v>
      </c>
    </row>
    <row r="36" spans="1:7" ht="15.75">
      <c r="A36" s="315">
        <f t="shared" si="4"/>
        <v>43952</v>
      </c>
      <c r="B36" s="313">
        <f>RevReq!I42</f>
        <v>524077.50470046158</v>
      </c>
      <c r="C36" s="313">
        <v>-9275.58</v>
      </c>
      <c r="D36" s="313">
        <f t="shared" si="3"/>
        <v>514801.92470046156</v>
      </c>
      <c r="E36" s="313">
        <v>239424.18</v>
      </c>
      <c r="F36" s="313">
        <v>45310.62</v>
      </c>
      <c r="G36" s="316">
        <f t="shared" si="5"/>
        <v>230067.12470046157</v>
      </c>
    </row>
    <row r="37" spans="1:7" ht="15.75">
      <c r="A37" s="315">
        <f t="shared" si="4"/>
        <v>43983</v>
      </c>
      <c r="B37" s="313">
        <f>RevReq!I43</f>
        <v>524077.50470046158</v>
      </c>
      <c r="C37" s="313">
        <v>4131.8500000000004</v>
      </c>
      <c r="D37" s="313">
        <f t="shared" si="3"/>
        <v>528209.35470046161</v>
      </c>
      <c r="E37" s="313">
        <v>211717.39</v>
      </c>
      <c r="F37" s="313">
        <v>-45926.62</v>
      </c>
      <c r="G37" s="316">
        <f t="shared" si="5"/>
        <v>362418.58470046159</v>
      </c>
    </row>
    <row r="38" spans="1:7" ht="15.75">
      <c r="A38" s="315">
        <f t="shared" si="4"/>
        <v>44013</v>
      </c>
      <c r="B38" s="313">
        <f>RevReq!I44</f>
        <v>524077.50470046158</v>
      </c>
      <c r="C38" s="313">
        <v>4131.8500000000004</v>
      </c>
      <c r="D38" s="313">
        <f t="shared" si="3"/>
        <v>528209.35470046161</v>
      </c>
      <c r="E38" s="313">
        <v>156046.72</v>
      </c>
      <c r="F38" s="313">
        <v>-7541</v>
      </c>
      <c r="G38" s="316">
        <f t="shared" si="5"/>
        <v>379703.63470046164</v>
      </c>
    </row>
    <row r="39" spans="1:7" ht="15.75">
      <c r="A39" s="315">
        <f t="shared" si="4"/>
        <v>44044</v>
      </c>
      <c r="B39" s="313">
        <f>RevReq!I45</f>
        <v>524077.50470046158</v>
      </c>
      <c r="C39" s="313">
        <v>4131.8500000000004</v>
      </c>
      <c r="D39" s="313">
        <f t="shared" si="3"/>
        <v>528209.35470046161</v>
      </c>
      <c r="E39" s="313">
        <v>141232.91</v>
      </c>
      <c r="F39" s="313">
        <v>11255</v>
      </c>
      <c r="G39" s="316">
        <f t="shared" si="5"/>
        <v>375721.44470046158</v>
      </c>
    </row>
    <row r="40" spans="1:7" ht="15.75">
      <c r="A40" s="315">
        <f t="shared" si="4"/>
        <v>44075</v>
      </c>
      <c r="B40" s="313">
        <f>RevReq!I46</f>
        <v>524077.50470046158</v>
      </c>
      <c r="C40" s="313">
        <v>4131.8500000000004</v>
      </c>
      <c r="D40" s="313">
        <f t="shared" si="3"/>
        <v>528209.35470046161</v>
      </c>
      <c r="E40" s="313">
        <v>152487.04999999999</v>
      </c>
      <c r="F40" s="313">
        <v>12450</v>
      </c>
      <c r="G40" s="316">
        <f t="shared" si="5"/>
        <v>363272.30470046162</v>
      </c>
    </row>
    <row r="41" spans="1:7" ht="15.75">
      <c r="A41" s="315">
        <f t="shared" si="4"/>
        <v>44105</v>
      </c>
      <c r="B41" s="313">
        <f>RevReq!I47</f>
        <v>586000.89470046153</v>
      </c>
      <c r="C41" s="313">
        <v>4131.8500000000004</v>
      </c>
      <c r="D41" s="313">
        <f t="shared" si="3"/>
        <v>590132.74470046151</v>
      </c>
      <c r="E41" s="313">
        <v>213508.01</v>
      </c>
      <c r="F41" s="313">
        <v>122966</v>
      </c>
      <c r="G41" s="316">
        <f t="shared" si="5"/>
        <v>253658.7347004615</v>
      </c>
    </row>
    <row r="42" spans="1:7" ht="15.75">
      <c r="A42" s="315">
        <f t="shared" si="4"/>
        <v>44136</v>
      </c>
      <c r="B42" s="313">
        <f>RevReq!I48</f>
        <v>694257.17470046156</v>
      </c>
      <c r="C42" s="313">
        <v>4131.8500000000004</v>
      </c>
      <c r="D42" s="313">
        <f t="shared" si="3"/>
        <v>698389.02470046154</v>
      </c>
      <c r="E42" s="313">
        <v>433856.73</v>
      </c>
      <c r="F42" s="313">
        <v>163837</v>
      </c>
      <c r="G42" s="316">
        <f t="shared" si="5"/>
        <v>100695.29470046156</v>
      </c>
    </row>
    <row r="43" spans="1:7" ht="15.75">
      <c r="A43" s="317">
        <f t="shared" si="4"/>
        <v>44166</v>
      </c>
      <c r="B43" s="318">
        <f>RevReq!I49</f>
        <v>697138.94470046158</v>
      </c>
      <c r="C43" s="318">
        <v>4131.8500000000004</v>
      </c>
      <c r="D43" s="318">
        <f t="shared" si="3"/>
        <v>701270.79470046156</v>
      </c>
      <c r="E43" s="318">
        <v>886245.7</v>
      </c>
      <c r="F43" s="318">
        <v>324932</v>
      </c>
      <c r="G43" s="318">
        <f t="shared" si="5"/>
        <v>-509906.9052995384</v>
      </c>
    </row>
    <row r="44" spans="1:7" ht="16.5" thickBot="1">
      <c r="A44" s="312"/>
      <c r="B44" s="319"/>
      <c r="C44" s="319"/>
      <c r="D44" s="319"/>
      <c r="F44" s="320" t="str">
        <f>+"TOTAL for Year, "&amp;TEXT(A32,"mm/yy")&amp;" - "&amp;TEXT(A43,"mm/yy")</f>
        <v>TOTAL for Year, 01/20 - 12/20</v>
      </c>
      <c r="G44" s="321">
        <f>SUM(G32:G43)</f>
        <v>2393992.3364055394</v>
      </c>
    </row>
    <row r="45" spans="1:7" ht="13.5" thickTop="1"/>
  </sheetData>
  <mergeCells count="14">
    <mergeCell ref="G7:G9"/>
    <mergeCell ref="A28:A30"/>
    <mergeCell ref="B28:B30"/>
    <mergeCell ref="C28:C30"/>
    <mergeCell ref="D28:D30"/>
    <mergeCell ref="E28:E30"/>
    <mergeCell ref="F28:F30"/>
    <mergeCell ref="G28:G30"/>
    <mergeCell ref="A7:A9"/>
    <mergeCell ref="B7:B9"/>
    <mergeCell ref="C7:C9"/>
    <mergeCell ref="D7:D9"/>
    <mergeCell ref="E7:E9"/>
    <mergeCell ref="F7:F9"/>
  </mergeCells>
  <pageMargins left="1" right="0.5" top="1.8" bottom="0.5" header="0.28000000000000003" footer="0"/>
  <pageSetup scale="75" orientation="portrait" r:id="rId1"/>
  <headerFooter scaleWithDoc="0" alignWithMargins="0">
    <oddHeader>&amp;R&amp;"Times New Roman,Bold"Exhibit 3
Page 1 of 4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8" tint="0.39997558519241921"/>
    <pageSetUpPr fitToPage="1"/>
  </sheetPr>
  <dimension ref="A1:AD50"/>
  <sheetViews>
    <sheetView workbookViewId="0"/>
  </sheetViews>
  <sheetFormatPr defaultColWidth="9.140625" defaultRowHeight="15.75"/>
  <cols>
    <col min="1" max="1" width="9.140625" style="28"/>
    <col min="2" max="2" width="38.85546875" style="26" bestFit="1" customWidth="1"/>
    <col min="3" max="15" width="15.85546875" style="26" customWidth="1"/>
    <col min="16" max="16" width="12.140625" style="28" bestFit="1" customWidth="1"/>
    <col min="17" max="17" width="16.140625" style="28" bestFit="1" customWidth="1"/>
    <col min="18" max="30" width="14.85546875" style="28" customWidth="1"/>
    <col min="31" max="31" width="9.140625" style="28"/>
    <col min="32" max="32" width="10.5703125" style="28" bestFit="1" customWidth="1"/>
    <col min="33" max="16384" width="9.140625" style="28"/>
  </cols>
  <sheetData>
    <row r="1" spans="1:30" ht="18.75">
      <c r="A1" s="191" t="s">
        <v>67</v>
      </c>
      <c r="B1" s="197"/>
      <c r="C1" s="197"/>
      <c r="D1" s="197"/>
      <c r="E1" s="197"/>
      <c r="F1" s="197"/>
      <c r="G1" s="197"/>
      <c r="H1" s="197"/>
      <c r="I1" s="191"/>
      <c r="J1" s="191"/>
      <c r="K1" s="191"/>
      <c r="L1" s="191"/>
      <c r="M1" s="191"/>
      <c r="N1" s="191"/>
      <c r="O1" s="191"/>
      <c r="Q1" s="39"/>
      <c r="R1" s="39"/>
      <c r="S1" s="39"/>
      <c r="T1" s="39"/>
      <c r="U1" s="39"/>
      <c r="V1" s="39"/>
      <c r="W1" s="39"/>
      <c r="X1" s="40"/>
      <c r="Y1" s="40"/>
      <c r="Z1" s="40"/>
      <c r="AA1" s="40"/>
      <c r="AB1" s="40"/>
      <c r="AC1" s="40"/>
      <c r="AD1" s="40"/>
    </row>
    <row r="2" spans="1:30" ht="18.75">
      <c r="A2" s="191" t="s">
        <v>255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9"/>
      <c r="Q2" s="39"/>
      <c r="R2" s="39"/>
      <c r="S2" s="39"/>
      <c r="T2" s="39"/>
      <c r="U2" s="39"/>
      <c r="V2" s="39"/>
      <c r="W2" s="39"/>
      <c r="X2" s="40"/>
      <c r="Y2" s="40"/>
      <c r="Z2" s="40"/>
      <c r="AA2" s="40"/>
      <c r="AB2" s="40"/>
      <c r="AC2" s="40"/>
      <c r="AD2" s="40"/>
    </row>
    <row r="3" spans="1:30" ht="18.75">
      <c r="A3" s="191" t="s">
        <v>161</v>
      </c>
      <c r="B3" s="197"/>
      <c r="C3" s="197"/>
      <c r="D3" s="197"/>
      <c r="E3" s="197"/>
      <c r="F3" s="197"/>
      <c r="G3" s="197"/>
      <c r="H3" s="197"/>
      <c r="I3" s="191"/>
      <c r="J3" s="191"/>
      <c r="K3" s="191"/>
      <c r="L3" s="191"/>
      <c r="M3" s="191"/>
      <c r="N3" s="191"/>
      <c r="O3" s="191"/>
      <c r="Q3" s="39"/>
      <c r="R3" s="39"/>
      <c r="S3" s="39"/>
      <c r="T3" s="39"/>
      <c r="U3" s="39"/>
      <c r="V3" s="39"/>
      <c r="W3" s="39"/>
      <c r="X3" s="40"/>
      <c r="Y3" s="40"/>
      <c r="Z3" s="40"/>
      <c r="AA3" s="40"/>
      <c r="AB3" s="40"/>
      <c r="AC3" s="40"/>
      <c r="AD3" s="40"/>
    </row>
    <row r="4" spans="1:30">
      <c r="Q4" s="40"/>
      <c r="R4" s="40"/>
      <c r="S4" s="40"/>
      <c r="T4" s="40"/>
      <c r="U4" s="40"/>
      <c r="V4" s="40"/>
      <c r="X4" s="40"/>
      <c r="Y4" s="40"/>
      <c r="Z4" s="40"/>
      <c r="AA4" s="40"/>
      <c r="AB4" s="40"/>
      <c r="AC4" s="40"/>
      <c r="AD4" s="40"/>
    </row>
    <row r="5" spans="1:30">
      <c r="Q5" s="40"/>
      <c r="R5" s="40"/>
      <c r="S5" s="40"/>
      <c r="T5" s="40"/>
      <c r="U5" s="40"/>
      <c r="V5" s="40"/>
      <c r="X5" s="40"/>
      <c r="Y5" s="40"/>
      <c r="Z5" s="40"/>
      <c r="AA5" s="40"/>
      <c r="AB5" s="40"/>
      <c r="AC5" s="40"/>
      <c r="AD5" s="40"/>
    </row>
    <row r="6" spans="1:30" s="29" customFormat="1">
      <c r="A6" s="43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 t="s">
        <v>69</v>
      </c>
      <c r="Q6" s="28"/>
      <c r="R6" s="28"/>
      <c r="S6" s="28"/>
      <c r="T6" s="28"/>
      <c r="U6" s="28"/>
      <c r="V6" s="28"/>
      <c r="W6" s="28"/>
    </row>
    <row r="7" spans="1:30" ht="16.5" thickBot="1">
      <c r="A7" s="44" t="s">
        <v>5</v>
      </c>
      <c r="B7" s="44" t="s">
        <v>6</v>
      </c>
      <c r="C7" s="44" t="s">
        <v>86</v>
      </c>
      <c r="D7" s="44" t="s">
        <v>87</v>
      </c>
      <c r="E7" s="44" t="s">
        <v>259</v>
      </c>
      <c r="F7" s="44" t="s">
        <v>260</v>
      </c>
      <c r="G7" s="44" t="s">
        <v>88</v>
      </c>
      <c r="H7" s="44" t="s">
        <v>261</v>
      </c>
      <c r="I7" s="44" t="s">
        <v>89</v>
      </c>
      <c r="J7" s="44" t="s">
        <v>90</v>
      </c>
      <c r="K7" s="44" t="s">
        <v>91</v>
      </c>
      <c r="L7" s="44" t="s">
        <v>92</v>
      </c>
      <c r="M7" s="44" t="s">
        <v>93</v>
      </c>
      <c r="N7" s="44" t="s">
        <v>94</v>
      </c>
      <c r="O7" s="44">
        <v>2018</v>
      </c>
    </row>
    <row r="8" spans="1:30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30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0">
      <c r="A10" s="38">
        <v>1</v>
      </c>
      <c r="B10" s="26" t="s">
        <v>250</v>
      </c>
      <c r="C10" s="35">
        <f>'2018 Capital Budget'!F8+'2018 Capital Budget'!F22+'2018 Capital Budget'!F25+'2018 Capital Budget'!F27+'2018 Capital Budget'!F28+'2018 Capital Budget'!F38</f>
        <v>0</v>
      </c>
      <c r="D10" s="35">
        <f>'2018 Capital Budget'!G8+'2018 Capital Budget'!G22+'2018 Capital Budget'!G25+'2018 Capital Budget'!G27+'2018 Capital Budget'!G28+'2018 Capital Budget'!G38</f>
        <v>0</v>
      </c>
      <c r="E10" s="35">
        <f>'2018 Capital Budget'!H8+'2018 Capital Budget'!H22+'2018 Capital Budget'!H25+'2018 Capital Budget'!H27+'2018 Capital Budget'!H28+'2018 Capital Budget'!H38</f>
        <v>0</v>
      </c>
      <c r="F10" s="35">
        <f>'2018 Capital Budget'!I8+'2018 Capital Budget'!I22+'2018 Capital Budget'!I25+'2018 Capital Budget'!I27+'2018 Capital Budget'!I28+'2018 Capital Budget'!I38</f>
        <v>0</v>
      </c>
      <c r="G10" s="35">
        <f>'2018 Capital Budget'!J8+'2018 Capital Budget'!J22+'2018 Capital Budget'!J25+'2018 Capital Budget'!J27+'2018 Capital Budget'!J28+'2018 Capital Budget'!J38</f>
        <v>0</v>
      </c>
      <c r="H10" s="35">
        <f>'2018 Capital Budget'!K8+'2018 Capital Budget'!K22+'2018 Capital Budget'!K25+'2018 Capital Budget'!K27+'2018 Capital Budget'!K28+'2018 Capital Budget'!K38</f>
        <v>0</v>
      </c>
      <c r="I10" s="35">
        <f>'2018 Capital Budget'!L8+'2018 Capital Budget'!L22+'2018 Capital Budget'!L25+'2018 Capital Budget'!L27+'2018 Capital Budget'!L28+'2018 Capital Budget'!L38</f>
        <v>0</v>
      </c>
      <c r="J10" s="35">
        <f>'2018 Capital Budget'!M8+'2018 Capital Budget'!M22+'2018 Capital Budget'!M25+'2018 Capital Budget'!M27+'2018 Capital Budget'!M28+'2018 Capital Budget'!M38</f>
        <v>0</v>
      </c>
      <c r="K10" s="35">
        <f>'2018 Capital Budget'!N8+'2018 Capital Budget'!N22+'2018 Capital Budget'!N25+'2018 Capital Budget'!N27+'2018 Capital Budget'!N28+'2018 Capital Budget'!N38</f>
        <v>0</v>
      </c>
      <c r="L10" s="35">
        <f>'2018 Capital Budget'!O8+'2018 Capital Budget'!O22+'2018 Capital Budget'!O25+'2018 Capital Budget'!O27+'2018 Capital Budget'!O28+'2018 Capital Budget'!O38</f>
        <v>0</v>
      </c>
      <c r="M10" s="35">
        <f>'2018 Capital Budget'!P8+'2018 Capital Budget'!P22+'2018 Capital Budget'!P25+'2018 Capital Budget'!P27+'2018 Capital Budget'!P28+'2018 Capital Budget'!P38</f>
        <v>0</v>
      </c>
      <c r="N10" s="35">
        <f>'2018 Capital Budget'!Q8+'2018 Capital Budget'!Q22+'2018 Capital Budget'!Q25+'2018 Capital Budget'!Q27+'2018 Capital Budget'!Q28+'2018 Capital Budget'!Q38</f>
        <v>0</v>
      </c>
      <c r="O10" s="35">
        <f>SUM(C10:N10)</f>
        <v>0</v>
      </c>
      <c r="P10" s="46"/>
    </row>
    <row r="11" spans="1:30">
      <c r="A11" s="38">
        <f>A10+1</f>
        <v>2</v>
      </c>
      <c r="B11" s="26" t="s">
        <v>251</v>
      </c>
      <c r="C11" s="35">
        <f>'2018 Capital Budget'!F61</f>
        <v>0</v>
      </c>
      <c r="D11" s="35">
        <f>'2018 Capital Budget'!G61</f>
        <v>0</v>
      </c>
      <c r="E11" s="35">
        <f>'2018 Capital Budget'!H61</f>
        <v>0</v>
      </c>
      <c r="F11" s="35">
        <f>'2018 Capital Budget'!I61</f>
        <v>0</v>
      </c>
      <c r="G11" s="35">
        <f>'2018 Capital Budget'!J61</f>
        <v>0</v>
      </c>
      <c r="H11" s="35">
        <f>'2018 Capital Budget'!K61</f>
        <v>0</v>
      </c>
      <c r="I11" s="35">
        <f>'2018 Capital Budget'!L61</f>
        <v>0</v>
      </c>
      <c r="J11" s="35">
        <f>'2018 Capital Budget'!M61</f>
        <v>0</v>
      </c>
      <c r="K11" s="35">
        <f>'2018 Capital Budget'!N61</f>
        <v>0</v>
      </c>
      <c r="L11" s="35">
        <f>'2018 Capital Budget'!O61</f>
        <v>0</v>
      </c>
      <c r="M11" s="35">
        <f>'2018 Capital Budget'!P61</f>
        <v>0</v>
      </c>
      <c r="N11" s="35">
        <f>'2018 Capital Budget'!Q61</f>
        <v>0</v>
      </c>
      <c r="O11" s="35">
        <f t="shared" ref="O11:O14" si="0">SUM(C11:N11)</f>
        <v>0</v>
      </c>
      <c r="P11" s="46"/>
    </row>
    <row r="12" spans="1:30">
      <c r="A12" s="38">
        <f>A11+1</f>
        <v>3</v>
      </c>
      <c r="B12" s="26" t="s">
        <v>80</v>
      </c>
      <c r="C12" s="35">
        <f>SUM('2018 Capital Budget'!F23,'2018 Capital Budget'!F29:F31,'2018 Capital Budget'!F37)</f>
        <v>205454.91999999998</v>
      </c>
      <c r="D12" s="35">
        <f>SUM('2018 Capital Budget'!G23,'2018 Capital Budget'!G29:G31,'2018 Capital Budget'!G37)</f>
        <v>125779.21999999999</v>
      </c>
      <c r="E12" s="35">
        <f>SUM('2018 Capital Budget'!H23,'2018 Capital Budget'!H29:H31,'2018 Capital Budget'!H37)</f>
        <v>127251.93</v>
      </c>
      <c r="F12" s="35">
        <f>SUM('2018 Capital Budget'!I23,'2018 Capital Budget'!I29:I31,'2018 Capital Budget'!I37)</f>
        <v>177446.32</v>
      </c>
      <c r="G12" s="35">
        <f>SUM('2018 Capital Budget'!J23,'2018 Capital Budget'!J29:J31,'2018 Capital Budget'!J37)</f>
        <v>185875.08000000002</v>
      </c>
      <c r="H12" s="35">
        <f>SUM('2018 Capital Budget'!K23,'2018 Capital Budget'!K29:K31,'2018 Capital Budget'!K37)</f>
        <v>155828.41</v>
      </c>
      <c r="I12" s="35">
        <f>SUM('2018 Capital Budget'!L23,'2018 Capital Budget'!L29:L31,'2018 Capital Budget'!L37)</f>
        <v>212949.36</v>
      </c>
      <c r="J12" s="35">
        <f>SUM('2018 Capital Budget'!M23,'2018 Capital Budget'!M29:M31,'2018 Capital Budget'!M37)</f>
        <v>190760.71999999997</v>
      </c>
      <c r="K12" s="35">
        <f>SUM('2018 Capital Budget'!N23,'2018 Capital Budget'!N29:N31,'2018 Capital Budget'!N37)</f>
        <v>219448.24</v>
      </c>
      <c r="L12" s="35">
        <f>SUM('2018 Capital Budget'!O23,'2018 Capital Budget'!O29:O31,'2018 Capital Budget'!O37)</f>
        <v>156829.16999999998</v>
      </c>
      <c r="M12" s="35">
        <f>SUM('2018 Capital Budget'!P23,'2018 Capital Budget'!P29:P31,'2018 Capital Budget'!P37)</f>
        <v>886834.86000000022</v>
      </c>
      <c r="N12" s="35">
        <f>SUM('2018 Capital Budget'!Q23,'2018 Capital Budget'!Q29:Q31,'2018 Capital Budget'!Q37)</f>
        <v>316.39</v>
      </c>
      <c r="O12" s="35">
        <f t="shared" si="0"/>
        <v>2644774.62</v>
      </c>
      <c r="P12" s="46"/>
    </row>
    <row r="13" spans="1:30">
      <c r="A13" s="38">
        <f>A12+1</f>
        <v>4</v>
      </c>
      <c r="B13" s="26" t="s">
        <v>81</v>
      </c>
      <c r="C13" s="35">
        <f>'2018 Capital Budget'!F24+'2018 Capital Budget'!F26+'2018 Capital Budget'!F32</f>
        <v>0</v>
      </c>
      <c r="D13" s="35">
        <f>'2018 Capital Budget'!G24+'2018 Capital Budget'!G26+'2018 Capital Budget'!G32</f>
        <v>0</v>
      </c>
      <c r="E13" s="35">
        <f>'2018 Capital Budget'!H24+'2018 Capital Budget'!H26+'2018 Capital Budget'!H32</f>
        <v>0</v>
      </c>
      <c r="F13" s="35">
        <f>'2018 Capital Budget'!I24+'2018 Capital Budget'!I26+'2018 Capital Budget'!I32</f>
        <v>0</v>
      </c>
      <c r="G13" s="35">
        <f>'2018 Capital Budget'!J24+'2018 Capital Budget'!J26+'2018 Capital Budget'!J32</f>
        <v>0</v>
      </c>
      <c r="H13" s="35">
        <f>'2018 Capital Budget'!K24+'2018 Capital Budget'!K26+'2018 Capital Budget'!K32</f>
        <v>0</v>
      </c>
      <c r="I13" s="35">
        <f>'2018 Capital Budget'!L24+'2018 Capital Budget'!L26+'2018 Capital Budget'!L32</f>
        <v>0</v>
      </c>
      <c r="J13" s="35">
        <f>'2018 Capital Budget'!M24+'2018 Capital Budget'!M26+'2018 Capital Budget'!M32</f>
        <v>0</v>
      </c>
      <c r="K13" s="35">
        <f>'2018 Capital Budget'!N24+'2018 Capital Budget'!N26+'2018 Capital Budget'!N32</f>
        <v>0</v>
      </c>
      <c r="L13" s="35">
        <f>'2018 Capital Budget'!O24+'2018 Capital Budget'!O26+'2018 Capital Budget'!O32</f>
        <v>0</v>
      </c>
      <c r="M13" s="35">
        <f>'2018 Capital Budget'!P24+'2018 Capital Budget'!P26+'2018 Capital Budget'!P32</f>
        <v>0</v>
      </c>
      <c r="N13" s="35">
        <f>'2018 Capital Budget'!Q24+'2018 Capital Budget'!Q26+'2018 Capital Budget'!Q32</f>
        <v>0</v>
      </c>
      <c r="O13" s="35">
        <f t="shared" si="0"/>
        <v>0</v>
      </c>
      <c r="P13" s="46"/>
    </row>
    <row r="14" spans="1:30">
      <c r="A14" s="38">
        <f>A13+1</f>
        <v>5</v>
      </c>
      <c r="B14" s="26" t="s">
        <v>162</v>
      </c>
      <c r="C14" s="34">
        <f>SUM('2018 Capital Budget'!F9:F21)</f>
        <v>566267.26000000013</v>
      </c>
      <c r="D14" s="34">
        <f>SUM('2018 Capital Budget'!G9:G21)</f>
        <v>626600.44000000006</v>
      </c>
      <c r="E14" s="34">
        <f>SUM('2018 Capital Budget'!H9:H21)</f>
        <v>570431.03000000026</v>
      </c>
      <c r="F14" s="34">
        <f>SUM('2018 Capital Budget'!I9:I21)</f>
        <v>407162.02</v>
      </c>
      <c r="G14" s="34">
        <f>SUM('2018 Capital Budget'!J9:J21)</f>
        <v>448154.13999999996</v>
      </c>
      <c r="H14" s="34">
        <f>SUM('2018 Capital Budget'!K9:K21)</f>
        <v>352053.20999999996</v>
      </c>
      <c r="I14" s="34">
        <f>SUM('2018 Capital Budget'!L9:L21)</f>
        <v>456579.78</v>
      </c>
      <c r="J14" s="34">
        <f>SUM('2018 Capital Budget'!M9:M21)</f>
        <v>393080.07</v>
      </c>
      <c r="K14" s="34">
        <f>SUM('2018 Capital Budget'!N9:N21)</f>
        <v>433363.87</v>
      </c>
      <c r="L14" s="34">
        <f>SUM('2018 Capital Budget'!O9:O21)</f>
        <v>388216.47999999986</v>
      </c>
      <c r="M14" s="34">
        <f>SUM('2018 Capital Budget'!P9:P21)</f>
        <v>2036145.29</v>
      </c>
      <c r="N14" s="34">
        <f>SUM('2018 Capital Budget'!Q9:Q21)</f>
        <v>502478.86</v>
      </c>
      <c r="O14" s="34">
        <f t="shared" si="0"/>
        <v>7180532.4500000002</v>
      </c>
      <c r="P14" s="86"/>
    </row>
    <row r="15" spans="1:30">
      <c r="A15" s="38">
        <f>A14+1</f>
        <v>6</v>
      </c>
      <c r="B15" s="26" t="s">
        <v>82</v>
      </c>
      <c r="C15" s="33">
        <f t="shared" ref="C15:H15" si="1">SUM(C10:C14)</f>
        <v>771722.18000000017</v>
      </c>
      <c r="D15" s="33">
        <f t="shared" si="1"/>
        <v>752379.66</v>
      </c>
      <c r="E15" s="33">
        <f t="shared" si="1"/>
        <v>697682.9600000002</v>
      </c>
      <c r="F15" s="33">
        <f t="shared" si="1"/>
        <v>584608.34000000008</v>
      </c>
      <c r="G15" s="33">
        <f t="shared" si="1"/>
        <v>634029.22</v>
      </c>
      <c r="H15" s="33">
        <f t="shared" si="1"/>
        <v>507881.62</v>
      </c>
      <c r="I15" s="33">
        <f t="shared" ref="I15:N15" si="2">SUM(I10:I14)</f>
        <v>669529.14</v>
      </c>
      <c r="J15" s="33">
        <f t="shared" si="2"/>
        <v>583840.79</v>
      </c>
      <c r="K15" s="33">
        <f t="shared" si="2"/>
        <v>652812.11</v>
      </c>
      <c r="L15" s="33">
        <f t="shared" si="2"/>
        <v>545045.64999999991</v>
      </c>
      <c r="M15" s="33">
        <f t="shared" si="2"/>
        <v>2922980.1500000004</v>
      </c>
      <c r="N15" s="33">
        <f t="shared" si="2"/>
        <v>502795.25</v>
      </c>
      <c r="O15" s="33">
        <f>SUM(O10:O14)</f>
        <v>9825307.0700000003</v>
      </c>
      <c r="P15" s="46"/>
    </row>
    <row r="16" spans="1:30">
      <c r="I16" s="33"/>
      <c r="J16" s="33"/>
      <c r="K16" s="33"/>
      <c r="L16" s="33"/>
      <c r="M16" s="33"/>
      <c r="N16" s="33"/>
      <c r="O16" s="33"/>
      <c r="P16" s="46"/>
    </row>
    <row r="17" spans="1:16">
      <c r="A17" s="38">
        <f>A15+1</f>
        <v>7</v>
      </c>
      <c r="B17" s="26" t="s">
        <v>252</v>
      </c>
      <c r="C17" s="368">
        <v>0</v>
      </c>
      <c r="D17" s="368">
        <v>0</v>
      </c>
      <c r="E17" s="368">
        <v>0</v>
      </c>
      <c r="F17" s="368">
        <v>0</v>
      </c>
      <c r="G17" s="368">
        <v>0</v>
      </c>
      <c r="H17" s="368">
        <v>0</v>
      </c>
      <c r="I17" s="368">
        <v>0</v>
      </c>
      <c r="J17" s="368">
        <v>0</v>
      </c>
      <c r="K17" s="368">
        <v>0</v>
      </c>
      <c r="L17" s="368">
        <v>0</v>
      </c>
      <c r="M17" s="368">
        <v>0</v>
      </c>
      <c r="N17" s="368">
        <v>0</v>
      </c>
      <c r="O17" s="35">
        <f>SUM(C17:N17)</f>
        <v>0</v>
      </c>
      <c r="P17" s="46"/>
    </row>
    <row r="18" spans="1:16">
      <c r="A18" s="38">
        <f t="shared" ref="A18:A19" si="3">A17+1</f>
        <v>8</v>
      </c>
      <c r="B18" s="26" t="s">
        <v>329</v>
      </c>
      <c r="C18" s="368">
        <v>0</v>
      </c>
      <c r="D18" s="368">
        <v>0</v>
      </c>
      <c r="E18" s="368">
        <v>0</v>
      </c>
      <c r="F18" s="368">
        <v>0</v>
      </c>
      <c r="G18" s="368">
        <v>0</v>
      </c>
      <c r="H18" s="368">
        <v>0</v>
      </c>
      <c r="I18" s="368">
        <v>0</v>
      </c>
      <c r="J18" s="368">
        <v>0</v>
      </c>
      <c r="K18" s="368">
        <v>0</v>
      </c>
      <c r="L18" s="368">
        <v>0</v>
      </c>
      <c r="M18" s="368">
        <v>0</v>
      </c>
      <c r="N18" s="368">
        <v>0</v>
      </c>
      <c r="O18" s="35">
        <f>SUM(C18:N18)</f>
        <v>0</v>
      </c>
      <c r="P18" s="46"/>
    </row>
    <row r="19" spans="1:16">
      <c r="A19" s="38">
        <f t="shared" si="3"/>
        <v>9</v>
      </c>
      <c r="B19" s="26" t="s">
        <v>72</v>
      </c>
      <c r="C19" s="368">
        <v>0</v>
      </c>
      <c r="D19" s="368">
        <v>0</v>
      </c>
      <c r="E19" s="368">
        <v>0</v>
      </c>
      <c r="F19" s="368">
        <v>0</v>
      </c>
      <c r="G19" s="368">
        <v>0</v>
      </c>
      <c r="H19" s="368">
        <v>0</v>
      </c>
      <c r="I19" s="368">
        <v>0</v>
      </c>
      <c r="J19" s="368">
        <v>0</v>
      </c>
      <c r="K19" s="368">
        <v>0</v>
      </c>
      <c r="L19" s="368">
        <v>0</v>
      </c>
      <c r="M19" s="368">
        <v>0</v>
      </c>
      <c r="N19" s="368">
        <v>0</v>
      </c>
      <c r="O19" s="35">
        <f t="shared" ref="O19:O20" si="4">SUM(C19:N19)</f>
        <v>0</v>
      </c>
      <c r="P19" s="46"/>
    </row>
    <row r="20" spans="1:16">
      <c r="A20" s="38">
        <f>A19+1</f>
        <v>10</v>
      </c>
      <c r="B20" s="26" t="s">
        <v>73</v>
      </c>
      <c r="C20" s="359">
        <v>0</v>
      </c>
      <c r="D20" s="359">
        <v>0</v>
      </c>
      <c r="E20" s="359">
        <v>0</v>
      </c>
      <c r="F20" s="359">
        <v>0</v>
      </c>
      <c r="G20" s="359">
        <v>0</v>
      </c>
      <c r="H20" s="359">
        <v>0</v>
      </c>
      <c r="I20" s="359">
        <v>0</v>
      </c>
      <c r="J20" s="359">
        <v>0</v>
      </c>
      <c r="K20" s="359">
        <v>0</v>
      </c>
      <c r="L20" s="359">
        <v>0</v>
      </c>
      <c r="M20" s="359">
        <v>0</v>
      </c>
      <c r="N20" s="359">
        <v>0</v>
      </c>
      <c r="O20" s="34">
        <f t="shared" si="4"/>
        <v>0</v>
      </c>
      <c r="P20" s="46"/>
    </row>
    <row r="21" spans="1:16">
      <c r="A21" s="38">
        <f>A20+1</f>
        <v>11</v>
      </c>
      <c r="B21" s="26" t="s">
        <v>180</v>
      </c>
      <c r="C21" s="35">
        <f t="shared" ref="C21:H21" si="5">SUM(C17:C20)</f>
        <v>0</v>
      </c>
      <c r="D21" s="35">
        <f t="shared" si="5"/>
        <v>0</v>
      </c>
      <c r="E21" s="35">
        <f t="shared" si="5"/>
        <v>0</v>
      </c>
      <c r="F21" s="35">
        <f t="shared" si="5"/>
        <v>0</v>
      </c>
      <c r="G21" s="35">
        <f t="shared" si="5"/>
        <v>0</v>
      </c>
      <c r="H21" s="35">
        <f t="shared" si="5"/>
        <v>0</v>
      </c>
      <c r="I21" s="35">
        <f t="shared" ref="I21:O21" si="6">SUM(I17:I20)</f>
        <v>0</v>
      </c>
      <c r="J21" s="35">
        <f t="shared" si="6"/>
        <v>0</v>
      </c>
      <c r="K21" s="35">
        <f t="shared" si="6"/>
        <v>0</v>
      </c>
      <c r="L21" s="35">
        <f t="shared" si="6"/>
        <v>0</v>
      </c>
      <c r="M21" s="35">
        <f t="shared" si="6"/>
        <v>0</v>
      </c>
      <c r="N21" s="35">
        <f t="shared" si="6"/>
        <v>0</v>
      </c>
      <c r="O21" s="35">
        <f t="shared" si="6"/>
        <v>0</v>
      </c>
      <c r="P21" s="46"/>
    </row>
    <row r="22" spans="1:16">
      <c r="A22" s="38"/>
      <c r="I22" s="35"/>
      <c r="J22" s="35"/>
      <c r="K22" s="35"/>
      <c r="L22" s="35"/>
      <c r="M22" s="35"/>
      <c r="N22" s="35"/>
      <c r="O22" s="35"/>
      <c r="P22" s="46"/>
    </row>
    <row r="23" spans="1:16">
      <c r="A23" s="38">
        <f>A21+1</f>
        <v>12</v>
      </c>
      <c r="B23" s="26" t="s">
        <v>179</v>
      </c>
      <c r="C23" s="369">
        <v>0</v>
      </c>
      <c r="D23" s="369">
        <v>0</v>
      </c>
      <c r="E23" s="369">
        <v>0</v>
      </c>
      <c r="F23" s="369">
        <v>0</v>
      </c>
      <c r="G23" s="369">
        <v>0</v>
      </c>
      <c r="H23" s="369">
        <v>0</v>
      </c>
      <c r="I23" s="369">
        <v>0</v>
      </c>
      <c r="J23" s="369">
        <v>0</v>
      </c>
      <c r="K23" s="369">
        <v>0</v>
      </c>
      <c r="L23" s="369">
        <v>0</v>
      </c>
      <c r="M23" s="369">
        <v>0</v>
      </c>
      <c r="N23" s="369">
        <v>0</v>
      </c>
      <c r="O23" s="33">
        <f>SUM(C23:N23)</f>
        <v>0</v>
      </c>
      <c r="P23" s="46"/>
    </row>
    <row r="24" spans="1:16">
      <c r="A24" s="38"/>
      <c r="I24" s="33"/>
      <c r="J24" s="33"/>
      <c r="K24" s="33"/>
      <c r="L24" s="33"/>
      <c r="M24" s="33"/>
      <c r="N24" s="33"/>
      <c r="O24" s="33"/>
      <c r="P24" s="46"/>
    </row>
    <row r="25" spans="1:16" ht="16.5" customHeight="1">
      <c r="A25" s="38">
        <f>A23+1</f>
        <v>13</v>
      </c>
      <c r="B25" s="26" t="s">
        <v>253</v>
      </c>
      <c r="C25" s="33">
        <f>SUM('2018 Capital Budget'!F42,'2018 Capital Budget'!F44:F46,'2018 Capital Budget'!F52)</f>
        <v>0</v>
      </c>
      <c r="D25" s="33">
        <f>SUM('2018 Capital Budget'!G42,'2018 Capital Budget'!G44:G46,'2018 Capital Budget'!G52)</f>
        <v>0</v>
      </c>
      <c r="E25" s="33">
        <f>SUM('2018 Capital Budget'!H42,'2018 Capital Budget'!H44:H46,'2018 Capital Budget'!H52)</f>
        <v>0</v>
      </c>
      <c r="F25" s="33">
        <f>SUM('2018 Capital Budget'!I42,'2018 Capital Budget'!I44:I46,'2018 Capital Budget'!I52)</f>
        <v>0</v>
      </c>
      <c r="G25" s="33">
        <f>SUM('2018 Capital Budget'!J42,'2018 Capital Budget'!J44:J46,'2018 Capital Budget'!J52)</f>
        <v>0</v>
      </c>
      <c r="H25" s="33">
        <f>SUM('2018 Capital Budget'!K42,'2018 Capital Budget'!K44:K46,'2018 Capital Budget'!K52)</f>
        <v>0</v>
      </c>
      <c r="I25" s="33">
        <f>SUM('2018 Capital Budget'!L42,'2018 Capital Budget'!L44:L46,'2018 Capital Budget'!L52)</f>
        <v>0</v>
      </c>
      <c r="J25" s="33">
        <f>SUM('2018 Capital Budget'!M42,'2018 Capital Budget'!M44:M46,'2018 Capital Budget'!M52)</f>
        <v>0</v>
      </c>
      <c r="K25" s="33">
        <f>SUM('2018 Capital Budget'!N42,'2018 Capital Budget'!N44:N46,'2018 Capital Budget'!N52)</f>
        <v>0</v>
      </c>
      <c r="L25" s="33">
        <f>SUM('2018 Capital Budget'!O42,'2018 Capital Budget'!O44:O46,'2018 Capital Budget'!O52)</f>
        <v>0</v>
      </c>
      <c r="M25" s="33">
        <f>SUM('2018 Capital Budget'!P42,'2018 Capital Budget'!P44:P46,'2018 Capital Budget'!P52)</f>
        <v>0</v>
      </c>
      <c r="N25" s="33">
        <f>SUM('2018 Capital Budget'!Q42,'2018 Capital Budget'!Q44:Q46,'2018 Capital Budget'!Q52)</f>
        <v>0</v>
      </c>
      <c r="O25" s="35">
        <f>SUM(C25:N25)</f>
        <v>0</v>
      </c>
      <c r="P25" s="46"/>
    </row>
    <row r="26" spans="1:16" ht="16.5" customHeight="1">
      <c r="A26" s="38">
        <f>A25+1</f>
        <v>14</v>
      </c>
      <c r="B26" s="26" t="s">
        <v>328</v>
      </c>
      <c r="C26" s="33">
        <f>SUM('2018 Capital Budget'!F49:F51)</f>
        <v>0</v>
      </c>
      <c r="D26" s="33">
        <f>SUM('2018 Capital Budget'!G49:G51)</f>
        <v>0</v>
      </c>
      <c r="E26" s="33">
        <f>SUM('2018 Capital Budget'!H49:H51)</f>
        <v>0</v>
      </c>
      <c r="F26" s="33">
        <f>SUM('2018 Capital Budget'!I49:I51)</f>
        <v>0</v>
      </c>
      <c r="G26" s="33">
        <f>SUM('2018 Capital Budget'!J49:J51)</f>
        <v>0</v>
      </c>
      <c r="H26" s="33">
        <f>SUM('2018 Capital Budget'!K49:K51)</f>
        <v>0</v>
      </c>
      <c r="I26" s="33">
        <f>SUM('2018 Capital Budget'!L49:L51)</f>
        <v>0</v>
      </c>
      <c r="J26" s="33">
        <f>SUM('2018 Capital Budget'!M49:M51)</f>
        <v>0</v>
      </c>
      <c r="K26" s="33">
        <f>SUM('2018 Capital Budget'!N49:N51)</f>
        <v>0</v>
      </c>
      <c r="L26" s="33">
        <f>SUM('2018 Capital Budget'!O49:O51)</f>
        <v>0</v>
      </c>
      <c r="M26" s="33">
        <f>SUM('2018 Capital Budget'!P49:P51)</f>
        <v>0</v>
      </c>
      <c r="N26" s="33">
        <f>SUM('2018 Capital Budget'!Q49:Q51)</f>
        <v>0</v>
      </c>
      <c r="O26" s="35">
        <f>SUM(C26:N26)</f>
        <v>0</v>
      </c>
      <c r="P26" s="46"/>
    </row>
    <row r="27" spans="1:16">
      <c r="A27" s="38">
        <f t="shared" ref="A27:A29" si="7">A26+1</f>
        <v>15</v>
      </c>
      <c r="B27" s="26" t="s">
        <v>83</v>
      </c>
      <c r="C27" s="33">
        <f>SUM('2018 Capital Budget'!F43,'2018 Capital Budget'!F47:F48)</f>
        <v>11378.04</v>
      </c>
      <c r="D27" s="33">
        <f>SUM('2018 Capital Budget'!G43,'2018 Capital Budget'!G47:G48)</f>
        <v>30939.510000000002</v>
      </c>
      <c r="E27" s="33">
        <f>SUM('2018 Capital Budget'!H43,'2018 Capital Budget'!H47:H48)</f>
        <v>51643.659999999996</v>
      </c>
      <c r="F27" s="33">
        <f>SUM('2018 Capital Budget'!I43,'2018 Capital Budget'!I47:I48)</f>
        <v>48343.54</v>
      </c>
      <c r="G27" s="33">
        <f>SUM('2018 Capital Budget'!J43,'2018 Capital Budget'!J47:J48)</f>
        <v>30232.400000000001</v>
      </c>
      <c r="H27" s="33">
        <f>SUM('2018 Capital Budget'!K43,'2018 Capital Budget'!K47:K48)</f>
        <v>33277.39</v>
      </c>
      <c r="I27" s="33">
        <f>SUM('2018 Capital Budget'!L43,'2018 Capital Budget'!L47:L48)</f>
        <v>23517.8</v>
      </c>
      <c r="J27" s="33">
        <f>SUM('2018 Capital Budget'!M43,'2018 Capital Budget'!M47:M48)</f>
        <v>32728.78</v>
      </c>
      <c r="K27" s="33">
        <f>SUM('2018 Capital Budget'!N43,'2018 Capital Budget'!N47:N48)</f>
        <v>66252.58</v>
      </c>
      <c r="L27" s="33">
        <f>SUM('2018 Capital Budget'!O43,'2018 Capital Budget'!O47:O48)</f>
        <v>16815.920000000002</v>
      </c>
      <c r="M27" s="33">
        <f>SUM('2018 Capital Budget'!P43,'2018 Capital Budget'!P47:P48)</f>
        <v>37570.519999999997</v>
      </c>
      <c r="N27" s="33">
        <f>SUM('2018 Capital Budget'!Q43,'2018 Capital Budget'!Q47:Q48)</f>
        <v>39300.839999999997</v>
      </c>
      <c r="O27" s="35">
        <f t="shared" ref="O27:O28" si="8">SUM(C27:N27)</f>
        <v>422000.98</v>
      </c>
      <c r="P27" s="46"/>
    </row>
    <row r="28" spans="1:16">
      <c r="A28" s="38">
        <f t="shared" si="7"/>
        <v>16</v>
      </c>
      <c r="B28" s="26" t="s">
        <v>84</v>
      </c>
      <c r="C28" s="359">
        <v>0</v>
      </c>
      <c r="D28" s="359">
        <v>0</v>
      </c>
      <c r="E28" s="359">
        <v>0</v>
      </c>
      <c r="F28" s="359">
        <v>0</v>
      </c>
      <c r="G28" s="359">
        <v>0</v>
      </c>
      <c r="H28" s="359">
        <v>0</v>
      </c>
      <c r="I28" s="359">
        <v>0</v>
      </c>
      <c r="J28" s="359">
        <v>0</v>
      </c>
      <c r="K28" s="359">
        <v>0</v>
      </c>
      <c r="L28" s="359">
        <v>0</v>
      </c>
      <c r="M28" s="359">
        <v>0</v>
      </c>
      <c r="N28" s="359">
        <v>0</v>
      </c>
      <c r="O28" s="34">
        <f t="shared" si="8"/>
        <v>0</v>
      </c>
      <c r="P28" s="86"/>
    </row>
    <row r="29" spans="1:16">
      <c r="A29" s="38">
        <f t="shared" si="7"/>
        <v>17</v>
      </c>
      <c r="B29" s="26" t="s">
        <v>85</v>
      </c>
      <c r="C29" s="33">
        <f t="shared" ref="C29:H29" si="9">SUM(C25:C28)</f>
        <v>11378.04</v>
      </c>
      <c r="D29" s="33">
        <f t="shared" si="9"/>
        <v>30939.510000000002</v>
      </c>
      <c r="E29" s="33">
        <f t="shared" si="9"/>
        <v>51643.659999999996</v>
      </c>
      <c r="F29" s="33">
        <f t="shared" si="9"/>
        <v>48343.54</v>
      </c>
      <c r="G29" s="33">
        <f t="shared" si="9"/>
        <v>30232.400000000001</v>
      </c>
      <c r="H29" s="33">
        <f t="shared" si="9"/>
        <v>33277.39</v>
      </c>
      <c r="I29" s="33">
        <f t="shared" ref="I29:O29" si="10">SUM(I25:I28)</f>
        <v>23517.8</v>
      </c>
      <c r="J29" s="33">
        <f t="shared" si="10"/>
        <v>32728.78</v>
      </c>
      <c r="K29" s="33">
        <f t="shared" si="10"/>
        <v>66252.58</v>
      </c>
      <c r="L29" s="33">
        <f t="shared" si="10"/>
        <v>16815.920000000002</v>
      </c>
      <c r="M29" s="33">
        <f t="shared" si="10"/>
        <v>37570.519999999997</v>
      </c>
      <c r="N29" s="33">
        <f t="shared" si="10"/>
        <v>39300.839999999997</v>
      </c>
      <c r="O29" s="33">
        <f t="shared" si="10"/>
        <v>422000.98</v>
      </c>
      <c r="P29" s="46"/>
    </row>
    <row r="30" spans="1:16">
      <c r="A30" s="38"/>
      <c r="I30" s="33"/>
      <c r="J30" s="33"/>
      <c r="K30" s="33"/>
      <c r="L30" s="33"/>
      <c r="M30" s="33"/>
      <c r="N30" s="33"/>
      <c r="O30" s="33"/>
      <c r="P30" s="46"/>
    </row>
    <row r="31" spans="1:16">
      <c r="A31" s="38">
        <f>A29+1</f>
        <v>18</v>
      </c>
      <c r="B31" s="26" t="s">
        <v>59</v>
      </c>
      <c r="C31" s="369">
        <v>116637.37</v>
      </c>
      <c r="D31" s="369">
        <v>-32468.410000000011</v>
      </c>
      <c r="E31" s="369">
        <v>-13517.44999999999</v>
      </c>
      <c r="F31" s="369">
        <v>-106295.09</v>
      </c>
      <c r="G31" s="369">
        <v>74792.559999999983</v>
      </c>
      <c r="H31" s="369">
        <v>59565.02</v>
      </c>
      <c r="I31" s="369">
        <v>71171.619999999981</v>
      </c>
      <c r="J31" s="369">
        <v>101207.37999999998</v>
      </c>
      <c r="K31" s="369">
        <v>63358.099999999991</v>
      </c>
      <c r="L31" s="369">
        <v>120155.35</v>
      </c>
      <c r="M31" s="369">
        <v>48892.760000000009</v>
      </c>
      <c r="N31" s="369">
        <v>177111.56000000003</v>
      </c>
      <c r="O31" s="33">
        <f>SUM(C31:N31)</f>
        <v>680610.77</v>
      </c>
      <c r="P31" s="46"/>
    </row>
    <row r="32" spans="1:16">
      <c r="A32" s="38">
        <f>A31+1</f>
        <v>19</v>
      </c>
      <c r="B32" s="26" t="s">
        <v>457</v>
      </c>
      <c r="C32" s="369">
        <v>20784</v>
      </c>
      <c r="D32" s="369">
        <v>20784</v>
      </c>
      <c r="E32" s="369">
        <v>20784</v>
      </c>
      <c r="F32" s="369">
        <v>20784</v>
      </c>
      <c r="G32" s="369">
        <v>20784</v>
      </c>
      <c r="H32" s="369">
        <v>20784</v>
      </c>
      <c r="I32" s="369">
        <v>20784</v>
      </c>
      <c r="J32" s="369">
        <v>20784</v>
      </c>
      <c r="K32" s="369">
        <v>20784</v>
      </c>
      <c r="L32" s="369">
        <v>20784</v>
      </c>
      <c r="M32" s="369">
        <v>20784</v>
      </c>
      <c r="N32" s="369">
        <v>20784</v>
      </c>
      <c r="O32" s="33">
        <f>SUM(C32:N32)</f>
        <v>249408</v>
      </c>
      <c r="P32" s="46"/>
    </row>
    <row r="33" spans="1:30">
      <c r="A33" s="38">
        <v>20</v>
      </c>
      <c r="B33" s="26" t="s">
        <v>458</v>
      </c>
      <c r="C33" s="369">
        <v>440.78</v>
      </c>
      <c r="D33" s="369">
        <v>440.78</v>
      </c>
      <c r="E33" s="369">
        <v>440.78</v>
      </c>
      <c r="F33" s="369">
        <v>440.78</v>
      </c>
      <c r="G33" s="369">
        <v>440.78</v>
      </c>
      <c r="H33" s="369">
        <v>440.78</v>
      </c>
      <c r="I33" s="369">
        <v>440.78</v>
      </c>
      <c r="J33" s="369">
        <v>440.78</v>
      </c>
      <c r="K33" s="369">
        <v>440.78</v>
      </c>
      <c r="L33" s="369">
        <v>440.78</v>
      </c>
      <c r="M33" s="369">
        <v>440.78</v>
      </c>
      <c r="N33" s="369">
        <v>440.78</v>
      </c>
      <c r="O33" s="33">
        <f>SUM(C33:N33)</f>
        <v>5289.3599999999979</v>
      </c>
    </row>
    <row r="34" spans="1:30">
      <c r="L34" s="63"/>
      <c r="M34" s="33"/>
    </row>
    <row r="36" spans="1:30" s="26" customFormat="1">
      <c r="A36" s="28"/>
      <c r="M36" s="28"/>
      <c r="N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26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26" customForma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6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6" customForma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6" customForma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6" customForma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6" customForma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26" customForma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26" customForma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26" customForma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s="26" customForma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26" customForma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s="26" customForma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s="26" customForma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</sheetData>
  <pageMargins left="0.7" right="0.7" top="0.75" bottom="0.75" header="0.3" footer="0.3"/>
  <pageSetup scale="49" orientation="landscape" r:id="rId1"/>
  <headerFooter>
    <oddFooter>&amp;R&amp;"Times New Roman,Bold"&amp;18Exhibit 4
Page 4 of 17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258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95</v>
      </c>
      <c r="G6" s="12"/>
      <c r="H6" s="12"/>
      <c r="I6" s="12"/>
      <c r="J6" s="12" t="s">
        <v>95</v>
      </c>
      <c r="K6" s="12"/>
      <c r="L6" s="12" t="s">
        <v>95</v>
      </c>
      <c r="M6" s="12"/>
      <c r="N6" s="12"/>
      <c r="O6" s="12"/>
      <c r="P6" s="12"/>
      <c r="Q6" s="12"/>
      <c r="R6" s="12" t="s">
        <v>95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'201712 Bk Depr'!R13</f>
        <v>0</v>
      </c>
      <c r="H13" s="1">
        <f>1.62%/12</f>
        <v>1.3500000000000003E-3</v>
      </c>
      <c r="J13" s="364">
        <f>F13*H13</f>
        <v>0</v>
      </c>
      <c r="L13" s="365">
        <f>'Cap&amp;OpEx 2018'!C10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'201712 Bk Depr'!R14</f>
        <v>981501.45</v>
      </c>
      <c r="H14" s="1">
        <f>3.24%/12</f>
        <v>2.7000000000000006E-3</v>
      </c>
      <c r="J14" s="364">
        <f>F14*H14</f>
        <v>2650.0539150000004</v>
      </c>
      <c r="L14" s="365">
        <f>'Cap&amp;OpEx 2018'!C12</f>
        <v>205454.91999999998</v>
      </c>
      <c r="N14" s="364">
        <f>H14*L14*0.5</f>
        <v>277.36414200000002</v>
      </c>
      <c r="P14" s="364">
        <f>J14+N14</f>
        <v>2927.4180570000003</v>
      </c>
      <c r="R14" s="364">
        <f>L14+F14</f>
        <v>1186956.3699999999</v>
      </c>
    </row>
    <row r="15" spans="1:18">
      <c r="A15" s="6">
        <f t="shared" ref="A15" si="0">A14+1</f>
        <v>3</v>
      </c>
      <c r="B15" s="4"/>
      <c r="C15" s="9" t="s">
        <v>63</v>
      </c>
      <c r="D15" s="6">
        <v>380</v>
      </c>
      <c r="F15" s="360">
        <f>'201712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2018'!C13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>A15+1</f>
        <v>4</v>
      </c>
      <c r="B16" s="4"/>
      <c r="C16" s="4" t="s">
        <v>163</v>
      </c>
      <c r="D16" s="6">
        <v>380</v>
      </c>
      <c r="F16" s="361">
        <f>'201712 Bk Depr'!R16</f>
        <v>3807542.94</v>
      </c>
      <c r="H16" s="1">
        <f t="shared" si="1"/>
        <v>2.7000000000000006E-3</v>
      </c>
      <c r="J16" s="364">
        <f>F16*H16</f>
        <v>10280.365938000003</v>
      </c>
      <c r="L16" s="366">
        <f>'Cap&amp;OpEx 2018'!C14</f>
        <v>566267.26000000013</v>
      </c>
      <c r="N16" s="364">
        <f>H16*L16*0.5</f>
        <v>764.46080100000029</v>
      </c>
      <c r="P16" s="364">
        <f>J16+N16</f>
        <v>11044.826739000004</v>
      </c>
      <c r="R16" s="364">
        <f>L16+F16</f>
        <v>4373810.2</v>
      </c>
    </row>
    <row r="17" spans="1:18">
      <c r="A17" s="6">
        <f>A16+1</f>
        <v>5</v>
      </c>
      <c r="B17" s="4"/>
      <c r="C17" s="4" t="s">
        <v>21</v>
      </c>
      <c r="F17" s="362">
        <f>SUM(F13:F16)</f>
        <v>4789044.3899999997</v>
      </c>
      <c r="J17" s="362">
        <f>SUM(J13:J16)</f>
        <v>12930.419853000003</v>
      </c>
      <c r="L17" s="362">
        <f>SUM(L13:L16)</f>
        <v>771722.18000000017</v>
      </c>
      <c r="N17" s="362">
        <f>SUM(N13:N16)</f>
        <v>1041.8249430000003</v>
      </c>
      <c r="P17" s="362">
        <f>SUM(P13:P16)</f>
        <v>13972.244796000004</v>
      </c>
      <c r="R17" s="362">
        <f>SUM(R13:R16)</f>
        <v>5560766.5700000003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'201712 Bk Depr'!R20</f>
        <v>0</v>
      </c>
      <c r="H20" s="1">
        <f>1.62%/12</f>
        <v>1.3500000000000003E-3</v>
      </c>
      <c r="J20" s="364">
        <f>F20*H20</f>
        <v>0</v>
      </c>
      <c r="L20" s="365">
        <f>'Cap&amp;OpEx 2018'!C17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'201712 Bk Depr'!R21</f>
        <v>0</v>
      </c>
      <c r="H21" s="1">
        <f>3.24%/12</f>
        <v>2.7000000000000006E-3</v>
      </c>
      <c r="J21" s="364">
        <f t="shared" ref="J21:J22" si="2">F21*H21</f>
        <v>0</v>
      </c>
      <c r="L21" s="365">
        <f>'Cap&amp;OpEx 2018'!C19</f>
        <v>0</v>
      </c>
      <c r="N21" s="364">
        <f t="shared" ref="N21:N22" si="3">H21*L21*0.5</f>
        <v>0</v>
      </c>
      <c r="P21" s="364">
        <f t="shared" ref="P21:P22" si="4">J21+N21</f>
        <v>0</v>
      </c>
      <c r="R21" s="364">
        <f t="shared" ref="R21:R22" si="5">L21+F21</f>
        <v>0</v>
      </c>
    </row>
    <row r="22" spans="1:18">
      <c r="A22" s="6">
        <f t="shared" ref="A22:A23" si="6">A21+1</f>
        <v>8</v>
      </c>
      <c r="B22" s="4"/>
      <c r="C22" s="9" t="s">
        <v>63</v>
      </c>
      <c r="D22" s="6">
        <v>380</v>
      </c>
      <c r="F22" s="361">
        <f>'201712 Bk Depr'!R22</f>
        <v>0</v>
      </c>
      <c r="H22" s="1">
        <f>3.24%/12</f>
        <v>2.7000000000000006E-3</v>
      </c>
      <c r="J22" s="364">
        <f t="shared" si="2"/>
        <v>0</v>
      </c>
      <c r="L22" s="366">
        <f>'Cap&amp;OpEx 2018'!C20</f>
        <v>0</v>
      </c>
      <c r="N22" s="364">
        <f t="shared" si="3"/>
        <v>0</v>
      </c>
      <c r="P22" s="364">
        <f t="shared" si="4"/>
        <v>0</v>
      </c>
      <c r="R22" s="364">
        <f t="shared" si="5"/>
        <v>0</v>
      </c>
    </row>
    <row r="23" spans="1:18">
      <c r="A23" s="6">
        <f t="shared" si="6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4789044.3899999997</v>
      </c>
      <c r="J25" s="363">
        <f>J17+J23</f>
        <v>12930.419853000003</v>
      </c>
      <c r="L25" s="363">
        <f>L17+L23</f>
        <v>771722.18000000017</v>
      </c>
      <c r="N25" s="363">
        <f>N17+N23</f>
        <v>1041.8249430000003</v>
      </c>
      <c r="P25" s="363">
        <f>P17+P23</f>
        <v>13972.244796000004</v>
      </c>
      <c r="R25" s="363">
        <f>R17+R23</f>
        <v>5560766.5700000003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'201712 Bk Depr'!R28</f>
        <v>0</v>
      </c>
      <c r="J28" s="364"/>
      <c r="L28" s="365">
        <f>'Cap&amp;OpEx 2018'!C25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'201712 Bk Depr'!R29</f>
        <v>187096.43000000002</v>
      </c>
      <c r="J29" s="364"/>
      <c r="L29" s="365">
        <f>'Cap&amp;OpEx 2018'!C27</f>
        <v>11378.04</v>
      </c>
      <c r="N29" s="364"/>
      <c r="P29" s="364"/>
      <c r="R29" s="364">
        <f>L29+F29</f>
        <v>198474.47000000003</v>
      </c>
    </row>
    <row r="30" spans="1:18">
      <c r="A30" s="6">
        <f t="shared" ref="A30:A31" si="7">A29+1</f>
        <v>13</v>
      </c>
      <c r="B30" s="4"/>
      <c r="C30" s="9" t="s">
        <v>63</v>
      </c>
      <c r="D30" s="6">
        <v>380</v>
      </c>
      <c r="F30" s="361">
        <f>'201712 Bk Depr'!R30</f>
        <v>0</v>
      </c>
      <c r="J30" s="364"/>
      <c r="L30" s="366">
        <f>'Cap&amp;OpEx 2018'!C28</f>
        <v>0</v>
      </c>
      <c r="N30" s="364"/>
      <c r="P30" s="364"/>
      <c r="R30" s="364">
        <f>L30+F30</f>
        <v>0</v>
      </c>
    </row>
    <row r="31" spans="1:18">
      <c r="A31" s="6">
        <f t="shared" si="7"/>
        <v>14</v>
      </c>
      <c r="B31" s="4"/>
      <c r="C31" s="4" t="s">
        <v>23</v>
      </c>
      <c r="F31" s="362">
        <f>SUM(F28:F30)</f>
        <v>187096.43000000002</v>
      </c>
      <c r="J31" s="362">
        <f>SUM(J28:J30)</f>
        <v>0</v>
      </c>
      <c r="L31" s="362">
        <f>SUM(L28:L30)</f>
        <v>11378.04</v>
      </c>
      <c r="N31" s="362">
        <f>SUM(N28:N30)</f>
        <v>0</v>
      </c>
      <c r="P31" s="362">
        <f>SUM(P28:P30)</f>
        <v>0</v>
      </c>
      <c r="R31" s="362">
        <f>SUM(R28:R30)</f>
        <v>198474.47000000003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5 of 17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262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98</v>
      </c>
      <c r="G6" s="12"/>
      <c r="H6" s="12"/>
      <c r="I6" s="12"/>
      <c r="J6" s="12" t="s">
        <v>98</v>
      </c>
      <c r="K6" s="12"/>
      <c r="L6" s="12" t="s">
        <v>98</v>
      </c>
      <c r="M6" s="12"/>
      <c r="N6" s="12"/>
      <c r="O6" s="12"/>
      <c r="P6" s="12"/>
      <c r="Q6" s="12"/>
      <c r="R6" s="12" t="s">
        <v>98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'201801 Bk Depr'!R13</f>
        <v>0</v>
      </c>
      <c r="H13" s="1">
        <f>1.62%/12</f>
        <v>1.3500000000000003E-3</v>
      </c>
      <c r="J13" s="364">
        <f>F13*H13</f>
        <v>0</v>
      </c>
      <c r="L13" s="365">
        <f>'Cap&amp;OpEx 2018'!D10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'201801 Bk Depr'!R14</f>
        <v>1186956.3699999999</v>
      </c>
      <c r="H14" s="1">
        <f>3.24%/12</f>
        <v>2.7000000000000006E-3</v>
      </c>
      <c r="J14" s="364">
        <f>F14*H14</f>
        <v>3204.7821990000002</v>
      </c>
      <c r="L14" s="365">
        <f>'Cap&amp;OpEx 2018'!D12</f>
        <v>125779.21999999999</v>
      </c>
      <c r="N14" s="364">
        <f>H14*L14*0.5</f>
        <v>169.80194700000001</v>
      </c>
      <c r="P14" s="364">
        <f>J14+N14</f>
        <v>3374.5841460000001</v>
      </c>
      <c r="R14" s="364">
        <f>L14+F14</f>
        <v>1312735.5899999999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'201801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2018'!D13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'201801 Bk Depr'!R16</f>
        <v>4373810.2</v>
      </c>
      <c r="H16" s="1">
        <f t="shared" si="1"/>
        <v>2.7000000000000006E-3</v>
      </c>
      <c r="J16" s="364">
        <f>F16*H16</f>
        <v>11809.287540000003</v>
      </c>
      <c r="L16" s="366">
        <f>'Cap&amp;OpEx 2018'!D14</f>
        <v>626600.44000000006</v>
      </c>
      <c r="N16" s="364">
        <f>H16*L16*0.5</f>
        <v>845.91059400000029</v>
      </c>
      <c r="P16" s="364">
        <f>J16+N16</f>
        <v>12655.198134000004</v>
      </c>
      <c r="R16" s="364">
        <f>L16+F16</f>
        <v>5000410.6400000006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5560766.5700000003</v>
      </c>
      <c r="J17" s="362">
        <f>SUM(J13:J16)</f>
        <v>15014.069739000002</v>
      </c>
      <c r="L17" s="362">
        <f>SUM(L13:L16)</f>
        <v>752379.66</v>
      </c>
      <c r="N17" s="362">
        <f>SUM(N13:N16)</f>
        <v>1015.7125410000003</v>
      </c>
      <c r="P17" s="362">
        <f>SUM(P13:P16)</f>
        <v>16029.782280000003</v>
      </c>
      <c r="R17" s="362">
        <f>SUM(R13:R16)</f>
        <v>6313146.2300000004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'201801 Bk Depr'!R20</f>
        <v>0</v>
      </c>
      <c r="H20" s="1">
        <f>1.62%/12</f>
        <v>1.3500000000000003E-3</v>
      </c>
      <c r="J20" s="364">
        <f>F20*H20</f>
        <v>0</v>
      </c>
      <c r="L20" s="365">
        <f>'Cap&amp;OpEx 2018'!D17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'201801 Bk Depr'!R21</f>
        <v>0</v>
      </c>
      <c r="H21" s="1">
        <f>3.24%/12</f>
        <v>2.7000000000000006E-3</v>
      </c>
      <c r="J21" s="364">
        <f>F21*H21</f>
        <v>0</v>
      </c>
      <c r="L21" s="365">
        <f>'Cap&amp;OpEx 2018'!D19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'201801 Bk Depr'!R22</f>
        <v>0</v>
      </c>
      <c r="H22" s="1">
        <f>3.24%/12</f>
        <v>2.7000000000000006E-3</v>
      </c>
      <c r="J22" s="364">
        <f>F22*H22</f>
        <v>0</v>
      </c>
      <c r="L22" s="366">
        <f>'Cap&amp;OpEx 2018'!D20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5560766.5700000003</v>
      </c>
      <c r="J25" s="363">
        <f>J17+J23</f>
        <v>15014.069739000002</v>
      </c>
      <c r="L25" s="363">
        <f>L17+L23</f>
        <v>752379.66</v>
      </c>
      <c r="N25" s="363">
        <f>N17+N23</f>
        <v>1015.7125410000003</v>
      </c>
      <c r="P25" s="363">
        <f>P17+P23</f>
        <v>16029.782280000003</v>
      </c>
      <c r="R25" s="363">
        <f>R17+R23</f>
        <v>6313146.2300000004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'201801 Bk Depr'!R28</f>
        <v>0</v>
      </c>
      <c r="J28" s="364"/>
      <c r="L28" s="365">
        <f>'Cap&amp;OpEx 2018'!D25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'201801 Bk Depr'!R29</f>
        <v>198474.47000000003</v>
      </c>
      <c r="J29" s="364"/>
      <c r="L29" s="365">
        <f>'Cap&amp;OpEx 2018'!D27</f>
        <v>30939.510000000002</v>
      </c>
      <c r="N29" s="364"/>
      <c r="P29" s="364"/>
      <c r="R29" s="364">
        <f>L29+F29</f>
        <v>229413.98000000004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'201801 Bk Depr'!R30</f>
        <v>0</v>
      </c>
      <c r="J30" s="364"/>
      <c r="L30" s="366">
        <f>'Cap&amp;OpEx 2018'!D28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198474.47000000003</v>
      </c>
      <c r="J31" s="362">
        <f>SUM(J28:J30)</f>
        <v>0</v>
      </c>
      <c r="L31" s="362">
        <f>SUM(L28:L30)</f>
        <v>30939.510000000002</v>
      </c>
      <c r="N31" s="362">
        <f>SUM(N28:N30)</f>
        <v>0</v>
      </c>
      <c r="P31" s="362">
        <f>SUM(P28:P30)</f>
        <v>0</v>
      </c>
      <c r="R31" s="362">
        <f>SUM(R28:R30)</f>
        <v>229413.98000000004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6 of 17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263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99</v>
      </c>
      <c r="G6" s="12"/>
      <c r="H6" s="12"/>
      <c r="I6" s="12"/>
      <c r="J6" s="12" t="s">
        <v>99</v>
      </c>
      <c r="K6" s="12"/>
      <c r="L6" s="12" t="s">
        <v>99</v>
      </c>
      <c r="M6" s="12"/>
      <c r="N6" s="12"/>
      <c r="O6" s="12"/>
      <c r="P6" s="12"/>
      <c r="Q6" s="12"/>
      <c r="R6" s="12" t="s">
        <v>99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'201802 Bk Depr'!R13</f>
        <v>0</v>
      </c>
      <c r="H13" s="1">
        <f>1.62%/12</f>
        <v>1.3500000000000003E-3</v>
      </c>
      <c r="J13" s="364">
        <f>F13*H13</f>
        <v>0</v>
      </c>
      <c r="L13" s="365">
        <f>'Cap&amp;OpEx 2018'!E10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'201802 Bk Depr'!R14</f>
        <v>1312735.5899999999</v>
      </c>
      <c r="H14" s="1">
        <f>3.24%/12</f>
        <v>2.7000000000000006E-3</v>
      </c>
      <c r="J14" s="364">
        <f>F14*H14</f>
        <v>3544.3860930000005</v>
      </c>
      <c r="L14" s="365">
        <f>'Cap&amp;OpEx 2018'!E12</f>
        <v>127251.93</v>
      </c>
      <c r="N14" s="364">
        <f>H14*L14*0.5</f>
        <v>171.79010550000004</v>
      </c>
      <c r="P14" s="364">
        <f>J14+N14</f>
        <v>3716.1761985000007</v>
      </c>
      <c r="R14" s="364">
        <f>L14+F14</f>
        <v>1439987.5199999998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'201802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2018'!E13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'201802 Bk Depr'!R16</f>
        <v>5000410.6400000006</v>
      </c>
      <c r="H16" s="1">
        <f t="shared" si="1"/>
        <v>2.7000000000000006E-3</v>
      </c>
      <c r="J16" s="364">
        <f>F16*H16</f>
        <v>13501.108728000005</v>
      </c>
      <c r="L16" s="366">
        <f>'Cap&amp;OpEx 2018'!E14</f>
        <v>570431.03000000026</v>
      </c>
      <c r="N16" s="364">
        <f>H16*L16*0.5</f>
        <v>770.08189050000055</v>
      </c>
      <c r="P16" s="364">
        <f>J16+N16</f>
        <v>14271.190618500004</v>
      </c>
      <c r="R16" s="364">
        <f>L16+F16</f>
        <v>5570841.6700000009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6313146.2300000004</v>
      </c>
      <c r="J17" s="362">
        <f>SUM(J13:J16)</f>
        <v>17045.494821000004</v>
      </c>
      <c r="L17" s="362">
        <f>SUM(L13:L16)</f>
        <v>697682.9600000002</v>
      </c>
      <c r="N17" s="362">
        <f>SUM(N13:N16)</f>
        <v>941.87199600000054</v>
      </c>
      <c r="P17" s="362">
        <f>SUM(P13:P16)</f>
        <v>17987.366817000006</v>
      </c>
      <c r="R17" s="362">
        <f>SUM(R13:R16)</f>
        <v>7010829.1900000004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'201802 Bk Depr'!R20</f>
        <v>0</v>
      </c>
      <c r="H20" s="1">
        <f>1.62%/12</f>
        <v>1.3500000000000003E-3</v>
      </c>
      <c r="J20" s="364">
        <f>F20*H20</f>
        <v>0</v>
      </c>
      <c r="L20" s="365">
        <f>'Cap&amp;OpEx 2018'!E17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'201802 Bk Depr'!R21</f>
        <v>0</v>
      </c>
      <c r="H21" s="1">
        <f>3.24%/12</f>
        <v>2.7000000000000006E-3</v>
      </c>
      <c r="J21" s="364">
        <f>F21*H21</f>
        <v>0</v>
      </c>
      <c r="L21" s="365">
        <f>'Cap&amp;OpEx 2018'!E19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'201802 Bk Depr'!R22</f>
        <v>0</v>
      </c>
      <c r="H22" s="1">
        <f>3.24%/12</f>
        <v>2.7000000000000006E-3</v>
      </c>
      <c r="J22" s="364">
        <f>F22*H22</f>
        <v>0</v>
      </c>
      <c r="L22" s="366">
        <f>'Cap&amp;OpEx 2018'!E20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6313146.2300000004</v>
      </c>
      <c r="J25" s="363">
        <f>J17+J23</f>
        <v>17045.494821000004</v>
      </c>
      <c r="L25" s="363">
        <f>L17+L23</f>
        <v>697682.9600000002</v>
      </c>
      <c r="N25" s="363">
        <f>N17+N23</f>
        <v>941.87199600000054</v>
      </c>
      <c r="P25" s="363">
        <f>P17+P23</f>
        <v>17987.366817000006</v>
      </c>
      <c r="R25" s="363">
        <f>R17+R23</f>
        <v>7010829.1900000004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'201802 Bk Depr'!R28</f>
        <v>0</v>
      </c>
      <c r="J28" s="364"/>
      <c r="L28" s="365">
        <f>'Cap&amp;OpEx 2018'!E25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'201802 Bk Depr'!R29</f>
        <v>229413.98000000004</v>
      </c>
      <c r="J29" s="364"/>
      <c r="L29" s="365">
        <f>'Cap&amp;OpEx 2018'!E27</f>
        <v>51643.659999999996</v>
      </c>
      <c r="N29" s="364"/>
      <c r="P29" s="364"/>
      <c r="R29" s="364">
        <f>L29+F29</f>
        <v>281057.64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'201802 Bk Depr'!R30</f>
        <v>0</v>
      </c>
      <c r="J30" s="364"/>
      <c r="L30" s="366">
        <f>'Cap&amp;OpEx 2018'!E28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229413.98000000004</v>
      </c>
      <c r="J31" s="362">
        <f>SUM(J28:J30)</f>
        <v>0</v>
      </c>
      <c r="L31" s="362">
        <f>SUM(L28:L30)</f>
        <v>51643.659999999996</v>
      </c>
      <c r="N31" s="362">
        <f>SUM(N28:N30)</f>
        <v>0</v>
      </c>
      <c r="P31" s="362">
        <f>SUM(P28:P30)</f>
        <v>0</v>
      </c>
      <c r="R31" s="362">
        <f>SUM(R28:R30)</f>
        <v>281057.64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7 of 17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264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100</v>
      </c>
      <c r="G6" s="12"/>
      <c r="H6" s="12"/>
      <c r="I6" s="12"/>
      <c r="J6" s="12" t="s">
        <v>100</v>
      </c>
      <c r="K6" s="12"/>
      <c r="L6" s="12" t="s">
        <v>100</v>
      </c>
      <c r="M6" s="12"/>
      <c r="N6" s="12"/>
      <c r="O6" s="12"/>
      <c r="P6" s="12"/>
      <c r="Q6" s="12"/>
      <c r="R6" s="12" t="s">
        <v>100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'201803 Bk Depr'!R13</f>
        <v>0</v>
      </c>
      <c r="H13" s="1">
        <f>1.62%/12</f>
        <v>1.3500000000000003E-3</v>
      </c>
      <c r="J13" s="364">
        <f>F13*H13</f>
        <v>0</v>
      </c>
      <c r="L13" s="365">
        <f>'Cap&amp;OpEx 2018'!F10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'201803 Bk Depr'!R14</f>
        <v>1439987.5199999998</v>
      </c>
      <c r="H14" s="1">
        <f>3.24%/12</f>
        <v>2.7000000000000006E-3</v>
      </c>
      <c r="J14" s="364">
        <f>F14*H14</f>
        <v>3887.966304</v>
      </c>
      <c r="L14" s="365">
        <f>'Cap&amp;OpEx 2018'!F12</f>
        <v>177446.32</v>
      </c>
      <c r="N14" s="364">
        <f>H14*L14*0.5</f>
        <v>239.55253200000007</v>
      </c>
      <c r="P14" s="364">
        <f>J14+N14</f>
        <v>4127.5188360000002</v>
      </c>
      <c r="R14" s="364">
        <f>L14+F14</f>
        <v>1617433.8399999999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'201803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2018'!F13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'201803 Bk Depr'!R16</f>
        <v>5570841.6700000009</v>
      </c>
      <c r="H16" s="1">
        <f t="shared" si="1"/>
        <v>2.7000000000000006E-3</v>
      </c>
      <c r="J16" s="364">
        <f>F16*H16</f>
        <v>15041.272509000006</v>
      </c>
      <c r="L16" s="366">
        <f>'Cap&amp;OpEx 2018'!F14</f>
        <v>407162.02</v>
      </c>
      <c r="N16" s="364">
        <f>H16*L16*0.5</f>
        <v>549.6687270000001</v>
      </c>
      <c r="P16" s="364">
        <f>J16+N16</f>
        <v>15590.941236000006</v>
      </c>
      <c r="R16" s="364">
        <f>L16+F16</f>
        <v>5978003.6900000013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7010829.1900000004</v>
      </c>
      <c r="J17" s="362">
        <f>SUM(J13:J16)</f>
        <v>18929.238813000007</v>
      </c>
      <c r="L17" s="362">
        <f>SUM(L13:L16)</f>
        <v>584608.34000000008</v>
      </c>
      <c r="N17" s="362">
        <f>SUM(N13:N16)</f>
        <v>789.22125900000015</v>
      </c>
      <c r="P17" s="362">
        <f>SUM(P13:P16)</f>
        <v>19718.460072000005</v>
      </c>
      <c r="R17" s="362">
        <f>SUM(R13:R16)</f>
        <v>7595437.5300000012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'201803 Bk Depr'!R20</f>
        <v>0</v>
      </c>
      <c r="H20" s="1">
        <f>1.62%/12</f>
        <v>1.3500000000000003E-3</v>
      </c>
      <c r="J20" s="364">
        <f>F20*H20</f>
        <v>0</v>
      </c>
      <c r="L20" s="365">
        <f>'Cap&amp;OpEx 2018'!F17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'201803 Bk Depr'!R21</f>
        <v>0</v>
      </c>
      <c r="H21" s="1">
        <f>3.24%/12</f>
        <v>2.7000000000000006E-3</v>
      </c>
      <c r="J21" s="364">
        <f>F21*H21</f>
        <v>0</v>
      </c>
      <c r="L21" s="365">
        <f>'Cap&amp;OpEx 2018'!F19</f>
        <v>0</v>
      </c>
      <c r="N21" s="364">
        <f>H21*L21*0.5</f>
        <v>0</v>
      </c>
      <c r="P21" s="364">
        <f>J21+N21</f>
        <v>0</v>
      </c>
      <c r="R21" s="364">
        <f t="shared" ref="R21" si="2">L21+F21</f>
        <v>0</v>
      </c>
    </row>
    <row r="22" spans="1:18">
      <c r="A22" s="6">
        <f t="shared" ref="A22:A23" si="3">A21+1</f>
        <v>8</v>
      </c>
      <c r="B22" s="4"/>
      <c r="C22" s="9" t="s">
        <v>63</v>
      </c>
      <c r="D22" s="6">
        <v>380</v>
      </c>
      <c r="F22" s="361">
        <f>'201803 Bk Depr'!R22</f>
        <v>0</v>
      </c>
      <c r="H22" s="1">
        <f>3.24%/12</f>
        <v>2.7000000000000006E-3</v>
      </c>
      <c r="J22" s="364">
        <f>F22*H22</f>
        <v>0</v>
      </c>
      <c r="L22" s="366">
        <f>'Cap&amp;OpEx 2018'!F20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3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7010829.1900000004</v>
      </c>
      <c r="J25" s="363">
        <f>J17+J23</f>
        <v>18929.238813000007</v>
      </c>
      <c r="L25" s="363">
        <f>L17+L23</f>
        <v>584608.34000000008</v>
      </c>
      <c r="N25" s="363">
        <f>N17+N23</f>
        <v>789.22125900000015</v>
      </c>
      <c r="P25" s="363">
        <f>P17+P23</f>
        <v>19718.460072000005</v>
      </c>
      <c r="R25" s="363">
        <f>R17+R23</f>
        <v>7595437.5300000012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'201803 Bk Depr'!R28</f>
        <v>0</v>
      </c>
      <c r="J28" s="364"/>
      <c r="L28" s="365">
        <f>'Cap&amp;OpEx 2018'!F25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'201803 Bk Depr'!R29</f>
        <v>281057.64</v>
      </c>
      <c r="J29" s="364"/>
      <c r="L29" s="365">
        <f>'Cap&amp;OpEx 2018'!F27</f>
        <v>48343.54</v>
      </c>
      <c r="N29" s="364"/>
      <c r="P29" s="364"/>
      <c r="R29" s="364">
        <f>L29+F29</f>
        <v>329401.18</v>
      </c>
    </row>
    <row r="30" spans="1:18">
      <c r="A30" s="6">
        <f t="shared" ref="A30:A31" si="4">A29+1</f>
        <v>13</v>
      </c>
      <c r="B30" s="4"/>
      <c r="C30" s="9" t="s">
        <v>63</v>
      </c>
      <c r="D30" s="6">
        <v>380</v>
      </c>
      <c r="F30" s="361">
        <f>'201803 Bk Depr'!R30</f>
        <v>0</v>
      </c>
      <c r="J30" s="364"/>
      <c r="L30" s="366">
        <f>'Cap&amp;OpEx 2018'!F28</f>
        <v>0</v>
      </c>
      <c r="N30" s="364"/>
      <c r="P30" s="364"/>
      <c r="R30" s="364">
        <f>L30+F30</f>
        <v>0</v>
      </c>
    </row>
    <row r="31" spans="1:18">
      <c r="A31" s="6">
        <f t="shared" si="4"/>
        <v>14</v>
      </c>
      <c r="B31" s="4"/>
      <c r="C31" s="4" t="s">
        <v>23</v>
      </c>
      <c r="F31" s="362">
        <f>SUM(F28:F30)</f>
        <v>281057.64</v>
      </c>
      <c r="J31" s="362">
        <f>SUM(J28:J30)</f>
        <v>0</v>
      </c>
      <c r="L31" s="362">
        <f>SUM(L28:L30)</f>
        <v>48343.54</v>
      </c>
      <c r="N31" s="362">
        <f>SUM(N28:N30)</f>
        <v>0</v>
      </c>
      <c r="P31" s="362">
        <f>SUM(P28:P30)</f>
        <v>0</v>
      </c>
      <c r="R31" s="362">
        <f>SUM(R28:R30)</f>
        <v>329401.18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8 of 17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88</v>
      </c>
      <c r="G6" s="12"/>
      <c r="H6" s="12"/>
      <c r="I6" s="12"/>
      <c r="J6" s="12" t="s">
        <v>88</v>
      </c>
      <c r="K6" s="12"/>
      <c r="L6" s="12" t="s">
        <v>88</v>
      </c>
      <c r="M6" s="12"/>
      <c r="N6" s="12"/>
      <c r="O6" s="12"/>
      <c r="P6" s="12"/>
      <c r="Q6" s="12"/>
      <c r="R6" s="12" t="s">
        <v>88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'201804 Bk Depr'!R13</f>
        <v>0</v>
      </c>
      <c r="H13" s="1">
        <f>1.62%/12</f>
        <v>1.3500000000000003E-3</v>
      </c>
      <c r="J13" s="364">
        <f>F13*H13</f>
        <v>0</v>
      </c>
      <c r="L13" s="365">
        <f>'Cap&amp;OpEx 2018'!G10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'201804 Bk Depr'!R14</f>
        <v>1617433.8399999999</v>
      </c>
      <c r="H14" s="1">
        <f>3.24%/12</f>
        <v>2.7000000000000006E-3</v>
      </c>
      <c r="J14" s="364">
        <f>F14*H14</f>
        <v>4367.0713680000008</v>
      </c>
      <c r="L14" s="365">
        <f>'Cap&amp;OpEx 2018'!G12</f>
        <v>185875.08000000002</v>
      </c>
      <c r="N14" s="364">
        <f>H14*L14*0.5</f>
        <v>250.93135800000007</v>
      </c>
      <c r="P14" s="364">
        <f>J14+N14</f>
        <v>4618.0027260000006</v>
      </c>
      <c r="R14" s="364">
        <f>L14+F14</f>
        <v>1803308.92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'201804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2018'!G13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'201804 Bk Depr'!R16</f>
        <v>5978003.6900000013</v>
      </c>
      <c r="H16" s="1">
        <f t="shared" si="1"/>
        <v>2.7000000000000006E-3</v>
      </c>
      <c r="J16" s="364">
        <f>F16*H16</f>
        <v>16140.609963000006</v>
      </c>
      <c r="L16" s="366">
        <f>'Cap&amp;OpEx 2018'!G14</f>
        <v>448154.13999999996</v>
      </c>
      <c r="N16" s="364">
        <f>H16*L16*0.5</f>
        <v>605.00808900000004</v>
      </c>
      <c r="P16" s="364">
        <f>J16+N16</f>
        <v>16745.618052000005</v>
      </c>
      <c r="R16" s="364">
        <f>L16+F16</f>
        <v>6426157.830000001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7595437.5300000012</v>
      </c>
      <c r="J17" s="362">
        <f>SUM(J13:J16)</f>
        <v>20507.681331000007</v>
      </c>
      <c r="L17" s="362">
        <f>SUM(L13:L16)</f>
        <v>634029.22</v>
      </c>
      <c r="N17" s="362">
        <f>SUM(N13:N16)</f>
        <v>855.93944700000009</v>
      </c>
      <c r="P17" s="362">
        <f>SUM(P13:P16)</f>
        <v>21363.620778000004</v>
      </c>
      <c r="R17" s="362">
        <f>SUM(R13:R16)</f>
        <v>8229466.7500000009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'201804 Bk Depr'!R20</f>
        <v>0</v>
      </c>
      <c r="H20" s="1">
        <f>1.62%/12</f>
        <v>1.3500000000000003E-3</v>
      </c>
      <c r="J20" s="364">
        <f>F20*H20</f>
        <v>0</v>
      </c>
      <c r="L20" s="365">
        <f>'Cap&amp;OpEx 2018'!G17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'201804 Bk Depr'!R21</f>
        <v>0</v>
      </c>
      <c r="H21" s="1">
        <f>3.24%/12</f>
        <v>2.7000000000000006E-3</v>
      </c>
      <c r="J21" s="364">
        <f>F21*H21</f>
        <v>0</v>
      </c>
      <c r="L21" s="365">
        <f>'Cap&amp;OpEx 2018'!G19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'201804 Bk Depr'!R22</f>
        <v>0</v>
      </c>
      <c r="H22" s="1">
        <f>3.24%/12</f>
        <v>2.7000000000000006E-3</v>
      </c>
      <c r="J22" s="364">
        <f>F22*H22</f>
        <v>0</v>
      </c>
      <c r="L22" s="366">
        <f>'Cap&amp;OpEx 2018'!G20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7595437.5300000012</v>
      </c>
      <c r="J25" s="363">
        <f>J17+J23</f>
        <v>20507.681331000007</v>
      </c>
      <c r="L25" s="363">
        <f>L17+L23</f>
        <v>634029.22</v>
      </c>
      <c r="N25" s="363">
        <f>N17+N23</f>
        <v>855.93944700000009</v>
      </c>
      <c r="P25" s="363">
        <f>P17+P23</f>
        <v>21363.620778000004</v>
      </c>
      <c r="R25" s="363">
        <f>R17+R23</f>
        <v>8229466.7500000009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'201804 Bk Depr'!R28</f>
        <v>0</v>
      </c>
      <c r="J28" s="364"/>
      <c r="L28" s="365">
        <f>'Cap&amp;OpEx 2018'!G25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'201804 Bk Depr'!R29</f>
        <v>329401.18</v>
      </c>
      <c r="J29" s="364"/>
      <c r="L29" s="365">
        <f>'Cap&amp;OpEx 2018'!G27</f>
        <v>30232.400000000001</v>
      </c>
      <c r="N29" s="364"/>
      <c r="P29" s="364"/>
      <c r="R29" s="364">
        <f>L29+F29</f>
        <v>359633.58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'201804 Bk Depr'!R30</f>
        <v>0</v>
      </c>
      <c r="J30" s="364"/>
      <c r="L30" s="366">
        <f>'Cap&amp;OpEx 2018'!G28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329401.18</v>
      </c>
      <c r="J31" s="362">
        <f>SUM(J28:J30)</f>
        <v>0</v>
      </c>
      <c r="L31" s="362">
        <f>SUM(L28:L30)</f>
        <v>30232.400000000001</v>
      </c>
      <c r="N31" s="362">
        <f>SUM(N28:N30)</f>
        <v>0</v>
      </c>
      <c r="P31" s="362">
        <f>SUM(P28:P30)</f>
        <v>0</v>
      </c>
      <c r="R31" s="362">
        <f>SUM(R28:R30)</f>
        <v>359633.58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9 of 17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101</v>
      </c>
      <c r="G6" s="12"/>
      <c r="H6" s="12"/>
      <c r="I6" s="12"/>
      <c r="J6" s="12" t="s">
        <v>101</v>
      </c>
      <c r="K6" s="12"/>
      <c r="L6" s="12" t="s">
        <v>101</v>
      </c>
      <c r="M6" s="12"/>
      <c r="N6" s="12"/>
      <c r="O6" s="12"/>
      <c r="P6" s="12"/>
      <c r="Q6" s="12"/>
      <c r="R6" s="12" t="s">
        <v>101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'201805 Bk Depr'!R13</f>
        <v>0</v>
      </c>
      <c r="H13" s="1">
        <f>1.62%/12</f>
        <v>1.3500000000000003E-3</v>
      </c>
      <c r="J13" s="364">
        <f>F13*H13</f>
        <v>0</v>
      </c>
      <c r="L13" s="365">
        <f>'Cap&amp;OpEx 2018'!H10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'201805 Bk Depr'!R14</f>
        <v>1803308.92</v>
      </c>
      <c r="H14" s="1">
        <f>3.24%/12</f>
        <v>2.7000000000000006E-3</v>
      </c>
      <c r="J14" s="364">
        <f>F14*H14</f>
        <v>4868.9340840000004</v>
      </c>
      <c r="L14" s="365">
        <f>'Cap&amp;OpEx 2018'!H12</f>
        <v>155828.41</v>
      </c>
      <c r="N14" s="364">
        <f>H14*L14*0.5</f>
        <v>210.36835350000004</v>
      </c>
      <c r="P14" s="364">
        <f>J14+N14</f>
        <v>5079.3024375000005</v>
      </c>
      <c r="R14" s="364">
        <f>L14+F14</f>
        <v>1959137.3299999998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'201805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2018'!H13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'201805 Bk Depr'!R16</f>
        <v>6426157.830000001</v>
      </c>
      <c r="H16" s="1">
        <f t="shared" si="1"/>
        <v>2.7000000000000006E-3</v>
      </c>
      <c r="J16" s="364">
        <f>F16*H16</f>
        <v>17350.626141000008</v>
      </c>
      <c r="L16" s="366">
        <f>'Cap&amp;OpEx 2018'!H14</f>
        <v>352053.20999999996</v>
      </c>
      <c r="N16" s="364">
        <f>H16*L16*0.5</f>
        <v>475.27183350000007</v>
      </c>
      <c r="P16" s="364">
        <f>J16+N16</f>
        <v>17825.897974500007</v>
      </c>
      <c r="R16" s="364">
        <f>L16+F16</f>
        <v>6778211.040000001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8229466.7500000009</v>
      </c>
      <c r="J17" s="362">
        <f>SUM(J13:J16)</f>
        <v>22219.560225000008</v>
      </c>
      <c r="L17" s="362">
        <f>SUM(L13:L16)</f>
        <v>507881.62</v>
      </c>
      <c r="N17" s="362">
        <f>SUM(N13:N16)</f>
        <v>685.64018700000008</v>
      </c>
      <c r="P17" s="362">
        <f>SUM(P13:P16)</f>
        <v>22905.200412000006</v>
      </c>
      <c r="R17" s="362">
        <f>SUM(R13:R16)</f>
        <v>8737348.370000001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'201805 Bk Depr'!R20</f>
        <v>0</v>
      </c>
      <c r="H20" s="1">
        <f>1.62%/12</f>
        <v>1.3500000000000003E-3</v>
      </c>
      <c r="J20" s="364">
        <f>F20*H20</f>
        <v>0</v>
      </c>
      <c r="L20" s="365">
        <f>'Cap&amp;OpEx 2018'!H17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'201805 Bk Depr'!R21</f>
        <v>0</v>
      </c>
      <c r="H21" s="1">
        <f>3.24%/12</f>
        <v>2.7000000000000006E-3</v>
      </c>
      <c r="J21" s="364">
        <f>F21*H21</f>
        <v>0</v>
      </c>
      <c r="L21" s="365">
        <f>'Cap&amp;OpEx 2018'!H19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'201805 Bk Depr'!R22</f>
        <v>0</v>
      </c>
      <c r="H22" s="1">
        <f>3.24%/12</f>
        <v>2.7000000000000006E-3</v>
      </c>
      <c r="J22" s="364">
        <f>F22*H22</f>
        <v>0</v>
      </c>
      <c r="L22" s="366">
        <f>'Cap&amp;OpEx 2018'!H20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8229466.7500000009</v>
      </c>
      <c r="J25" s="363">
        <f>J17+J23</f>
        <v>22219.560225000008</v>
      </c>
      <c r="L25" s="363">
        <f>L17+L23</f>
        <v>507881.62</v>
      </c>
      <c r="N25" s="363">
        <f>N17+N23</f>
        <v>685.64018700000008</v>
      </c>
      <c r="P25" s="363">
        <f>P17+P23</f>
        <v>22905.200412000006</v>
      </c>
      <c r="R25" s="363">
        <f>R17+R23</f>
        <v>8737348.370000001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'201805 Bk Depr'!R28</f>
        <v>0</v>
      </c>
      <c r="J28" s="364"/>
      <c r="L28" s="365">
        <f>'Cap&amp;OpEx 2018'!H25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'201805 Bk Depr'!R29</f>
        <v>359633.58</v>
      </c>
      <c r="J29" s="364"/>
      <c r="L29" s="365">
        <f>'Cap&amp;OpEx 2018'!H27</f>
        <v>33277.39</v>
      </c>
      <c r="N29" s="364"/>
      <c r="P29" s="364"/>
      <c r="R29" s="364">
        <f>L29+F29</f>
        <v>392910.97000000003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'201805 Bk Depr'!R30</f>
        <v>0</v>
      </c>
      <c r="J30" s="364"/>
      <c r="L30" s="366">
        <f>'Cap&amp;OpEx 2018'!H28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359633.58</v>
      </c>
      <c r="J31" s="362">
        <f>SUM(J28:J30)</f>
        <v>0</v>
      </c>
      <c r="L31" s="362">
        <f>SUM(L28:L30)</f>
        <v>33277.39</v>
      </c>
      <c r="N31" s="362">
        <f>SUM(N28:N30)</f>
        <v>0</v>
      </c>
      <c r="P31" s="362">
        <f>SUM(P28:P30)</f>
        <v>0</v>
      </c>
      <c r="R31" s="362">
        <f>SUM(R28:R30)</f>
        <v>392910.97000000003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10 of 17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'201806 Bk Depr'!R13</f>
        <v>0</v>
      </c>
      <c r="H13" s="1">
        <f>1.62%/12</f>
        <v>1.3500000000000003E-3</v>
      </c>
      <c r="J13" s="364">
        <f>F13*H13</f>
        <v>0</v>
      </c>
      <c r="L13" s="365">
        <f>'Cap&amp;OpEx 2018'!I10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'201806 Bk Depr'!R14</f>
        <v>1959137.3299999998</v>
      </c>
      <c r="H14" s="1">
        <f>3.24%/12</f>
        <v>2.7000000000000006E-3</v>
      </c>
      <c r="J14" s="364">
        <f>F14*H14</f>
        <v>5289.6707910000005</v>
      </c>
      <c r="L14" s="365">
        <f>'Cap&amp;OpEx 2018'!I12</f>
        <v>212949.36</v>
      </c>
      <c r="N14" s="364">
        <f>H14*L14*0.5</f>
        <v>287.48163600000004</v>
      </c>
      <c r="P14" s="364">
        <f>J14+N14</f>
        <v>5577.1524270000009</v>
      </c>
      <c r="R14" s="364">
        <f>L14+F14</f>
        <v>2172086.69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'201806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2018'!I13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'201806 Bk Depr'!R16</f>
        <v>6778211.040000001</v>
      </c>
      <c r="H16" s="1">
        <f t="shared" si="1"/>
        <v>2.7000000000000006E-3</v>
      </c>
      <c r="J16" s="364">
        <f>F16*H16</f>
        <v>18301.169808000006</v>
      </c>
      <c r="L16" s="366">
        <f>'Cap&amp;OpEx 2018'!I14</f>
        <v>456579.78</v>
      </c>
      <c r="N16" s="364">
        <f>H16*L16*0.5</f>
        <v>616.38270300000022</v>
      </c>
      <c r="P16" s="364">
        <f>J16+N16</f>
        <v>18917.552511000005</v>
      </c>
      <c r="R16" s="364">
        <f>L16+F16</f>
        <v>7234790.8200000012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8737348.370000001</v>
      </c>
      <c r="J17" s="362">
        <f>SUM(J13:J16)</f>
        <v>23590.840599000006</v>
      </c>
      <c r="L17" s="362">
        <f>SUM(L13:L16)</f>
        <v>669529.14</v>
      </c>
      <c r="N17" s="362">
        <f>SUM(N13:N16)</f>
        <v>903.8643390000002</v>
      </c>
      <c r="P17" s="362">
        <f>SUM(P13:P16)</f>
        <v>24494.704938000006</v>
      </c>
      <c r="R17" s="362">
        <f>SUM(R13:R16)</f>
        <v>9406877.5100000016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'201806 Bk Depr'!R20</f>
        <v>0</v>
      </c>
      <c r="H20" s="1">
        <f>1.62%/12</f>
        <v>1.3500000000000003E-3</v>
      </c>
      <c r="J20" s="364">
        <f>F20*H20</f>
        <v>0</v>
      </c>
      <c r="L20" s="365">
        <f>'Cap&amp;OpEx 2018'!I17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'201806 Bk Depr'!R21</f>
        <v>0</v>
      </c>
      <c r="H21" s="1">
        <f>3.24%/12</f>
        <v>2.7000000000000006E-3</v>
      </c>
      <c r="J21" s="364">
        <f>F21*H21</f>
        <v>0</v>
      </c>
      <c r="L21" s="365">
        <f>'Cap&amp;OpEx 2018'!I19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'201806 Bk Depr'!R22</f>
        <v>0</v>
      </c>
      <c r="H22" s="1">
        <f>3.24%/12</f>
        <v>2.7000000000000006E-3</v>
      </c>
      <c r="J22" s="364">
        <f>F22*H22</f>
        <v>0</v>
      </c>
      <c r="L22" s="366">
        <f>'Cap&amp;OpEx 2018'!I20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8737348.370000001</v>
      </c>
      <c r="J25" s="363">
        <f>J17+J23</f>
        <v>23590.840599000006</v>
      </c>
      <c r="L25" s="363">
        <f>L17+L23</f>
        <v>669529.14</v>
      </c>
      <c r="N25" s="363">
        <f>N17+N23</f>
        <v>903.8643390000002</v>
      </c>
      <c r="P25" s="363">
        <f>P17+P23</f>
        <v>24494.704938000006</v>
      </c>
      <c r="R25" s="363">
        <f>R17+R23</f>
        <v>9406877.5100000016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'201806 Bk Depr'!R28</f>
        <v>0</v>
      </c>
      <c r="J28" s="364"/>
      <c r="L28" s="365">
        <f>'Cap&amp;OpEx 2018'!I25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'201806 Bk Depr'!R29</f>
        <v>392910.97000000003</v>
      </c>
      <c r="J29" s="364"/>
      <c r="L29" s="365">
        <f>'Cap&amp;OpEx 2018'!I27</f>
        <v>23517.8</v>
      </c>
      <c r="N29" s="364"/>
      <c r="P29" s="364"/>
      <c r="R29" s="364">
        <f>L29+F29</f>
        <v>416428.77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'201806 Bk Depr'!R30</f>
        <v>0</v>
      </c>
      <c r="J30" s="364"/>
      <c r="L30" s="366">
        <f>'Cap&amp;OpEx 2018'!I28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392910.97000000003</v>
      </c>
      <c r="J31" s="362">
        <f>SUM(J28:J30)</f>
        <v>0</v>
      </c>
      <c r="L31" s="362">
        <f>SUM(L28:L30)</f>
        <v>23517.8</v>
      </c>
      <c r="N31" s="362">
        <f>SUM(N28:N30)</f>
        <v>0</v>
      </c>
      <c r="P31" s="362">
        <f>SUM(P28:P30)</f>
        <v>0</v>
      </c>
      <c r="R31" s="362">
        <f>SUM(R28:R30)</f>
        <v>416428.77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11 of 17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103</v>
      </c>
      <c r="G6" s="12"/>
      <c r="H6" s="12"/>
      <c r="I6" s="12"/>
      <c r="J6" s="12" t="s">
        <v>103</v>
      </c>
      <c r="K6" s="12"/>
      <c r="L6" s="12" t="s">
        <v>103</v>
      </c>
      <c r="M6" s="12"/>
      <c r="N6" s="12"/>
      <c r="O6" s="12"/>
      <c r="P6" s="12"/>
      <c r="Q6" s="12"/>
      <c r="R6" s="12" t="s">
        <v>103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'201807 Bk Depr'!R13</f>
        <v>0</v>
      </c>
      <c r="H13" s="1">
        <f>1.62%/12</f>
        <v>1.3500000000000003E-3</v>
      </c>
      <c r="J13" s="364">
        <f>F13*H13</f>
        <v>0</v>
      </c>
      <c r="L13" s="365">
        <f>'Cap&amp;OpEx 2018'!J10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'201807 Bk Depr'!R14</f>
        <v>2172086.69</v>
      </c>
      <c r="H14" s="1">
        <f>3.24%/12</f>
        <v>2.7000000000000006E-3</v>
      </c>
      <c r="J14" s="364">
        <f>F14*H14</f>
        <v>5864.6340630000013</v>
      </c>
      <c r="L14" s="365">
        <f>'Cap&amp;OpEx 2018'!J12</f>
        <v>190760.71999999997</v>
      </c>
      <c r="N14" s="364">
        <f>H14*L14*0.5</f>
        <v>257.526972</v>
      </c>
      <c r="P14" s="364">
        <f>J14+N14</f>
        <v>6122.161035000001</v>
      </c>
      <c r="R14" s="364">
        <f>L14+F14</f>
        <v>2362847.41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'201807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2018'!J13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'201807 Bk Depr'!R16</f>
        <v>7234790.8200000012</v>
      </c>
      <c r="H16" s="1">
        <f t="shared" si="1"/>
        <v>2.7000000000000006E-3</v>
      </c>
      <c r="J16" s="364">
        <f>F16*H16</f>
        <v>19533.935214000008</v>
      </c>
      <c r="L16" s="366">
        <f>'Cap&amp;OpEx 2018'!J14</f>
        <v>393080.07</v>
      </c>
      <c r="N16" s="364">
        <f>H16*L16*0.5</f>
        <v>530.65809450000017</v>
      </c>
      <c r="P16" s="364">
        <f>J16+N16</f>
        <v>20064.593308500007</v>
      </c>
      <c r="R16" s="364">
        <f>L16+F16</f>
        <v>7627870.8900000015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9406877.5100000016</v>
      </c>
      <c r="J17" s="362">
        <f>SUM(J13:J16)</f>
        <v>25398.56927700001</v>
      </c>
      <c r="L17" s="362">
        <f>SUM(L13:L16)</f>
        <v>583840.79</v>
      </c>
      <c r="N17" s="362">
        <f>SUM(N13:N16)</f>
        <v>788.18506650000018</v>
      </c>
      <c r="P17" s="362">
        <f>SUM(P13:P16)</f>
        <v>26186.754343500008</v>
      </c>
      <c r="R17" s="362">
        <f>SUM(R13:R16)</f>
        <v>9990718.3000000007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'201807 Bk Depr'!R20</f>
        <v>0</v>
      </c>
      <c r="H20" s="1">
        <f>1.62%/12</f>
        <v>1.3500000000000003E-3</v>
      </c>
      <c r="J20" s="364">
        <f>F20*H20</f>
        <v>0</v>
      </c>
      <c r="L20" s="365">
        <f>'Cap&amp;OpEx 2018'!J17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'201807 Bk Depr'!R21</f>
        <v>0</v>
      </c>
      <c r="H21" s="1">
        <f>3.24%/12</f>
        <v>2.7000000000000006E-3</v>
      </c>
      <c r="J21" s="364">
        <f>F21*H21</f>
        <v>0</v>
      </c>
      <c r="L21" s="365">
        <f>'Cap&amp;OpEx 2018'!J19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'201807 Bk Depr'!R22</f>
        <v>0</v>
      </c>
      <c r="H22" s="1">
        <f>3.24%/12</f>
        <v>2.7000000000000006E-3</v>
      </c>
      <c r="J22" s="364">
        <f>F22*H22</f>
        <v>0</v>
      </c>
      <c r="L22" s="366">
        <f>'Cap&amp;OpEx 2018'!J20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9406877.5100000016</v>
      </c>
      <c r="J25" s="363">
        <f>J17+J23</f>
        <v>25398.56927700001</v>
      </c>
      <c r="L25" s="363">
        <f>L17+L23</f>
        <v>583840.79</v>
      </c>
      <c r="N25" s="363">
        <f>N17+N23</f>
        <v>788.18506650000018</v>
      </c>
      <c r="P25" s="363">
        <f>P17+P23</f>
        <v>26186.754343500008</v>
      </c>
      <c r="R25" s="363">
        <f>R17+R23</f>
        <v>9990718.3000000007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'201807 Bk Depr'!R28</f>
        <v>0</v>
      </c>
      <c r="J28" s="364"/>
      <c r="L28" s="365">
        <f>'Cap&amp;OpEx 2018'!J25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'201807 Bk Depr'!R29</f>
        <v>416428.77</v>
      </c>
      <c r="J29" s="364"/>
      <c r="L29" s="365">
        <f>'Cap&amp;OpEx 2018'!J27</f>
        <v>32728.78</v>
      </c>
      <c r="N29" s="364"/>
      <c r="P29" s="364"/>
      <c r="R29" s="364">
        <f>L29+F29</f>
        <v>449157.55000000005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'201807 Bk Depr'!R30</f>
        <v>0</v>
      </c>
      <c r="J30" s="364"/>
      <c r="L30" s="366">
        <f>'Cap&amp;OpEx 2018'!J28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416428.77</v>
      </c>
      <c r="J31" s="362">
        <f>SUM(J28:J30)</f>
        <v>0</v>
      </c>
      <c r="L31" s="362">
        <f>SUM(L28:L30)</f>
        <v>32728.78</v>
      </c>
      <c r="N31" s="362">
        <f>SUM(N28:N30)</f>
        <v>0</v>
      </c>
      <c r="P31" s="362">
        <f>SUM(P28:P30)</f>
        <v>0</v>
      </c>
      <c r="R31" s="362">
        <f>SUM(R28:R30)</f>
        <v>449157.55000000005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12 of 17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269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104</v>
      </c>
      <c r="G6" s="12"/>
      <c r="H6" s="12"/>
      <c r="I6" s="12"/>
      <c r="J6" s="12" t="s">
        <v>104</v>
      </c>
      <c r="K6" s="12"/>
      <c r="L6" s="12" t="s">
        <v>104</v>
      </c>
      <c r="M6" s="12"/>
      <c r="N6" s="12"/>
      <c r="O6" s="12"/>
      <c r="P6" s="12"/>
      <c r="Q6" s="12"/>
      <c r="R6" s="12" t="s">
        <v>104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'201808 Bk Depr'!R13</f>
        <v>0</v>
      </c>
      <c r="H13" s="1">
        <f>1.62%/12</f>
        <v>1.3500000000000003E-3</v>
      </c>
      <c r="J13" s="364">
        <f>F13*H13</f>
        <v>0</v>
      </c>
      <c r="L13" s="365">
        <f>'Cap&amp;OpEx 2018'!K10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'201808 Bk Depr'!R14</f>
        <v>2362847.41</v>
      </c>
      <c r="H14" s="1">
        <f>3.24%/12</f>
        <v>2.7000000000000006E-3</v>
      </c>
      <c r="J14" s="364">
        <f>F14*H14</f>
        <v>6379.6880070000016</v>
      </c>
      <c r="L14" s="365">
        <f>'Cap&amp;OpEx 2018'!K12</f>
        <v>219448.24</v>
      </c>
      <c r="N14" s="364">
        <f>H14*L14*0.5</f>
        <v>296.25512400000002</v>
      </c>
      <c r="P14" s="364">
        <f>J14+N14</f>
        <v>6675.9431310000018</v>
      </c>
      <c r="R14" s="364">
        <f>L14+F14</f>
        <v>2582295.6500000004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'201808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2018'!K13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'201808 Bk Depr'!R16</f>
        <v>7627870.8900000015</v>
      </c>
      <c r="H16" s="1">
        <f t="shared" si="1"/>
        <v>2.7000000000000006E-3</v>
      </c>
      <c r="J16" s="364">
        <f>F16*H16</f>
        <v>20595.251403000009</v>
      </c>
      <c r="L16" s="366">
        <f>'Cap&amp;OpEx 2018'!K14</f>
        <v>433363.87</v>
      </c>
      <c r="N16" s="364">
        <f>H16*L16*0.5</f>
        <v>585.04122450000011</v>
      </c>
      <c r="P16" s="364">
        <f>J16+N16</f>
        <v>21180.29262750001</v>
      </c>
      <c r="R16" s="364">
        <f>L16+F16</f>
        <v>8061234.7600000016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9990718.3000000007</v>
      </c>
      <c r="J17" s="362">
        <f>SUM(J13:J16)</f>
        <v>26974.93941000001</v>
      </c>
      <c r="L17" s="362">
        <f>SUM(L13:L16)</f>
        <v>652812.11</v>
      </c>
      <c r="N17" s="362">
        <f>SUM(N13:N16)</f>
        <v>881.29634850000014</v>
      </c>
      <c r="P17" s="362">
        <f>SUM(P13:P16)</f>
        <v>27856.235758500014</v>
      </c>
      <c r="R17" s="362">
        <f>SUM(R13:R16)</f>
        <v>10643530.410000002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'201808 Bk Depr'!R20</f>
        <v>0</v>
      </c>
      <c r="H20" s="1">
        <f>1.62%/12</f>
        <v>1.3500000000000003E-3</v>
      </c>
      <c r="J20" s="364">
        <f>F20*H20</f>
        <v>0</v>
      </c>
      <c r="L20" s="365">
        <f>'Cap&amp;OpEx 2018'!K17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'201808 Bk Depr'!R21</f>
        <v>0</v>
      </c>
      <c r="H21" s="1">
        <f>3.24%/12</f>
        <v>2.7000000000000006E-3</v>
      </c>
      <c r="J21" s="364">
        <f>F21*H21</f>
        <v>0</v>
      </c>
      <c r="L21" s="365">
        <f>'Cap&amp;OpEx 2018'!K19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'201808 Bk Depr'!R22</f>
        <v>0</v>
      </c>
      <c r="H22" s="1">
        <f>3.24%/12</f>
        <v>2.7000000000000006E-3</v>
      </c>
      <c r="J22" s="364">
        <f>F22*H22</f>
        <v>0</v>
      </c>
      <c r="L22" s="366">
        <f>'Cap&amp;OpEx 2018'!K20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9990718.3000000007</v>
      </c>
      <c r="J25" s="363">
        <f>J17+J23</f>
        <v>26974.93941000001</v>
      </c>
      <c r="L25" s="363">
        <f>L17+L23</f>
        <v>652812.11</v>
      </c>
      <c r="N25" s="363">
        <f>N17+N23</f>
        <v>881.29634850000014</v>
      </c>
      <c r="P25" s="363">
        <f>P17+P23</f>
        <v>27856.235758500014</v>
      </c>
      <c r="R25" s="363">
        <f>R17+R23</f>
        <v>10643530.410000002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'201808 Bk Depr'!R28</f>
        <v>0</v>
      </c>
      <c r="J28" s="364"/>
      <c r="L28" s="365">
        <f>'Cap&amp;OpEx 2018'!K25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'201808 Bk Depr'!R29</f>
        <v>449157.55000000005</v>
      </c>
      <c r="J29" s="364"/>
      <c r="L29" s="365">
        <f>'Cap&amp;OpEx 2018'!K27</f>
        <v>66252.58</v>
      </c>
      <c r="N29" s="364"/>
      <c r="P29" s="364"/>
      <c r="R29" s="364">
        <f>L29+F29</f>
        <v>515410.13000000006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'201808 Bk Depr'!R30</f>
        <v>0</v>
      </c>
      <c r="J30" s="364"/>
      <c r="L30" s="366">
        <f>'Cap&amp;OpEx 2018'!K28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449157.55000000005</v>
      </c>
      <c r="J31" s="362">
        <f>SUM(J28:J30)</f>
        <v>0</v>
      </c>
      <c r="L31" s="362">
        <f>SUM(L28:L30)</f>
        <v>66252.58</v>
      </c>
      <c r="N31" s="362">
        <f>SUM(N28:N30)</f>
        <v>0</v>
      </c>
      <c r="P31" s="362">
        <f>SUM(P28:P30)</f>
        <v>0</v>
      </c>
      <c r="R31" s="362">
        <f>SUM(R28:R30)</f>
        <v>515410.13000000006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13 of 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  <pageSetUpPr fitToPage="1"/>
  </sheetPr>
  <dimension ref="A1:K51"/>
  <sheetViews>
    <sheetView zoomScaleNormal="100" zoomScaleSheetLayoutView="100" workbookViewId="0"/>
  </sheetViews>
  <sheetFormatPr defaultColWidth="9.140625" defaultRowHeight="15" customHeight="1"/>
  <cols>
    <col min="1" max="1" width="20.85546875" style="272" customWidth="1"/>
    <col min="2" max="4" width="17.85546875" style="307" customWidth="1"/>
    <col min="5" max="5" width="18.85546875" style="307" customWidth="1"/>
    <col min="6" max="6" width="10.85546875" style="307" customWidth="1"/>
    <col min="7" max="9" width="15.85546875" style="307" customWidth="1"/>
    <col min="10" max="10" width="15.85546875" style="272" customWidth="1"/>
    <col min="11" max="11" width="15.5703125" style="272" customWidth="1"/>
    <col min="12" max="16384" width="9.140625" style="272"/>
  </cols>
  <sheetData>
    <row r="1" spans="1:11" ht="15" customHeight="1">
      <c r="A1" s="413" t="s">
        <v>67</v>
      </c>
      <c r="B1" s="304"/>
      <c r="C1" s="304"/>
      <c r="D1" s="304"/>
      <c r="E1" s="304"/>
      <c r="F1" s="304"/>
      <c r="G1" s="304"/>
      <c r="H1" s="304"/>
      <c r="I1" s="304"/>
      <c r="J1" s="305"/>
      <c r="K1" s="305"/>
    </row>
    <row r="2" spans="1:11" ht="15.75" customHeight="1">
      <c r="A2" s="303" t="s">
        <v>396</v>
      </c>
      <c r="B2" s="304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5.75" customHeight="1">
      <c r="A3" s="306" t="str">
        <f>'OU Collection'!A3</f>
        <v>As of December 2020</v>
      </c>
      <c r="B3" s="304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15.75" customHeight="1">
      <c r="C4" s="468"/>
    </row>
    <row r="5" spans="1:11" s="325" customFormat="1" ht="15.75" customHeight="1">
      <c r="B5" s="326"/>
      <c r="C5" s="468"/>
      <c r="D5" s="326"/>
      <c r="E5" s="326"/>
      <c r="F5" s="326"/>
      <c r="G5" s="326"/>
      <c r="H5" s="326"/>
      <c r="I5" s="326"/>
      <c r="J5" s="327"/>
      <c r="K5" s="327"/>
    </row>
    <row r="6" spans="1:11" s="312" customFormat="1" ht="15.75" customHeight="1">
      <c r="A6" s="328" t="s">
        <v>372</v>
      </c>
      <c r="B6" s="329" t="s">
        <v>373</v>
      </c>
      <c r="C6" s="329" t="s">
        <v>374</v>
      </c>
      <c r="D6" s="329" t="s">
        <v>375</v>
      </c>
      <c r="E6" s="329" t="s">
        <v>376</v>
      </c>
      <c r="F6" s="329" t="s">
        <v>377</v>
      </c>
      <c r="G6" s="329" t="s">
        <v>378</v>
      </c>
      <c r="H6" s="329" t="s">
        <v>388</v>
      </c>
      <c r="I6" s="329" t="s">
        <v>389</v>
      </c>
      <c r="J6" s="329" t="s">
        <v>390</v>
      </c>
      <c r="K6" s="329" t="s">
        <v>391</v>
      </c>
    </row>
    <row r="7" spans="1:11" s="330" customFormat="1" ht="15.75" customHeight="1">
      <c r="A7" s="674" t="s">
        <v>379</v>
      </c>
      <c r="B7" s="671" t="s">
        <v>397</v>
      </c>
      <c r="C7" s="671" t="s">
        <v>398</v>
      </c>
      <c r="D7" s="671" t="s">
        <v>399</v>
      </c>
      <c r="E7" s="671" t="s">
        <v>400</v>
      </c>
      <c r="F7" s="671" t="s">
        <v>56</v>
      </c>
      <c r="G7" s="671" t="s">
        <v>401</v>
      </c>
      <c r="H7" s="671" t="s">
        <v>402</v>
      </c>
      <c r="I7" s="671" t="s">
        <v>160</v>
      </c>
      <c r="J7" s="671" t="s">
        <v>403</v>
      </c>
      <c r="K7" s="671" t="s">
        <v>381</v>
      </c>
    </row>
    <row r="8" spans="1:11" s="330" customFormat="1" ht="15.75" customHeight="1">
      <c r="A8" s="675"/>
      <c r="B8" s="671"/>
      <c r="C8" s="671"/>
      <c r="D8" s="671"/>
      <c r="E8" s="671"/>
      <c r="F8" s="671"/>
      <c r="G8" s="671"/>
      <c r="H8" s="671"/>
      <c r="I8" s="671"/>
      <c r="J8" s="671"/>
      <c r="K8" s="671"/>
    </row>
    <row r="9" spans="1:11" s="330" customFormat="1" ht="15.75" customHeight="1">
      <c r="A9" s="676"/>
      <c r="B9" s="672"/>
      <c r="C9" s="672"/>
      <c r="D9" s="672"/>
      <c r="E9" s="672"/>
      <c r="F9" s="672"/>
      <c r="G9" s="672"/>
      <c r="H9" s="672"/>
      <c r="I9" s="672"/>
      <c r="J9" s="672"/>
      <c r="K9" s="672"/>
    </row>
    <row r="10" spans="1:11" s="330" customFormat="1" ht="15.75" customHeight="1">
      <c r="A10" s="310"/>
      <c r="B10" s="331"/>
      <c r="C10" s="311"/>
      <c r="D10" s="311"/>
      <c r="E10" s="331" t="s">
        <v>404</v>
      </c>
      <c r="F10" s="311"/>
      <c r="G10" s="311" t="s">
        <v>405</v>
      </c>
      <c r="H10" s="311"/>
      <c r="I10" s="332" t="s">
        <v>406</v>
      </c>
      <c r="J10" s="332"/>
      <c r="K10" s="332" t="s">
        <v>407</v>
      </c>
    </row>
    <row r="11" spans="1:11" ht="15.75" customHeight="1">
      <c r="A11" s="333" t="s">
        <v>630</v>
      </c>
      <c r="J11" s="307"/>
      <c r="K11" s="307"/>
    </row>
    <row r="12" spans="1:11" s="330" customFormat="1" ht="15.75" customHeight="1">
      <c r="A12" s="335">
        <v>43800</v>
      </c>
      <c r="B12" s="313">
        <f>'Net Assets'!I12</f>
        <v>52886527.840000004</v>
      </c>
      <c r="C12" s="334" t="s">
        <v>408</v>
      </c>
      <c r="D12" s="334" t="s">
        <v>408</v>
      </c>
      <c r="E12" s="334" t="s">
        <v>408</v>
      </c>
      <c r="F12" s="334" t="s">
        <v>408</v>
      </c>
      <c r="G12" s="334" t="s">
        <v>408</v>
      </c>
      <c r="H12" s="334" t="s">
        <v>408</v>
      </c>
      <c r="I12" s="334" t="s">
        <v>408</v>
      </c>
      <c r="J12" s="334" t="s">
        <v>408</v>
      </c>
      <c r="K12" s="334" t="s">
        <v>408</v>
      </c>
    </row>
    <row r="13" spans="1:11" s="330" customFormat="1" ht="15.75" customHeight="1">
      <c r="A13" s="335"/>
      <c r="B13" s="313"/>
      <c r="C13" s="319"/>
      <c r="D13" s="313"/>
      <c r="E13" s="319"/>
      <c r="F13" s="336"/>
      <c r="G13" s="319"/>
      <c r="H13" s="319"/>
      <c r="I13" s="313"/>
      <c r="J13" s="319"/>
      <c r="K13" s="319"/>
    </row>
    <row r="14" spans="1:11" s="330" customFormat="1" ht="15.75" customHeight="1">
      <c r="A14" s="335">
        <f>DATE(YEAR(A12+45),MONTH(A12+45),1)</f>
        <v>43831</v>
      </c>
      <c r="B14" s="313">
        <f>'Net Assets'!I14</f>
        <v>54052047.450000003</v>
      </c>
      <c r="C14" s="313">
        <f>AVERAGE($B$12:B14)</f>
        <v>53469287.645000003</v>
      </c>
      <c r="D14" s="313">
        <f>$C$25</f>
        <v>62146647.17721796</v>
      </c>
      <c r="E14" s="313">
        <f t="shared" ref="E14:E25" si="0">D14/12</f>
        <v>5178887.2647681637</v>
      </c>
      <c r="F14" s="336">
        <f>'ROR 2021'!$G$12</f>
        <v>8.9200000000000002E-2</v>
      </c>
      <c r="G14" s="313">
        <f t="shared" ref="G14:G25" si="1">E14*F14</f>
        <v>461956.74401732022</v>
      </c>
      <c r="H14" s="313">
        <f>OpEx!F11</f>
        <v>402209.03</v>
      </c>
      <c r="I14" s="313">
        <f>G14+H14</f>
        <v>864165.77401732025</v>
      </c>
      <c r="J14" s="313">
        <f>'OU Collection'!C11</f>
        <v>-71209.78</v>
      </c>
      <c r="K14" s="313">
        <f>I14+J14</f>
        <v>792955.99401732022</v>
      </c>
    </row>
    <row r="15" spans="1:11" s="330" customFormat="1" ht="15.75" customHeight="1">
      <c r="A15" s="335">
        <f>DATE(YEAR(A14+45),MONTH(A14+45),1)</f>
        <v>43862</v>
      </c>
      <c r="B15" s="313">
        <f>'Net Assets'!I15</f>
        <v>55099391.380000003</v>
      </c>
      <c r="C15" s="313">
        <f>AVERAGE($B$12:B15)</f>
        <v>54012655.556666672</v>
      </c>
      <c r="D15" s="313">
        <f t="shared" ref="D15:D25" si="2">$C$25</f>
        <v>62146647.17721796</v>
      </c>
      <c r="E15" s="313">
        <f t="shared" si="0"/>
        <v>5178887.2647681637</v>
      </c>
      <c r="F15" s="336">
        <f>'ROR 2021'!$G$12</f>
        <v>8.9200000000000002E-2</v>
      </c>
      <c r="G15" s="313">
        <f t="shared" si="1"/>
        <v>461956.74401732022</v>
      </c>
      <c r="H15" s="313">
        <f>OpEx!F12</f>
        <v>322800.14</v>
      </c>
      <c r="I15" s="313">
        <f t="shared" ref="I15:I25" si="3">G15+H15</f>
        <v>784756.88401732023</v>
      </c>
      <c r="J15" s="313">
        <f>'OU Collection'!C12</f>
        <v>-71209.78</v>
      </c>
      <c r="K15" s="313">
        <f t="shared" ref="K15:K25" si="4">I15+J15</f>
        <v>713547.10401732021</v>
      </c>
    </row>
    <row r="16" spans="1:11" s="330" customFormat="1" ht="15.75" customHeight="1">
      <c r="A16" s="335">
        <f t="shared" ref="A16:A25" si="5">DATE(YEAR(A15+45),MONTH(A15+45),1)</f>
        <v>43891</v>
      </c>
      <c r="B16" s="313">
        <f>'Net Assets'!I16</f>
        <v>58142447.420000002</v>
      </c>
      <c r="C16" s="313">
        <f>AVERAGE($B$12:B16)</f>
        <v>55045103.522500008</v>
      </c>
      <c r="D16" s="313">
        <f t="shared" si="2"/>
        <v>62146647.17721796</v>
      </c>
      <c r="E16" s="313">
        <f t="shared" si="0"/>
        <v>5178887.2647681637</v>
      </c>
      <c r="F16" s="336">
        <f>'ROR 2021'!$G$12</f>
        <v>8.9200000000000002E-2</v>
      </c>
      <c r="G16" s="313">
        <f t="shared" si="1"/>
        <v>461956.74401732022</v>
      </c>
      <c r="H16" s="313">
        <f>OpEx!F13</f>
        <v>294958.32</v>
      </c>
      <c r="I16" s="313">
        <f t="shared" si="3"/>
        <v>756915.06401732028</v>
      </c>
      <c r="J16" s="313">
        <f>'OU Collection'!C13</f>
        <v>-71209.78</v>
      </c>
      <c r="K16" s="313">
        <f t="shared" si="4"/>
        <v>685705.28401732026</v>
      </c>
    </row>
    <row r="17" spans="1:11" s="330" customFormat="1" ht="15.75" customHeight="1">
      <c r="A17" s="335">
        <f t="shared" si="5"/>
        <v>43922</v>
      </c>
      <c r="B17" s="313">
        <f>'Net Assets'!I17</f>
        <v>59624922.113833405</v>
      </c>
      <c r="C17" s="313">
        <f>AVERAGE($B$12:B17)</f>
        <v>55961067.240766689</v>
      </c>
      <c r="D17" s="313">
        <f t="shared" si="2"/>
        <v>62146647.17721796</v>
      </c>
      <c r="E17" s="313">
        <f t="shared" si="0"/>
        <v>5178887.2647681637</v>
      </c>
      <c r="F17" s="336">
        <f>'ROR 2021'!$G$12</f>
        <v>8.9200000000000002E-2</v>
      </c>
      <c r="G17" s="313">
        <f t="shared" si="1"/>
        <v>461956.74401732022</v>
      </c>
      <c r="H17" s="313">
        <f>OpEx!F14</f>
        <v>312167.90000000002</v>
      </c>
      <c r="I17" s="313">
        <f t="shared" si="3"/>
        <v>774124.64401732024</v>
      </c>
      <c r="J17" s="313">
        <f>'OU Collection'!C14</f>
        <v>-71209.78</v>
      </c>
      <c r="K17" s="313">
        <f t="shared" si="4"/>
        <v>702914.86401732021</v>
      </c>
    </row>
    <row r="18" spans="1:11" s="330" customFormat="1" ht="15.75" customHeight="1">
      <c r="A18" s="335">
        <f t="shared" si="5"/>
        <v>43952</v>
      </c>
      <c r="B18" s="313">
        <f>'Net Assets'!I18</f>
        <v>61095991.610000014</v>
      </c>
      <c r="C18" s="313">
        <f>AVERAGE($B$12:B18)</f>
        <v>56816887.968972243</v>
      </c>
      <c r="D18" s="313">
        <f t="shared" si="2"/>
        <v>62146647.17721796</v>
      </c>
      <c r="E18" s="313">
        <f t="shared" si="0"/>
        <v>5178887.2647681637</v>
      </c>
      <c r="F18" s="336">
        <f>'ROR 2021'!$G$12</f>
        <v>8.9200000000000002E-2</v>
      </c>
      <c r="G18" s="313">
        <f t="shared" si="1"/>
        <v>461956.74401732022</v>
      </c>
      <c r="H18" s="313">
        <f>OpEx!F15</f>
        <v>426701.26</v>
      </c>
      <c r="I18" s="313">
        <f t="shared" si="3"/>
        <v>888658.00401732023</v>
      </c>
      <c r="J18" s="313">
        <f>'OU Collection'!C15</f>
        <v>-17796.39</v>
      </c>
      <c r="K18" s="313">
        <f t="shared" si="4"/>
        <v>870861.61401732021</v>
      </c>
    </row>
    <row r="19" spans="1:11" s="330" customFormat="1" ht="15.75" customHeight="1">
      <c r="A19" s="335">
        <f t="shared" si="5"/>
        <v>43983</v>
      </c>
      <c r="B19" s="313">
        <f>'Net Assets'!I19</f>
        <v>62601685.850000001</v>
      </c>
      <c r="C19" s="313">
        <f>AVERAGE($B$12:B19)</f>
        <v>57643287.666261926</v>
      </c>
      <c r="D19" s="313">
        <f t="shared" si="2"/>
        <v>62146647.17721796</v>
      </c>
      <c r="E19" s="313">
        <f t="shared" si="0"/>
        <v>5178887.2647681637</v>
      </c>
      <c r="F19" s="336">
        <f>'ROR 2021'!$G$12</f>
        <v>8.9200000000000002E-2</v>
      </c>
      <c r="G19" s="313">
        <f t="shared" si="1"/>
        <v>461956.74401732022</v>
      </c>
      <c r="H19" s="313">
        <f>OpEx!F16</f>
        <v>313414.02</v>
      </c>
      <c r="I19" s="313">
        <f t="shared" si="3"/>
        <v>775370.76401732024</v>
      </c>
      <c r="J19" s="313">
        <f>'OU Collection'!C16</f>
        <v>35617.050000000003</v>
      </c>
      <c r="K19" s="313">
        <f t="shared" si="4"/>
        <v>810987.81401732028</v>
      </c>
    </row>
    <row r="20" spans="1:11" s="330" customFormat="1" ht="15.75" customHeight="1">
      <c r="A20" s="335">
        <f t="shared" si="5"/>
        <v>44013</v>
      </c>
      <c r="B20" s="313">
        <f>'Net Assets'!I20</f>
        <v>63883327.61999999</v>
      </c>
      <c r="C20" s="313">
        <f>AVERAGE($B$12:B20)</f>
        <v>58423292.660479188</v>
      </c>
      <c r="D20" s="313">
        <f t="shared" si="2"/>
        <v>62146647.17721796</v>
      </c>
      <c r="E20" s="313">
        <f t="shared" si="0"/>
        <v>5178887.2647681637</v>
      </c>
      <c r="F20" s="336">
        <f>'ROR 2021'!$G$12</f>
        <v>8.9200000000000002E-2</v>
      </c>
      <c r="G20" s="313">
        <f t="shared" si="1"/>
        <v>461956.74401732022</v>
      </c>
      <c r="H20" s="313">
        <f>OpEx!F17</f>
        <v>362095.72</v>
      </c>
      <c r="I20" s="313">
        <f t="shared" si="3"/>
        <v>824052.46401732019</v>
      </c>
      <c r="J20" s="313">
        <f>'OU Collection'!C17</f>
        <v>35617.050000000003</v>
      </c>
      <c r="K20" s="313">
        <f t="shared" si="4"/>
        <v>859669.51401732024</v>
      </c>
    </row>
    <row r="21" spans="1:11" s="330" customFormat="1" ht="15.75" customHeight="1">
      <c r="A21" s="335">
        <f t="shared" si="5"/>
        <v>44044</v>
      </c>
      <c r="B21" s="313">
        <f>'Net Assets'!I21</f>
        <v>65385667.210000008</v>
      </c>
      <c r="C21" s="313">
        <f>AVERAGE($B$12:B21)</f>
        <v>59196889.832648173</v>
      </c>
      <c r="D21" s="313">
        <f t="shared" si="2"/>
        <v>62146647.17721796</v>
      </c>
      <c r="E21" s="313">
        <f t="shared" si="0"/>
        <v>5178887.2647681637</v>
      </c>
      <c r="F21" s="336">
        <f>'ROR 2021'!$G$12</f>
        <v>8.9200000000000002E-2</v>
      </c>
      <c r="G21" s="313">
        <f t="shared" si="1"/>
        <v>461956.74401732022</v>
      </c>
      <c r="H21" s="313">
        <f>OpEx!F18</f>
        <v>340566.51999999996</v>
      </c>
      <c r="I21" s="313">
        <f t="shared" si="3"/>
        <v>802523.26401732024</v>
      </c>
      <c r="J21" s="313">
        <f>'OU Collection'!C18</f>
        <v>35617.050000000003</v>
      </c>
      <c r="K21" s="313">
        <f t="shared" si="4"/>
        <v>838140.31401732028</v>
      </c>
    </row>
    <row r="22" spans="1:11" s="330" customFormat="1" ht="15.75" customHeight="1">
      <c r="A22" s="335">
        <f t="shared" si="5"/>
        <v>44075</v>
      </c>
      <c r="B22" s="313">
        <f>'Net Assets'!I22</f>
        <v>66706664.620000005</v>
      </c>
      <c r="C22" s="313">
        <f>AVERAGE($B$12:B22)</f>
        <v>59947867.311383352</v>
      </c>
      <c r="D22" s="313">
        <f t="shared" si="2"/>
        <v>62146647.17721796</v>
      </c>
      <c r="E22" s="313">
        <f t="shared" si="0"/>
        <v>5178887.2647681637</v>
      </c>
      <c r="F22" s="336">
        <f>'ROR 2021'!$G$12</f>
        <v>8.9200000000000002E-2</v>
      </c>
      <c r="G22" s="313">
        <f t="shared" si="1"/>
        <v>461956.74401732022</v>
      </c>
      <c r="H22" s="313">
        <f>OpEx!F19</f>
        <v>385995.39999999997</v>
      </c>
      <c r="I22" s="313">
        <f t="shared" si="3"/>
        <v>847952.14401732013</v>
      </c>
      <c r="J22" s="313">
        <f>'OU Collection'!C19</f>
        <v>35617.050000000003</v>
      </c>
      <c r="K22" s="313">
        <f t="shared" si="4"/>
        <v>883569.19401732017</v>
      </c>
    </row>
    <row r="23" spans="1:11" s="330" customFormat="1" ht="15.75" customHeight="1">
      <c r="A23" s="335">
        <f t="shared" si="5"/>
        <v>44105</v>
      </c>
      <c r="B23" s="313">
        <f>'Net Assets'!I23</f>
        <v>68350972.799999997</v>
      </c>
      <c r="C23" s="313">
        <f>AVERAGE($B$12:B23)</f>
        <v>60711785.992166683</v>
      </c>
      <c r="D23" s="313">
        <f t="shared" si="2"/>
        <v>62146647.17721796</v>
      </c>
      <c r="E23" s="313">
        <f t="shared" si="0"/>
        <v>5178887.2647681637</v>
      </c>
      <c r="F23" s="336">
        <f>'ROR 2021'!$G$12</f>
        <v>8.9200000000000002E-2</v>
      </c>
      <c r="G23" s="313">
        <f t="shared" si="1"/>
        <v>461956.74401732022</v>
      </c>
      <c r="H23" s="313">
        <f>OpEx!F20</f>
        <v>374591.79</v>
      </c>
      <c r="I23" s="313">
        <f t="shared" si="3"/>
        <v>836548.53401732026</v>
      </c>
      <c r="J23" s="313">
        <f>'OU Collection'!C20</f>
        <v>35617.050000000003</v>
      </c>
      <c r="K23" s="313">
        <f t="shared" si="4"/>
        <v>872165.5840173203</v>
      </c>
    </row>
    <row r="24" spans="1:11" s="330" customFormat="1" ht="15.75" customHeight="1">
      <c r="A24" s="335">
        <f t="shared" si="5"/>
        <v>44136</v>
      </c>
      <c r="B24" s="313">
        <f>'Net Assets'!I24</f>
        <v>69587620.079999998</v>
      </c>
      <c r="C24" s="313">
        <f>AVERAGE($B$12:B24)</f>
        <v>61451438.832819462</v>
      </c>
      <c r="D24" s="313">
        <f t="shared" si="2"/>
        <v>62146647.17721796</v>
      </c>
      <c r="E24" s="313">
        <f t="shared" si="0"/>
        <v>5178887.2647681637</v>
      </c>
      <c r="F24" s="336">
        <f>'ROR 2021'!$G$12</f>
        <v>8.9200000000000002E-2</v>
      </c>
      <c r="G24" s="313">
        <f t="shared" si="1"/>
        <v>461956.74401732022</v>
      </c>
      <c r="H24" s="313">
        <f>OpEx!F21</f>
        <v>357012.92</v>
      </c>
      <c r="I24" s="313">
        <f t="shared" si="3"/>
        <v>818969.66401732014</v>
      </c>
      <c r="J24" s="313">
        <f>'OU Collection'!C21</f>
        <v>35617.050000000003</v>
      </c>
      <c r="K24" s="313">
        <f t="shared" si="4"/>
        <v>854586.71401732019</v>
      </c>
    </row>
    <row r="25" spans="1:11" s="330" customFormat="1" ht="15.75" customHeight="1">
      <c r="A25" s="317">
        <f t="shared" si="5"/>
        <v>44166</v>
      </c>
      <c r="B25" s="318">
        <f>'Net Assets'!I25</f>
        <v>70489147.310000002</v>
      </c>
      <c r="C25" s="318">
        <f>AVERAGE($B$12:B25)</f>
        <v>62146647.17721796</v>
      </c>
      <c r="D25" s="318">
        <f t="shared" si="2"/>
        <v>62146647.17721796</v>
      </c>
      <c r="E25" s="318">
        <f t="shared" si="0"/>
        <v>5178887.2647681637</v>
      </c>
      <c r="F25" s="469">
        <f>'ROR 2021'!$G$12</f>
        <v>8.9200000000000002E-2</v>
      </c>
      <c r="G25" s="313">
        <f t="shared" si="1"/>
        <v>461956.74401732022</v>
      </c>
      <c r="H25" s="313">
        <f>OpEx!F22</f>
        <v>351980.52</v>
      </c>
      <c r="I25" s="313">
        <f t="shared" si="3"/>
        <v>813937.26401732024</v>
      </c>
      <c r="J25" s="313">
        <f>'OU Collection'!C22</f>
        <v>35617.050000000003</v>
      </c>
      <c r="K25" s="313">
        <f t="shared" si="4"/>
        <v>849554.31401732028</v>
      </c>
    </row>
    <row r="26" spans="1:11" s="330" customFormat="1" ht="15.75" customHeight="1" thickBot="1">
      <c r="A26" s="333" t="str">
        <f>+"TOTAL for Year, "&amp;TEXT(A14,"mm/yy")&amp;" - "&amp;TEXT(A25,"mm/yy")</f>
        <v>TOTAL for Year, 01/20 - 12/20</v>
      </c>
      <c r="B26" s="319"/>
      <c r="C26" s="319"/>
      <c r="D26" s="313"/>
      <c r="E26" s="319"/>
      <c r="F26" s="319"/>
      <c r="G26" s="321">
        <f>SUM(G14:G25)</f>
        <v>5543480.9282078426</v>
      </c>
      <c r="H26" s="321">
        <f>SUM(H14:H25)</f>
        <v>4244493.54</v>
      </c>
      <c r="I26" s="321">
        <f>SUM(I14:I25)</f>
        <v>9787974.4682078436</v>
      </c>
      <c r="J26" s="337">
        <f>SUM(J14:J25)</f>
        <v>-53316.160000000047</v>
      </c>
      <c r="K26" s="321">
        <f>SUM(K14:K25)</f>
        <v>9734658.3082078416</v>
      </c>
    </row>
    <row r="27" spans="1:11" ht="15.75" customHeight="1" thickTop="1">
      <c r="A27" s="338"/>
      <c r="D27" s="339"/>
      <c r="F27" s="340"/>
      <c r="I27" s="341"/>
      <c r="J27" s="307"/>
      <c r="K27" s="307"/>
    </row>
    <row r="28" spans="1:11" s="471" customFormat="1" ht="15.75" customHeight="1">
      <c r="A28" s="470"/>
      <c r="B28" s="470"/>
      <c r="C28" s="470"/>
      <c r="D28" s="470"/>
      <c r="E28" s="470"/>
      <c r="F28" s="470"/>
      <c r="G28" s="470"/>
      <c r="H28" s="470"/>
      <c r="I28" s="470"/>
      <c r="J28" s="470"/>
      <c r="K28" s="470"/>
    </row>
    <row r="29" spans="1:11" s="471" customFormat="1" ht="15.75" customHeight="1">
      <c r="A29" s="472"/>
      <c r="B29" s="470"/>
      <c r="C29" s="470"/>
      <c r="D29" s="470"/>
      <c r="E29" s="470"/>
      <c r="F29" s="470"/>
      <c r="G29" s="470"/>
      <c r="H29" s="470"/>
      <c r="I29" s="470"/>
      <c r="J29" s="470"/>
      <c r="K29" s="470"/>
    </row>
    <row r="30" spans="1:11" s="471" customFormat="1" ht="15.75" customHeight="1">
      <c r="A30" s="328" t="s">
        <v>387</v>
      </c>
      <c r="B30" s="329" t="s">
        <v>392</v>
      </c>
      <c r="C30" s="329" t="s">
        <v>393</v>
      </c>
      <c r="D30" s="329" t="s">
        <v>409</v>
      </c>
      <c r="E30" s="329" t="s">
        <v>410</v>
      </c>
      <c r="F30" s="329" t="s">
        <v>411</v>
      </c>
      <c r="G30" s="329" t="s">
        <v>412</v>
      </c>
      <c r="H30" s="329" t="s">
        <v>413</v>
      </c>
      <c r="I30" s="329" t="s">
        <v>414</v>
      </c>
      <c r="J30" s="329" t="s">
        <v>415</v>
      </c>
      <c r="K30" s="329" t="s">
        <v>416</v>
      </c>
    </row>
    <row r="31" spans="1:11" s="471" customFormat="1" ht="15.75" customHeight="1">
      <c r="A31" s="674" t="s">
        <v>379</v>
      </c>
      <c r="B31" s="671" t="s">
        <v>397</v>
      </c>
      <c r="C31" s="671" t="s">
        <v>398</v>
      </c>
      <c r="D31" s="671" t="s">
        <v>399</v>
      </c>
      <c r="E31" s="671" t="s">
        <v>400</v>
      </c>
      <c r="F31" s="671" t="s">
        <v>56</v>
      </c>
      <c r="G31" s="671" t="s">
        <v>401</v>
      </c>
      <c r="H31" s="671" t="s">
        <v>402</v>
      </c>
      <c r="I31" s="671" t="s">
        <v>160</v>
      </c>
      <c r="J31" s="671" t="s">
        <v>403</v>
      </c>
      <c r="K31" s="671" t="s">
        <v>381</v>
      </c>
    </row>
    <row r="32" spans="1:11" s="471" customFormat="1" ht="15.75" customHeight="1">
      <c r="A32" s="675"/>
      <c r="B32" s="671"/>
      <c r="C32" s="671"/>
      <c r="D32" s="671"/>
      <c r="E32" s="671"/>
      <c r="F32" s="671"/>
      <c r="G32" s="671"/>
      <c r="H32" s="671"/>
      <c r="I32" s="671"/>
      <c r="J32" s="671"/>
      <c r="K32" s="671"/>
    </row>
    <row r="33" spans="1:11" s="471" customFormat="1" ht="15.75" customHeight="1">
      <c r="A33" s="676"/>
      <c r="B33" s="672"/>
      <c r="C33" s="672"/>
      <c r="D33" s="672"/>
      <c r="E33" s="672"/>
      <c r="F33" s="672"/>
      <c r="G33" s="672"/>
      <c r="H33" s="672"/>
      <c r="I33" s="672"/>
      <c r="J33" s="672"/>
      <c r="K33" s="672"/>
    </row>
    <row r="34" spans="1:11" s="471" customFormat="1" ht="15.75" customHeight="1">
      <c r="A34" s="310"/>
      <c r="B34" s="331"/>
      <c r="C34" s="311"/>
      <c r="D34" s="311"/>
      <c r="E34" s="331" t="s">
        <v>417</v>
      </c>
      <c r="F34" s="311"/>
      <c r="G34" s="311" t="s">
        <v>418</v>
      </c>
      <c r="H34" s="311"/>
      <c r="I34" s="332" t="s">
        <v>419</v>
      </c>
      <c r="J34" s="332"/>
      <c r="K34" s="332" t="s">
        <v>420</v>
      </c>
    </row>
    <row r="35" spans="1:11" s="471" customFormat="1" ht="15.75" customHeight="1">
      <c r="A35" s="333" t="str">
        <f>A11</f>
        <v>Start of Period Rate Base, 12/19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</row>
    <row r="36" spans="1:11" s="471" customFormat="1" ht="15.75" customHeight="1">
      <c r="A36" s="335">
        <f>A12</f>
        <v>43800</v>
      </c>
      <c r="B36" s="313">
        <f>'Net Assets'!I36</f>
        <v>44002739.890000001</v>
      </c>
      <c r="C36" s="334" t="s">
        <v>408</v>
      </c>
      <c r="D36" s="334" t="s">
        <v>408</v>
      </c>
      <c r="E36" s="334" t="s">
        <v>408</v>
      </c>
      <c r="F36" s="334" t="s">
        <v>408</v>
      </c>
      <c r="G36" s="334" t="s">
        <v>408</v>
      </c>
      <c r="H36" s="334" t="s">
        <v>408</v>
      </c>
      <c r="I36" s="334" t="s">
        <v>408</v>
      </c>
      <c r="J36" s="334" t="s">
        <v>408</v>
      </c>
      <c r="K36" s="334" t="s">
        <v>408</v>
      </c>
    </row>
    <row r="37" spans="1:11" ht="15.75" customHeight="1">
      <c r="A37" s="335"/>
      <c r="B37" s="313"/>
      <c r="C37" s="319"/>
      <c r="D37" s="313"/>
      <c r="E37" s="319"/>
      <c r="F37" s="336"/>
      <c r="G37" s="319"/>
      <c r="H37" s="319"/>
      <c r="I37" s="313"/>
      <c r="J37" s="319"/>
      <c r="K37" s="319"/>
    </row>
    <row r="38" spans="1:11" ht="15.75" customHeight="1">
      <c r="A38" s="315">
        <f>A14</f>
        <v>43831</v>
      </c>
      <c r="B38" s="313">
        <f>'Net Assets'!I38</f>
        <v>46655058.210000001</v>
      </c>
      <c r="C38" s="313">
        <f>AVERAGE($B$36:B38)</f>
        <v>45328899.049999997</v>
      </c>
      <c r="D38" s="313">
        <f>$C$49</f>
        <v>67788067.89692308</v>
      </c>
      <c r="E38" s="313">
        <f t="shared" ref="E38:E49" si="6">D38/12</f>
        <v>5649005.6580769233</v>
      </c>
      <c r="F38" s="336">
        <f>'ROR 2021'!$G$12</f>
        <v>8.9200000000000002E-2</v>
      </c>
      <c r="G38" s="313">
        <f t="shared" ref="G38:G49" si="7">E38*F38</f>
        <v>503891.30470046157</v>
      </c>
      <c r="H38" s="313">
        <f>OpEx!F32</f>
        <v>20186.2</v>
      </c>
      <c r="I38" s="313">
        <f t="shared" ref="I38:I49" si="8">G38+H38</f>
        <v>524077.50470046158</v>
      </c>
      <c r="J38" s="313">
        <f>'OU Collection'!C32</f>
        <v>-22683.14</v>
      </c>
      <c r="K38" s="313">
        <f>I38+J38</f>
        <v>501394.36470046156</v>
      </c>
    </row>
    <row r="39" spans="1:11" ht="15.75" customHeight="1">
      <c r="A39" s="315">
        <f t="shared" ref="A39:A49" si="9">A15</f>
        <v>43862</v>
      </c>
      <c r="B39" s="313">
        <f>'Net Assets'!I39</f>
        <v>49650737.149999999</v>
      </c>
      <c r="C39" s="313">
        <f>AVERAGE($B$36:B39)</f>
        <v>46769511.75</v>
      </c>
      <c r="D39" s="313">
        <f t="shared" ref="D39:D49" si="10">$C$49</f>
        <v>67788067.89692308</v>
      </c>
      <c r="E39" s="313">
        <f t="shared" si="6"/>
        <v>5649005.6580769233</v>
      </c>
      <c r="F39" s="336">
        <f>'ROR 2021'!$G$12</f>
        <v>8.9200000000000002E-2</v>
      </c>
      <c r="G39" s="313">
        <f t="shared" si="7"/>
        <v>503891.30470046157</v>
      </c>
      <c r="H39" s="313">
        <f>OpEx!F33</f>
        <v>20186.2</v>
      </c>
      <c r="I39" s="313">
        <f t="shared" si="8"/>
        <v>524077.50470046158</v>
      </c>
      <c r="J39" s="313">
        <f>'OU Collection'!C33</f>
        <v>-22683.14</v>
      </c>
      <c r="K39" s="313">
        <f t="shared" ref="K39:K49" si="11">I39+J39</f>
        <v>501394.36470046156</v>
      </c>
    </row>
    <row r="40" spans="1:11" ht="15.75" customHeight="1">
      <c r="A40" s="315">
        <f t="shared" si="9"/>
        <v>43891</v>
      </c>
      <c r="B40" s="313">
        <f>'Net Assets'!I40</f>
        <v>54041312.049999997</v>
      </c>
      <c r="C40" s="313">
        <f>AVERAGE($B$36:B40)</f>
        <v>48587461.825000003</v>
      </c>
      <c r="D40" s="313">
        <f t="shared" si="10"/>
        <v>67788067.89692308</v>
      </c>
      <c r="E40" s="313">
        <f t="shared" si="6"/>
        <v>5649005.6580769233</v>
      </c>
      <c r="F40" s="336">
        <f>'ROR 2021'!$G$12</f>
        <v>8.9200000000000002E-2</v>
      </c>
      <c r="G40" s="313">
        <f t="shared" si="7"/>
        <v>503891.30470046157</v>
      </c>
      <c r="H40" s="313">
        <f>OpEx!F34</f>
        <v>20186.2</v>
      </c>
      <c r="I40" s="313">
        <f t="shared" si="8"/>
        <v>524077.50470046158</v>
      </c>
      <c r="J40" s="313">
        <f>'OU Collection'!C34</f>
        <v>-22683.14</v>
      </c>
      <c r="K40" s="313">
        <f t="shared" si="11"/>
        <v>501394.36470046156</v>
      </c>
    </row>
    <row r="41" spans="1:11" ht="15.75" customHeight="1">
      <c r="A41" s="315">
        <f t="shared" si="9"/>
        <v>43922</v>
      </c>
      <c r="B41" s="313">
        <f>'Net Assets'!I41</f>
        <v>59951368.499999993</v>
      </c>
      <c r="C41" s="313">
        <f>AVERAGE($B$36:B41)</f>
        <v>50860243.160000004</v>
      </c>
      <c r="D41" s="313">
        <f t="shared" si="10"/>
        <v>67788067.89692308</v>
      </c>
      <c r="E41" s="313">
        <f t="shared" si="6"/>
        <v>5649005.6580769233</v>
      </c>
      <c r="F41" s="336">
        <f>'ROR 2021'!$G$12</f>
        <v>8.9200000000000002E-2</v>
      </c>
      <c r="G41" s="313">
        <f t="shared" si="7"/>
        <v>503891.30470046157</v>
      </c>
      <c r="H41" s="313">
        <f>OpEx!F35</f>
        <v>20186.2</v>
      </c>
      <c r="I41" s="313">
        <f t="shared" si="8"/>
        <v>524077.50470046158</v>
      </c>
      <c r="J41" s="313">
        <f>'OU Collection'!C35</f>
        <v>-22683.14</v>
      </c>
      <c r="K41" s="313">
        <f t="shared" si="11"/>
        <v>501394.36470046156</v>
      </c>
    </row>
    <row r="42" spans="1:11" ht="15.75" customHeight="1">
      <c r="A42" s="315">
        <f t="shared" si="9"/>
        <v>43952</v>
      </c>
      <c r="B42" s="313">
        <f>'Net Assets'!I42</f>
        <v>63305594.029999994</v>
      </c>
      <c r="C42" s="313">
        <f>AVERAGE($B$36:B42)</f>
        <v>52934468.305</v>
      </c>
      <c r="D42" s="313">
        <f t="shared" si="10"/>
        <v>67788067.89692308</v>
      </c>
      <c r="E42" s="313">
        <f t="shared" si="6"/>
        <v>5649005.6580769233</v>
      </c>
      <c r="F42" s="336">
        <f>'ROR 2021'!$G$12</f>
        <v>8.9200000000000002E-2</v>
      </c>
      <c r="G42" s="313">
        <f t="shared" si="7"/>
        <v>503891.30470046157</v>
      </c>
      <c r="H42" s="313">
        <f>OpEx!F36</f>
        <v>20186.2</v>
      </c>
      <c r="I42" s="313">
        <f t="shared" si="8"/>
        <v>524077.50470046158</v>
      </c>
      <c r="J42" s="313">
        <f>'OU Collection'!C36</f>
        <v>-9275.58</v>
      </c>
      <c r="K42" s="313">
        <f t="shared" si="11"/>
        <v>514801.92470046156</v>
      </c>
    </row>
    <row r="43" spans="1:11" ht="15.75" customHeight="1">
      <c r="A43" s="315">
        <f t="shared" si="9"/>
        <v>43983</v>
      </c>
      <c r="B43" s="313">
        <f>'Net Assets'!I43</f>
        <v>67021007.729999997</v>
      </c>
      <c r="C43" s="313">
        <f>AVERAGE($B$36:B43)</f>
        <v>54946831.079999998</v>
      </c>
      <c r="D43" s="313">
        <f t="shared" si="10"/>
        <v>67788067.89692308</v>
      </c>
      <c r="E43" s="313">
        <f t="shared" si="6"/>
        <v>5649005.6580769233</v>
      </c>
      <c r="F43" s="336">
        <f>'ROR 2021'!$G$12</f>
        <v>8.9200000000000002E-2</v>
      </c>
      <c r="G43" s="313">
        <f t="shared" si="7"/>
        <v>503891.30470046157</v>
      </c>
      <c r="H43" s="313">
        <f>OpEx!F37</f>
        <v>20186.2</v>
      </c>
      <c r="I43" s="313">
        <f t="shared" si="8"/>
        <v>524077.50470046158</v>
      </c>
      <c r="J43" s="313">
        <f>'OU Collection'!C37</f>
        <v>4131.8500000000004</v>
      </c>
      <c r="K43" s="313">
        <f t="shared" si="11"/>
        <v>528209.35470046161</v>
      </c>
    </row>
    <row r="44" spans="1:11" ht="15.75" customHeight="1">
      <c r="A44" s="315">
        <f t="shared" si="9"/>
        <v>44013</v>
      </c>
      <c r="B44" s="313">
        <f>'Net Assets'!I44</f>
        <v>70817410.409999996</v>
      </c>
      <c r="C44" s="313">
        <f>AVERAGE($B$36:B44)</f>
        <v>56930653.496250004</v>
      </c>
      <c r="D44" s="313">
        <f t="shared" si="10"/>
        <v>67788067.89692308</v>
      </c>
      <c r="E44" s="313">
        <f t="shared" si="6"/>
        <v>5649005.6580769233</v>
      </c>
      <c r="F44" s="336">
        <f>'ROR 2021'!$G$12</f>
        <v>8.9200000000000002E-2</v>
      </c>
      <c r="G44" s="313">
        <f t="shared" si="7"/>
        <v>503891.30470046157</v>
      </c>
      <c r="H44" s="313">
        <f>OpEx!F38</f>
        <v>20186.2</v>
      </c>
      <c r="I44" s="313">
        <f t="shared" si="8"/>
        <v>524077.50470046158</v>
      </c>
      <c r="J44" s="313">
        <f>'OU Collection'!C38</f>
        <v>4131.8500000000004</v>
      </c>
      <c r="K44" s="313">
        <f t="shared" si="11"/>
        <v>528209.35470046161</v>
      </c>
    </row>
    <row r="45" spans="1:11" ht="15.75" customHeight="1">
      <c r="A45" s="315">
        <f t="shared" si="9"/>
        <v>44044</v>
      </c>
      <c r="B45" s="313">
        <f>'Net Assets'!I45</f>
        <v>76537033.349999994</v>
      </c>
      <c r="C45" s="313">
        <f>AVERAGE($B$36:B45)</f>
        <v>59109140.146666676</v>
      </c>
      <c r="D45" s="313">
        <f t="shared" si="10"/>
        <v>67788067.89692308</v>
      </c>
      <c r="E45" s="313">
        <f t="shared" si="6"/>
        <v>5649005.6580769233</v>
      </c>
      <c r="F45" s="336">
        <f>'ROR 2021'!$G$12</f>
        <v>8.9200000000000002E-2</v>
      </c>
      <c r="G45" s="313">
        <f t="shared" si="7"/>
        <v>503891.30470046157</v>
      </c>
      <c r="H45" s="313">
        <f>OpEx!F39</f>
        <v>20186.2</v>
      </c>
      <c r="I45" s="313">
        <f t="shared" si="8"/>
        <v>524077.50470046158</v>
      </c>
      <c r="J45" s="313">
        <f>'OU Collection'!C39</f>
        <v>4131.8500000000004</v>
      </c>
      <c r="K45" s="313">
        <f t="shared" si="11"/>
        <v>528209.35470046161</v>
      </c>
    </row>
    <row r="46" spans="1:11" ht="15.75" customHeight="1">
      <c r="A46" s="315">
        <f t="shared" si="9"/>
        <v>44075</v>
      </c>
      <c r="B46" s="313">
        <f>'Net Assets'!I46</f>
        <v>80338856.760000005</v>
      </c>
      <c r="C46" s="313">
        <f>AVERAGE($B$36:B46)</f>
        <v>61232111.808000006</v>
      </c>
      <c r="D46" s="313">
        <f t="shared" si="10"/>
        <v>67788067.89692308</v>
      </c>
      <c r="E46" s="313">
        <f t="shared" si="6"/>
        <v>5649005.6580769233</v>
      </c>
      <c r="F46" s="336">
        <f>'ROR 2021'!$G$12</f>
        <v>8.9200000000000002E-2</v>
      </c>
      <c r="G46" s="313">
        <f t="shared" si="7"/>
        <v>503891.30470046157</v>
      </c>
      <c r="H46" s="313">
        <f>OpEx!F40</f>
        <v>20186.2</v>
      </c>
      <c r="I46" s="313">
        <f t="shared" si="8"/>
        <v>524077.50470046158</v>
      </c>
      <c r="J46" s="313">
        <f>'OU Collection'!C40</f>
        <v>4131.8500000000004</v>
      </c>
      <c r="K46" s="313">
        <f t="shared" si="11"/>
        <v>528209.35470046161</v>
      </c>
    </row>
    <row r="47" spans="1:11" ht="15.75" customHeight="1">
      <c r="A47" s="315">
        <f t="shared" si="9"/>
        <v>44105</v>
      </c>
      <c r="B47" s="313">
        <f>'Net Assets'!I47</f>
        <v>86060676.480000019</v>
      </c>
      <c r="C47" s="313">
        <f>AVERAGE($B$36:B47)</f>
        <v>63489254.050909095</v>
      </c>
      <c r="D47" s="313">
        <f t="shared" si="10"/>
        <v>67788067.89692308</v>
      </c>
      <c r="E47" s="313">
        <f t="shared" si="6"/>
        <v>5649005.6580769233</v>
      </c>
      <c r="F47" s="336">
        <f>'ROR 2021'!$G$12</f>
        <v>8.9200000000000002E-2</v>
      </c>
      <c r="G47" s="313">
        <f t="shared" si="7"/>
        <v>503891.30470046157</v>
      </c>
      <c r="H47" s="313">
        <f>OpEx!F41</f>
        <v>82109.59</v>
      </c>
      <c r="I47" s="313">
        <f t="shared" si="8"/>
        <v>586000.89470046153</v>
      </c>
      <c r="J47" s="313">
        <f>'OU Collection'!C41</f>
        <v>4131.8500000000004</v>
      </c>
      <c r="K47" s="313">
        <f t="shared" si="11"/>
        <v>590132.74470046151</v>
      </c>
    </row>
    <row r="48" spans="1:11" ht="15.75" customHeight="1">
      <c r="A48" s="315">
        <f t="shared" si="9"/>
        <v>44136</v>
      </c>
      <c r="B48" s="313">
        <f>'Net Assets'!I48</f>
        <v>89784755.920000017</v>
      </c>
      <c r="C48" s="313">
        <f>AVERAGE($B$36:B48)</f>
        <v>65680545.873333335</v>
      </c>
      <c r="D48" s="313">
        <f t="shared" si="10"/>
        <v>67788067.89692308</v>
      </c>
      <c r="E48" s="313">
        <f t="shared" si="6"/>
        <v>5649005.6580769233</v>
      </c>
      <c r="F48" s="336">
        <f>'ROR 2021'!$G$12</f>
        <v>8.9200000000000002E-2</v>
      </c>
      <c r="G48" s="313">
        <f t="shared" si="7"/>
        <v>503891.30470046157</v>
      </c>
      <c r="H48" s="313">
        <f>OpEx!F42</f>
        <v>190365.87</v>
      </c>
      <c r="I48" s="313">
        <f t="shared" si="8"/>
        <v>694257.17470046156</v>
      </c>
      <c r="J48" s="313">
        <f>'OU Collection'!C42</f>
        <v>4131.8500000000004</v>
      </c>
      <c r="K48" s="313">
        <f t="shared" si="11"/>
        <v>698389.02470046154</v>
      </c>
    </row>
    <row r="49" spans="1:11" ht="15.75" customHeight="1">
      <c r="A49" s="317">
        <f t="shared" si="9"/>
        <v>44166</v>
      </c>
      <c r="B49" s="318">
        <f>'Net Assets'!I49</f>
        <v>93078332.180000007</v>
      </c>
      <c r="C49" s="318">
        <f>AVERAGE($B$36:B49)</f>
        <v>67788067.89692308</v>
      </c>
      <c r="D49" s="318">
        <f t="shared" si="10"/>
        <v>67788067.89692308</v>
      </c>
      <c r="E49" s="318">
        <f t="shared" si="6"/>
        <v>5649005.6580769233</v>
      </c>
      <c r="F49" s="469">
        <f>'ROR 2021'!$G$12</f>
        <v>8.9200000000000002E-2</v>
      </c>
      <c r="G49" s="313">
        <f t="shared" si="7"/>
        <v>503891.30470046157</v>
      </c>
      <c r="H49" s="313">
        <f>OpEx!F43</f>
        <v>193247.64</v>
      </c>
      <c r="I49" s="313">
        <f t="shared" si="8"/>
        <v>697138.94470046158</v>
      </c>
      <c r="J49" s="313">
        <f>'OU Collection'!C43</f>
        <v>4131.8500000000004</v>
      </c>
      <c r="K49" s="313">
        <f t="shared" si="11"/>
        <v>701270.79470046156</v>
      </c>
    </row>
    <row r="50" spans="1:11" ht="15.75" customHeight="1" thickBot="1">
      <c r="A50" s="333" t="str">
        <f>A26</f>
        <v>TOTAL for Year, 01/20 - 12/20</v>
      </c>
      <c r="B50" s="319"/>
      <c r="C50" s="319"/>
      <c r="D50" s="313"/>
      <c r="E50" s="319"/>
      <c r="F50" s="319"/>
      <c r="G50" s="321">
        <f>SUM(G38:G49)</f>
        <v>6046695.6564055383</v>
      </c>
      <c r="H50" s="321">
        <f>SUM(H38:H49)</f>
        <v>647398.9</v>
      </c>
      <c r="I50" s="321">
        <f>SUM(I38:I49)</f>
        <v>6694094.5564055378</v>
      </c>
      <c r="J50" s="337">
        <f>SUM(J38:J49)</f>
        <v>-71085.189999999959</v>
      </c>
      <c r="K50" s="321">
        <f>SUM(K38:K49)</f>
        <v>6623009.3664055392</v>
      </c>
    </row>
    <row r="51" spans="1:11" ht="15" customHeight="1" thickTop="1"/>
  </sheetData>
  <mergeCells count="22">
    <mergeCell ref="F31:F33"/>
    <mergeCell ref="G31:G33"/>
    <mergeCell ref="H31:H33"/>
    <mergeCell ref="I31:I33"/>
    <mergeCell ref="J31:J33"/>
    <mergeCell ref="K31:K33"/>
    <mergeCell ref="G7:G9"/>
    <mergeCell ref="H7:H9"/>
    <mergeCell ref="I7:I9"/>
    <mergeCell ref="J7:J9"/>
    <mergeCell ref="K7:K9"/>
    <mergeCell ref="A31:A33"/>
    <mergeCell ref="B31:B33"/>
    <mergeCell ref="C31:C33"/>
    <mergeCell ref="D31:D33"/>
    <mergeCell ref="E31:E33"/>
    <mergeCell ref="F7:F9"/>
    <mergeCell ref="A7:A9"/>
    <mergeCell ref="B7:B9"/>
    <mergeCell ref="C7:C9"/>
    <mergeCell ref="D7:D9"/>
    <mergeCell ref="E7:E9"/>
  </mergeCells>
  <pageMargins left="0.49" right="0.48" top="1.1000000000000001" bottom="1" header="0.5" footer="0.1"/>
  <pageSetup scale="60" orientation="landscape" r:id="rId1"/>
  <headerFooter scaleWithDoc="0" alignWithMargins="0">
    <oddFooter>&amp;R&amp;"Times New Roman,Bold"Exhibit 3
Page 2 of 4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105</v>
      </c>
      <c r="G6" s="12"/>
      <c r="H6" s="12"/>
      <c r="I6" s="12"/>
      <c r="J6" s="12" t="s">
        <v>105</v>
      </c>
      <c r="K6" s="12"/>
      <c r="L6" s="12" t="s">
        <v>105</v>
      </c>
      <c r="M6" s="12"/>
      <c r="N6" s="12"/>
      <c r="O6" s="12"/>
      <c r="P6" s="12"/>
      <c r="Q6" s="12"/>
      <c r="R6" s="12" t="s">
        <v>105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'201809 Bk Depr'!R13</f>
        <v>0</v>
      </c>
      <c r="H13" s="1">
        <f>1.62%/12</f>
        <v>1.3500000000000003E-3</v>
      </c>
      <c r="J13" s="364">
        <f>F13*H13</f>
        <v>0</v>
      </c>
      <c r="L13" s="365">
        <f>'Cap&amp;OpEx 2018'!L10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'201809 Bk Depr'!R14</f>
        <v>2582295.6500000004</v>
      </c>
      <c r="H14" s="1">
        <f>3.24%/12</f>
        <v>2.7000000000000006E-3</v>
      </c>
      <c r="J14" s="364">
        <f>F14*H14</f>
        <v>6972.1982550000021</v>
      </c>
      <c r="L14" s="365">
        <f>'Cap&amp;OpEx 2018'!L12</f>
        <v>156829.16999999998</v>
      </c>
      <c r="N14" s="364">
        <f>H14*L14*0.5</f>
        <v>211.71937950000003</v>
      </c>
      <c r="P14" s="364">
        <f>J14+N14</f>
        <v>7183.9176345000024</v>
      </c>
      <c r="R14" s="364">
        <f>L14+F14</f>
        <v>2739124.8200000003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'201809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2018'!L13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'201809 Bk Depr'!R16</f>
        <v>8061234.7600000016</v>
      </c>
      <c r="H16" s="1">
        <f t="shared" si="1"/>
        <v>2.7000000000000006E-3</v>
      </c>
      <c r="J16" s="364">
        <f>F16*H16</f>
        <v>21765.333852000011</v>
      </c>
      <c r="L16" s="366">
        <f>'Cap&amp;OpEx 2018'!L14</f>
        <v>388216.47999999986</v>
      </c>
      <c r="N16" s="364">
        <f>H16*L16*0.5</f>
        <v>524.09224799999993</v>
      </c>
      <c r="P16" s="364">
        <f>J16+N16</f>
        <v>22289.426100000012</v>
      </c>
      <c r="R16" s="364">
        <f>L16+F16</f>
        <v>8449451.2400000021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10643530.410000002</v>
      </c>
      <c r="J17" s="362">
        <f>SUM(J13:J16)</f>
        <v>28737.532107000014</v>
      </c>
      <c r="L17" s="362">
        <f>SUM(L13:L16)</f>
        <v>545045.64999999991</v>
      </c>
      <c r="N17" s="362">
        <f>SUM(N13:N16)</f>
        <v>735.81162749999999</v>
      </c>
      <c r="P17" s="362">
        <f>SUM(P13:P16)</f>
        <v>29473.343734500013</v>
      </c>
      <c r="R17" s="362">
        <f>SUM(R13:R16)</f>
        <v>11188576.060000002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'201809 Bk Depr'!R20</f>
        <v>0</v>
      </c>
      <c r="H20" s="1">
        <f>1.62%/12</f>
        <v>1.3500000000000003E-3</v>
      </c>
      <c r="J20" s="364">
        <f>F20*H20</f>
        <v>0</v>
      </c>
      <c r="L20" s="365">
        <f>'Cap&amp;OpEx 2018'!L17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'201809 Bk Depr'!R21</f>
        <v>0</v>
      </c>
      <c r="H21" s="1">
        <f>3.24%/12</f>
        <v>2.7000000000000006E-3</v>
      </c>
      <c r="J21" s="364">
        <f>F21*H21</f>
        <v>0</v>
      </c>
      <c r="L21" s="365">
        <f>'Cap&amp;OpEx 2018'!L19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'201809 Bk Depr'!R22</f>
        <v>0</v>
      </c>
      <c r="H22" s="1">
        <f>3.24%/12</f>
        <v>2.7000000000000006E-3</v>
      </c>
      <c r="J22" s="364">
        <f>F22*H22</f>
        <v>0</v>
      </c>
      <c r="L22" s="366">
        <f>'Cap&amp;OpEx 2018'!L20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10643530.410000002</v>
      </c>
      <c r="J25" s="363">
        <f>J17+J23</f>
        <v>28737.532107000014</v>
      </c>
      <c r="L25" s="363">
        <f>L17+L23</f>
        <v>545045.64999999991</v>
      </c>
      <c r="N25" s="363">
        <f>N17+N23</f>
        <v>735.81162749999999</v>
      </c>
      <c r="P25" s="363">
        <f>P17+P23</f>
        <v>29473.343734500013</v>
      </c>
      <c r="R25" s="363">
        <f>R17+R23</f>
        <v>11188576.060000002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'201809 Bk Depr'!R28</f>
        <v>0</v>
      </c>
      <c r="J28" s="364"/>
      <c r="L28" s="365">
        <f>'Cap&amp;OpEx 2018'!L25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'201809 Bk Depr'!R29</f>
        <v>515410.13000000006</v>
      </c>
      <c r="J29" s="364"/>
      <c r="L29" s="365">
        <f>'Cap&amp;OpEx 2018'!L27</f>
        <v>16815.920000000002</v>
      </c>
      <c r="N29" s="364"/>
      <c r="P29" s="364"/>
      <c r="R29" s="364">
        <f>L29+F29</f>
        <v>532226.05000000005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'201809 Bk Depr'!R30</f>
        <v>0</v>
      </c>
      <c r="J30" s="364"/>
      <c r="L30" s="366">
        <f>'Cap&amp;OpEx 2018'!L28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515410.13000000006</v>
      </c>
      <c r="J31" s="362">
        <f>SUM(J28:J30)</f>
        <v>0</v>
      </c>
      <c r="L31" s="362">
        <f>SUM(L28:L30)</f>
        <v>16815.920000000002</v>
      </c>
      <c r="N31" s="362">
        <f>SUM(N28:N30)</f>
        <v>0</v>
      </c>
      <c r="P31" s="362">
        <f>SUM(P28:P30)</f>
        <v>0</v>
      </c>
      <c r="R31" s="362">
        <f>SUM(R28:R30)</f>
        <v>532226.05000000005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14 of 17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271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106</v>
      </c>
      <c r="G6" s="12"/>
      <c r="H6" s="12"/>
      <c r="I6" s="12"/>
      <c r="J6" s="12" t="s">
        <v>106</v>
      </c>
      <c r="K6" s="12"/>
      <c r="L6" s="12" t="s">
        <v>106</v>
      </c>
      <c r="M6" s="12"/>
      <c r="N6" s="12"/>
      <c r="O6" s="12"/>
      <c r="P6" s="12"/>
      <c r="Q6" s="12"/>
      <c r="R6" s="12" t="s">
        <v>106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'201810 Bk Depr'!R13</f>
        <v>0</v>
      </c>
      <c r="H13" s="1">
        <f>1.62%/12</f>
        <v>1.3500000000000003E-3</v>
      </c>
      <c r="J13" s="364">
        <f>F13*H13</f>
        <v>0</v>
      </c>
      <c r="L13" s="365">
        <f>'Cap&amp;OpEx 2018'!M10</f>
        <v>0</v>
      </c>
      <c r="N13" s="602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'201810 Bk Depr'!R14</f>
        <v>2739124.8200000003</v>
      </c>
      <c r="H14" s="1">
        <f>3.24%/12</f>
        <v>2.7000000000000006E-3</v>
      </c>
      <c r="J14" s="364">
        <f>F14*H14</f>
        <v>7395.6370140000026</v>
      </c>
      <c r="L14" s="365">
        <f>'Cap&amp;OpEx 2018'!M12</f>
        <v>886834.86000000022</v>
      </c>
      <c r="N14" s="602">
        <f>H14*L14*0.5</f>
        <v>1197.2270610000005</v>
      </c>
      <c r="P14" s="364">
        <f>J14+N14</f>
        <v>8592.8640750000031</v>
      </c>
      <c r="R14" s="364">
        <f>L14+F14</f>
        <v>3625959.6800000006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'201810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2018'!M13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'201810 Bk Depr'!R16</f>
        <v>8449451.2400000021</v>
      </c>
      <c r="H16" s="1">
        <f t="shared" si="1"/>
        <v>2.7000000000000006E-3</v>
      </c>
      <c r="J16" s="364">
        <f>F16*H16</f>
        <v>22813.518348000009</v>
      </c>
      <c r="L16" s="366">
        <f>'Cap&amp;OpEx 2018'!M14</f>
        <v>2036145.29</v>
      </c>
      <c r="N16" s="364">
        <f>H16*L16*0.5</f>
        <v>2748.7961415000004</v>
      </c>
      <c r="P16" s="364">
        <f>J16+N16</f>
        <v>25562.314489500008</v>
      </c>
      <c r="R16" s="364">
        <f>L16+F16</f>
        <v>10485596.530000001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11188576.060000002</v>
      </c>
      <c r="J17" s="362">
        <f>SUM(J13:J16)</f>
        <v>30209.155362000012</v>
      </c>
      <c r="L17" s="362">
        <f>SUM(L13:L16)</f>
        <v>2922980.1500000004</v>
      </c>
      <c r="N17" s="362">
        <f>SUM(N13:N16)</f>
        <v>3946.0232025000009</v>
      </c>
      <c r="P17" s="362">
        <f>SUM(P13:P16)</f>
        <v>34155.178564500013</v>
      </c>
      <c r="R17" s="362">
        <f>SUM(R13:R16)</f>
        <v>14111556.210000001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'201810 Bk Depr'!R20</f>
        <v>0</v>
      </c>
      <c r="H20" s="1">
        <f>1.62%/12</f>
        <v>1.3500000000000003E-3</v>
      </c>
      <c r="J20" s="364">
        <f>F20*H20</f>
        <v>0</v>
      </c>
      <c r="L20" s="365">
        <f>'Cap&amp;OpEx 2018'!M17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'201810 Bk Depr'!R21</f>
        <v>0</v>
      </c>
      <c r="H21" s="1">
        <f>3.24%/12</f>
        <v>2.7000000000000006E-3</v>
      </c>
      <c r="J21" s="364">
        <f>F21*H21</f>
        <v>0</v>
      </c>
      <c r="L21" s="365">
        <f>'Cap&amp;OpEx 2018'!M19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'201810 Bk Depr'!R22</f>
        <v>0</v>
      </c>
      <c r="H22" s="1">
        <f>3.24%/12</f>
        <v>2.7000000000000006E-3</v>
      </c>
      <c r="J22" s="364">
        <f>F22*H22</f>
        <v>0</v>
      </c>
      <c r="L22" s="366">
        <f>'Cap&amp;OpEx 2018'!M20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11188576.060000002</v>
      </c>
      <c r="J25" s="363">
        <f>J17+J23</f>
        <v>30209.155362000012</v>
      </c>
      <c r="L25" s="363">
        <f>L17+L23</f>
        <v>2922980.1500000004</v>
      </c>
      <c r="N25" s="363">
        <f>N17+N23</f>
        <v>3946.0232025000009</v>
      </c>
      <c r="P25" s="363">
        <f>P17+P23</f>
        <v>34155.178564500013</v>
      </c>
      <c r="R25" s="363">
        <f>R17+R23</f>
        <v>14111556.210000001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'201810 Bk Depr'!R28</f>
        <v>0</v>
      </c>
      <c r="J28" s="364"/>
      <c r="L28" s="365">
        <f>'Cap&amp;OpEx 2018'!M25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'201810 Bk Depr'!R29</f>
        <v>532226.05000000005</v>
      </c>
      <c r="J29" s="364"/>
      <c r="L29" s="365">
        <f>'Cap&amp;OpEx 2018'!M27</f>
        <v>37570.519999999997</v>
      </c>
      <c r="N29" s="364"/>
      <c r="P29" s="364"/>
      <c r="R29" s="364">
        <f>L29+F29</f>
        <v>569796.57000000007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'201810 Bk Depr'!R30</f>
        <v>0</v>
      </c>
      <c r="J30" s="364"/>
      <c r="L30" s="366">
        <f>'Cap&amp;OpEx 2018'!M28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532226.05000000005</v>
      </c>
      <c r="J31" s="362">
        <f>SUM(J28:J30)</f>
        <v>0</v>
      </c>
      <c r="L31" s="362">
        <f>SUM(L28:L30)</f>
        <v>37570.519999999997</v>
      </c>
      <c r="N31" s="362">
        <f>SUM(N28:N30)</f>
        <v>0</v>
      </c>
      <c r="P31" s="362">
        <f>SUM(P28:P30)</f>
        <v>0</v>
      </c>
      <c r="R31" s="362">
        <f>SUM(R28:R30)</f>
        <v>569796.57000000007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15 of 17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8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272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1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107</v>
      </c>
      <c r="G6" s="12"/>
      <c r="H6" s="12"/>
      <c r="I6" s="12"/>
      <c r="J6" s="12" t="s">
        <v>107</v>
      </c>
      <c r="K6" s="12"/>
      <c r="L6" s="12" t="s">
        <v>107</v>
      </c>
      <c r="M6" s="12"/>
      <c r="N6" s="12"/>
      <c r="O6" s="12"/>
      <c r="P6" s="12"/>
      <c r="Q6" s="12"/>
      <c r="R6" s="12" t="s">
        <v>107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0">
        <f>'201811 Bk Depr'!R13</f>
        <v>0</v>
      </c>
      <c r="H13" s="1">
        <f>1.62%/12</f>
        <v>1.3500000000000003E-3</v>
      </c>
      <c r="J13" s="364">
        <f>F13*H13</f>
        <v>0</v>
      </c>
      <c r="L13" s="365">
        <f>'Cap&amp;OpEx 2018'!N10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0">
        <f>'201811 Bk Depr'!R14</f>
        <v>3625959.6800000006</v>
      </c>
      <c r="H14" s="1">
        <f>3.24%/12</f>
        <v>2.7000000000000006E-3</v>
      </c>
      <c r="J14" s="364">
        <f>F14*H14</f>
        <v>9790.0911360000046</v>
      </c>
      <c r="L14" s="365">
        <f>'Cap&amp;OpEx 2018'!N12</f>
        <v>316.39</v>
      </c>
      <c r="N14" s="364">
        <f>H14*L14*0.5</f>
        <v>0.42712650000000008</v>
      </c>
      <c r="P14" s="364">
        <f>J14+N14</f>
        <v>9790.5182625000052</v>
      </c>
      <c r="R14" s="364">
        <f>L14+F14</f>
        <v>3626276.0700000008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0">
        <f>'201811 Bk Depr'!R15</f>
        <v>0</v>
      </c>
      <c r="H15" s="1">
        <f t="shared" ref="H15:H16" si="1">3.24%/12</f>
        <v>2.7000000000000006E-3</v>
      </c>
      <c r="J15" s="364">
        <f>F15*H15</f>
        <v>0</v>
      </c>
      <c r="L15" s="365">
        <f>'Cap&amp;OpEx 2018'!N13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1">
        <f>'201811 Bk Depr'!R16</f>
        <v>10485596.530000001</v>
      </c>
      <c r="H16" s="1">
        <f t="shared" si="1"/>
        <v>2.7000000000000006E-3</v>
      </c>
      <c r="J16" s="364">
        <f>F16*H16</f>
        <v>28311.11063100001</v>
      </c>
      <c r="L16" s="366">
        <f>'Cap&amp;OpEx 2018'!N14</f>
        <v>502478.86</v>
      </c>
      <c r="N16" s="364">
        <f>H16*L16*0.5</f>
        <v>678.34646100000009</v>
      </c>
      <c r="P16" s="364">
        <f>J16+N16</f>
        <v>28989.457092000011</v>
      </c>
      <c r="R16" s="364">
        <f>L16+F16</f>
        <v>10988075.390000001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14111556.210000001</v>
      </c>
      <c r="J17" s="362">
        <f>SUM(J13:J16)</f>
        <v>38101.201767000013</v>
      </c>
      <c r="L17" s="362">
        <f>SUM(L13:L16)</f>
        <v>502795.25</v>
      </c>
      <c r="N17" s="362">
        <f>SUM(N13:N16)</f>
        <v>678.77358750000008</v>
      </c>
      <c r="P17" s="362">
        <f>SUM(P13:P16)</f>
        <v>38779.975354500013</v>
      </c>
      <c r="R17" s="362">
        <f>SUM(R13:R16)</f>
        <v>14614351.460000001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0">
        <f>'201811 Bk Depr'!R20</f>
        <v>0</v>
      </c>
      <c r="H20" s="1">
        <f>1.62%/12</f>
        <v>1.3500000000000003E-3</v>
      </c>
      <c r="J20" s="364">
        <f>F20*H20</f>
        <v>0</v>
      </c>
      <c r="L20" s="365">
        <f>'Cap&amp;OpEx 2018'!N17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0">
        <f>'201811 Bk Depr'!R21</f>
        <v>0</v>
      </c>
      <c r="H21" s="1">
        <f>3.24%/12</f>
        <v>2.7000000000000006E-3</v>
      </c>
      <c r="J21" s="364">
        <f>F21*H21</f>
        <v>0</v>
      </c>
      <c r="L21" s="365">
        <f>'Cap&amp;OpEx 2018'!N19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1">
        <f>'201811 Bk Depr'!R22</f>
        <v>0</v>
      </c>
      <c r="H22" s="1">
        <f>3.24%/12</f>
        <v>2.7000000000000006E-3</v>
      </c>
      <c r="J22" s="364">
        <f>F22*H22</f>
        <v>0</v>
      </c>
      <c r="L22" s="366">
        <f>'Cap&amp;OpEx 2018'!N20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14111556.210000001</v>
      </c>
      <c r="J25" s="363">
        <f>J17+J23</f>
        <v>38101.201767000013</v>
      </c>
      <c r="L25" s="363">
        <f>L17+L23</f>
        <v>502795.25</v>
      </c>
      <c r="N25" s="363">
        <f>N17+N23</f>
        <v>678.77358750000008</v>
      </c>
      <c r="P25" s="363">
        <f>P17+P23</f>
        <v>38779.975354500013</v>
      </c>
      <c r="R25" s="363">
        <f>R17+R23</f>
        <v>14614351.460000001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0">
        <f>'201811 Bk Depr'!R28</f>
        <v>0</v>
      </c>
      <c r="J28" s="364"/>
      <c r="L28" s="365">
        <f>'Cap&amp;OpEx 2018'!N25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0">
        <f>'201811 Bk Depr'!R29</f>
        <v>569796.57000000007</v>
      </c>
      <c r="J29" s="364"/>
      <c r="L29" s="365">
        <f>'Cap&amp;OpEx 2018'!N27</f>
        <v>39300.839999999997</v>
      </c>
      <c r="N29" s="364"/>
      <c r="P29" s="364"/>
      <c r="R29" s="364">
        <f>L29+F29</f>
        <v>609097.41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1">
        <f>'201811 Bk Depr'!R30</f>
        <v>0</v>
      </c>
      <c r="J30" s="364"/>
      <c r="L30" s="366">
        <f>'Cap&amp;OpEx 2018'!N28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569796.57000000007</v>
      </c>
      <c r="J31" s="362">
        <f>SUM(J28:J30)</f>
        <v>0</v>
      </c>
      <c r="L31" s="362">
        <f>SUM(L28:L30)</f>
        <v>39300.839999999997</v>
      </c>
      <c r="N31" s="362">
        <f>SUM(N28:N30)</f>
        <v>0</v>
      </c>
      <c r="P31" s="362">
        <f>SUM(P28:P30)</f>
        <v>0</v>
      </c>
      <c r="R31" s="362">
        <f>SUM(R28:R30)</f>
        <v>609097.41</v>
      </c>
    </row>
  </sheetData>
  <pageMargins left="0.7" right="0.7" top="0.75" bottom="0.75" header="0.3" footer="0.3"/>
  <pageSetup scale="82" orientation="landscape" r:id="rId1"/>
  <headerFooter>
    <oddFooter>&amp;R&amp;"Times New Roman,Bold"&amp;12Exhibit 4
Page 16 of 17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8" tint="0.39997558519241921"/>
    <pageSetUpPr fitToPage="1"/>
  </sheetPr>
  <dimension ref="A1:Y91"/>
  <sheetViews>
    <sheetView workbookViewId="0"/>
  </sheetViews>
  <sheetFormatPr defaultColWidth="9.140625" defaultRowHeight="12.75"/>
  <cols>
    <col min="1" max="1" width="5.140625" style="52" customWidth="1"/>
    <col min="2" max="2" width="3.140625" style="52" customWidth="1"/>
    <col min="3" max="3" width="11.85546875" style="52" customWidth="1"/>
    <col min="4" max="4" width="11.85546875" style="52" hidden="1" customWidth="1"/>
    <col min="5" max="5" width="1.140625" style="52" customWidth="1"/>
    <col min="6" max="6" width="6.140625" style="52" bestFit="1" customWidth="1"/>
    <col min="7" max="7" width="14.140625" style="52" bestFit="1" customWidth="1"/>
    <col min="8" max="8" width="14.140625" style="52" customWidth="1"/>
    <col min="9" max="9" width="15" style="52" bestFit="1" customWidth="1"/>
    <col min="10" max="10" width="13.85546875" style="52" bestFit="1" customWidth="1"/>
    <col min="11" max="11" width="14.42578125" style="52" bestFit="1" customWidth="1"/>
    <col min="12" max="12" width="13.85546875" style="52" bestFit="1" customWidth="1"/>
    <col min="13" max="13" width="11.5703125" style="52" bestFit="1" customWidth="1"/>
    <col min="14" max="14" width="10.85546875" style="52" customWidth="1"/>
    <col min="15" max="15" width="11.42578125" style="52" customWidth="1"/>
    <col min="16" max="16" width="11.140625" style="52" customWidth="1"/>
    <col min="17" max="17" width="14.85546875" style="52" customWidth="1"/>
    <col min="18" max="18" width="12" style="52" customWidth="1"/>
    <col min="19" max="19" width="9.140625" style="52"/>
    <col min="20" max="20" width="13.85546875" style="52" customWidth="1"/>
    <col min="21" max="21" width="9.5703125" style="52" bestFit="1" customWidth="1"/>
    <col min="22" max="22" width="12.140625" style="52" bestFit="1" customWidth="1"/>
    <col min="23" max="23" width="9.140625" style="52"/>
    <col min="24" max="24" width="11.85546875" style="52" customWidth="1"/>
    <col min="25" max="16384" width="9.140625" style="52"/>
  </cols>
  <sheetData>
    <row r="1" spans="1:25" ht="18.75">
      <c r="A1" s="191" t="s">
        <v>67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5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5" ht="18.75">
      <c r="A3" s="191" t="s">
        <v>76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5">
      <c r="A4" s="53"/>
    </row>
    <row r="6" spans="1:25">
      <c r="A6" s="54"/>
      <c r="B6" s="54"/>
      <c r="C6" s="54"/>
      <c r="D6" s="54" t="s">
        <v>24</v>
      </c>
      <c r="E6" s="54"/>
      <c r="F6" s="54"/>
      <c r="G6" s="54"/>
      <c r="H6" s="54"/>
      <c r="I6" s="155"/>
      <c r="J6" s="54"/>
      <c r="K6" s="54"/>
      <c r="L6" s="54"/>
      <c r="M6" s="54"/>
      <c r="N6" s="54"/>
      <c r="O6" s="54"/>
      <c r="P6" s="54"/>
      <c r="Q6" s="54"/>
    </row>
    <row r="7" spans="1:25" ht="25.5">
      <c r="A7" s="54"/>
      <c r="B7" s="54"/>
      <c r="C7" s="55" t="s">
        <v>191</v>
      </c>
      <c r="D7" s="54" t="s">
        <v>25</v>
      </c>
      <c r="E7" s="54"/>
      <c r="F7" s="54"/>
      <c r="G7" s="54">
        <v>2017</v>
      </c>
      <c r="H7" s="54">
        <v>2018</v>
      </c>
      <c r="I7" s="54"/>
      <c r="J7" s="54" t="s">
        <v>35</v>
      </c>
      <c r="K7" s="54"/>
      <c r="L7" s="54"/>
      <c r="M7" s="55" t="s">
        <v>181</v>
      </c>
      <c r="N7" s="55" t="s">
        <v>182</v>
      </c>
      <c r="O7" s="55" t="s">
        <v>187</v>
      </c>
      <c r="P7" s="55" t="s">
        <v>189</v>
      </c>
      <c r="Q7" s="54" t="s">
        <v>41</v>
      </c>
      <c r="R7" s="55" t="s">
        <v>164</v>
      </c>
      <c r="S7" s="55"/>
      <c r="T7" s="55" t="s">
        <v>236</v>
      </c>
    </row>
    <row r="8" spans="1:25">
      <c r="A8" s="54" t="s">
        <v>4</v>
      </c>
      <c r="B8" s="54"/>
      <c r="C8" s="54" t="s">
        <v>26</v>
      </c>
      <c r="D8" s="54" t="s">
        <v>26</v>
      </c>
      <c r="E8" s="54"/>
      <c r="F8" s="54"/>
      <c r="G8" s="54" t="s">
        <v>28</v>
      </c>
      <c r="H8" s="54" t="s">
        <v>29</v>
      </c>
      <c r="I8" s="54" t="s">
        <v>34</v>
      </c>
      <c r="J8" s="54" t="s">
        <v>36</v>
      </c>
      <c r="K8" s="54" t="s">
        <v>38</v>
      </c>
      <c r="L8" s="54"/>
      <c r="M8" s="54" t="s">
        <v>34</v>
      </c>
      <c r="N8" s="54" t="s">
        <v>34</v>
      </c>
      <c r="O8" s="54" t="s">
        <v>188</v>
      </c>
      <c r="P8" s="54" t="s">
        <v>190</v>
      </c>
      <c r="Q8" s="54" t="s">
        <v>40</v>
      </c>
      <c r="R8" s="54" t="s">
        <v>237</v>
      </c>
      <c r="S8" s="54" t="s">
        <v>164</v>
      </c>
      <c r="T8" s="54" t="s">
        <v>40</v>
      </c>
    </row>
    <row r="9" spans="1:25">
      <c r="A9" s="184" t="s">
        <v>5</v>
      </c>
      <c r="B9" s="184"/>
      <c r="C9" s="184" t="s">
        <v>2</v>
      </c>
      <c r="D9" s="184" t="s">
        <v>2</v>
      </c>
      <c r="E9" s="184"/>
      <c r="F9" s="184" t="s">
        <v>108</v>
      </c>
      <c r="G9" s="184" t="s">
        <v>20</v>
      </c>
      <c r="H9" s="225" t="s">
        <v>20</v>
      </c>
      <c r="I9" s="184" t="s">
        <v>0</v>
      </c>
      <c r="J9" s="184" t="s">
        <v>37</v>
      </c>
      <c r="K9" s="184" t="s">
        <v>0</v>
      </c>
      <c r="L9" s="184" t="s">
        <v>39</v>
      </c>
      <c r="M9" s="56" t="s">
        <v>346</v>
      </c>
      <c r="N9" s="56" t="s">
        <v>186</v>
      </c>
      <c r="O9" s="56" t="s">
        <v>346</v>
      </c>
      <c r="P9" s="56" t="s">
        <v>12</v>
      </c>
      <c r="Q9" s="184" t="s">
        <v>42</v>
      </c>
      <c r="R9" s="56" t="s">
        <v>238</v>
      </c>
      <c r="S9" s="56" t="s">
        <v>239</v>
      </c>
      <c r="T9" s="184" t="s">
        <v>42</v>
      </c>
    </row>
    <row r="10" spans="1:25">
      <c r="C10" s="57"/>
      <c r="D10" s="57" t="s">
        <v>71</v>
      </c>
      <c r="E10" s="58"/>
      <c r="F10" s="58"/>
      <c r="G10" s="58"/>
      <c r="H10" s="58"/>
    </row>
    <row r="11" spans="1:25">
      <c r="A11" s="52">
        <v>1</v>
      </c>
      <c r="C11" s="57" t="s">
        <v>70</v>
      </c>
      <c r="D11" s="59"/>
      <c r="G11" s="231">
        <f>'Tax Depr 2017'!L11</f>
        <v>1255457.3250000002</v>
      </c>
      <c r="H11" s="27">
        <f>'2018 Capital Budget'!R39-H12</f>
        <v>4755556.200000002</v>
      </c>
    </row>
    <row r="12" spans="1:25">
      <c r="A12" s="52">
        <v>2</v>
      </c>
      <c r="C12" s="57" t="s">
        <v>74</v>
      </c>
      <c r="D12" s="59"/>
      <c r="G12" s="231">
        <f>'Tax Depr 2017'!L12</f>
        <v>2278129.7399999998</v>
      </c>
      <c r="H12" s="231">
        <f>SUM('2018 Capital Budget'!R8:R11,,'2018 Capital Budget'!R27:R31,'2018 Capital Budget'!R37:R38)</f>
        <v>5069750.87</v>
      </c>
    </row>
    <row r="13" spans="1:25">
      <c r="A13" s="52">
        <v>3</v>
      </c>
      <c r="C13" s="57" t="s">
        <v>185</v>
      </c>
      <c r="D13" s="59"/>
      <c r="G13" s="231">
        <f>'Tax Depr 2017'!L13</f>
        <v>1255457.3249999997</v>
      </c>
      <c r="H13" s="231">
        <v>0</v>
      </c>
    </row>
    <row r="14" spans="1:25">
      <c r="C14" s="59"/>
      <c r="V14" s="50"/>
      <c r="W14" s="50"/>
      <c r="X14" s="50"/>
      <c r="Y14" s="50"/>
    </row>
    <row r="15" spans="1:25">
      <c r="G15" s="195"/>
      <c r="H15" s="195"/>
      <c r="I15" s="195"/>
      <c r="J15" s="195"/>
      <c r="K15" s="244"/>
      <c r="V15" s="50"/>
      <c r="W15" s="50"/>
      <c r="X15" s="50"/>
      <c r="Y15" s="50"/>
    </row>
    <row r="16" spans="1:25">
      <c r="P16" s="27">
        <v>0</v>
      </c>
      <c r="Q16" s="27">
        <f>P16+'Tax Depr 2017'!U28</f>
        <v>1404439.0692280733</v>
      </c>
      <c r="T16" s="231">
        <f>Q16</f>
        <v>1404439.0692280733</v>
      </c>
      <c r="V16" s="50"/>
      <c r="W16" s="50"/>
      <c r="X16" s="50"/>
      <c r="Y16" s="50"/>
    </row>
    <row r="17" spans="1:25">
      <c r="A17" s="52">
        <f>A13+1</f>
        <v>4</v>
      </c>
      <c r="C17" s="61">
        <v>3.7499999999999999E-2</v>
      </c>
      <c r="D17" s="61">
        <v>0.05</v>
      </c>
      <c r="F17" s="52">
        <v>1</v>
      </c>
      <c r="G17" s="231">
        <f>$G$11*$C$18/12</f>
        <v>7552.6220243125017</v>
      </c>
      <c r="H17" s="27">
        <f>(('201801 Bk Depr'!$L$17-SUM('2018 Capital Budget'!F8:F11,'2018 Capital Budget'!F27:F31,'2018 Capital Budget'!F37:F38)-(1/12*$H$13))*$C$17)+SUM('2018 Capital Budget'!F8:F11,'2018 Capital Budget'!F27:F31,'2018 Capital Budget'!F37:F38)+(1/12*$H$13)</f>
        <v>442480.39212500001</v>
      </c>
      <c r="I17" s="231">
        <f>SUM(G17:H17)</f>
        <v>450033.01414931251</v>
      </c>
      <c r="J17" s="231">
        <f>'201801 Bk Depr'!$L$31</f>
        <v>11378.04</v>
      </c>
      <c r="K17" s="231">
        <f>'201801 Bk Depr'!$P$17</f>
        <v>13972.244796000004</v>
      </c>
      <c r="L17" s="231">
        <f>I17+J17-K17</f>
        <v>447438.80935331248</v>
      </c>
      <c r="M17" s="231">
        <f>L17*0.21</f>
        <v>93962.149964195618</v>
      </c>
      <c r="N17" s="231">
        <f t="shared" ref="N17:N22" si="0">M60</f>
        <v>22749.571568881249</v>
      </c>
      <c r="O17" s="231">
        <f>-N17*0.21</f>
        <v>-4777.4100294650625</v>
      </c>
      <c r="P17" s="27"/>
      <c r="Q17" s="231">
        <f t="shared" ref="Q17:Q22" si="1">Q16+M17+N17+O17+P17</f>
        <v>1516373.3807316851</v>
      </c>
      <c r="R17" s="231">
        <f>Q17-Q16</f>
        <v>111934.31150361174</v>
      </c>
      <c r="S17" s="247" t="s">
        <v>363</v>
      </c>
      <c r="T17" s="231">
        <f>T16+R17*335/365</f>
        <v>1507173.3003341279</v>
      </c>
      <c r="U17" s="27"/>
      <c r="V17" s="27"/>
      <c r="W17" s="50"/>
      <c r="X17" s="51"/>
      <c r="Y17" s="50"/>
    </row>
    <row r="18" spans="1:25">
      <c r="A18" s="52">
        <f>A17+1</f>
        <v>5</v>
      </c>
      <c r="C18" s="61">
        <v>7.2190000000000004E-2</v>
      </c>
      <c r="D18" s="61">
        <v>9.5000000000000001E-2</v>
      </c>
      <c r="F18" s="52">
        <v>2</v>
      </c>
      <c r="G18" s="231">
        <f>$G$11*$C$18/12</f>
        <v>7552.6220243125017</v>
      </c>
      <c r="H18" s="27">
        <f>(('201802 Bk Depr'!$L$17-SUM('2018 Capital Budget'!G8:G11,'2018 Capital Budget'!G27:G31,'2018 Capital Budget'!G37:G38)-(1/12*$H$13))*$C$17)+SUM('2018 Capital Budget'!G8:G11,'2018 Capital Budget'!G27:G31,'2018 Capital Budget'!G37:G38)+(1/12*$H$13)</f>
        <v>408196.638125</v>
      </c>
      <c r="I18" s="231">
        <f t="shared" ref="I18:I22" si="2">SUM(G18:H18)</f>
        <v>415749.2601493125</v>
      </c>
      <c r="J18" s="231">
        <f>'201802 Bk Depr'!$L$31</f>
        <v>30939.510000000002</v>
      </c>
      <c r="K18" s="231">
        <f>'201802 Bk Depr'!$P$17</f>
        <v>16029.782280000003</v>
      </c>
      <c r="L18" s="231">
        <f t="shared" ref="L18:L22" si="3">I18+J18-K18</f>
        <v>430658.98786931252</v>
      </c>
      <c r="M18" s="231">
        <f t="shared" ref="M18:M22" si="4">L18*0.21</f>
        <v>90438.387452555631</v>
      </c>
      <c r="N18" s="231">
        <f t="shared" si="0"/>
        <v>21910.580494681253</v>
      </c>
      <c r="O18" s="231">
        <f t="shared" ref="O18:O22" si="5">-N18*0.21</f>
        <v>-4601.2219038830626</v>
      </c>
      <c r="P18" s="27"/>
      <c r="Q18" s="231">
        <f t="shared" si="1"/>
        <v>1624121.1267750387</v>
      </c>
      <c r="R18" s="231">
        <f t="shared" ref="R18:R28" si="6">Q18-Q17</f>
        <v>107747.74604335357</v>
      </c>
      <c r="S18" s="247" t="s">
        <v>364</v>
      </c>
      <c r="T18" s="231">
        <f>T17+R18*307/365</f>
        <v>1597799.4867322361</v>
      </c>
      <c r="U18" s="62"/>
      <c r="V18" s="27"/>
      <c r="W18" s="50"/>
      <c r="X18" s="51"/>
      <c r="Y18" s="50"/>
    </row>
    <row r="19" spans="1:25">
      <c r="A19" s="52">
        <f t="shared" ref="A19:A44" si="7">A18+1</f>
        <v>6</v>
      </c>
      <c r="C19" s="61">
        <v>6.6769999999999996E-2</v>
      </c>
      <c r="D19" s="61">
        <v>8.5500000000000007E-2</v>
      </c>
      <c r="F19" s="52">
        <v>3</v>
      </c>
      <c r="G19" s="231">
        <f t="shared" ref="G19:G28" si="8">$G$11*$C$18/12</f>
        <v>7552.6220243125017</v>
      </c>
      <c r="H19" s="27">
        <f>(('201803 Bk Depr'!$L$17-SUM('2018 Capital Budget'!H8:H11,'2018 Capital Budget'!H27:H31,'2018 Capital Budget'!H37:H38)-(1/12*$H$13))*$C$17)+SUM('2018 Capital Budget'!H8:H11,'2018 Capital Budget'!H27:H31,'2018 Capital Budget'!H37:H38)+(1/12*$H$13)</f>
        <v>363793.37512500002</v>
      </c>
      <c r="I19" s="231">
        <f t="shared" si="2"/>
        <v>371345.99714931252</v>
      </c>
      <c r="J19" s="231">
        <f>'201803 Bk Depr'!$L$31</f>
        <v>51643.659999999996</v>
      </c>
      <c r="K19" s="231">
        <f>'201803 Bk Depr'!$P$17</f>
        <v>17987.366817000006</v>
      </c>
      <c r="L19" s="231">
        <f t="shared" si="3"/>
        <v>405002.29033231246</v>
      </c>
      <c r="M19" s="231">
        <f t="shared" si="4"/>
        <v>85050.480969785611</v>
      </c>
      <c r="N19" s="231">
        <f t="shared" si="0"/>
        <v>20627.74561783125</v>
      </c>
      <c r="O19" s="231">
        <f t="shared" si="5"/>
        <v>-4331.826579744562</v>
      </c>
      <c r="P19" s="27"/>
      <c r="Q19" s="231">
        <f t="shared" si="1"/>
        <v>1725467.5267829113</v>
      </c>
      <c r="R19" s="231">
        <f t="shared" si="6"/>
        <v>101346.40000787261</v>
      </c>
      <c r="S19" s="247" t="s">
        <v>365</v>
      </c>
      <c r="T19" s="231">
        <f>T18+R19*276/365</f>
        <v>1674434.0248203808</v>
      </c>
      <c r="V19" s="27"/>
      <c r="W19" s="50"/>
      <c r="X19" s="51"/>
      <c r="Y19" s="50"/>
    </row>
    <row r="20" spans="1:25">
      <c r="A20" s="52">
        <f t="shared" si="7"/>
        <v>7</v>
      </c>
      <c r="C20" s="61">
        <v>6.1769999999999999E-2</v>
      </c>
      <c r="D20" s="61">
        <v>7.6999999999999999E-2</v>
      </c>
      <c r="F20" s="52">
        <v>4</v>
      </c>
      <c r="G20" s="231">
        <f t="shared" si="8"/>
        <v>7552.6220243125017</v>
      </c>
      <c r="H20" s="27">
        <f>(('201804 Bk Depr'!$L$17-SUM('2018 Capital Budget'!I8:I11,'2018 Capital Budget'!I27:I31,'2018 Capital Budget'!I37:I38)-(1/12*$H$13))*$C$17)+SUM('2018 Capital Budget'!I8:I11,'2018 Capital Budget'!I27:I31,'2018 Capital Budget'!I37:I38)+(1/12*$H$13)</f>
        <v>398271.45850000001</v>
      </c>
      <c r="I20" s="231">
        <f t="shared" si="2"/>
        <v>405824.08052431251</v>
      </c>
      <c r="J20" s="231">
        <f>'201804 Bk Depr'!$L$31</f>
        <v>48343.54</v>
      </c>
      <c r="K20" s="231">
        <f>'201804 Bk Depr'!$P$17</f>
        <v>19718.460072000005</v>
      </c>
      <c r="L20" s="231">
        <f t="shared" si="3"/>
        <v>434449.1604523125</v>
      </c>
      <c r="M20" s="231">
        <f t="shared" si="4"/>
        <v>91234.323694985622</v>
      </c>
      <c r="N20" s="231">
        <f t="shared" si="0"/>
        <v>22100.089123831251</v>
      </c>
      <c r="O20" s="231">
        <f t="shared" si="5"/>
        <v>-4641.0187160045625</v>
      </c>
      <c r="P20" s="27"/>
      <c r="Q20" s="231">
        <f t="shared" si="1"/>
        <v>1834160.9208857235</v>
      </c>
      <c r="R20" s="231">
        <f t="shared" si="6"/>
        <v>108693.39410281228</v>
      </c>
      <c r="S20" s="247" t="s">
        <v>366</v>
      </c>
      <c r="T20" s="231">
        <f>T19+R20*246/365</f>
        <v>1747690.394544468</v>
      </c>
      <c r="V20" s="27"/>
      <c r="W20" s="153"/>
      <c r="X20" s="51"/>
      <c r="Y20" s="50"/>
    </row>
    <row r="21" spans="1:25">
      <c r="A21" s="52">
        <f t="shared" si="7"/>
        <v>8</v>
      </c>
      <c r="C21" s="61">
        <v>5.713E-2</v>
      </c>
      <c r="D21" s="61">
        <v>6.93E-2</v>
      </c>
      <c r="F21" s="52">
        <v>5</v>
      </c>
      <c r="G21" s="231">
        <f t="shared" si="8"/>
        <v>7552.6220243125017</v>
      </c>
      <c r="H21" s="27">
        <f>(('201805 Bk Depr'!$L$17-SUM('2018 Capital Budget'!J8:J11,'2018 Capital Budget'!J27:J31,'2018 Capital Budget'!J37:J38)-(1/12*$H$13))*$C$17)+SUM('2018 Capital Budget'!J8:J11,'2018 Capital Budget'!J27:J31,'2018 Capital Budget'!J37:J38)+(1/12*$H$13)</f>
        <v>474930.511</v>
      </c>
      <c r="I21" s="231">
        <f t="shared" si="2"/>
        <v>482483.1330243125</v>
      </c>
      <c r="J21" s="231">
        <f>'201805 Bk Depr'!$L$31</f>
        <v>30232.400000000001</v>
      </c>
      <c r="K21" s="231">
        <f>'201805 Bk Depr'!$P$17</f>
        <v>21363.620778000004</v>
      </c>
      <c r="L21" s="231">
        <f t="shared" si="3"/>
        <v>491351.91224631254</v>
      </c>
      <c r="M21" s="231">
        <f t="shared" si="4"/>
        <v>103183.90157172563</v>
      </c>
      <c r="N21" s="231">
        <f t="shared" si="0"/>
        <v>24945.226713531254</v>
      </c>
      <c r="O21" s="231">
        <f t="shared" si="5"/>
        <v>-5238.4976098415627</v>
      </c>
      <c r="P21" s="27"/>
      <c r="Q21" s="231">
        <f t="shared" si="1"/>
        <v>1957051.5515611388</v>
      </c>
      <c r="R21" s="231">
        <f t="shared" si="6"/>
        <v>122890.63067541528</v>
      </c>
      <c r="S21" s="247" t="s">
        <v>367</v>
      </c>
      <c r="T21" s="231">
        <f>T20+R21*215/365</f>
        <v>1820078.0263121785</v>
      </c>
      <c r="V21" s="27"/>
      <c r="W21" s="50"/>
      <c r="X21" s="51"/>
      <c r="Y21" s="50"/>
    </row>
    <row r="22" spans="1:25">
      <c r="A22" s="52">
        <f t="shared" si="7"/>
        <v>9</v>
      </c>
      <c r="C22" s="61">
        <v>5.2850000000000001E-2</v>
      </c>
      <c r="D22" s="61">
        <v>6.2300000000000001E-2</v>
      </c>
      <c r="F22" s="52">
        <v>6</v>
      </c>
      <c r="G22" s="231">
        <f t="shared" si="8"/>
        <v>7552.6220243125017</v>
      </c>
      <c r="H22" s="27">
        <f>(('201806 Bk Depr'!$L$17-SUM('2018 Capital Budget'!K8:K11,'2018 Capital Budget'!K27:K31,'2018 Capital Budget'!K37:K38)-(1/12*$H$13))*$C$17)+SUM('2018 Capital Budget'!K8:K11,'2018 Capital Budget'!K27:K31,'2018 Capital Budget'!K37:K38)+(1/12*$H$13)</f>
        <v>347182.97612499999</v>
      </c>
      <c r="I22" s="231">
        <f t="shared" si="2"/>
        <v>354735.59814931249</v>
      </c>
      <c r="J22" s="231">
        <f>'201806 Bk Depr'!$L$31</f>
        <v>33277.39</v>
      </c>
      <c r="K22" s="231">
        <f>'201806 Bk Depr'!$P$17</f>
        <v>22905.200412000006</v>
      </c>
      <c r="L22" s="231">
        <f t="shared" si="3"/>
        <v>365107.78773731249</v>
      </c>
      <c r="M22" s="231">
        <f t="shared" si="4"/>
        <v>76672.635424835622</v>
      </c>
      <c r="N22" s="231">
        <f t="shared" si="0"/>
        <v>18633.020488081249</v>
      </c>
      <c r="O22" s="231">
        <f t="shared" si="5"/>
        <v>-3912.9343024970622</v>
      </c>
      <c r="P22" s="27"/>
      <c r="Q22" s="231">
        <f t="shared" si="1"/>
        <v>2048444.2731715587</v>
      </c>
      <c r="R22" s="231">
        <f t="shared" si="6"/>
        <v>91392.721610419918</v>
      </c>
      <c r="S22" s="247" t="s">
        <v>362</v>
      </c>
      <c r="T22" s="231">
        <f>T21+R22*185/365</f>
        <v>1866400.3646626652</v>
      </c>
      <c r="V22" s="27"/>
      <c r="W22" s="50"/>
      <c r="X22" s="50"/>
      <c r="Y22" s="50"/>
    </row>
    <row r="23" spans="1:25">
      <c r="A23" s="52">
        <f t="shared" si="7"/>
        <v>10</v>
      </c>
      <c r="C23" s="61">
        <v>4.888E-2</v>
      </c>
      <c r="D23" s="61">
        <v>5.8999999999999997E-2</v>
      </c>
      <c r="F23" s="52">
        <v>7</v>
      </c>
      <c r="G23" s="231">
        <f>$G$11*$C$18/12</f>
        <v>7552.6220243125017</v>
      </c>
      <c r="H23" s="156">
        <f>(('201807 Bk Depr'!$L$17-SUM('2018 Capital Budget'!L8:L11,'2018 Capital Budget'!L27:L31,'2018 Capital Budget'!L37:L38)-(1/12*$H$13))*$C$17)+SUM('2018 Capital Budget'!L8:L11,'2018 Capital Budget'!L27:L31,'2018 Capital Budget'!L37:L38)+(1/12*$H$13)</f>
        <v>458741.255</v>
      </c>
      <c r="I23" s="231">
        <f t="shared" ref="I23:I27" si="9">SUM(G23:H23)</f>
        <v>466293.8770243125</v>
      </c>
      <c r="J23" s="231">
        <f>'201807 Bk Depr'!$L$31</f>
        <v>23517.8</v>
      </c>
      <c r="K23" s="231">
        <f>'201807 Bk Depr'!$P$17</f>
        <v>24494.704938000006</v>
      </c>
      <c r="L23" s="231">
        <f t="shared" ref="L23:L28" si="10">I23+J23-K23</f>
        <v>465316.97208631248</v>
      </c>
      <c r="M23" s="231">
        <f>L23*0.21</f>
        <v>97716.564138125614</v>
      </c>
      <c r="N23" s="231">
        <f t="shared" ref="N23:N28" si="11">M66</f>
        <v>23643.479705531252</v>
      </c>
      <c r="O23" s="231">
        <f>-N23*0.21</f>
        <v>-4965.1307381615625</v>
      </c>
      <c r="P23" s="27"/>
      <c r="Q23" s="231">
        <f t="shared" ref="Q23:Q28" si="12">Q22+M23+N23+O23+P23</f>
        <v>2164839.1862770538</v>
      </c>
      <c r="R23" s="231">
        <f t="shared" si="6"/>
        <v>116394.91310549504</v>
      </c>
      <c r="S23" s="247" t="s">
        <v>358</v>
      </c>
      <c r="T23" s="231">
        <f>T22+R23*154/365</f>
        <v>1915509.4512879974</v>
      </c>
      <c r="V23" s="27"/>
      <c r="W23" s="50"/>
      <c r="X23" s="50"/>
      <c r="Y23" s="50"/>
    </row>
    <row r="24" spans="1:25">
      <c r="A24" s="52">
        <f t="shared" si="7"/>
        <v>11</v>
      </c>
      <c r="C24" s="61">
        <v>4.5220000000000003E-2</v>
      </c>
      <c r="D24" s="61">
        <v>5.8999999999999997E-2</v>
      </c>
      <c r="F24" s="52">
        <v>8</v>
      </c>
      <c r="G24" s="231">
        <f t="shared" si="8"/>
        <v>7552.6220243125017</v>
      </c>
      <c r="H24" s="156">
        <f>(('201808 Bk Depr'!$L$17-SUM('2018 Capital Budget'!M8:M11,'2018 Capital Budget'!M27:M31,'2018 Capital Budget'!M37:M38)-(1/12*$H$13))*$C$17)+SUM('2018 Capital Budget'!M8:M11,,'2018 Capital Budget'!M27:M31,'2018 Capital Budget'!M37:M38)+(1/12*$H$13)</f>
        <v>420512.076375</v>
      </c>
      <c r="I24" s="231">
        <f t="shared" si="9"/>
        <v>428064.6983993125</v>
      </c>
      <c r="J24" s="231">
        <f>'201808 Bk Depr'!$L$31</f>
        <v>32728.78</v>
      </c>
      <c r="K24" s="231">
        <f>'201808 Bk Depr'!$P$17</f>
        <v>26186.754343500008</v>
      </c>
      <c r="L24" s="231">
        <f t="shared" si="10"/>
        <v>434606.72405581246</v>
      </c>
      <c r="M24" s="231">
        <f t="shared" ref="M24:M28" si="13">L24*0.21</f>
        <v>91267.412051720617</v>
      </c>
      <c r="N24" s="231">
        <f t="shared" si="11"/>
        <v>22107.967304006248</v>
      </c>
      <c r="O24" s="231">
        <f t="shared" ref="O24:O28" si="14">-N24*0.21</f>
        <v>-4642.6731338413119</v>
      </c>
      <c r="P24" s="27"/>
      <c r="Q24" s="231">
        <f t="shared" si="12"/>
        <v>2273571.8924989393</v>
      </c>
      <c r="R24" s="231">
        <f t="shared" si="6"/>
        <v>108732.70622188551</v>
      </c>
      <c r="S24" s="247" t="s">
        <v>359</v>
      </c>
      <c r="T24" s="231">
        <f>T23+R24*123/365</f>
        <v>1952150.8837956465</v>
      </c>
      <c r="V24" s="27"/>
      <c r="W24" s="50"/>
      <c r="X24" s="50"/>
      <c r="Y24" s="50"/>
    </row>
    <row r="25" spans="1:25">
      <c r="A25" s="52">
        <f t="shared" si="7"/>
        <v>12</v>
      </c>
      <c r="C25" s="61">
        <v>4.462E-2</v>
      </c>
      <c r="D25" s="61">
        <v>5.91E-2</v>
      </c>
      <c r="F25" s="52">
        <v>9</v>
      </c>
      <c r="G25" s="231">
        <f t="shared" si="8"/>
        <v>7552.6220243125017</v>
      </c>
      <c r="H25" s="156">
        <f>(('201809 Bk Depr'!$L$17-SUM('2018 Capital Budget'!N8:N11,'2018 Capital Budget'!N27:N31,'2018 Capital Budget'!N37:N38)-(1/12*$H$13))*$C$17)+SUM('2018 Capital Budget'!N8:N11,'2018 Capital Budget'!N27:N31,'2018 Capital Budget'!N37:N38)+(1/12*$H$13)</f>
        <v>482339.38449999999</v>
      </c>
      <c r="I25" s="231">
        <f t="shared" si="9"/>
        <v>489892.00652431248</v>
      </c>
      <c r="J25" s="231">
        <f>'201809 Bk Depr'!$L$31</f>
        <v>66252.58</v>
      </c>
      <c r="K25" s="231">
        <f>'201809 Bk Depr'!$P$17</f>
        <v>27856.235758500014</v>
      </c>
      <c r="L25" s="231">
        <f t="shared" si="10"/>
        <v>528288.35076581244</v>
      </c>
      <c r="M25" s="231">
        <f t="shared" si="13"/>
        <v>110940.5536608206</v>
      </c>
      <c r="N25" s="231">
        <f t="shared" si="11"/>
        <v>26792.048639506247</v>
      </c>
      <c r="O25" s="231">
        <f t="shared" si="14"/>
        <v>-5626.3302142963121</v>
      </c>
      <c r="P25" s="27"/>
      <c r="Q25" s="231">
        <f t="shared" si="12"/>
        <v>2405678.1645849696</v>
      </c>
      <c r="R25" s="231">
        <f t="shared" si="6"/>
        <v>132106.27208603034</v>
      </c>
      <c r="S25" s="247" t="s">
        <v>360</v>
      </c>
      <c r="T25" s="231">
        <f>T24+R25*93/365</f>
        <v>1985810.8380531829</v>
      </c>
      <c r="V25" s="27"/>
    </row>
    <row r="26" spans="1:25">
      <c r="A26" s="52">
        <f t="shared" si="7"/>
        <v>13</v>
      </c>
      <c r="C26" s="61">
        <v>4.4609999999999997E-2</v>
      </c>
      <c r="D26" s="61">
        <v>5.8999999999999997E-2</v>
      </c>
      <c r="F26" s="52">
        <v>10</v>
      </c>
      <c r="G26" s="231">
        <f t="shared" si="8"/>
        <v>7552.6220243125017</v>
      </c>
      <c r="H26" s="156">
        <f>(('201810 Bk Depr'!$L$17-SUM('2018 Capital Budget'!O8:O11,'2018 Capital Budget'!O27:O31,'2018 Capital Budget'!O37:O38)-(1/12*$H$13))*$C$17)+SUM('2018 Capital Budget'!O8:O11,'2018 Capital Budget'!O27:O31,'2018 Capital Budget'!O37:O38)+(1/12*$H$13)</f>
        <v>344074.25437499984</v>
      </c>
      <c r="I26" s="231">
        <f t="shared" si="9"/>
        <v>351626.87639931234</v>
      </c>
      <c r="J26" s="231">
        <f>'201810 Bk Depr'!$L$31</f>
        <v>16815.920000000002</v>
      </c>
      <c r="K26" s="231">
        <f>'201810 Bk Depr'!$P$17</f>
        <v>29473.343734500013</v>
      </c>
      <c r="L26" s="231">
        <f t="shared" si="10"/>
        <v>338969.45266481233</v>
      </c>
      <c r="M26" s="231">
        <f t="shared" si="13"/>
        <v>71183.585059610588</v>
      </c>
      <c r="N26" s="231">
        <f t="shared" si="11"/>
        <v>17326.103734456243</v>
      </c>
      <c r="O26" s="231">
        <f t="shared" si="14"/>
        <v>-3638.4817842358107</v>
      </c>
      <c r="P26" s="27"/>
      <c r="Q26" s="231">
        <f t="shared" si="12"/>
        <v>2490549.3715948011</v>
      </c>
      <c r="R26" s="231">
        <f t="shared" si="6"/>
        <v>84871.207009831443</v>
      </c>
      <c r="S26" s="247" t="s">
        <v>361</v>
      </c>
      <c r="T26" s="231">
        <f>T25+R26*62/365</f>
        <v>2000227.3170521131</v>
      </c>
      <c r="V26" s="27"/>
    </row>
    <row r="27" spans="1:25">
      <c r="A27" s="52">
        <f t="shared" si="7"/>
        <v>14</v>
      </c>
      <c r="C27" s="61">
        <v>4.462E-2</v>
      </c>
      <c r="D27" s="61">
        <v>5.91E-2</v>
      </c>
      <c r="F27" s="52">
        <v>11</v>
      </c>
      <c r="G27" s="231">
        <f t="shared" si="8"/>
        <v>7552.6220243125017</v>
      </c>
      <c r="H27" s="156">
        <f>(('201811 Bk Depr'!$L$17-SUM('2018 Capital Budget'!P8:P11,'2018 Capital Budget'!P27:P31,'2018 Capital Budget'!P37:P38)-(1/12*$H$13))*$C$17)+SUM('2018 Capital Budget'!P8:P11,'2018 Capital Budget'!P27:P31,'2018 Capital Budget'!P37:P38)+(1/12*$H$13)</f>
        <v>1074307.4106250003</v>
      </c>
      <c r="I27" s="231">
        <f t="shared" si="9"/>
        <v>1081860.0326493129</v>
      </c>
      <c r="J27" s="231">
        <f>'201811 Bk Depr'!$L$31</f>
        <v>37570.519999999997</v>
      </c>
      <c r="K27" s="231">
        <f>'201811 Bk Depr'!$P$17</f>
        <v>34155.178564500013</v>
      </c>
      <c r="L27" s="231">
        <f t="shared" si="10"/>
        <v>1085275.3740848128</v>
      </c>
      <c r="M27" s="231">
        <f t="shared" si="13"/>
        <v>227907.82855781069</v>
      </c>
      <c r="N27" s="231">
        <f t="shared" si="11"/>
        <v>54641.399805456262</v>
      </c>
      <c r="O27" s="231">
        <f t="shared" si="14"/>
        <v>-11474.693959145814</v>
      </c>
      <c r="P27" s="27"/>
      <c r="Q27" s="231">
        <f t="shared" si="12"/>
        <v>2761623.9059989224</v>
      </c>
      <c r="R27" s="231">
        <f t="shared" si="6"/>
        <v>271074.53440412134</v>
      </c>
      <c r="S27" s="247" t="s">
        <v>357</v>
      </c>
      <c r="T27" s="231">
        <f>T26+R27*32/365</f>
        <v>2023992.7556848032</v>
      </c>
      <c r="V27" s="27"/>
    </row>
    <row r="28" spans="1:25">
      <c r="A28" s="52">
        <f t="shared" si="7"/>
        <v>15</v>
      </c>
      <c r="C28" s="61">
        <v>4.4609999999999997E-2</v>
      </c>
      <c r="D28" s="61">
        <v>5.8999999999999997E-2</v>
      </c>
      <c r="F28" s="52">
        <v>12</v>
      </c>
      <c r="G28" s="231">
        <f t="shared" si="8"/>
        <v>7552.6220243125017</v>
      </c>
      <c r="H28" s="156">
        <f>(('201812 Bk Depr'!$L$17-SUM('2018 Capital Budget'!Q8:Q11,'2018 Capital Budget'!Q27:Q31,'2018 Capital Budget'!Q37:Q38)-(1/12*$H$13))*$C$17)+SUM('2018 Capital Budget'!Q8:Q11,'2018 Capital Budget'!Q27:Q31,'2018 Capital Budget'!Q37:Q38)+(1/12*$H$13)</f>
        <v>33254.495624999996</v>
      </c>
      <c r="I28" s="231">
        <f>SUM(G28:H28)</f>
        <v>40807.117649312495</v>
      </c>
      <c r="J28" s="231">
        <f>'201812 Bk Depr'!$L$31</f>
        <v>39300.839999999997</v>
      </c>
      <c r="K28" s="231">
        <f>'201812 Bk Depr'!$P$17</f>
        <v>38779.975354500013</v>
      </c>
      <c r="L28" s="231">
        <f t="shared" si="10"/>
        <v>41327.982294812478</v>
      </c>
      <c r="M28" s="231">
        <f t="shared" si="13"/>
        <v>8678.8762819106196</v>
      </c>
      <c r="N28" s="231">
        <f t="shared" si="11"/>
        <v>2444.0302159562489</v>
      </c>
      <c r="O28" s="231">
        <f t="shared" si="14"/>
        <v>-513.24634535081225</v>
      </c>
      <c r="P28" s="27"/>
      <c r="Q28" s="231">
        <f t="shared" si="12"/>
        <v>2772233.5661514383</v>
      </c>
      <c r="R28" s="231">
        <f t="shared" si="6"/>
        <v>10609.660152515862</v>
      </c>
      <c r="S28" s="247" t="s">
        <v>356</v>
      </c>
      <c r="T28" s="231">
        <f>T27+R28*1/365</f>
        <v>2024021.8232468648</v>
      </c>
      <c r="U28" s="231"/>
      <c r="V28" s="27"/>
    </row>
    <row r="29" spans="1:25">
      <c r="A29" s="52">
        <f t="shared" si="7"/>
        <v>16</v>
      </c>
      <c r="C29" s="61">
        <v>4.462E-2</v>
      </c>
      <c r="D29" s="61">
        <v>5.91E-2</v>
      </c>
      <c r="G29" s="27"/>
      <c r="H29" s="27"/>
      <c r="I29" s="27"/>
      <c r="J29" s="27"/>
      <c r="K29" s="27"/>
      <c r="L29" s="27"/>
      <c r="M29" s="27"/>
      <c r="N29" s="27"/>
      <c r="O29" s="27"/>
      <c r="P29" s="27" t="str">
        <f t="shared" ref="P29:P43" si="15">IF(O29="","",O29*0.389)</f>
        <v/>
      </c>
      <c r="Q29" s="62"/>
      <c r="T29" s="27"/>
    </row>
    <row r="30" spans="1:25">
      <c r="A30" s="52">
        <f t="shared" si="7"/>
        <v>17</v>
      </c>
      <c r="C30" s="61">
        <v>4.4609999999999997E-2</v>
      </c>
      <c r="D30" s="61">
        <v>5.8999999999999997E-2</v>
      </c>
      <c r="G30" s="27"/>
      <c r="H30" s="27"/>
      <c r="I30" s="27"/>
      <c r="J30" s="27"/>
      <c r="K30" s="27"/>
      <c r="L30" s="27"/>
      <c r="M30" s="27"/>
      <c r="N30" s="27"/>
      <c r="O30" s="27"/>
      <c r="P30" s="27" t="str">
        <f t="shared" si="15"/>
        <v/>
      </c>
      <c r="Q30" s="27" t="str">
        <f t="shared" ref="Q30:Q43" si="16">IF(M30="","",Q29+M30)</f>
        <v/>
      </c>
    </row>
    <row r="31" spans="1:25">
      <c r="A31" s="52">
        <f t="shared" si="7"/>
        <v>18</v>
      </c>
      <c r="C31" s="61">
        <v>4.462E-2</v>
      </c>
      <c r="D31" s="61">
        <v>5.91E-2</v>
      </c>
      <c r="G31" s="27"/>
      <c r="H31" s="27"/>
      <c r="I31" s="27"/>
      <c r="J31" s="27"/>
      <c r="K31" s="27"/>
      <c r="L31" s="27"/>
      <c r="M31" s="27"/>
      <c r="N31" s="27"/>
      <c r="O31" s="27"/>
      <c r="P31" s="27" t="str">
        <f t="shared" si="15"/>
        <v/>
      </c>
      <c r="Q31" s="27" t="str">
        <f t="shared" si="16"/>
        <v/>
      </c>
      <c r="V31" s="27"/>
    </row>
    <row r="32" spans="1:25">
      <c r="A32" s="52">
        <f t="shared" si="7"/>
        <v>19</v>
      </c>
      <c r="C32" s="61">
        <v>4.4609999999999997E-2</v>
      </c>
      <c r="D32" s="61">
        <v>2.9499999999999998E-2</v>
      </c>
      <c r="G32" s="27"/>
      <c r="H32" s="27"/>
      <c r="I32" s="27"/>
      <c r="J32" s="27"/>
      <c r="K32" s="27"/>
      <c r="L32" s="27"/>
      <c r="M32" s="27"/>
      <c r="N32" s="27"/>
      <c r="O32" s="27"/>
      <c r="P32" s="27" t="str">
        <f t="shared" si="15"/>
        <v/>
      </c>
      <c r="Q32" s="27" t="str">
        <f t="shared" si="16"/>
        <v/>
      </c>
    </row>
    <row r="33" spans="1:17">
      <c r="A33" s="52">
        <f t="shared" si="7"/>
        <v>20</v>
      </c>
      <c r="C33" s="61">
        <v>4.462E-2</v>
      </c>
      <c r="D33" s="61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 t="str">
        <f t="shared" si="15"/>
        <v/>
      </c>
      <c r="Q33" s="27" t="str">
        <f t="shared" si="16"/>
        <v/>
      </c>
    </row>
    <row r="34" spans="1:17">
      <c r="A34" s="52">
        <f t="shared" si="7"/>
        <v>21</v>
      </c>
      <c r="C34" s="61">
        <v>4.4609999999999997E-2</v>
      </c>
      <c r="D34" s="61">
        <v>0</v>
      </c>
      <c r="G34" s="27"/>
      <c r="H34" s="27"/>
      <c r="I34" s="27"/>
      <c r="J34" s="27"/>
      <c r="K34" s="27"/>
      <c r="L34" s="27"/>
      <c r="M34" s="27"/>
      <c r="N34" s="27"/>
      <c r="O34" s="27"/>
      <c r="P34" s="27" t="str">
        <f t="shared" si="15"/>
        <v/>
      </c>
      <c r="Q34" s="27" t="str">
        <f t="shared" si="16"/>
        <v/>
      </c>
    </row>
    <row r="35" spans="1:17">
      <c r="A35" s="52">
        <f t="shared" si="7"/>
        <v>22</v>
      </c>
      <c r="C35" s="61">
        <v>4.462E-2</v>
      </c>
      <c r="D35" s="61"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 t="str">
        <f t="shared" si="15"/>
        <v/>
      </c>
      <c r="Q35" s="27" t="str">
        <f t="shared" si="16"/>
        <v/>
      </c>
    </row>
    <row r="36" spans="1:17">
      <c r="A36" s="52">
        <f t="shared" si="7"/>
        <v>23</v>
      </c>
      <c r="C36" s="61">
        <v>4.4609999999999997E-2</v>
      </c>
      <c r="D36" s="61">
        <v>0</v>
      </c>
      <c r="G36" s="27"/>
      <c r="H36" s="27"/>
      <c r="I36" s="27"/>
      <c r="J36" s="27"/>
      <c r="K36" s="27"/>
      <c r="L36" s="27"/>
      <c r="M36" s="27"/>
      <c r="N36" s="27"/>
      <c r="O36" s="27"/>
      <c r="P36" s="27" t="str">
        <f t="shared" si="15"/>
        <v/>
      </c>
      <c r="Q36" s="27" t="str">
        <f t="shared" si="16"/>
        <v/>
      </c>
    </row>
    <row r="37" spans="1:17">
      <c r="A37" s="52">
        <f t="shared" si="7"/>
        <v>24</v>
      </c>
      <c r="C37" s="61">
        <v>2.231E-2</v>
      </c>
      <c r="D37" s="61"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 t="str">
        <f t="shared" si="15"/>
        <v/>
      </c>
      <c r="Q37" s="27" t="str">
        <f t="shared" si="16"/>
        <v/>
      </c>
    </row>
    <row r="38" spans="1:17">
      <c r="A38" s="52">
        <f t="shared" si="7"/>
        <v>25</v>
      </c>
      <c r="C38" s="61">
        <v>0</v>
      </c>
      <c r="D38" s="61"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 t="str">
        <f t="shared" si="15"/>
        <v/>
      </c>
      <c r="Q38" s="27" t="str">
        <f t="shared" si="16"/>
        <v/>
      </c>
    </row>
    <row r="39" spans="1:17">
      <c r="A39" s="52">
        <f t="shared" si="7"/>
        <v>26</v>
      </c>
      <c r="C39" s="61">
        <v>0</v>
      </c>
      <c r="G39" s="27"/>
      <c r="H39" s="27"/>
      <c r="I39" s="27"/>
      <c r="L39" s="27"/>
      <c r="M39" s="27"/>
      <c r="N39" s="27"/>
      <c r="O39" s="27"/>
      <c r="P39" s="27" t="str">
        <f t="shared" si="15"/>
        <v/>
      </c>
      <c r="Q39" s="27" t="str">
        <f t="shared" si="16"/>
        <v/>
      </c>
    </row>
    <row r="40" spans="1:17">
      <c r="A40" s="52">
        <f t="shared" si="7"/>
        <v>27</v>
      </c>
      <c r="C40" s="61">
        <v>0</v>
      </c>
      <c r="G40" s="27"/>
      <c r="H40" s="27"/>
      <c r="I40" s="27"/>
      <c r="L40" s="27"/>
      <c r="M40" s="27"/>
      <c r="N40" s="27"/>
      <c r="O40" s="27"/>
      <c r="P40" s="27" t="str">
        <f t="shared" si="15"/>
        <v/>
      </c>
      <c r="Q40" s="27" t="str">
        <f t="shared" si="16"/>
        <v/>
      </c>
    </row>
    <row r="41" spans="1:17">
      <c r="A41" s="52">
        <f t="shared" si="7"/>
        <v>28</v>
      </c>
      <c r="C41" s="61">
        <v>0</v>
      </c>
      <c r="G41" s="27"/>
      <c r="H41" s="27"/>
      <c r="I41" s="27"/>
      <c r="L41" s="27"/>
      <c r="M41" s="27"/>
      <c r="N41" s="27"/>
      <c r="O41" s="27"/>
      <c r="P41" s="27" t="str">
        <f t="shared" si="15"/>
        <v/>
      </c>
      <c r="Q41" s="27" t="str">
        <f t="shared" si="16"/>
        <v/>
      </c>
    </row>
    <row r="42" spans="1:17">
      <c r="A42" s="52">
        <f t="shared" si="7"/>
        <v>29</v>
      </c>
      <c r="C42" s="61">
        <v>0</v>
      </c>
      <c r="G42" s="27"/>
      <c r="H42" s="27"/>
      <c r="I42" s="27"/>
      <c r="L42" s="27"/>
      <c r="M42" s="27"/>
      <c r="N42" s="27"/>
      <c r="O42" s="27"/>
      <c r="P42" s="27" t="str">
        <f t="shared" si="15"/>
        <v/>
      </c>
      <c r="Q42" s="27" t="str">
        <f t="shared" si="16"/>
        <v/>
      </c>
    </row>
    <row r="43" spans="1:17">
      <c r="A43" s="52">
        <f t="shared" si="7"/>
        <v>30</v>
      </c>
      <c r="C43" s="61">
        <v>0</v>
      </c>
      <c r="I43" s="27"/>
      <c r="L43" s="27"/>
      <c r="M43" s="27"/>
      <c r="N43" s="27"/>
      <c r="O43" s="27"/>
      <c r="P43" s="27" t="str">
        <f t="shared" si="15"/>
        <v/>
      </c>
      <c r="Q43" s="27" t="str">
        <f t="shared" si="16"/>
        <v/>
      </c>
    </row>
    <row r="44" spans="1:17">
      <c r="A44" s="52">
        <f t="shared" si="7"/>
        <v>31</v>
      </c>
      <c r="G44" s="27">
        <f>SUM(G17:G43)</f>
        <v>90631.464291750002</v>
      </c>
      <c r="H44" s="27">
        <f t="shared" ref="H44:P44" si="17">SUM(H17:H43)</f>
        <v>5248084.227500001</v>
      </c>
      <c r="I44" s="27">
        <f t="shared" si="17"/>
        <v>5338715.6917917496</v>
      </c>
      <c r="J44" s="27">
        <f t="shared" si="17"/>
        <v>422000.98</v>
      </c>
      <c r="K44" s="27">
        <f t="shared" si="17"/>
        <v>292922.86784850009</v>
      </c>
      <c r="L44" s="27">
        <f t="shared" si="17"/>
        <v>5467793.8039432494</v>
      </c>
      <c r="M44" s="27">
        <f t="shared" si="17"/>
        <v>1148236.6988280823</v>
      </c>
      <c r="N44" s="27">
        <f t="shared" si="17"/>
        <v>277921.26341175003</v>
      </c>
      <c r="O44" s="27">
        <f t="shared" si="17"/>
        <v>-58363.465316467496</v>
      </c>
      <c r="P44" s="27">
        <f t="shared" si="17"/>
        <v>0</v>
      </c>
      <c r="Q44" s="27">
        <f>AVERAGE(Q16:Q28)</f>
        <v>2075273.3797109425</v>
      </c>
    </row>
    <row r="45" spans="1:17">
      <c r="G45" s="27"/>
      <c r="H45" s="27"/>
      <c r="I45" s="27"/>
      <c r="J45" s="27"/>
      <c r="K45" s="62"/>
      <c r="Q45" s="27"/>
    </row>
    <row r="46" spans="1:17">
      <c r="N46" s="27"/>
      <c r="O46" s="27"/>
      <c r="P46" s="27"/>
    </row>
    <row r="47" spans="1:17">
      <c r="B47" s="60" t="s">
        <v>166</v>
      </c>
      <c r="C47" s="52" t="s">
        <v>353</v>
      </c>
      <c r="N47" s="54"/>
      <c r="O47" s="54"/>
      <c r="P47" s="54"/>
    </row>
    <row r="48" spans="1:17">
      <c r="B48" s="60" t="s">
        <v>167</v>
      </c>
      <c r="C48" s="52" t="s">
        <v>352</v>
      </c>
      <c r="D48" s="245"/>
      <c r="N48" s="48"/>
      <c r="O48" s="48"/>
      <c r="P48" s="48"/>
    </row>
    <row r="49" spans="1:17">
      <c r="A49" s="54"/>
      <c r="B49" s="54"/>
      <c r="C49" s="54"/>
      <c r="D49" s="54" t="s">
        <v>24</v>
      </c>
      <c r="E49" s="54"/>
      <c r="F49" s="54"/>
      <c r="G49" s="54"/>
      <c r="H49" s="54"/>
      <c r="I49" s="54"/>
      <c r="J49" s="54"/>
      <c r="K49" s="54"/>
      <c r="L49" s="54"/>
      <c r="M49" s="54"/>
      <c r="N49" s="49"/>
      <c r="O49" s="49"/>
      <c r="P49" s="49"/>
      <c r="Q49" s="54"/>
    </row>
    <row r="50" spans="1:17" ht="25.5">
      <c r="A50" s="54"/>
      <c r="B50" s="54"/>
      <c r="C50" s="55" t="s">
        <v>191</v>
      </c>
      <c r="D50" s="54" t="s">
        <v>25</v>
      </c>
      <c r="E50" s="54"/>
      <c r="F50" s="54"/>
      <c r="G50" s="54">
        <v>2017</v>
      </c>
      <c r="H50" s="54">
        <v>2018</v>
      </c>
      <c r="I50" s="54"/>
      <c r="J50" s="54" t="s">
        <v>35</v>
      </c>
      <c r="K50" s="54"/>
      <c r="L50" s="54"/>
      <c r="M50" s="55" t="s">
        <v>182</v>
      </c>
      <c r="Q50" s="49"/>
    </row>
    <row r="51" spans="1:17">
      <c r="A51" s="54" t="s">
        <v>4</v>
      </c>
      <c r="B51" s="54"/>
      <c r="C51" s="54" t="s">
        <v>26</v>
      </c>
      <c r="D51" s="54" t="s">
        <v>26</v>
      </c>
      <c r="E51" s="54"/>
      <c r="F51" s="54"/>
      <c r="G51" s="54" t="s">
        <v>28</v>
      </c>
      <c r="H51" s="54" t="s">
        <v>29</v>
      </c>
      <c r="I51" s="54" t="s">
        <v>34</v>
      </c>
      <c r="J51" s="54" t="s">
        <v>36</v>
      </c>
      <c r="K51" s="54" t="s">
        <v>38</v>
      </c>
      <c r="L51" s="54"/>
      <c r="M51" s="54" t="s">
        <v>34</v>
      </c>
      <c r="Q51" s="49"/>
    </row>
    <row r="52" spans="1:17">
      <c r="A52" s="184" t="s">
        <v>5</v>
      </c>
      <c r="B52" s="184"/>
      <c r="C52" s="184" t="s">
        <v>2</v>
      </c>
      <c r="D52" s="184" t="s">
        <v>2</v>
      </c>
      <c r="E52" s="184"/>
      <c r="F52" s="184" t="s">
        <v>108</v>
      </c>
      <c r="G52" s="184" t="s">
        <v>20</v>
      </c>
      <c r="H52" s="232" t="s">
        <v>20</v>
      </c>
      <c r="I52" s="184" t="s">
        <v>0</v>
      </c>
      <c r="J52" s="184" t="s">
        <v>37</v>
      </c>
      <c r="K52" s="184" t="s">
        <v>0</v>
      </c>
      <c r="L52" s="184" t="s">
        <v>39</v>
      </c>
      <c r="M52" s="56" t="s">
        <v>494</v>
      </c>
      <c r="Q52" s="49"/>
    </row>
    <row r="53" spans="1:17">
      <c r="C53" s="57"/>
      <c r="D53" s="57" t="s">
        <v>71</v>
      </c>
      <c r="E53" s="58"/>
      <c r="F53" s="58"/>
      <c r="G53" s="58"/>
      <c r="H53" s="58"/>
      <c r="Q53" s="50"/>
    </row>
    <row r="54" spans="1:17">
      <c r="A54" s="52">
        <v>1</v>
      </c>
      <c r="C54" s="57" t="s">
        <v>70</v>
      </c>
      <c r="D54" s="59"/>
      <c r="G54" s="27">
        <f>G11+G13</f>
        <v>2510914.65</v>
      </c>
      <c r="H54" s="27">
        <f>H11</f>
        <v>4755556.200000002</v>
      </c>
      <c r="I54" s="62"/>
      <c r="Q54" s="50"/>
    </row>
    <row r="55" spans="1:17">
      <c r="A55" s="52">
        <v>2</v>
      </c>
      <c r="C55" s="57" t="s">
        <v>74</v>
      </c>
      <c r="D55" s="59"/>
      <c r="G55" s="27"/>
      <c r="H55" s="27">
        <f>H12</f>
        <v>5069750.87</v>
      </c>
      <c r="Q55" s="50"/>
    </row>
    <row r="56" spans="1:17">
      <c r="A56" s="52">
        <v>3</v>
      </c>
      <c r="C56" s="57" t="s">
        <v>185</v>
      </c>
      <c r="D56" s="59"/>
      <c r="G56" s="27"/>
      <c r="H56" s="27">
        <f>H13</f>
        <v>0</v>
      </c>
      <c r="Q56" s="50"/>
    </row>
    <row r="57" spans="1:17">
      <c r="C57" s="59"/>
      <c r="Q57" s="50"/>
    </row>
    <row r="58" spans="1:17">
      <c r="G58" s="195"/>
      <c r="H58" s="195"/>
      <c r="I58" s="195"/>
      <c r="J58" s="195"/>
      <c r="K58" s="244"/>
      <c r="Q58" s="50"/>
    </row>
    <row r="59" spans="1:17">
      <c r="Q59" s="51"/>
    </row>
    <row r="60" spans="1:17">
      <c r="A60" s="52">
        <f>A56+1</f>
        <v>4</v>
      </c>
      <c r="C60" s="61">
        <v>3.7499999999999999E-2</v>
      </c>
      <c r="D60" s="61">
        <v>0.05</v>
      </c>
      <c r="F60" s="52">
        <v>1</v>
      </c>
      <c r="G60" s="27">
        <f>$G$54*$C$61/12</f>
        <v>15105.244048625</v>
      </c>
      <c r="H60" s="27">
        <f>H17</f>
        <v>442480.39212500001</v>
      </c>
      <c r="I60" s="27">
        <f>SUM(G60:H60)</f>
        <v>457585.63617362501</v>
      </c>
      <c r="J60" s="231">
        <f>'201801 Bk Depr'!$L$31</f>
        <v>11378.04</v>
      </c>
      <c r="K60" s="231">
        <f>'201801 Bk Depr'!$P$17</f>
        <v>13972.244796000004</v>
      </c>
      <c r="L60" s="27">
        <f t="shared" ref="L60:L65" si="18">I60+J60-K60</f>
        <v>454991.43137762498</v>
      </c>
      <c r="M60" s="27">
        <f t="shared" ref="M60:M65" si="19">L60*0.05</f>
        <v>22749.571568881249</v>
      </c>
      <c r="Q60" s="51"/>
    </row>
    <row r="61" spans="1:17">
      <c r="A61" s="52">
        <f>A60+1</f>
        <v>5</v>
      </c>
      <c r="C61" s="61">
        <v>7.2190000000000004E-2</v>
      </c>
      <c r="D61" s="61">
        <v>9.5000000000000001E-2</v>
      </c>
      <c r="F61" s="52">
        <v>2</v>
      </c>
      <c r="G61" s="27">
        <f t="shared" ref="G61:G71" si="20">$G$54*$C$61/12</f>
        <v>15105.244048625</v>
      </c>
      <c r="H61" s="27">
        <f t="shared" ref="H61:H71" si="21">H18</f>
        <v>408196.638125</v>
      </c>
      <c r="I61" s="27">
        <f t="shared" ref="I61:I71" si="22">SUM(G61:H61)</f>
        <v>423301.882173625</v>
      </c>
      <c r="J61" s="231">
        <f>'201802 Bk Depr'!$L$31</f>
        <v>30939.510000000002</v>
      </c>
      <c r="K61" s="231">
        <f>'201802 Bk Depr'!$P$17</f>
        <v>16029.782280000003</v>
      </c>
      <c r="L61" s="27">
        <f t="shared" si="18"/>
        <v>438211.60989362502</v>
      </c>
      <c r="M61" s="27">
        <f t="shared" si="19"/>
        <v>21910.580494681253</v>
      </c>
      <c r="Q61" s="51"/>
    </row>
    <row r="62" spans="1:17">
      <c r="A62" s="52">
        <f t="shared" ref="A62:A87" si="23">A61+1</f>
        <v>6</v>
      </c>
      <c r="C62" s="61">
        <v>6.6769999999999996E-2</v>
      </c>
      <c r="D62" s="61">
        <v>8.5500000000000007E-2</v>
      </c>
      <c r="F62" s="52">
        <v>3</v>
      </c>
      <c r="G62" s="27">
        <f t="shared" si="20"/>
        <v>15105.244048625</v>
      </c>
      <c r="H62" s="27">
        <f t="shared" si="21"/>
        <v>363793.37512500002</v>
      </c>
      <c r="I62" s="27">
        <f t="shared" si="22"/>
        <v>378898.61917362502</v>
      </c>
      <c r="J62" s="231">
        <f>'201803 Bk Depr'!$L$31</f>
        <v>51643.659999999996</v>
      </c>
      <c r="K62" s="231">
        <f>'201803 Bk Depr'!$P$17</f>
        <v>17987.366817000006</v>
      </c>
      <c r="L62" s="27">
        <f t="shared" si="18"/>
        <v>412554.91235662496</v>
      </c>
      <c r="M62" s="27">
        <f t="shared" si="19"/>
        <v>20627.74561783125</v>
      </c>
      <c r="Q62" s="51"/>
    </row>
    <row r="63" spans="1:17">
      <c r="A63" s="52">
        <f t="shared" si="23"/>
        <v>7</v>
      </c>
      <c r="C63" s="61">
        <v>6.1769999999999999E-2</v>
      </c>
      <c r="D63" s="61">
        <v>7.6999999999999999E-2</v>
      </c>
      <c r="F63" s="52">
        <v>4</v>
      </c>
      <c r="G63" s="27">
        <f t="shared" si="20"/>
        <v>15105.244048625</v>
      </c>
      <c r="H63" s="27">
        <f t="shared" si="21"/>
        <v>398271.45850000001</v>
      </c>
      <c r="I63" s="27">
        <f t="shared" si="22"/>
        <v>413376.70254862501</v>
      </c>
      <c r="J63" s="231">
        <f>'201804 Bk Depr'!$L$31</f>
        <v>48343.54</v>
      </c>
      <c r="K63" s="231">
        <f>'201804 Bk Depr'!$P$17</f>
        <v>19718.460072000005</v>
      </c>
      <c r="L63" s="27">
        <f t="shared" si="18"/>
        <v>442001.782476625</v>
      </c>
      <c r="M63" s="27">
        <f t="shared" si="19"/>
        <v>22100.089123831251</v>
      </c>
      <c r="Q63" s="51"/>
    </row>
    <row r="64" spans="1:17">
      <c r="A64" s="52">
        <f t="shared" si="23"/>
        <v>8</v>
      </c>
      <c r="C64" s="61">
        <v>5.713E-2</v>
      </c>
      <c r="D64" s="61">
        <v>6.93E-2</v>
      </c>
      <c r="F64" s="52">
        <v>5</v>
      </c>
      <c r="G64" s="27">
        <f t="shared" si="20"/>
        <v>15105.244048625</v>
      </c>
      <c r="H64" s="27">
        <f t="shared" si="21"/>
        <v>474930.511</v>
      </c>
      <c r="I64" s="27">
        <f t="shared" si="22"/>
        <v>490035.755048625</v>
      </c>
      <c r="J64" s="231">
        <f>'201805 Bk Depr'!$L$31</f>
        <v>30232.400000000001</v>
      </c>
      <c r="K64" s="231">
        <f>'201805 Bk Depr'!$P$17</f>
        <v>21363.620778000004</v>
      </c>
      <c r="L64" s="27">
        <f t="shared" si="18"/>
        <v>498904.53427062504</v>
      </c>
      <c r="M64" s="27">
        <f t="shared" si="19"/>
        <v>24945.226713531254</v>
      </c>
      <c r="Q64" s="51"/>
    </row>
    <row r="65" spans="1:17">
      <c r="A65" s="52">
        <f t="shared" si="23"/>
        <v>9</v>
      </c>
      <c r="C65" s="61">
        <v>5.2850000000000001E-2</v>
      </c>
      <c r="D65" s="61">
        <v>6.2300000000000001E-2</v>
      </c>
      <c r="F65" s="52">
        <v>6</v>
      </c>
      <c r="G65" s="27">
        <f t="shared" si="20"/>
        <v>15105.244048625</v>
      </c>
      <c r="H65" s="27">
        <f t="shared" si="21"/>
        <v>347182.97612499999</v>
      </c>
      <c r="I65" s="27">
        <f t="shared" si="22"/>
        <v>362288.22017362498</v>
      </c>
      <c r="J65" s="231">
        <f>'201806 Bk Depr'!$L$31</f>
        <v>33277.39</v>
      </c>
      <c r="K65" s="231">
        <f>'201806 Bk Depr'!$P$17</f>
        <v>22905.200412000006</v>
      </c>
      <c r="L65" s="27">
        <f t="shared" si="18"/>
        <v>372660.40976162499</v>
      </c>
      <c r="M65" s="27">
        <f t="shared" si="19"/>
        <v>18633.020488081249</v>
      </c>
      <c r="Q65" s="51"/>
    </row>
    <row r="66" spans="1:17">
      <c r="A66" s="52">
        <f t="shared" si="23"/>
        <v>10</v>
      </c>
      <c r="C66" s="61">
        <v>4.888E-2</v>
      </c>
      <c r="D66" s="61">
        <v>5.8999999999999997E-2</v>
      </c>
      <c r="F66" s="52">
        <v>7</v>
      </c>
      <c r="G66" s="27">
        <f t="shared" si="20"/>
        <v>15105.244048625</v>
      </c>
      <c r="H66" s="27">
        <f t="shared" si="21"/>
        <v>458741.255</v>
      </c>
      <c r="I66" s="27">
        <f t="shared" si="22"/>
        <v>473846.499048625</v>
      </c>
      <c r="J66" s="231">
        <f>'201807 Bk Depr'!$L$31</f>
        <v>23517.8</v>
      </c>
      <c r="K66" s="231">
        <f>'201807 Bk Depr'!$P$17</f>
        <v>24494.704938000006</v>
      </c>
      <c r="L66" s="27">
        <f t="shared" ref="L66:L71" si="24">I66+J66-K66</f>
        <v>472869.59411062498</v>
      </c>
      <c r="M66" s="27">
        <f t="shared" ref="M66:M71" si="25">L66*0.05</f>
        <v>23643.479705531252</v>
      </c>
      <c r="Q66" s="51"/>
    </row>
    <row r="67" spans="1:17">
      <c r="A67" s="52">
        <f t="shared" si="23"/>
        <v>11</v>
      </c>
      <c r="C67" s="61">
        <v>4.5220000000000003E-2</v>
      </c>
      <c r="D67" s="61">
        <v>5.8999999999999997E-2</v>
      </c>
      <c r="F67" s="52">
        <v>8</v>
      </c>
      <c r="G67" s="27">
        <f t="shared" si="20"/>
        <v>15105.244048625</v>
      </c>
      <c r="H67" s="27">
        <f t="shared" si="21"/>
        <v>420512.076375</v>
      </c>
      <c r="I67" s="27">
        <f t="shared" si="22"/>
        <v>435617.320423625</v>
      </c>
      <c r="J67" s="231">
        <f>'201808 Bk Depr'!$L$31</f>
        <v>32728.78</v>
      </c>
      <c r="K67" s="231">
        <f>'201808 Bk Depr'!$P$17</f>
        <v>26186.754343500008</v>
      </c>
      <c r="L67" s="27">
        <f t="shared" si="24"/>
        <v>442159.34608012496</v>
      </c>
      <c r="M67" s="27">
        <f t="shared" si="25"/>
        <v>22107.967304006248</v>
      </c>
      <c r="Q67" s="51"/>
    </row>
    <row r="68" spans="1:17">
      <c r="A68" s="52">
        <f t="shared" si="23"/>
        <v>12</v>
      </c>
      <c r="C68" s="61">
        <v>4.462E-2</v>
      </c>
      <c r="D68" s="61">
        <v>5.91E-2</v>
      </c>
      <c r="F68" s="52">
        <v>9</v>
      </c>
      <c r="G68" s="27">
        <f t="shared" si="20"/>
        <v>15105.244048625</v>
      </c>
      <c r="H68" s="27">
        <f t="shared" si="21"/>
        <v>482339.38449999999</v>
      </c>
      <c r="I68" s="27">
        <f t="shared" si="22"/>
        <v>497444.62854862498</v>
      </c>
      <c r="J68" s="231">
        <f>'201809 Bk Depr'!$L$31</f>
        <v>66252.58</v>
      </c>
      <c r="K68" s="231">
        <f>'201809 Bk Depr'!$P$17</f>
        <v>27856.235758500014</v>
      </c>
      <c r="L68" s="27">
        <f t="shared" si="24"/>
        <v>535840.97279012494</v>
      </c>
      <c r="M68" s="27">
        <f t="shared" si="25"/>
        <v>26792.048639506247</v>
      </c>
      <c r="Q68" s="51"/>
    </row>
    <row r="69" spans="1:17">
      <c r="A69" s="52">
        <f t="shared" si="23"/>
        <v>13</v>
      </c>
      <c r="C69" s="61">
        <v>4.4609999999999997E-2</v>
      </c>
      <c r="D69" s="61">
        <v>5.8999999999999997E-2</v>
      </c>
      <c r="F69" s="52">
        <v>10</v>
      </c>
      <c r="G69" s="27">
        <f t="shared" si="20"/>
        <v>15105.244048625</v>
      </c>
      <c r="H69" s="27">
        <f t="shared" si="21"/>
        <v>344074.25437499984</v>
      </c>
      <c r="I69" s="27">
        <f t="shared" si="22"/>
        <v>359179.49842362484</v>
      </c>
      <c r="J69" s="231">
        <f>'201810 Bk Depr'!$L$31</f>
        <v>16815.920000000002</v>
      </c>
      <c r="K69" s="231">
        <f>'201810 Bk Depr'!$P$17</f>
        <v>29473.343734500013</v>
      </c>
      <c r="L69" s="27">
        <f t="shared" si="24"/>
        <v>346522.07468912483</v>
      </c>
      <c r="M69" s="27">
        <f t="shared" si="25"/>
        <v>17326.103734456243</v>
      </c>
      <c r="Q69" s="51"/>
    </row>
    <row r="70" spans="1:17">
      <c r="A70" s="52">
        <f t="shared" si="23"/>
        <v>14</v>
      </c>
      <c r="C70" s="61">
        <v>4.462E-2</v>
      </c>
      <c r="D70" s="61">
        <v>5.91E-2</v>
      </c>
      <c r="F70" s="52">
        <v>11</v>
      </c>
      <c r="G70" s="27">
        <f t="shared" si="20"/>
        <v>15105.244048625</v>
      </c>
      <c r="H70" s="27">
        <f t="shared" si="21"/>
        <v>1074307.4106250003</v>
      </c>
      <c r="I70" s="27">
        <f t="shared" si="22"/>
        <v>1089412.6546736252</v>
      </c>
      <c r="J70" s="231">
        <f>'201811 Bk Depr'!$L$31</f>
        <v>37570.519999999997</v>
      </c>
      <c r="K70" s="231">
        <f>'201811 Bk Depr'!$P$17</f>
        <v>34155.178564500013</v>
      </c>
      <c r="L70" s="27">
        <f t="shared" si="24"/>
        <v>1092827.9961091252</v>
      </c>
      <c r="M70" s="27">
        <f t="shared" si="25"/>
        <v>54641.399805456262</v>
      </c>
      <c r="Q70" s="51"/>
    </row>
    <row r="71" spans="1:17">
      <c r="A71" s="52">
        <f t="shared" si="23"/>
        <v>15</v>
      </c>
      <c r="C71" s="61">
        <v>4.4609999999999997E-2</v>
      </c>
      <c r="D71" s="61">
        <v>5.8999999999999997E-2</v>
      </c>
      <c r="F71" s="52">
        <v>12</v>
      </c>
      <c r="G71" s="27">
        <f t="shared" si="20"/>
        <v>15105.244048625</v>
      </c>
      <c r="H71" s="27">
        <f t="shared" si="21"/>
        <v>33254.495624999996</v>
      </c>
      <c r="I71" s="27">
        <f t="shared" si="22"/>
        <v>48359.739673624994</v>
      </c>
      <c r="J71" s="231">
        <f>'201812 Bk Depr'!$L$31</f>
        <v>39300.839999999997</v>
      </c>
      <c r="K71" s="231">
        <f>'201812 Bk Depr'!$P$17</f>
        <v>38779.975354500013</v>
      </c>
      <c r="L71" s="27">
        <f t="shared" si="24"/>
        <v>48880.604319124977</v>
      </c>
      <c r="M71" s="27">
        <f t="shared" si="25"/>
        <v>2444.0302159562489</v>
      </c>
      <c r="Q71" s="51"/>
    </row>
    <row r="72" spans="1:17">
      <c r="A72" s="52">
        <f t="shared" si="23"/>
        <v>16</v>
      </c>
      <c r="C72" s="61">
        <v>4.462E-2</v>
      </c>
      <c r="D72" s="61">
        <v>5.91E-2</v>
      </c>
      <c r="G72" s="27"/>
      <c r="H72" s="27"/>
      <c r="I72" s="27"/>
      <c r="J72" s="27"/>
      <c r="K72" s="27"/>
      <c r="L72" s="27" t="str">
        <f t="shared" ref="L72:L86" si="26">IF(K72=0,"",I72+J72-K72)</f>
        <v/>
      </c>
      <c r="M72" s="27" t="str">
        <f t="shared" ref="M72:M86" si="27">IF(L72="","",L72*0.389)</f>
        <v/>
      </c>
      <c r="N72" s="51"/>
      <c r="O72" s="51"/>
      <c r="P72" s="51"/>
      <c r="Q72" s="27" t="str">
        <f t="shared" ref="Q72:Q86" si="28">IF(M72="","",Q71+M72)</f>
        <v/>
      </c>
    </row>
    <row r="73" spans="1:17">
      <c r="A73" s="52">
        <f t="shared" si="23"/>
        <v>17</v>
      </c>
      <c r="C73" s="61">
        <v>4.4609999999999997E-2</v>
      </c>
      <c r="D73" s="61">
        <v>5.8999999999999997E-2</v>
      </c>
      <c r="G73" s="27"/>
      <c r="H73" s="27"/>
      <c r="I73" s="27"/>
      <c r="J73" s="27"/>
      <c r="K73" s="27"/>
      <c r="L73" s="27" t="str">
        <f t="shared" si="26"/>
        <v/>
      </c>
      <c r="M73" s="27" t="str">
        <f t="shared" si="27"/>
        <v/>
      </c>
      <c r="N73" s="51"/>
      <c r="O73" s="51"/>
      <c r="P73" s="51"/>
      <c r="Q73" s="27" t="str">
        <f t="shared" si="28"/>
        <v/>
      </c>
    </row>
    <row r="74" spans="1:17">
      <c r="A74" s="52">
        <f t="shared" si="23"/>
        <v>18</v>
      </c>
      <c r="C74" s="61">
        <v>4.462E-2</v>
      </c>
      <c r="D74" s="61">
        <v>5.91E-2</v>
      </c>
      <c r="G74" s="27"/>
      <c r="H74" s="27"/>
      <c r="I74" s="27"/>
      <c r="J74" s="27"/>
      <c r="K74" s="27"/>
      <c r="L74" s="27" t="str">
        <f t="shared" si="26"/>
        <v/>
      </c>
      <c r="M74" s="27" t="str">
        <f t="shared" si="27"/>
        <v/>
      </c>
      <c r="N74" s="51"/>
      <c r="O74" s="51"/>
      <c r="P74" s="51"/>
      <c r="Q74" s="27" t="str">
        <f t="shared" si="28"/>
        <v/>
      </c>
    </row>
    <row r="75" spans="1:17">
      <c r="A75" s="52">
        <f t="shared" si="23"/>
        <v>19</v>
      </c>
      <c r="C75" s="61">
        <v>4.4609999999999997E-2</v>
      </c>
      <c r="D75" s="61">
        <v>2.9499999999999998E-2</v>
      </c>
      <c r="G75" s="27"/>
      <c r="H75" s="27"/>
      <c r="I75" s="27"/>
      <c r="J75" s="27"/>
      <c r="K75" s="27"/>
      <c r="L75" s="27" t="str">
        <f t="shared" si="26"/>
        <v/>
      </c>
      <c r="M75" s="27" t="str">
        <f t="shared" si="27"/>
        <v/>
      </c>
      <c r="N75" s="51"/>
      <c r="O75" s="51"/>
      <c r="P75" s="51"/>
      <c r="Q75" s="27" t="str">
        <f t="shared" si="28"/>
        <v/>
      </c>
    </row>
    <row r="76" spans="1:17">
      <c r="A76" s="52">
        <f t="shared" si="23"/>
        <v>20</v>
      </c>
      <c r="C76" s="61">
        <v>4.462E-2</v>
      </c>
      <c r="D76" s="61">
        <v>0</v>
      </c>
      <c r="G76" s="27"/>
      <c r="H76" s="27"/>
      <c r="I76" s="27"/>
      <c r="J76" s="27"/>
      <c r="K76" s="27"/>
      <c r="L76" s="27" t="str">
        <f t="shared" si="26"/>
        <v/>
      </c>
      <c r="M76" s="27" t="str">
        <f t="shared" si="27"/>
        <v/>
      </c>
      <c r="N76" s="51"/>
      <c r="O76" s="51"/>
      <c r="P76" s="51"/>
      <c r="Q76" s="27" t="str">
        <f t="shared" si="28"/>
        <v/>
      </c>
    </row>
    <row r="77" spans="1:17">
      <c r="A77" s="52">
        <f t="shared" si="23"/>
        <v>21</v>
      </c>
      <c r="C77" s="61">
        <v>4.4609999999999997E-2</v>
      </c>
      <c r="D77" s="61">
        <v>0</v>
      </c>
      <c r="G77" s="27"/>
      <c r="H77" s="27"/>
      <c r="I77" s="27"/>
      <c r="J77" s="27"/>
      <c r="K77" s="27"/>
      <c r="L77" s="27" t="str">
        <f t="shared" si="26"/>
        <v/>
      </c>
      <c r="M77" s="27" t="str">
        <f t="shared" si="27"/>
        <v/>
      </c>
      <c r="N77" s="51"/>
      <c r="O77" s="51"/>
      <c r="P77" s="51"/>
      <c r="Q77" s="27" t="str">
        <f t="shared" si="28"/>
        <v/>
      </c>
    </row>
    <row r="78" spans="1:17">
      <c r="A78" s="52">
        <f t="shared" si="23"/>
        <v>22</v>
      </c>
      <c r="C78" s="61">
        <v>4.462E-2</v>
      </c>
      <c r="D78" s="61">
        <v>0</v>
      </c>
      <c r="G78" s="27"/>
      <c r="H78" s="27"/>
      <c r="I78" s="27"/>
      <c r="J78" s="27"/>
      <c r="K78" s="27"/>
      <c r="L78" s="27" t="str">
        <f t="shared" si="26"/>
        <v/>
      </c>
      <c r="M78" s="27" t="str">
        <f t="shared" si="27"/>
        <v/>
      </c>
      <c r="N78" s="51"/>
      <c r="O78" s="51"/>
      <c r="P78" s="51"/>
      <c r="Q78" s="27" t="str">
        <f t="shared" si="28"/>
        <v/>
      </c>
    </row>
    <row r="79" spans="1:17">
      <c r="A79" s="52">
        <f t="shared" si="23"/>
        <v>23</v>
      </c>
      <c r="C79" s="61">
        <v>4.4609999999999997E-2</v>
      </c>
      <c r="D79" s="61">
        <v>0</v>
      </c>
      <c r="G79" s="27"/>
      <c r="H79" s="27"/>
      <c r="I79" s="27"/>
      <c r="J79" s="27"/>
      <c r="K79" s="27"/>
      <c r="L79" s="27" t="str">
        <f t="shared" si="26"/>
        <v/>
      </c>
      <c r="M79" s="27" t="str">
        <f t="shared" si="27"/>
        <v/>
      </c>
      <c r="N79" s="51"/>
      <c r="O79" s="51"/>
      <c r="P79" s="51"/>
      <c r="Q79" s="27" t="str">
        <f t="shared" si="28"/>
        <v/>
      </c>
    </row>
    <row r="80" spans="1:17">
      <c r="A80" s="52">
        <f t="shared" si="23"/>
        <v>24</v>
      </c>
      <c r="C80" s="61">
        <v>2.231E-2</v>
      </c>
      <c r="D80" s="61">
        <v>0</v>
      </c>
      <c r="G80" s="27"/>
      <c r="H80" s="27"/>
      <c r="I80" s="27"/>
      <c r="J80" s="27"/>
      <c r="K80" s="27"/>
      <c r="L80" s="27" t="str">
        <f t="shared" si="26"/>
        <v/>
      </c>
      <c r="M80" s="27" t="str">
        <f t="shared" si="27"/>
        <v/>
      </c>
      <c r="N80" s="51"/>
      <c r="O80" s="51"/>
      <c r="P80" s="51"/>
      <c r="Q80" s="27" t="str">
        <f t="shared" si="28"/>
        <v/>
      </c>
    </row>
    <row r="81" spans="1:17">
      <c r="A81" s="52">
        <f t="shared" si="23"/>
        <v>25</v>
      </c>
      <c r="C81" s="61">
        <v>0</v>
      </c>
      <c r="D81" s="61">
        <v>0</v>
      </c>
      <c r="G81" s="27"/>
      <c r="H81" s="27"/>
      <c r="I81" s="27"/>
      <c r="J81" s="27"/>
      <c r="K81" s="27"/>
      <c r="L81" s="27" t="str">
        <f t="shared" si="26"/>
        <v/>
      </c>
      <c r="M81" s="27" t="str">
        <f t="shared" si="27"/>
        <v/>
      </c>
      <c r="N81" s="51"/>
      <c r="O81" s="51"/>
      <c r="P81" s="51"/>
      <c r="Q81" s="27" t="str">
        <f t="shared" si="28"/>
        <v/>
      </c>
    </row>
    <row r="82" spans="1:17">
      <c r="A82" s="52">
        <f t="shared" si="23"/>
        <v>26</v>
      </c>
      <c r="C82" s="61">
        <v>0</v>
      </c>
      <c r="G82" s="27"/>
      <c r="H82" s="27"/>
      <c r="I82" s="27"/>
      <c r="L82" s="27" t="str">
        <f t="shared" si="26"/>
        <v/>
      </c>
      <c r="M82" s="27" t="str">
        <f t="shared" si="27"/>
        <v/>
      </c>
      <c r="N82" s="51"/>
      <c r="O82" s="51"/>
      <c r="P82" s="51"/>
      <c r="Q82" s="27" t="str">
        <f t="shared" si="28"/>
        <v/>
      </c>
    </row>
    <row r="83" spans="1:17">
      <c r="A83" s="52">
        <f t="shared" si="23"/>
        <v>27</v>
      </c>
      <c r="C83" s="61">
        <v>0</v>
      </c>
      <c r="G83" s="27"/>
      <c r="H83" s="27"/>
      <c r="I83" s="27"/>
      <c r="L83" s="27" t="str">
        <f t="shared" si="26"/>
        <v/>
      </c>
      <c r="M83" s="27" t="str">
        <f t="shared" si="27"/>
        <v/>
      </c>
      <c r="N83" s="51"/>
      <c r="O83" s="51"/>
      <c r="P83" s="51"/>
      <c r="Q83" s="27" t="str">
        <f t="shared" si="28"/>
        <v/>
      </c>
    </row>
    <row r="84" spans="1:17">
      <c r="A84" s="52">
        <f t="shared" si="23"/>
        <v>28</v>
      </c>
      <c r="C84" s="61">
        <v>0</v>
      </c>
      <c r="G84" s="27"/>
      <c r="H84" s="27"/>
      <c r="I84" s="27"/>
      <c r="L84" s="27" t="str">
        <f t="shared" si="26"/>
        <v/>
      </c>
      <c r="M84" s="27" t="str">
        <f t="shared" si="27"/>
        <v/>
      </c>
      <c r="N84" s="51"/>
      <c r="O84" s="51"/>
      <c r="P84" s="51"/>
      <c r="Q84" s="27" t="str">
        <f t="shared" si="28"/>
        <v/>
      </c>
    </row>
    <row r="85" spans="1:17">
      <c r="A85" s="52">
        <f t="shared" si="23"/>
        <v>29</v>
      </c>
      <c r="C85" s="61">
        <v>0</v>
      </c>
      <c r="G85" s="27"/>
      <c r="H85" s="27"/>
      <c r="I85" s="27"/>
      <c r="L85" s="27" t="str">
        <f t="shared" si="26"/>
        <v/>
      </c>
      <c r="M85" s="27" t="str">
        <f t="shared" si="27"/>
        <v/>
      </c>
      <c r="N85" s="51"/>
      <c r="O85" s="51"/>
      <c r="P85" s="51"/>
      <c r="Q85" s="27" t="str">
        <f t="shared" si="28"/>
        <v/>
      </c>
    </row>
    <row r="86" spans="1:17">
      <c r="A86" s="52">
        <f t="shared" si="23"/>
        <v>30</v>
      </c>
      <c r="C86" s="61">
        <v>0</v>
      </c>
      <c r="I86" s="27"/>
      <c r="L86" s="27" t="str">
        <f t="shared" si="26"/>
        <v/>
      </c>
      <c r="M86" s="27" t="str">
        <f t="shared" si="27"/>
        <v/>
      </c>
      <c r="Q86" s="27" t="str">
        <f t="shared" si="28"/>
        <v/>
      </c>
    </row>
    <row r="87" spans="1:17">
      <c r="A87" s="52">
        <f t="shared" si="23"/>
        <v>31</v>
      </c>
      <c r="G87" s="27">
        <f t="shared" ref="G87:M87" si="29">SUM(G60:G86)</f>
        <v>181262.9285835</v>
      </c>
      <c r="H87" s="27">
        <f t="shared" si="29"/>
        <v>5248084.227500001</v>
      </c>
      <c r="I87" s="27">
        <f t="shared" si="29"/>
        <v>5429347.1560834991</v>
      </c>
      <c r="J87" s="27">
        <f t="shared" si="29"/>
        <v>422000.98</v>
      </c>
      <c r="K87" s="27">
        <f t="shared" si="29"/>
        <v>292922.86784850009</v>
      </c>
      <c r="L87" s="27">
        <f t="shared" si="29"/>
        <v>5558425.2682349999</v>
      </c>
      <c r="M87" s="27">
        <f t="shared" si="29"/>
        <v>277921.26341175003</v>
      </c>
      <c r="N87" s="27"/>
      <c r="O87" s="27"/>
      <c r="P87" s="27"/>
      <c r="Q87" s="27"/>
    </row>
    <row r="88" spans="1:17">
      <c r="G88" s="27"/>
      <c r="H88" s="27"/>
      <c r="I88" s="27"/>
      <c r="J88" s="27"/>
      <c r="K88" s="27"/>
      <c r="Q88" s="27"/>
    </row>
    <row r="90" spans="1:17">
      <c r="B90" s="60" t="s">
        <v>166</v>
      </c>
      <c r="C90" s="52" t="s">
        <v>355</v>
      </c>
    </row>
    <row r="91" spans="1:17">
      <c r="B91" s="60" t="s">
        <v>167</v>
      </c>
      <c r="C91" s="52" t="s">
        <v>354</v>
      </c>
      <c r="D91" s="245"/>
    </row>
  </sheetData>
  <pageMargins left="0.7" right="0.7" top="0.75" bottom="0.75" header="0.3" footer="0.3"/>
  <pageSetup scale="60" orientation="landscape" r:id="rId1"/>
  <headerFooter>
    <oddFooter>&amp;R&amp;"Times New Roman,Bold"&amp;17Exhibit 4
Page 17 of 17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8" tint="0.39997558519241921"/>
  </sheetPr>
  <dimension ref="A1:S63"/>
  <sheetViews>
    <sheetView workbookViewId="0"/>
  </sheetViews>
  <sheetFormatPr defaultColWidth="9.140625" defaultRowHeight="12.75"/>
  <cols>
    <col min="1" max="1" width="6.42578125" style="199" customWidth="1"/>
    <col min="2" max="2" width="12" style="199" bestFit="1" customWidth="1"/>
    <col min="3" max="3" width="13.85546875" style="199" bestFit="1" customWidth="1"/>
    <col min="4" max="4" width="34.85546875" style="199" bestFit="1" customWidth="1"/>
    <col min="5" max="5" width="7" style="199" bestFit="1" customWidth="1"/>
    <col min="6" max="17" width="9.85546875" style="199" customWidth="1"/>
    <col min="18" max="18" width="11.5703125" style="199" customWidth="1"/>
    <col min="19" max="16384" width="9.140625" style="199"/>
  </cols>
  <sheetData>
    <row r="1" spans="1:19">
      <c r="A1" s="198" t="s">
        <v>273</v>
      </c>
    </row>
    <row r="2" spans="1:19">
      <c r="A2" s="198" t="s">
        <v>274</v>
      </c>
      <c r="F2" s="431" t="s">
        <v>492</v>
      </c>
      <c r="G2" s="430"/>
      <c r="H2" s="430"/>
      <c r="J2" s="642" t="s">
        <v>762</v>
      </c>
    </row>
    <row r="3" spans="1:19">
      <c r="A3" s="198" t="s">
        <v>275</v>
      </c>
    </row>
    <row r="6" spans="1:19">
      <c r="A6" s="200" t="s">
        <v>276</v>
      </c>
      <c r="B6" s="200" t="s">
        <v>139</v>
      </c>
      <c r="C6" s="200" t="s">
        <v>141</v>
      </c>
      <c r="D6" s="200" t="s">
        <v>277</v>
      </c>
      <c r="E6" s="200" t="s">
        <v>143</v>
      </c>
      <c r="F6" s="200" t="s">
        <v>278</v>
      </c>
      <c r="G6" s="200" t="s">
        <v>279</v>
      </c>
      <c r="H6" s="200" t="s">
        <v>280</v>
      </c>
      <c r="I6" s="200" t="s">
        <v>281</v>
      </c>
      <c r="J6" s="200" t="s">
        <v>282</v>
      </c>
      <c r="K6" s="200" t="s">
        <v>283</v>
      </c>
      <c r="L6" s="200" t="s">
        <v>284</v>
      </c>
      <c r="M6" s="200" t="s">
        <v>285</v>
      </c>
      <c r="N6" s="200" t="s">
        <v>286</v>
      </c>
      <c r="O6" s="200" t="s">
        <v>287</v>
      </c>
      <c r="P6" s="200" t="s">
        <v>288</v>
      </c>
      <c r="Q6" s="200" t="s">
        <v>289</v>
      </c>
      <c r="R6" s="200" t="s">
        <v>290</v>
      </c>
    </row>
    <row r="7" spans="1:19">
      <c r="A7" s="201" t="s">
        <v>291</v>
      </c>
      <c r="B7" s="201"/>
      <c r="C7" s="201"/>
      <c r="D7" s="201"/>
      <c r="E7" s="20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19">
      <c r="B8" s="203" t="s">
        <v>113</v>
      </c>
      <c r="C8" s="214" t="s">
        <v>292</v>
      </c>
      <c r="D8" s="215" t="s">
        <v>293</v>
      </c>
      <c r="E8" s="199">
        <v>2018</v>
      </c>
      <c r="F8" s="246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>
        <f t="shared" ref="R8:R38" si="0">SUM(F8:Q8)</f>
        <v>0</v>
      </c>
    </row>
    <row r="9" spans="1:19">
      <c r="B9" s="203"/>
      <c r="C9" s="218" t="s">
        <v>114</v>
      </c>
      <c r="D9" s="219" t="s">
        <v>115</v>
      </c>
      <c r="E9" s="199">
        <v>2018</v>
      </c>
      <c r="F9" s="246">
        <v>217390.26</v>
      </c>
      <c r="G9" s="204">
        <v>202240.54</v>
      </c>
      <c r="H9" s="204">
        <v>173100.85</v>
      </c>
      <c r="I9" s="204">
        <v>177538.88</v>
      </c>
      <c r="J9" s="204">
        <v>269120.84000000003</v>
      </c>
      <c r="K9" s="204">
        <v>182699.61</v>
      </c>
      <c r="L9" s="204">
        <v>234832.89</v>
      </c>
      <c r="M9" s="204">
        <v>217422.93</v>
      </c>
      <c r="N9" s="204">
        <v>246311.61</v>
      </c>
      <c r="O9" s="204">
        <v>178474.34999999986</v>
      </c>
      <c r="P9" s="204">
        <v>114089.67</v>
      </c>
      <c r="Q9" s="204">
        <v>0</v>
      </c>
      <c r="R9" s="204">
        <f t="shared" si="0"/>
        <v>2213222.4299999997</v>
      </c>
    </row>
    <row r="10" spans="1:19">
      <c r="B10" s="203"/>
      <c r="C10" s="218" t="s">
        <v>116</v>
      </c>
      <c r="D10" s="219" t="s">
        <v>117</v>
      </c>
      <c r="E10" s="199">
        <v>2018</v>
      </c>
      <c r="F10" s="246">
        <v>4555.67</v>
      </c>
      <c r="G10" s="205">
        <v>0</v>
      </c>
      <c r="H10" s="205">
        <v>6485.59</v>
      </c>
      <c r="I10" s="205">
        <v>709.28</v>
      </c>
      <c r="J10" s="205">
        <v>304.47000000000003</v>
      </c>
      <c r="K10" s="205">
        <v>1091.6400000000001</v>
      </c>
      <c r="L10" s="205">
        <v>568.69000000000005</v>
      </c>
      <c r="M10" s="205">
        <v>605.04999999999995</v>
      </c>
      <c r="N10" s="205">
        <v>10761.12</v>
      </c>
      <c r="O10" s="205">
        <v>281.58</v>
      </c>
      <c r="P10" s="205">
        <v>1.8189894035458565E-12</v>
      </c>
      <c r="Q10" s="205">
        <v>2414.0100000000002</v>
      </c>
      <c r="R10" s="204">
        <f t="shared" si="0"/>
        <v>27777.100000000006</v>
      </c>
      <c r="S10" s="204"/>
    </row>
    <row r="11" spans="1:19">
      <c r="B11" s="203"/>
      <c r="C11" s="218" t="s">
        <v>118</v>
      </c>
      <c r="D11" s="219" t="s">
        <v>119</v>
      </c>
      <c r="E11" s="199">
        <v>2018</v>
      </c>
      <c r="F11" s="246">
        <v>2251.94</v>
      </c>
      <c r="G11" s="205">
        <v>66767.149999999994</v>
      </c>
      <c r="H11" s="205">
        <v>43946.32</v>
      </c>
      <c r="I11" s="205">
        <v>35317.1</v>
      </c>
      <c r="J11" s="205">
        <v>13431.47</v>
      </c>
      <c r="K11" s="205">
        <v>1302.33</v>
      </c>
      <c r="L11" s="205">
        <v>2177.8000000000002</v>
      </c>
      <c r="M11" s="205">
        <v>5359.92</v>
      </c>
      <c r="N11" s="205">
        <v>-823.38</v>
      </c>
      <c r="O11" s="205">
        <v>659.10000000000582</v>
      </c>
      <c r="P11" s="205">
        <v>1356.67</v>
      </c>
      <c r="Q11" s="205">
        <v>12230.3</v>
      </c>
      <c r="R11" s="204">
        <f t="shared" si="0"/>
        <v>183976.72</v>
      </c>
    </row>
    <row r="12" spans="1:19">
      <c r="B12" s="203"/>
      <c r="C12" s="220" t="s">
        <v>120</v>
      </c>
      <c r="D12" s="219" t="s">
        <v>121</v>
      </c>
      <c r="E12" s="199">
        <v>2018</v>
      </c>
      <c r="F12" s="248">
        <v>337544.33</v>
      </c>
      <c r="G12" s="205">
        <v>356424.65</v>
      </c>
      <c r="H12" s="205">
        <v>301082.81000000029</v>
      </c>
      <c r="I12" s="205">
        <v>192702.77</v>
      </c>
      <c r="J12" s="205">
        <v>164688.87</v>
      </c>
      <c r="K12" s="205">
        <v>166689.12</v>
      </c>
      <c r="L12" s="205">
        <v>217527.12</v>
      </c>
      <c r="M12" s="205">
        <v>167700.97</v>
      </c>
      <c r="N12" s="205">
        <v>175800.9</v>
      </c>
      <c r="O12" s="205">
        <v>207949.38</v>
      </c>
      <c r="P12" s="205">
        <v>1849284.33</v>
      </c>
      <c r="Q12" s="205">
        <v>482005.01</v>
      </c>
      <c r="R12" s="204">
        <f t="shared" si="0"/>
        <v>4619400.2600000007</v>
      </c>
    </row>
    <row r="13" spans="1:19">
      <c r="B13" s="203"/>
      <c r="C13" s="218" t="s">
        <v>122</v>
      </c>
      <c r="D13" s="219" t="s">
        <v>219</v>
      </c>
      <c r="E13" s="199">
        <v>2018</v>
      </c>
      <c r="F13" s="248">
        <v>4525.0600000000004</v>
      </c>
      <c r="G13" s="205">
        <v>1168.0999999999999</v>
      </c>
      <c r="H13" s="205">
        <v>10436.489999999998</v>
      </c>
      <c r="I13" s="205">
        <v>893.99</v>
      </c>
      <c r="J13" s="205">
        <v>608.49</v>
      </c>
      <c r="K13" s="205">
        <v>270.51</v>
      </c>
      <c r="L13" s="205">
        <v>1473.28</v>
      </c>
      <c r="M13" s="205">
        <v>1991.2</v>
      </c>
      <c r="N13" s="205">
        <v>1313.62</v>
      </c>
      <c r="O13" s="205">
        <v>852.07</v>
      </c>
      <c r="P13" s="205">
        <v>10716.72</v>
      </c>
      <c r="Q13" s="205">
        <v>1096.79</v>
      </c>
      <c r="R13" s="204">
        <f t="shared" si="0"/>
        <v>35346.32</v>
      </c>
      <c r="S13" s="204"/>
    </row>
    <row r="14" spans="1:19">
      <c r="B14" s="203"/>
      <c r="C14" s="218" t="s">
        <v>294</v>
      </c>
      <c r="D14" s="219" t="s">
        <v>295</v>
      </c>
      <c r="E14" s="199">
        <v>2018</v>
      </c>
      <c r="F14" s="248">
        <v>0</v>
      </c>
      <c r="G14" s="205">
        <v>0</v>
      </c>
      <c r="H14" s="205">
        <v>35378.97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0</v>
      </c>
      <c r="P14" s="205">
        <v>60697.9</v>
      </c>
      <c r="Q14" s="205">
        <v>4732.75</v>
      </c>
      <c r="R14" s="204">
        <f t="shared" si="0"/>
        <v>100809.62</v>
      </c>
    </row>
    <row r="15" spans="1:19">
      <c r="B15" s="203"/>
      <c r="C15" s="218" t="s">
        <v>296</v>
      </c>
      <c r="D15" s="219" t="s">
        <v>297</v>
      </c>
      <c r="E15" s="199">
        <v>2018</v>
      </c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204">
        <f t="shared" si="0"/>
        <v>0</v>
      </c>
    </row>
    <row r="16" spans="1:19">
      <c r="B16" s="203"/>
      <c r="C16" s="218" t="s">
        <v>298</v>
      </c>
      <c r="D16" s="219" t="s">
        <v>299</v>
      </c>
      <c r="E16" s="199">
        <v>2018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4">
        <f t="shared" si="0"/>
        <v>0</v>
      </c>
    </row>
    <row r="17" spans="1:19">
      <c r="B17" s="203"/>
      <c r="C17" s="218" t="s">
        <v>300</v>
      </c>
      <c r="D17" s="219" t="s">
        <v>301</v>
      </c>
      <c r="E17" s="199">
        <v>2018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4">
        <f t="shared" si="0"/>
        <v>0</v>
      </c>
    </row>
    <row r="18" spans="1:19">
      <c r="B18" s="203"/>
      <c r="C18" s="218" t="s">
        <v>223</v>
      </c>
      <c r="D18" s="219" t="s">
        <v>224</v>
      </c>
      <c r="E18" s="199">
        <v>2018</v>
      </c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204">
        <f t="shared" si="0"/>
        <v>0</v>
      </c>
    </row>
    <row r="19" spans="1:19">
      <c r="B19" s="203"/>
      <c r="C19" s="218" t="s">
        <v>302</v>
      </c>
      <c r="D19" s="219" t="s">
        <v>303</v>
      </c>
      <c r="E19" s="199">
        <v>2018</v>
      </c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204">
        <f t="shared" si="0"/>
        <v>0</v>
      </c>
    </row>
    <row r="20" spans="1:19">
      <c r="B20" s="203"/>
      <c r="C20" s="218" t="s">
        <v>304</v>
      </c>
      <c r="D20" s="219" t="s">
        <v>305</v>
      </c>
      <c r="E20" s="199">
        <v>2018</v>
      </c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204">
        <f t="shared" si="0"/>
        <v>0</v>
      </c>
    </row>
    <row r="21" spans="1:19">
      <c r="B21" s="203"/>
      <c r="C21" s="218" t="s">
        <v>306</v>
      </c>
      <c r="D21" s="219" t="s">
        <v>307</v>
      </c>
      <c r="E21" s="199">
        <v>2018</v>
      </c>
      <c r="F21" s="638"/>
      <c r="G21" s="638"/>
      <c r="H21" s="638"/>
      <c r="I21" s="638"/>
      <c r="J21" s="638"/>
      <c r="K21" s="638"/>
      <c r="L21" s="638"/>
      <c r="M21" s="638"/>
      <c r="N21" s="638"/>
      <c r="O21" s="638"/>
      <c r="P21" s="638"/>
      <c r="Q21" s="638"/>
      <c r="R21" s="204">
        <f t="shared" si="0"/>
        <v>0</v>
      </c>
    </row>
    <row r="22" spans="1:19">
      <c r="A22" s="199">
        <v>376</v>
      </c>
      <c r="B22" s="203"/>
      <c r="C22" s="214" t="s">
        <v>123</v>
      </c>
      <c r="D22" s="215" t="s">
        <v>124</v>
      </c>
      <c r="E22" s="199">
        <v>2018</v>
      </c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204">
        <f t="shared" si="0"/>
        <v>0</v>
      </c>
    </row>
    <row r="23" spans="1:19">
      <c r="A23" s="199">
        <v>380</v>
      </c>
      <c r="B23" s="203"/>
      <c r="C23" s="212" t="s">
        <v>123</v>
      </c>
      <c r="D23" s="213" t="s">
        <v>124</v>
      </c>
      <c r="E23" s="199">
        <v>2018</v>
      </c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204">
        <f t="shared" si="0"/>
        <v>0</v>
      </c>
    </row>
    <row r="24" spans="1:19">
      <c r="B24" s="203"/>
      <c r="C24" s="216" t="s">
        <v>308</v>
      </c>
      <c r="D24" s="217" t="s">
        <v>309</v>
      </c>
      <c r="E24" s="199">
        <v>2018</v>
      </c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  <c r="R24" s="204">
        <f t="shared" si="0"/>
        <v>0</v>
      </c>
    </row>
    <row r="25" spans="1:19">
      <c r="A25" s="199">
        <v>376</v>
      </c>
      <c r="B25" s="203"/>
      <c r="C25" s="214" t="s">
        <v>126</v>
      </c>
      <c r="D25" s="215" t="s">
        <v>127</v>
      </c>
      <c r="E25" s="199">
        <v>2018</v>
      </c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204">
        <f t="shared" si="0"/>
        <v>0</v>
      </c>
    </row>
    <row r="26" spans="1:19">
      <c r="B26" s="203"/>
      <c r="C26" s="216" t="s">
        <v>310</v>
      </c>
      <c r="D26" s="217" t="s">
        <v>311</v>
      </c>
      <c r="E26" s="199">
        <v>2018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4">
        <f t="shared" si="0"/>
        <v>0</v>
      </c>
    </row>
    <row r="27" spans="1:19">
      <c r="A27" s="199">
        <v>376</v>
      </c>
      <c r="B27" s="203"/>
      <c r="C27" s="214" t="s">
        <v>128</v>
      </c>
      <c r="D27" s="215" t="s">
        <v>129</v>
      </c>
      <c r="E27" s="199">
        <v>2018</v>
      </c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204">
        <f t="shared" si="0"/>
        <v>0</v>
      </c>
    </row>
    <row r="28" spans="1:19">
      <c r="A28" s="199">
        <v>376</v>
      </c>
      <c r="B28" s="203"/>
      <c r="C28" s="214" t="s">
        <v>130</v>
      </c>
      <c r="D28" s="215" t="s">
        <v>131</v>
      </c>
      <c r="E28" s="199">
        <v>2018</v>
      </c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204">
        <f t="shared" si="0"/>
        <v>0</v>
      </c>
    </row>
    <row r="29" spans="1:19">
      <c r="A29" s="199">
        <v>380</v>
      </c>
      <c r="B29" s="203"/>
      <c r="C29" s="212" t="s">
        <v>130</v>
      </c>
      <c r="D29" s="213" t="s">
        <v>131</v>
      </c>
      <c r="E29" s="199">
        <v>2018</v>
      </c>
      <c r="F29" s="246">
        <v>205454.91999999998</v>
      </c>
      <c r="G29" s="205">
        <v>125779.21999999999</v>
      </c>
      <c r="H29" s="205">
        <v>127251.93</v>
      </c>
      <c r="I29" s="205">
        <v>177446.32</v>
      </c>
      <c r="J29" s="205">
        <v>185875.08000000002</v>
      </c>
      <c r="K29" s="205">
        <v>155828.41</v>
      </c>
      <c r="L29" s="205">
        <v>212949.36</v>
      </c>
      <c r="M29" s="205">
        <v>190760.71999999997</v>
      </c>
      <c r="N29" s="205">
        <v>219448.24</v>
      </c>
      <c r="O29" s="205">
        <v>156829.16999999998</v>
      </c>
      <c r="P29" s="205">
        <v>867473.23000000021</v>
      </c>
      <c r="Q29" s="205">
        <v>316.39</v>
      </c>
      <c r="R29" s="204">
        <f t="shared" si="0"/>
        <v>2625412.9900000002</v>
      </c>
    </row>
    <row r="30" spans="1:19">
      <c r="B30" s="203"/>
      <c r="C30" s="212" t="s">
        <v>132</v>
      </c>
      <c r="D30" s="213" t="s">
        <v>133</v>
      </c>
      <c r="E30" s="199">
        <v>2018</v>
      </c>
      <c r="F30" s="246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19361.63</v>
      </c>
      <c r="Q30" s="205">
        <v>0</v>
      </c>
      <c r="R30" s="204">
        <f t="shared" si="0"/>
        <v>19361.63</v>
      </c>
      <c r="S30" s="204"/>
    </row>
    <row r="31" spans="1:19">
      <c r="B31" s="203"/>
      <c r="C31" s="212" t="s">
        <v>312</v>
      </c>
      <c r="D31" s="213" t="s">
        <v>313</v>
      </c>
      <c r="E31" s="199">
        <v>2018</v>
      </c>
      <c r="F31" s="246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4">
        <f t="shared" si="0"/>
        <v>0</v>
      </c>
      <c r="S31" s="204"/>
    </row>
    <row r="32" spans="1:19">
      <c r="B32" s="203"/>
      <c r="C32" s="216" t="s">
        <v>314</v>
      </c>
      <c r="D32" s="217" t="s">
        <v>315</v>
      </c>
      <c r="E32" s="199">
        <v>2018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4">
        <f t="shared" si="0"/>
        <v>0</v>
      </c>
    </row>
    <row r="33" spans="1:18">
      <c r="B33" s="203"/>
      <c r="C33" s="221" t="s">
        <v>316</v>
      </c>
      <c r="D33" s="222" t="s">
        <v>317</v>
      </c>
      <c r="E33" s="199">
        <v>2018</v>
      </c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204">
        <f t="shared" si="0"/>
        <v>0</v>
      </c>
    </row>
    <row r="34" spans="1:18">
      <c r="B34" s="203"/>
      <c r="C34" s="221" t="s">
        <v>318</v>
      </c>
      <c r="D34" s="222" t="s">
        <v>319</v>
      </c>
      <c r="E34" s="199">
        <v>2018</v>
      </c>
      <c r="F34" s="638"/>
      <c r="G34" s="638"/>
      <c r="H34" s="638"/>
      <c r="I34" s="638"/>
      <c r="J34" s="638"/>
      <c r="K34" s="638"/>
      <c r="L34" s="638"/>
      <c r="M34" s="638"/>
      <c r="N34" s="638"/>
      <c r="O34" s="638"/>
      <c r="P34" s="638"/>
      <c r="Q34" s="638"/>
      <c r="R34" s="204">
        <f t="shared" si="0"/>
        <v>0</v>
      </c>
    </row>
    <row r="35" spans="1:18">
      <c r="B35" s="203"/>
      <c r="C35" s="221" t="s">
        <v>320</v>
      </c>
      <c r="D35" s="222" t="s">
        <v>321</v>
      </c>
      <c r="E35" s="199">
        <v>2018</v>
      </c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204">
        <f t="shared" si="0"/>
        <v>0</v>
      </c>
    </row>
    <row r="36" spans="1:18">
      <c r="B36" s="203"/>
      <c r="C36" s="221" t="s">
        <v>322</v>
      </c>
      <c r="D36" s="222" t="s">
        <v>323</v>
      </c>
      <c r="E36" s="199">
        <v>2018</v>
      </c>
      <c r="F36" s="638"/>
      <c r="G36" s="638"/>
      <c r="H36" s="638"/>
      <c r="I36" s="638"/>
      <c r="J36" s="638"/>
      <c r="K36" s="638"/>
      <c r="L36" s="638"/>
      <c r="M36" s="638"/>
      <c r="N36" s="638"/>
      <c r="O36" s="638"/>
      <c r="P36" s="638"/>
      <c r="Q36" s="638"/>
      <c r="R36" s="204">
        <f t="shared" si="0"/>
        <v>0</v>
      </c>
    </row>
    <row r="37" spans="1:18">
      <c r="A37" s="199">
        <v>380</v>
      </c>
      <c r="B37" s="203"/>
      <c r="C37" s="212" t="s">
        <v>192</v>
      </c>
      <c r="D37" s="213" t="s">
        <v>193</v>
      </c>
      <c r="E37" s="199">
        <v>2018</v>
      </c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204">
        <f t="shared" si="0"/>
        <v>0</v>
      </c>
    </row>
    <row r="38" spans="1:18">
      <c r="A38" s="199">
        <v>376</v>
      </c>
      <c r="B38" s="203"/>
      <c r="C38" s="214" t="s">
        <v>192</v>
      </c>
      <c r="D38" s="215" t="s">
        <v>193</v>
      </c>
      <c r="E38" s="199">
        <v>2018</v>
      </c>
      <c r="F38" s="638"/>
      <c r="G38" s="638"/>
      <c r="H38" s="638"/>
      <c r="I38" s="638"/>
      <c r="J38" s="638"/>
      <c r="K38" s="638"/>
      <c r="L38" s="638"/>
      <c r="M38" s="638"/>
      <c r="N38" s="638"/>
      <c r="O38" s="638"/>
      <c r="P38" s="638"/>
      <c r="Q38" s="638"/>
      <c r="R38" s="204">
        <f t="shared" si="0"/>
        <v>0</v>
      </c>
    </row>
    <row r="39" spans="1:18">
      <c r="A39" s="206" t="s">
        <v>324</v>
      </c>
      <c r="B39" s="206"/>
      <c r="C39" s="206"/>
      <c r="D39" s="206"/>
      <c r="E39" s="206"/>
      <c r="F39" s="207">
        <f>SUM(F8:F38)</f>
        <v>771722.18000000017</v>
      </c>
      <c r="G39" s="207">
        <f t="shared" ref="G39:R39" si="1">SUM(G8:G38)</f>
        <v>752379.66</v>
      </c>
      <c r="H39" s="207">
        <f t="shared" si="1"/>
        <v>697682.9600000002</v>
      </c>
      <c r="I39" s="207">
        <f t="shared" si="1"/>
        <v>584608.34000000008</v>
      </c>
      <c r="J39" s="207">
        <f t="shared" si="1"/>
        <v>634029.22</v>
      </c>
      <c r="K39" s="207">
        <f t="shared" si="1"/>
        <v>507881.62</v>
      </c>
      <c r="L39" s="207">
        <f t="shared" si="1"/>
        <v>669529.14</v>
      </c>
      <c r="M39" s="207">
        <f t="shared" si="1"/>
        <v>583840.79</v>
      </c>
      <c r="N39" s="207">
        <f t="shared" si="1"/>
        <v>652812.11</v>
      </c>
      <c r="O39" s="207">
        <f t="shared" si="1"/>
        <v>545045.64999999991</v>
      </c>
      <c r="P39" s="207">
        <f t="shared" si="1"/>
        <v>2922980.1500000004</v>
      </c>
      <c r="Q39" s="207">
        <f t="shared" si="1"/>
        <v>502795.25</v>
      </c>
      <c r="R39" s="207">
        <f t="shared" si="1"/>
        <v>9825307.0700000022</v>
      </c>
    </row>
    <row r="40" spans="1:18"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</row>
    <row r="41" spans="1:18">
      <c r="A41" s="201" t="s">
        <v>325</v>
      </c>
      <c r="B41" s="201"/>
      <c r="C41" s="201"/>
      <c r="D41" s="201"/>
      <c r="E41" s="201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18">
      <c r="B42" s="203" t="s">
        <v>135</v>
      </c>
      <c r="C42" s="214" t="s">
        <v>292</v>
      </c>
      <c r="D42" s="215" t="s">
        <v>293</v>
      </c>
      <c r="E42" s="199">
        <v>2018</v>
      </c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>
        <f>SUM(F42:Q42)</f>
        <v>0</v>
      </c>
    </row>
    <row r="43" spans="1:18">
      <c r="B43" s="203"/>
      <c r="C43" s="218" t="s">
        <v>223</v>
      </c>
      <c r="D43" s="219" t="s">
        <v>224</v>
      </c>
      <c r="E43" s="199">
        <v>2018</v>
      </c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204">
        <f>SUM(F43:Q43)</f>
        <v>0</v>
      </c>
    </row>
    <row r="44" spans="1:18">
      <c r="B44" s="203"/>
      <c r="C44" s="214" t="s">
        <v>123</v>
      </c>
      <c r="D44" s="215" t="s">
        <v>124</v>
      </c>
      <c r="E44" s="199">
        <v>2018</v>
      </c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  <c r="R44" s="204">
        <f t="shared" ref="R44:R52" si="2">SUM(F44:Q44)</f>
        <v>0</v>
      </c>
    </row>
    <row r="45" spans="1:18">
      <c r="B45" s="203"/>
      <c r="C45" s="214" t="s">
        <v>126</v>
      </c>
      <c r="D45" s="215" t="s">
        <v>127</v>
      </c>
      <c r="E45" s="199">
        <v>2018</v>
      </c>
      <c r="F45" s="638"/>
      <c r="G45" s="638"/>
      <c r="H45" s="638"/>
      <c r="I45" s="638"/>
      <c r="J45" s="638"/>
      <c r="K45" s="638"/>
      <c r="L45" s="638"/>
      <c r="M45" s="638"/>
      <c r="N45" s="638"/>
      <c r="O45" s="638"/>
      <c r="P45" s="638"/>
      <c r="Q45" s="638"/>
      <c r="R45" s="204">
        <f t="shared" si="2"/>
        <v>0</v>
      </c>
    </row>
    <row r="46" spans="1:18">
      <c r="B46" s="203"/>
      <c r="C46" s="214" t="s">
        <v>128</v>
      </c>
      <c r="D46" s="215" t="s">
        <v>129</v>
      </c>
      <c r="E46" s="199">
        <v>2018</v>
      </c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204">
        <f t="shared" si="2"/>
        <v>0</v>
      </c>
    </row>
    <row r="47" spans="1:18">
      <c r="B47" s="203"/>
      <c r="C47" s="218" t="s">
        <v>130</v>
      </c>
      <c r="D47" s="219" t="s">
        <v>131</v>
      </c>
      <c r="E47" s="199">
        <v>2018</v>
      </c>
      <c r="F47" s="204">
        <v>2787.54</v>
      </c>
      <c r="G47" s="204">
        <v>19841.490000000002</v>
      </c>
      <c r="H47" s="204">
        <v>34812.839999999997</v>
      </c>
      <c r="I47" s="204">
        <v>34184.660000000003</v>
      </c>
      <c r="J47" s="204">
        <v>20003.12</v>
      </c>
      <c r="K47" s="204">
        <v>24477.54</v>
      </c>
      <c r="L47" s="204">
        <v>19806.77</v>
      </c>
      <c r="M47" s="204">
        <v>18843.04</v>
      </c>
      <c r="N47" s="204">
        <v>57754.62</v>
      </c>
      <c r="O47" s="204">
        <v>14594.11</v>
      </c>
      <c r="P47" s="204">
        <v>35168.199999999997</v>
      </c>
      <c r="Q47" s="204">
        <v>34852.67</v>
      </c>
      <c r="R47" s="204">
        <f t="shared" si="2"/>
        <v>317126.59999999998</v>
      </c>
    </row>
    <row r="48" spans="1:18">
      <c r="B48" s="203"/>
      <c r="C48" s="218" t="s">
        <v>132</v>
      </c>
      <c r="D48" s="219" t="s">
        <v>133</v>
      </c>
      <c r="E48" s="199">
        <v>2018</v>
      </c>
      <c r="F48" s="204">
        <v>8590.5</v>
      </c>
      <c r="G48" s="204">
        <v>11098.02</v>
      </c>
      <c r="H48" s="204">
        <v>16830.82</v>
      </c>
      <c r="I48" s="204">
        <v>14158.88</v>
      </c>
      <c r="J48" s="204">
        <v>10229.280000000001</v>
      </c>
      <c r="K48" s="204">
        <v>8799.85</v>
      </c>
      <c r="L48" s="204">
        <v>3711.03</v>
      </c>
      <c r="M48" s="204">
        <v>13885.74</v>
      </c>
      <c r="N48" s="204">
        <v>8497.9599999999991</v>
      </c>
      <c r="O48" s="204">
        <v>2221.81</v>
      </c>
      <c r="P48" s="204">
        <v>2402.3200000000002</v>
      </c>
      <c r="Q48" s="204">
        <v>4448.17</v>
      </c>
      <c r="R48" s="204">
        <f t="shared" si="2"/>
        <v>104874.37999999999</v>
      </c>
    </row>
    <row r="49" spans="1:18">
      <c r="B49" s="203"/>
      <c r="C49" s="221" t="s">
        <v>316</v>
      </c>
      <c r="D49" s="222" t="s">
        <v>317</v>
      </c>
      <c r="E49" s="199">
        <v>2018</v>
      </c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638"/>
      <c r="R49" s="204">
        <f t="shared" si="2"/>
        <v>0</v>
      </c>
    </row>
    <row r="50" spans="1:18">
      <c r="B50" s="203"/>
      <c r="C50" s="221" t="s">
        <v>318</v>
      </c>
      <c r="D50" s="222" t="s">
        <v>319</v>
      </c>
      <c r="E50" s="199">
        <v>2018</v>
      </c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638"/>
      <c r="R50" s="204">
        <f t="shared" si="2"/>
        <v>0</v>
      </c>
    </row>
    <row r="51" spans="1:18">
      <c r="B51" s="203"/>
      <c r="C51" s="221" t="s">
        <v>320</v>
      </c>
      <c r="D51" s="222" t="s">
        <v>321</v>
      </c>
      <c r="E51" s="199">
        <v>2018</v>
      </c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204">
        <f t="shared" si="2"/>
        <v>0</v>
      </c>
    </row>
    <row r="52" spans="1:18">
      <c r="B52" s="203"/>
      <c r="C52" s="214" t="s">
        <v>192</v>
      </c>
      <c r="D52" s="215" t="s">
        <v>193</v>
      </c>
      <c r="E52" s="199">
        <v>2018</v>
      </c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  <c r="R52" s="204">
        <f t="shared" si="2"/>
        <v>0</v>
      </c>
    </row>
    <row r="53" spans="1:18">
      <c r="A53" s="206" t="s">
        <v>326</v>
      </c>
      <c r="B53" s="206"/>
      <c r="C53" s="206"/>
      <c r="D53" s="206"/>
      <c r="E53" s="206"/>
      <c r="F53" s="207">
        <f>SUM(F42:F52)</f>
        <v>11378.04</v>
      </c>
      <c r="G53" s="207">
        <f t="shared" ref="G53:R53" si="3">SUM(G42:G52)</f>
        <v>30939.510000000002</v>
      </c>
      <c r="H53" s="207">
        <f t="shared" si="3"/>
        <v>51643.659999999996</v>
      </c>
      <c r="I53" s="207">
        <f t="shared" si="3"/>
        <v>48343.54</v>
      </c>
      <c r="J53" s="207">
        <f t="shared" si="3"/>
        <v>30232.400000000001</v>
      </c>
      <c r="K53" s="207">
        <f t="shared" si="3"/>
        <v>33277.39</v>
      </c>
      <c r="L53" s="207">
        <f t="shared" si="3"/>
        <v>23517.8</v>
      </c>
      <c r="M53" s="207">
        <f t="shared" si="3"/>
        <v>32728.78</v>
      </c>
      <c r="N53" s="207">
        <f t="shared" si="3"/>
        <v>66252.58</v>
      </c>
      <c r="O53" s="207">
        <f t="shared" si="3"/>
        <v>16815.920000000002</v>
      </c>
      <c r="P53" s="207">
        <f t="shared" si="3"/>
        <v>37570.519999999997</v>
      </c>
      <c r="Q53" s="207">
        <f t="shared" si="3"/>
        <v>39300.839999999997</v>
      </c>
      <c r="R53" s="207">
        <f t="shared" si="3"/>
        <v>422000.98</v>
      </c>
    </row>
    <row r="54" spans="1:18"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</row>
    <row r="55" spans="1:18">
      <c r="A55" s="208" t="s">
        <v>327</v>
      </c>
      <c r="B55" s="208"/>
      <c r="C55" s="208"/>
      <c r="D55" s="208"/>
      <c r="E55" s="208"/>
      <c r="F55" s="209">
        <f>F39+F53</f>
        <v>783100.2200000002</v>
      </c>
      <c r="G55" s="209">
        <f t="shared" ref="G55:R55" si="4">G39+G53</f>
        <v>783319.17</v>
      </c>
      <c r="H55" s="209">
        <f t="shared" si="4"/>
        <v>749326.62000000023</v>
      </c>
      <c r="I55" s="209">
        <f t="shared" si="4"/>
        <v>632951.88000000012</v>
      </c>
      <c r="J55" s="209">
        <f t="shared" si="4"/>
        <v>664261.62</v>
      </c>
      <c r="K55" s="209">
        <f t="shared" si="4"/>
        <v>541159.01</v>
      </c>
      <c r="L55" s="209">
        <f t="shared" si="4"/>
        <v>693046.94000000006</v>
      </c>
      <c r="M55" s="209">
        <f t="shared" si="4"/>
        <v>616569.57000000007</v>
      </c>
      <c r="N55" s="209">
        <f t="shared" si="4"/>
        <v>719064.69</v>
      </c>
      <c r="O55" s="209">
        <f t="shared" si="4"/>
        <v>561861.56999999995</v>
      </c>
      <c r="P55" s="209">
        <f t="shared" si="4"/>
        <v>2960550.6700000004</v>
      </c>
      <c r="Q55" s="209">
        <f t="shared" si="4"/>
        <v>542096.09</v>
      </c>
      <c r="R55" s="209">
        <f t="shared" si="4"/>
        <v>10247308.050000003</v>
      </c>
    </row>
    <row r="56" spans="1:18">
      <c r="Q56" s="210"/>
      <c r="R56" s="211"/>
    </row>
    <row r="57" spans="1:18">
      <c r="Q57" s="210"/>
      <c r="R57" s="211"/>
    </row>
    <row r="58" spans="1:18">
      <c r="Q58" s="210"/>
      <c r="R58" s="204"/>
    </row>
    <row r="60" spans="1:18">
      <c r="D60" s="199" t="s">
        <v>575</v>
      </c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3"/>
      <c r="R60" s="204"/>
    </row>
    <row r="61" spans="1:18">
      <c r="F61" s="204">
        <f>F60-'Rev Req 2017-Trans'!P11</f>
        <v>0</v>
      </c>
      <c r="G61" s="204">
        <f>G60-F60</f>
        <v>0</v>
      </c>
      <c r="H61" s="204">
        <f t="shared" ref="H61:Q61" si="5">H60-G60</f>
        <v>0</v>
      </c>
      <c r="I61" s="204">
        <f t="shared" si="5"/>
        <v>0</v>
      </c>
      <c r="J61" s="204">
        <f t="shared" si="5"/>
        <v>0</v>
      </c>
      <c r="K61" s="204">
        <f t="shared" si="5"/>
        <v>0</v>
      </c>
      <c r="L61" s="204">
        <f t="shared" si="5"/>
        <v>0</v>
      </c>
      <c r="M61" s="204">
        <f t="shared" si="5"/>
        <v>0</v>
      </c>
      <c r="N61" s="204">
        <f t="shared" si="5"/>
        <v>0</v>
      </c>
      <c r="O61" s="204">
        <f t="shared" si="5"/>
        <v>0</v>
      </c>
      <c r="P61" s="204">
        <f t="shared" si="5"/>
        <v>0</v>
      </c>
      <c r="Q61" s="204">
        <f t="shared" si="5"/>
        <v>0</v>
      </c>
    </row>
    <row r="62" spans="1:18"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</row>
    <row r="63" spans="1:18"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</row>
  </sheetData>
  <pageMargins left="0.7" right="0.7" top="0.75" bottom="0.75" header="0.3" footer="0.3"/>
  <pageSetup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9" tint="0.39997558519241921"/>
  </sheetPr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9" tint="0.39997558519241921"/>
  </sheetPr>
  <dimension ref="A1:AJ1048575"/>
  <sheetViews>
    <sheetView workbookViewId="0"/>
  </sheetViews>
  <sheetFormatPr defaultColWidth="9.140625" defaultRowHeight="20.25"/>
  <cols>
    <col min="1" max="1" width="9.5703125" style="72" customWidth="1"/>
    <col min="2" max="2" width="9.140625" style="72"/>
    <col min="3" max="3" width="54.85546875" style="72" customWidth="1"/>
    <col min="4" max="17" width="21.85546875" style="72" customWidth="1"/>
    <col min="18" max="18" width="13.85546875" customWidth="1"/>
    <col min="19" max="19" width="18.85546875" style="72" customWidth="1"/>
    <col min="20" max="20" width="18" style="72" customWidth="1"/>
    <col min="21" max="21" width="17" style="72" customWidth="1"/>
    <col min="22" max="22" width="14.85546875" style="72" bestFit="1" customWidth="1"/>
    <col min="23" max="23" width="14.5703125" style="72" bestFit="1" customWidth="1"/>
    <col min="24" max="24" width="13.140625" style="72" bestFit="1" customWidth="1"/>
    <col min="25" max="25" width="14" style="72" customWidth="1"/>
    <col min="26" max="26" width="15.5703125" style="72" customWidth="1"/>
    <col min="27" max="27" width="14.42578125" style="72" bestFit="1" customWidth="1"/>
    <col min="28" max="28" width="14.85546875" style="72" customWidth="1"/>
    <col min="29" max="29" width="15.85546875" style="72" customWidth="1"/>
    <col min="30" max="30" width="13.42578125" style="72" customWidth="1"/>
    <col min="31" max="31" width="12.140625" style="72" bestFit="1" customWidth="1"/>
    <col min="32" max="32" width="16.5703125" style="72" customWidth="1"/>
    <col min="33" max="33" width="14.42578125" style="72" customWidth="1"/>
    <col min="34" max="34" width="15.140625" style="72" customWidth="1"/>
    <col min="35" max="35" width="9.42578125" style="72" bestFit="1" customWidth="1"/>
    <col min="36" max="36" width="12.85546875" style="72" customWidth="1"/>
    <col min="37" max="16384" width="9.140625" style="72"/>
  </cols>
  <sheetData>
    <row r="1" spans="1:36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3" t="s">
        <v>255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36">
      <c r="A3" s="193" t="s">
        <v>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>
      <c r="D5" s="683" t="s">
        <v>254</v>
      </c>
      <c r="E5" s="684"/>
      <c r="F5" s="684"/>
      <c r="G5" s="684"/>
      <c r="H5" s="684"/>
      <c r="I5" s="684"/>
      <c r="J5" s="685"/>
      <c r="K5" s="686"/>
      <c r="L5" s="687"/>
      <c r="M5" s="687"/>
      <c r="N5" s="687"/>
      <c r="O5" s="687"/>
      <c r="P5" s="687"/>
      <c r="Q5" s="688"/>
      <c r="R5"/>
      <c r="U5" s="15"/>
      <c r="V5" s="14"/>
      <c r="W5" s="14"/>
      <c r="X5" s="14"/>
      <c r="Y5" s="14"/>
      <c r="Z5" s="14"/>
      <c r="AA5" s="14"/>
      <c r="AB5" s="14"/>
      <c r="AC5" s="677"/>
      <c r="AD5" s="677"/>
      <c r="AE5" s="677"/>
      <c r="AF5" s="677"/>
      <c r="AG5" s="677"/>
      <c r="AH5" s="677"/>
      <c r="AI5" s="677"/>
      <c r="AJ5" s="677"/>
    </row>
    <row r="6" spans="1:36" s="31" customFormat="1">
      <c r="A6" s="88" t="s">
        <v>4</v>
      </c>
      <c r="B6" s="32"/>
      <c r="D6" s="100">
        <v>2016</v>
      </c>
      <c r="E6" s="96">
        <v>2017</v>
      </c>
      <c r="F6" s="96">
        <f t="shared" ref="F6:P6" si="0">$E$6</f>
        <v>2017</v>
      </c>
      <c r="G6" s="96">
        <f t="shared" si="0"/>
        <v>2017</v>
      </c>
      <c r="H6" s="96">
        <f t="shared" si="0"/>
        <v>2017</v>
      </c>
      <c r="I6" s="96">
        <f t="shared" si="0"/>
        <v>2017</v>
      </c>
      <c r="J6" s="101">
        <f t="shared" si="0"/>
        <v>2017</v>
      </c>
      <c r="K6" s="115">
        <f t="shared" si="0"/>
        <v>2017</v>
      </c>
      <c r="L6" s="95">
        <f t="shared" si="0"/>
        <v>2017</v>
      </c>
      <c r="M6" s="95">
        <f t="shared" si="0"/>
        <v>2017</v>
      </c>
      <c r="N6" s="95">
        <f t="shared" si="0"/>
        <v>2017</v>
      </c>
      <c r="O6" s="95">
        <f t="shared" si="0"/>
        <v>2017</v>
      </c>
      <c r="P6" s="95">
        <f t="shared" si="0"/>
        <v>2017</v>
      </c>
      <c r="Q6" s="116">
        <v>2017</v>
      </c>
      <c r="R6"/>
      <c r="U6" s="90"/>
      <c r="V6" s="16"/>
      <c r="W6" s="90"/>
      <c r="X6" s="90"/>
      <c r="Y6" s="90"/>
      <c r="Z6" s="90"/>
      <c r="AA6" s="90"/>
      <c r="AB6" s="90"/>
      <c r="AC6" s="90"/>
      <c r="AD6" s="90"/>
      <c r="AE6" s="90"/>
      <c r="AF6" s="16"/>
      <c r="AG6" s="90"/>
      <c r="AH6" s="90"/>
      <c r="AI6" s="90"/>
      <c r="AJ6" s="90"/>
    </row>
    <row r="7" spans="1:36" s="31" customFormat="1">
      <c r="A7" s="74" t="s">
        <v>5</v>
      </c>
      <c r="B7" s="32"/>
      <c r="C7" s="74" t="s">
        <v>6</v>
      </c>
      <c r="D7" s="102" t="s">
        <v>107</v>
      </c>
      <c r="E7" s="97" t="s">
        <v>95</v>
      </c>
      <c r="F7" s="97" t="s">
        <v>98</v>
      </c>
      <c r="G7" s="97" t="s">
        <v>99</v>
      </c>
      <c r="H7" s="97" t="s">
        <v>100</v>
      </c>
      <c r="I7" s="97" t="s">
        <v>88</v>
      </c>
      <c r="J7" s="103" t="s">
        <v>101</v>
      </c>
      <c r="K7" s="117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243</v>
      </c>
      <c r="R7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16"/>
      <c r="AG7" s="90"/>
      <c r="AH7" s="90"/>
      <c r="AI7" s="90"/>
      <c r="AJ7" s="90"/>
    </row>
    <row r="8" spans="1:36" s="31" customFormat="1">
      <c r="A8" s="88"/>
      <c r="B8" s="32"/>
      <c r="C8" s="76">
        <v>-1</v>
      </c>
      <c r="D8" s="104">
        <v>-2</v>
      </c>
      <c r="E8" s="105">
        <v>-3</v>
      </c>
      <c r="F8" s="105">
        <v>-4</v>
      </c>
      <c r="G8" s="105">
        <v>-5</v>
      </c>
      <c r="H8" s="105">
        <v>-6</v>
      </c>
      <c r="I8" s="105">
        <v>-7</v>
      </c>
      <c r="J8" s="106">
        <v>-8</v>
      </c>
      <c r="K8" s="119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0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>
      <c r="A9" s="32"/>
      <c r="B9" s="32"/>
      <c r="D9" s="107"/>
      <c r="E9" s="108"/>
      <c r="F9" s="108"/>
      <c r="G9" s="108"/>
      <c r="H9" s="108"/>
      <c r="I9" s="108"/>
      <c r="J9" s="109"/>
      <c r="K9" s="122"/>
      <c r="L9" s="13"/>
      <c r="M9" s="13"/>
      <c r="N9" s="13"/>
      <c r="O9" s="13"/>
      <c r="P9" s="13"/>
      <c r="Q9" s="123"/>
      <c r="R9"/>
      <c r="U9" s="90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>
      <c r="A10" s="32"/>
      <c r="B10" s="77" t="s">
        <v>51</v>
      </c>
      <c r="D10" s="107"/>
      <c r="E10" s="108"/>
      <c r="F10" s="108"/>
      <c r="G10" s="108"/>
      <c r="H10" s="108"/>
      <c r="I10" s="108"/>
      <c r="J10" s="109"/>
      <c r="K10" s="122"/>
      <c r="L10" s="13"/>
      <c r="M10" s="13"/>
      <c r="N10" s="13"/>
      <c r="O10" s="13"/>
      <c r="P10" s="13"/>
      <c r="Q10" s="123"/>
      <c r="R10"/>
      <c r="U10" s="90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>
      <c r="A11" s="32">
        <v>1</v>
      </c>
      <c r="B11" s="32"/>
      <c r="C11" s="78" t="s">
        <v>452</v>
      </c>
      <c r="D11" s="392">
        <v>218673518.64999992</v>
      </c>
      <c r="E11" s="393">
        <v>221555022.26999992</v>
      </c>
      <c r="F11" s="393">
        <v>224484281.51999995</v>
      </c>
      <c r="G11" s="393">
        <v>228235660.75999993</v>
      </c>
      <c r="H11" s="393">
        <v>232266198.41999993</v>
      </c>
      <c r="I11" s="393">
        <v>236524388.05999991</v>
      </c>
      <c r="J11" s="394">
        <v>240904618.2599999</v>
      </c>
      <c r="K11" s="370">
        <f>'201707 Bk Depr'!$R25</f>
        <v>568728.79</v>
      </c>
      <c r="L11" s="371">
        <f>'201708 Bk Depr'!$R25</f>
        <v>1410756.7000000002</v>
      </c>
      <c r="M11" s="371">
        <f>'201709 Bk Depr'!$R25</f>
        <v>2125762.4700000002</v>
      </c>
      <c r="N11" s="371">
        <f>'201710 Bk Depr'!$R25</f>
        <v>3096625.7700000005</v>
      </c>
      <c r="O11" s="371">
        <f>'201711 Bk Depr'!$R25</f>
        <v>3822688.83</v>
      </c>
      <c r="P11" s="371">
        <f>'201712 Bk Depr'!$R25</f>
        <v>4789044.3899999997</v>
      </c>
      <c r="Q11" s="372">
        <f>SUM(K11:P11)/7</f>
        <v>2259086.7071428569</v>
      </c>
      <c r="R11"/>
      <c r="U11" s="90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>
      <c r="A12" s="32">
        <v>2</v>
      </c>
      <c r="B12" s="32"/>
      <c r="C12" s="31" t="s">
        <v>19</v>
      </c>
      <c r="D12" s="392">
        <v>4540286.8899999997</v>
      </c>
      <c r="E12" s="393">
        <v>4642448.26</v>
      </c>
      <c r="F12" s="393">
        <v>4749273.92</v>
      </c>
      <c r="G12" s="393">
        <v>4859999.8599999994</v>
      </c>
      <c r="H12" s="393">
        <v>4969441.51</v>
      </c>
      <c r="I12" s="393">
        <v>5089001.5799999991</v>
      </c>
      <c r="J12" s="394">
        <v>5209606.8599999994</v>
      </c>
      <c r="K12" s="370">
        <f>'201707 Bk Depr'!$R31</f>
        <v>26417.16</v>
      </c>
      <c r="L12" s="371">
        <f>'201708 Bk Depr'!$R31</f>
        <v>55362.57</v>
      </c>
      <c r="M12" s="371">
        <f>'201709 Bk Depr'!$R31</f>
        <v>79400.41</v>
      </c>
      <c r="N12" s="371">
        <f>'201710 Bk Depr'!$R31</f>
        <v>110846.69</v>
      </c>
      <c r="O12" s="371">
        <f>'201711 Bk Depr'!$R31</f>
        <v>149647.02000000002</v>
      </c>
      <c r="P12" s="371">
        <f>'201712 Bk Depr'!$R31</f>
        <v>187096.43000000002</v>
      </c>
      <c r="Q12" s="372">
        <f t="shared" ref="Q12:Q13" si="1">SUM(K12:P12)/7</f>
        <v>86967.182857142863</v>
      </c>
      <c r="R12"/>
      <c r="U12" s="90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>
      <c r="A13" s="32">
        <v>3</v>
      </c>
      <c r="B13" s="32"/>
      <c r="C13" s="31" t="s">
        <v>52</v>
      </c>
      <c r="D13" s="395">
        <v>-11624581.388949178</v>
      </c>
      <c r="E13" s="396">
        <v>-12223718.714747511</v>
      </c>
      <c r="F13" s="396">
        <v>-12830571.515023053</v>
      </c>
      <c r="G13" s="396">
        <v>-13446162.154084053</v>
      </c>
      <c r="H13" s="396">
        <v>-14071952.10238922</v>
      </c>
      <c r="I13" s="396">
        <v>-14708754.916368136</v>
      </c>
      <c r="J13" s="397">
        <v>-15357043.41514772</v>
      </c>
      <c r="K13" s="378">
        <f>-'Cap&amp;OpEx 2017'!C$22-'201707 Bk Depr'!P17</f>
        <v>-767.78386650000027</v>
      </c>
      <c r="L13" s="379">
        <f>-'Cap&amp;OpEx 2017'!D$22-'201708 Bk Depr'!P17+K13</f>
        <v>-3440.0892780000013</v>
      </c>
      <c r="M13" s="379">
        <f>-'Cap&amp;OpEx 2017'!E$22-'201709 Bk Depr'!P17+L13</f>
        <v>-8214.3901575000018</v>
      </c>
      <c r="N13" s="379">
        <f>-'Cap&amp;OpEx 2017'!F$22-'201710 Bk Depr'!P17+M13</f>
        <v>-15264.614281500004</v>
      </c>
      <c r="O13" s="379">
        <f>-'Cap&amp;OpEx 2017'!G$22-'201711 Bk Depr'!P17+N13</f>
        <v>-24605.688991500007</v>
      </c>
      <c r="P13" s="379">
        <f>-'Cap&amp;OpEx 2017'!H$22-'201712 Bk Depr'!P17+O13</f>
        <v>-36231.528838500009</v>
      </c>
      <c r="Q13" s="377">
        <f t="shared" si="1"/>
        <v>-12646.299344785717</v>
      </c>
      <c r="R13"/>
      <c r="U13" s="90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>
      <c r="A14" s="32">
        <v>4</v>
      </c>
      <c r="B14" s="32"/>
      <c r="C14" s="31" t="s">
        <v>53</v>
      </c>
      <c r="D14" s="392">
        <v>211589224.15105072</v>
      </c>
      <c r="E14" s="393">
        <v>213973751.81525239</v>
      </c>
      <c r="F14" s="393">
        <v>216402983.92497689</v>
      </c>
      <c r="G14" s="393">
        <v>219649498.46591589</v>
      </c>
      <c r="H14" s="393">
        <v>223163687.8276107</v>
      </c>
      <c r="I14" s="393">
        <v>226904634.7236318</v>
      </c>
      <c r="J14" s="394">
        <v>230757181.70485216</v>
      </c>
      <c r="K14" s="370">
        <f t="shared" ref="K14:Q14" si="2">SUM(K11:K13)</f>
        <v>594378.16613350005</v>
      </c>
      <c r="L14" s="371">
        <f t="shared" si="2"/>
        <v>1462679.1807220003</v>
      </c>
      <c r="M14" s="371">
        <f t="shared" si="2"/>
        <v>2196948.4898425005</v>
      </c>
      <c r="N14" s="371">
        <f t="shared" si="2"/>
        <v>3192207.8457185002</v>
      </c>
      <c r="O14" s="371">
        <f t="shared" si="2"/>
        <v>3947730.1610085</v>
      </c>
      <c r="P14" s="371">
        <f t="shared" si="2"/>
        <v>4939909.291161499</v>
      </c>
      <c r="Q14" s="372">
        <f t="shared" si="2"/>
        <v>2333407.5906552142</v>
      </c>
      <c r="R14"/>
      <c r="U14" s="90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>
      <c r="A15" s="32"/>
      <c r="B15" s="32"/>
      <c r="D15" s="110"/>
      <c r="E15" s="98"/>
      <c r="F15" s="98"/>
      <c r="G15" s="98"/>
      <c r="H15" s="98"/>
      <c r="I15" s="98"/>
      <c r="J15" s="111"/>
      <c r="K15" s="124"/>
      <c r="L15" s="47"/>
      <c r="M15" s="47"/>
      <c r="N15" s="47"/>
      <c r="O15" s="47"/>
      <c r="P15" s="47"/>
      <c r="Q15" s="125"/>
      <c r="R15"/>
      <c r="U15" s="90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>
      <c r="A16" s="32">
        <v>5</v>
      </c>
      <c r="B16" s="32"/>
      <c r="C16" s="31" t="s">
        <v>54</v>
      </c>
      <c r="D16" s="395">
        <v>-29925580.547962356</v>
      </c>
      <c r="E16" s="396">
        <v>-36933741.090531789</v>
      </c>
      <c r="F16" s="396">
        <v>-37531662.582907513</v>
      </c>
      <c r="G16" s="396">
        <v>-38157645.852782331</v>
      </c>
      <c r="H16" s="396">
        <v>-38708863.869166292</v>
      </c>
      <c r="I16" s="396">
        <v>-39205882.884475417</v>
      </c>
      <c r="J16" s="397">
        <v>-39638805.084670633</v>
      </c>
      <c r="K16" s="378">
        <f>-'Tax Depr 2017'!$U23</f>
        <v>-188275.92997336897</v>
      </c>
      <c r="L16" s="379">
        <f>-'Tax Depr 2017'!$U24</f>
        <v>-477985.61167460802</v>
      </c>
      <c r="M16" s="379">
        <f>-'Tax Depr 2017'!$U25</f>
        <v>-706439.19186629495</v>
      </c>
      <c r="N16" s="379">
        <f>-'Tax Depr 2017'!$U26</f>
        <v>-978135.83209387143</v>
      </c>
      <c r="O16" s="379">
        <f>-'Tax Depr 2017'!$U27</f>
        <v>-1158267.6471874937</v>
      </c>
      <c r="P16" s="379">
        <f>-'Tax Depr 2017'!$U28</f>
        <v>-1404439.0692280733</v>
      </c>
      <c r="Q16" s="377">
        <f t="shared" ref="Q16" si="3">SUM(K16:P16)/7</f>
        <v>-701934.75457481574</v>
      </c>
      <c r="R16"/>
      <c r="U16" s="90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>
      <c r="A17" s="32"/>
      <c r="B17" s="32"/>
      <c r="D17" s="110"/>
      <c r="E17" s="98"/>
      <c r="F17" s="98"/>
      <c r="G17" s="98"/>
      <c r="H17" s="98"/>
      <c r="I17" s="98"/>
      <c r="J17" s="111"/>
      <c r="K17" s="124"/>
      <c r="L17" s="47"/>
      <c r="M17" s="47"/>
      <c r="N17" s="47"/>
      <c r="O17" s="47"/>
      <c r="P17" s="47"/>
      <c r="Q17" s="125"/>
      <c r="R17"/>
    </row>
    <row r="18" spans="1:19" s="31" customFormat="1">
      <c r="A18" s="32">
        <v>6</v>
      </c>
      <c r="B18" s="32"/>
      <c r="C18" s="78" t="s">
        <v>55</v>
      </c>
      <c r="D18" s="392">
        <v>181663643.60308835</v>
      </c>
      <c r="E18" s="393">
        <v>177040010.7247206</v>
      </c>
      <c r="F18" s="393">
        <v>178871321.34206939</v>
      </c>
      <c r="G18" s="393">
        <v>181491852.61313355</v>
      </c>
      <c r="H18" s="393">
        <v>184454823.95844442</v>
      </c>
      <c r="I18" s="393">
        <v>187698751.83915639</v>
      </c>
      <c r="J18" s="394">
        <v>191118376.62018153</v>
      </c>
      <c r="K18" s="370">
        <f t="shared" ref="K18:Q18" si="4">SUM(K14:K16)</f>
        <v>406102.23616013105</v>
      </c>
      <c r="L18" s="371">
        <f t="shared" si="4"/>
        <v>984693.56904739235</v>
      </c>
      <c r="M18" s="371">
        <f t="shared" si="4"/>
        <v>1490509.2979762056</v>
      </c>
      <c r="N18" s="371">
        <f t="shared" si="4"/>
        <v>2214072.013624629</v>
      </c>
      <c r="O18" s="371">
        <f t="shared" si="4"/>
        <v>2789462.5138210063</v>
      </c>
      <c r="P18" s="371">
        <f t="shared" si="4"/>
        <v>3535470.2219334254</v>
      </c>
      <c r="Q18" s="372">
        <f t="shared" si="4"/>
        <v>1631472.8360803984</v>
      </c>
      <c r="R18"/>
      <c r="S18" s="80"/>
    </row>
    <row r="19" spans="1:19" s="31" customFormat="1">
      <c r="A19" s="32"/>
      <c r="B19" s="32"/>
      <c r="D19" s="107"/>
      <c r="E19" s="108"/>
      <c r="F19" s="108"/>
      <c r="G19" s="108"/>
      <c r="H19" s="108"/>
      <c r="I19" s="108"/>
      <c r="J19" s="109"/>
      <c r="K19" s="122"/>
      <c r="L19" s="13"/>
      <c r="M19" s="13"/>
      <c r="N19" s="13"/>
      <c r="O19" s="13"/>
      <c r="P19" s="13"/>
      <c r="Q19" s="123"/>
      <c r="R19"/>
    </row>
    <row r="20" spans="1:19" s="31" customFormat="1">
      <c r="A20" s="32">
        <v>7</v>
      </c>
      <c r="B20" s="32"/>
      <c r="C20" s="31" t="s">
        <v>56</v>
      </c>
      <c r="D20" s="112">
        <v>8.7039841473943429E-3</v>
      </c>
      <c r="E20" s="99">
        <v>8.7039841473943429E-3</v>
      </c>
      <c r="F20" s="99">
        <v>8.7039841473943429E-3</v>
      </c>
      <c r="G20" s="99">
        <v>8.7039841473943429E-3</v>
      </c>
      <c r="H20" s="99">
        <v>8.7039841473943429E-3</v>
      </c>
      <c r="I20" s="99">
        <v>8.7039841473943429E-3</v>
      </c>
      <c r="J20" s="113">
        <v>8.7039841473943429E-3</v>
      </c>
      <c r="K20" s="126">
        <v>8.5431530257663712E-3</v>
      </c>
      <c r="L20" s="37">
        <v>8.5431530257663712E-3</v>
      </c>
      <c r="M20" s="37">
        <v>8.5431530257663712E-3</v>
      </c>
      <c r="N20" s="37">
        <v>8.5431530257663712E-3</v>
      </c>
      <c r="O20" s="37">
        <v>8.5431530257663712E-3</v>
      </c>
      <c r="P20" s="37">
        <v>8.5431530257663712E-3</v>
      </c>
      <c r="Q20" s="127">
        <f>SUM(K20:P20)</f>
        <v>5.1258918154598231E-2</v>
      </c>
      <c r="R20"/>
    </row>
    <row r="21" spans="1:19" s="31" customFormat="1">
      <c r="A21" s="32"/>
      <c r="B21" s="32"/>
      <c r="D21" s="114"/>
      <c r="E21" s="108"/>
      <c r="F21" s="108"/>
      <c r="G21" s="108"/>
      <c r="H21" s="108"/>
      <c r="I21" s="108"/>
      <c r="J21" s="109"/>
      <c r="K21" s="122"/>
      <c r="L21" s="13"/>
      <c r="M21" s="13"/>
      <c r="N21" s="13"/>
      <c r="O21" s="13"/>
      <c r="P21" s="13"/>
      <c r="Q21" s="123"/>
      <c r="R21"/>
    </row>
    <row r="22" spans="1:19" s="31" customFormat="1">
      <c r="A22" s="32">
        <v>8</v>
      </c>
      <c r="B22" s="32"/>
      <c r="C22" s="31" t="s">
        <v>57</v>
      </c>
      <c r="D22" s="398">
        <v>1581197.4740791768</v>
      </c>
      <c r="E22" s="399">
        <v>1540953.4468024925</v>
      </c>
      <c r="F22" s="399">
        <v>1556893.1453848514</v>
      </c>
      <c r="G22" s="399">
        <v>1579702.2080259449</v>
      </c>
      <c r="H22" s="399">
        <v>1605491.8636447145</v>
      </c>
      <c r="I22" s="399">
        <v>1633726.960493722</v>
      </c>
      <c r="J22" s="400">
        <v>1663491.3203778018</v>
      </c>
      <c r="K22" s="401">
        <f t="shared" ref="K22:Q22" si="5">K18*K20</f>
        <v>3469.3935476219131</v>
      </c>
      <c r="L22" s="402">
        <f t="shared" si="5"/>
        <v>8412.3878438599168</v>
      </c>
      <c r="M22" s="402">
        <f t="shared" si="5"/>
        <v>12733.649018938331</v>
      </c>
      <c r="N22" s="402">
        <f t="shared" si="5"/>
        <v>18915.156022461892</v>
      </c>
      <c r="O22" s="402">
        <f t="shared" si="5"/>
        <v>23830.805115211799</v>
      </c>
      <c r="P22" s="402">
        <f t="shared" si="5"/>
        <v>30204.063124017448</v>
      </c>
      <c r="Q22" s="403">
        <f t="shared" si="5"/>
        <v>83627.5325760954</v>
      </c>
      <c r="R22"/>
    </row>
    <row r="23" spans="1:19" s="31" customFormat="1">
      <c r="A23" s="32"/>
      <c r="B23" s="32"/>
      <c r="D23" s="114"/>
      <c r="E23" s="108"/>
      <c r="F23" s="108"/>
      <c r="G23" s="108"/>
      <c r="H23" s="108"/>
      <c r="I23" s="108"/>
      <c r="J23" s="109"/>
      <c r="K23" s="122"/>
      <c r="L23" s="13"/>
      <c r="M23" s="13"/>
      <c r="N23" s="13"/>
      <c r="O23" s="13"/>
      <c r="P23" s="13"/>
      <c r="Q23" s="123"/>
      <c r="R23"/>
    </row>
    <row r="24" spans="1:19" s="31" customFormat="1">
      <c r="A24" s="32"/>
      <c r="B24" s="77" t="s">
        <v>58</v>
      </c>
      <c r="D24" s="107"/>
      <c r="E24" s="108"/>
      <c r="F24" s="108"/>
      <c r="G24" s="108"/>
      <c r="H24" s="108"/>
      <c r="I24" s="108"/>
      <c r="J24" s="109"/>
      <c r="K24" s="122"/>
      <c r="L24" s="13"/>
      <c r="M24" s="13"/>
      <c r="N24" s="13"/>
      <c r="O24" s="13"/>
      <c r="P24" s="13"/>
      <c r="Q24" s="123"/>
      <c r="R24"/>
    </row>
    <row r="25" spans="1:19" s="31" customFormat="1">
      <c r="A25" s="32">
        <v>9</v>
      </c>
      <c r="B25" s="32"/>
      <c r="C25" s="31" t="s">
        <v>0</v>
      </c>
      <c r="D25" s="392">
        <v>579467.52354124992</v>
      </c>
      <c r="E25" s="393">
        <v>588476.18058408331</v>
      </c>
      <c r="F25" s="393">
        <v>596191.65506129165</v>
      </c>
      <c r="G25" s="393">
        <v>604929.49384674989</v>
      </c>
      <c r="H25" s="393">
        <v>615128.8030909166</v>
      </c>
      <c r="I25" s="393">
        <v>626141.66876466665</v>
      </c>
      <c r="J25" s="394">
        <v>637627.35356533329</v>
      </c>
      <c r="K25" s="370">
        <f>'201707 Bk Depr'!$P25</f>
        <v>767.78386650000027</v>
      </c>
      <c r="L25" s="371">
        <f>'201708 Bk Depr'!$P25</f>
        <v>2672.3054115000009</v>
      </c>
      <c r="M25" s="371">
        <f>'201709 Bk Depr'!$P25</f>
        <v>4774.3008795000014</v>
      </c>
      <c r="N25" s="371">
        <f>'201710 Bk Depr'!$P25</f>
        <v>7050.2241240000021</v>
      </c>
      <c r="O25" s="371">
        <f>'201711 Bk Depr'!$P25</f>
        <v>9341.0747100000044</v>
      </c>
      <c r="P25" s="371">
        <f>'201712 Bk Depr'!$P25</f>
        <v>11625.839847000003</v>
      </c>
      <c r="Q25" s="372">
        <f>SUM(K25:P25)</f>
        <v>36231.528838500009</v>
      </c>
      <c r="R25"/>
      <c r="S25" s="80"/>
    </row>
    <row r="26" spans="1:19" s="31" customFormat="1">
      <c r="A26" s="32">
        <v>10</v>
      </c>
      <c r="B26" s="32"/>
      <c r="C26" s="13" t="s">
        <v>59</v>
      </c>
      <c r="D26" s="392">
        <v>117915.46000000002</v>
      </c>
      <c r="E26" s="393">
        <v>139510.51999999999</v>
      </c>
      <c r="F26" s="393">
        <v>73320.98000000001</v>
      </c>
      <c r="G26" s="393">
        <v>111290.44000000003</v>
      </c>
      <c r="H26" s="393">
        <v>45198.47</v>
      </c>
      <c r="I26" s="393">
        <v>140279.72</v>
      </c>
      <c r="J26" s="394">
        <v>120955.86000000002</v>
      </c>
      <c r="K26" s="370">
        <f>'Cap&amp;OpEx 2017'!C29</f>
        <v>62063.899999999994</v>
      </c>
      <c r="L26" s="371">
        <f>'Cap&amp;OpEx 2017'!D29</f>
        <v>85274.15</v>
      </c>
      <c r="M26" s="371">
        <f>'Cap&amp;OpEx 2017'!E29</f>
        <v>64736.08</v>
      </c>
      <c r="N26" s="371">
        <f>'Cap&amp;OpEx 2017'!F29</f>
        <v>107597.89000000001</v>
      </c>
      <c r="O26" s="371">
        <f>'Cap&amp;OpEx 2017'!G29</f>
        <v>78694.020000000019</v>
      </c>
      <c r="P26" s="371">
        <f>'Cap&amp;OpEx 2017'!H29</f>
        <v>88839.3</v>
      </c>
      <c r="Q26" s="372">
        <f>SUM(K26:P26)</f>
        <v>487205.34</v>
      </c>
      <c r="R26"/>
      <c r="S26" s="80"/>
    </row>
    <row r="27" spans="1:19" s="31" customFormat="1">
      <c r="A27" s="32">
        <v>11</v>
      </c>
      <c r="B27" s="32"/>
      <c r="C27" s="31" t="s">
        <v>178</v>
      </c>
      <c r="D27" s="392">
        <v>178960</v>
      </c>
      <c r="E27" s="393">
        <v>237772.02999999994</v>
      </c>
      <c r="F27" s="393">
        <v>237772.02999999994</v>
      </c>
      <c r="G27" s="393">
        <v>237772.02999999994</v>
      </c>
      <c r="H27" s="393">
        <v>237772.02999999994</v>
      </c>
      <c r="I27" s="393">
        <v>237772.02999999994</v>
      </c>
      <c r="J27" s="394">
        <v>237772.02999999994</v>
      </c>
      <c r="K27" s="370">
        <f>'Cap&amp;OpEx 2017'!C30</f>
        <v>0</v>
      </c>
      <c r="L27" s="371">
        <f>'Cap&amp;OpEx 2017'!D30</f>
        <v>0</v>
      </c>
      <c r="M27" s="371">
        <f>'Cap&amp;OpEx 2017'!E30</f>
        <v>0</v>
      </c>
      <c r="N27" s="371">
        <f>'Cap&amp;OpEx 2017'!F30</f>
        <v>0</v>
      </c>
      <c r="O27" s="371">
        <f>'Cap&amp;OpEx 2017'!G30</f>
        <v>0</v>
      </c>
      <c r="P27" s="371">
        <f>'Cap&amp;OpEx 2017'!H30</f>
        <v>0</v>
      </c>
      <c r="Q27" s="372">
        <f>SUM(K27:P27)</f>
        <v>0</v>
      </c>
      <c r="R27"/>
      <c r="S27" s="80"/>
    </row>
    <row r="28" spans="1:19" s="31" customFormat="1">
      <c r="A28" s="32"/>
      <c r="B28" s="32"/>
      <c r="D28" s="110"/>
      <c r="E28" s="98"/>
      <c r="F28" s="98"/>
      <c r="G28" s="98"/>
      <c r="H28" s="98"/>
      <c r="I28" s="98"/>
      <c r="J28" s="111"/>
      <c r="K28" s="124"/>
      <c r="L28" s="47"/>
      <c r="M28" s="47"/>
      <c r="N28" s="47"/>
      <c r="O28" s="47"/>
      <c r="P28" s="47"/>
      <c r="Q28" s="125"/>
      <c r="R28"/>
    </row>
    <row r="29" spans="1:19" s="31" customFormat="1">
      <c r="A29" s="32">
        <v>12</v>
      </c>
      <c r="B29" s="32"/>
      <c r="C29" s="31" t="s">
        <v>60</v>
      </c>
      <c r="D29" s="392">
        <v>876342.98354125</v>
      </c>
      <c r="E29" s="393">
        <v>965758.73058408324</v>
      </c>
      <c r="F29" s="393">
        <v>907284.66506129154</v>
      </c>
      <c r="G29" s="393">
        <v>953991.96384674986</v>
      </c>
      <c r="H29" s="393">
        <v>898099.30309091648</v>
      </c>
      <c r="I29" s="393">
        <v>1004193.4187646665</v>
      </c>
      <c r="J29" s="394">
        <v>996355.24356533319</v>
      </c>
      <c r="K29" s="370">
        <f t="shared" ref="K29:Q29" si="6">SUM(K25:K28)</f>
        <v>62831.683866499996</v>
      </c>
      <c r="L29" s="371">
        <f t="shared" si="6"/>
        <v>87946.455411499992</v>
      </c>
      <c r="M29" s="371">
        <f t="shared" si="6"/>
        <v>69510.380879500008</v>
      </c>
      <c r="N29" s="371">
        <f t="shared" si="6"/>
        <v>114648.11412400001</v>
      </c>
      <c r="O29" s="371">
        <f t="shared" si="6"/>
        <v>88035.094710000019</v>
      </c>
      <c r="P29" s="371">
        <f t="shared" si="6"/>
        <v>100465.13984700001</v>
      </c>
      <c r="Q29" s="372">
        <f t="shared" si="6"/>
        <v>523436.86883850006</v>
      </c>
      <c r="R29"/>
    </row>
    <row r="30" spans="1:19" s="31" customFormat="1">
      <c r="A30" s="32"/>
      <c r="B30" s="32"/>
      <c r="D30" s="107"/>
      <c r="E30" s="108"/>
      <c r="F30" s="108"/>
      <c r="G30" s="108"/>
      <c r="H30" s="108"/>
      <c r="I30" s="108"/>
      <c r="J30" s="109"/>
      <c r="K30" s="122"/>
      <c r="L30" s="13"/>
      <c r="M30" s="13"/>
      <c r="N30" s="13"/>
      <c r="O30" s="13"/>
      <c r="P30" s="13"/>
      <c r="Q30" s="123"/>
      <c r="R30"/>
    </row>
    <row r="31" spans="1:19" s="31" customFormat="1">
      <c r="A31" s="32">
        <v>13</v>
      </c>
      <c r="B31" s="77" t="s">
        <v>165</v>
      </c>
      <c r="D31" s="404">
        <v>2457540.457620427</v>
      </c>
      <c r="E31" s="405">
        <v>2506712.1773865758</v>
      </c>
      <c r="F31" s="405">
        <v>2464177.8104461432</v>
      </c>
      <c r="G31" s="405">
        <v>2533694.171872695</v>
      </c>
      <c r="H31" s="405">
        <v>2503591.1667356309</v>
      </c>
      <c r="I31" s="405">
        <v>2637920.3792583887</v>
      </c>
      <c r="J31" s="406">
        <v>2659846.5639431351</v>
      </c>
      <c r="K31" s="407">
        <f t="shared" ref="K31:Q31" si="7">K22+K29</f>
        <v>66301.077414121915</v>
      </c>
      <c r="L31" s="408">
        <f t="shared" si="7"/>
        <v>96358.843255359912</v>
      </c>
      <c r="M31" s="408">
        <f t="shared" si="7"/>
        <v>82244.029898438341</v>
      </c>
      <c r="N31" s="408">
        <f t="shared" si="7"/>
        <v>133563.2701464619</v>
      </c>
      <c r="O31" s="408">
        <f t="shared" si="7"/>
        <v>111865.89982521182</v>
      </c>
      <c r="P31" s="408">
        <f t="shared" si="7"/>
        <v>130669.20297101745</v>
      </c>
      <c r="Q31" s="409">
        <f t="shared" si="7"/>
        <v>607064.40141459543</v>
      </c>
      <c r="R31"/>
    </row>
    <row r="32" spans="1:19" s="31" customFormat="1">
      <c r="A32" s="32"/>
      <c r="B32" s="32"/>
      <c r="D32" s="80"/>
      <c r="P32" s="80"/>
      <c r="R32"/>
    </row>
    <row r="33" spans="1:28" s="31" customFormat="1">
      <c r="D33" s="36"/>
      <c r="E33" s="81"/>
      <c r="F33" s="81"/>
      <c r="G33" s="81"/>
      <c r="H33" s="81"/>
      <c r="I33" s="81"/>
      <c r="J33" s="81"/>
      <c r="K33" s="578"/>
      <c r="L33" s="81"/>
      <c r="M33" s="81"/>
      <c r="N33" s="81"/>
      <c r="O33" s="81"/>
      <c r="R33"/>
    </row>
    <row r="34" spans="1:28" s="31" customFormat="1">
      <c r="A34" s="157"/>
      <c r="B34" s="15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>
      <c r="A35" s="159"/>
      <c r="B35" s="16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>
      <c r="A36" s="159"/>
      <c r="B36" s="159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159"/>
      <c r="B37" s="159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159"/>
      <c r="B38" s="159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159"/>
      <c r="B39" s="159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23"/>
      <c r="B40" s="23"/>
      <c r="C40" s="16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164"/>
      <c r="C41" s="16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23"/>
      <c r="C42" s="165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3"/>
      <c r="C45" s="23"/>
      <c r="D45" s="23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23"/>
      <c r="Q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>
      <c r="A47" s="16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>
      <c r="A48" s="16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36">
      <c r="A49" s="2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36">
      <c r="A50" s="159"/>
      <c r="B50" s="15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S50" s="23"/>
      <c r="T50" s="23"/>
      <c r="U50" s="19"/>
      <c r="V50" s="20"/>
      <c r="W50" s="20"/>
      <c r="X50" s="20"/>
      <c r="Y50" s="20"/>
      <c r="Z50" s="20"/>
      <c r="AA50" s="20"/>
      <c r="AB50" s="20"/>
      <c r="AC50" s="94"/>
      <c r="AD50" s="94"/>
      <c r="AE50" s="94"/>
      <c r="AF50" s="94"/>
      <c r="AG50" s="94"/>
      <c r="AH50" s="94"/>
      <c r="AI50" s="94"/>
      <c r="AJ50" s="94"/>
    </row>
    <row r="51" spans="1:36">
      <c r="A51" s="21"/>
      <c r="B51" s="159"/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S51" s="23"/>
      <c r="T51" s="23"/>
      <c r="U51" s="21"/>
      <c r="V51" s="22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:36">
      <c r="A52" s="84"/>
      <c r="B52" s="159"/>
      <c r="C52" s="84"/>
      <c r="D52" s="83"/>
      <c r="E52" s="84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S52" s="23"/>
      <c r="T52" s="23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6">
      <c r="A53" s="21"/>
      <c r="B53" s="159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S53" s="23"/>
      <c r="T53" s="23"/>
      <c r="U53" s="21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>
      <c r="A54" s="159"/>
      <c r="B54" s="15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S54" s="23"/>
      <c r="T54" s="23"/>
      <c r="U54" s="21"/>
      <c r="V54" s="24"/>
      <c r="W54" s="24"/>
      <c r="X54" s="24"/>
      <c r="Y54" s="24"/>
      <c r="Z54" s="24"/>
      <c r="AA54" s="24"/>
      <c r="AB54" s="25"/>
      <c r="AC54" s="24"/>
      <c r="AD54" s="25"/>
      <c r="AE54" s="25"/>
      <c r="AF54" s="25"/>
      <c r="AG54" s="24"/>
      <c r="AH54" s="24"/>
      <c r="AI54" s="24"/>
      <c r="AJ54" s="24"/>
    </row>
    <row r="55" spans="1:36">
      <c r="A55" s="159"/>
      <c r="B55" s="16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S55" s="23"/>
      <c r="T55" s="23"/>
      <c r="U55" s="21"/>
      <c r="V55" s="24"/>
      <c r="W55" s="24"/>
      <c r="X55" s="24"/>
      <c r="Y55" s="24"/>
      <c r="Z55" s="24"/>
      <c r="AA55" s="24"/>
      <c r="AB55" s="25"/>
      <c r="AC55" s="24"/>
      <c r="AD55" s="24"/>
      <c r="AE55" s="24"/>
      <c r="AF55" s="25"/>
      <c r="AG55" s="24"/>
      <c r="AH55" s="24"/>
      <c r="AI55" s="24"/>
      <c r="AJ55" s="24"/>
    </row>
    <row r="56" spans="1:36">
      <c r="A56" s="159"/>
      <c r="B56" s="159"/>
      <c r="C56" s="161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S56" s="23"/>
      <c r="T56" s="23"/>
      <c r="U56" s="21"/>
      <c r="V56" s="24"/>
      <c r="W56" s="24"/>
      <c r="X56" s="24"/>
      <c r="Y56" s="24"/>
      <c r="Z56" s="24"/>
      <c r="AA56" s="24"/>
      <c r="AB56" s="25"/>
      <c r="AC56" s="24"/>
      <c r="AD56" s="24"/>
      <c r="AE56" s="24"/>
      <c r="AF56" s="25"/>
      <c r="AG56" s="24"/>
      <c r="AH56" s="24"/>
      <c r="AI56" s="24"/>
      <c r="AJ56" s="24"/>
    </row>
    <row r="57" spans="1:36">
      <c r="A57" s="159"/>
      <c r="B57" s="159"/>
      <c r="C57" s="23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S57" s="23"/>
      <c r="T57" s="23"/>
      <c r="U57" s="21"/>
      <c r="V57" s="24"/>
      <c r="W57" s="24"/>
      <c r="X57" s="24"/>
      <c r="Y57" s="24"/>
      <c r="Z57" s="24"/>
      <c r="AA57" s="24"/>
      <c r="AB57" s="25"/>
      <c r="AC57" s="24"/>
      <c r="AD57" s="24"/>
      <c r="AE57" s="24"/>
      <c r="AF57" s="25"/>
      <c r="AG57" s="24"/>
      <c r="AH57" s="24"/>
      <c r="AI57" s="24"/>
      <c r="AJ57" s="24"/>
    </row>
    <row r="58" spans="1:36">
      <c r="A58" s="159"/>
      <c r="B58" s="159"/>
      <c r="C58" s="23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S58" s="23"/>
      <c r="T58" s="23"/>
      <c r="U58" s="21"/>
      <c r="V58" s="24"/>
      <c r="W58" s="24"/>
      <c r="X58" s="24"/>
      <c r="Y58" s="24"/>
      <c r="Z58" s="24"/>
      <c r="AA58" s="24"/>
      <c r="AB58" s="25"/>
      <c r="AC58" s="24"/>
      <c r="AD58" s="24"/>
      <c r="AE58" s="24"/>
      <c r="AF58" s="25"/>
      <c r="AG58" s="24"/>
      <c r="AH58" s="24"/>
      <c r="AI58" s="24"/>
      <c r="AJ58" s="24"/>
    </row>
    <row r="59" spans="1:36">
      <c r="A59" s="159"/>
      <c r="B59" s="159"/>
      <c r="C59" s="23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S59" s="23"/>
      <c r="T59" s="23"/>
      <c r="U59" s="21"/>
      <c r="V59" s="23"/>
      <c r="W59" s="23"/>
      <c r="X59" s="23"/>
      <c r="Y59" s="23"/>
      <c r="Z59" s="23"/>
      <c r="AA59" s="23"/>
      <c r="AB59" s="25"/>
      <c r="AC59" s="24"/>
      <c r="AD59" s="24"/>
      <c r="AE59" s="24"/>
      <c r="AF59" s="25"/>
      <c r="AG59" s="24"/>
      <c r="AH59" s="24"/>
      <c r="AI59" s="24"/>
      <c r="AJ59" s="24"/>
    </row>
    <row r="60" spans="1:36">
      <c r="A60" s="159"/>
      <c r="B60" s="159"/>
      <c r="C60" s="23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S60" s="23"/>
      <c r="T60" s="23"/>
      <c r="U60" s="21"/>
      <c r="V60" s="23"/>
      <c r="W60" s="23"/>
      <c r="X60" s="23"/>
      <c r="Y60" s="23"/>
      <c r="Z60" s="23"/>
      <c r="AA60" s="23"/>
      <c r="AB60" s="25"/>
      <c r="AC60" s="24"/>
      <c r="AD60" s="24"/>
      <c r="AE60" s="24"/>
      <c r="AF60" s="25"/>
      <c r="AG60" s="24"/>
      <c r="AH60" s="24"/>
      <c r="AI60" s="24"/>
      <c r="AJ60" s="24"/>
    </row>
    <row r="61" spans="1:36">
      <c r="A61" s="159"/>
      <c r="B61" s="159"/>
      <c r="C61" s="23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S61" s="23"/>
      <c r="T61" s="23"/>
      <c r="U61" s="21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>
      <c r="A62" s="159"/>
      <c r="B62" s="159"/>
      <c r="C62" s="23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36">
      <c r="A63" s="159"/>
      <c r="B63" s="159"/>
      <c r="C63" s="161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36">
      <c r="A64" s="159"/>
      <c r="B64" s="15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159"/>
      <c r="B65" s="159"/>
      <c r="C65" s="23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159"/>
      <c r="B66" s="15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159"/>
      <c r="B67" s="159"/>
      <c r="C67" s="2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159"/>
      <c r="B68" s="15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159"/>
      <c r="B69" s="16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159"/>
      <c r="B70" s="159"/>
      <c r="C70" s="23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159"/>
      <c r="B71" s="159"/>
      <c r="C71" s="23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159"/>
      <c r="B72" s="159"/>
      <c r="C72" s="23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159"/>
      <c r="B73" s="159"/>
      <c r="C73" s="23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159"/>
      <c r="B74" s="159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159"/>
      <c r="B75" s="169"/>
      <c r="C75" s="2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159"/>
      <c r="B76" s="15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159"/>
      <c r="B77" s="169"/>
      <c r="C77" s="23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159"/>
      <c r="B78" s="169"/>
      <c r="C78" s="23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159"/>
      <c r="B79" s="159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159"/>
      <c r="B80" s="160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159"/>
      <c r="B81" s="159"/>
      <c r="C81" s="161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159"/>
      <c r="B82" s="159"/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159"/>
      <c r="B83" s="159"/>
      <c r="C83" s="161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159"/>
      <c r="B84" s="159"/>
      <c r="C84" s="161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159"/>
      <c r="B85" s="159"/>
      <c r="C85" s="17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159"/>
      <c r="B86" s="164"/>
      <c r="C86" s="165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159"/>
      <c r="B87" s="159"/>
      <c r="C87" s="16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10" spans="1:28">
      <c r="A110" s="128"/>
      <c r="B110" s="128"/>
      <c r="C110" s="129"/>
      <c r="D110" s="129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82"/>
    </row>
    <row r="118" spans="14:19">
      <c r="N118"/>
      <c r="O118"/>
      <c r="P118"/>
      <c r="Q118"/>
      <c r="S118"/>
    </row>
    <row r="119" spans="14:19">
      <c r="N119"/>
      <c r="O119"/>
      <c r="P119"/>
      <c r="Q119"/>
      <c r="S119"/>
    </row>
    <row r="120" spans="14:19">
      <c r="N120"/>
      <c r="O120"/>
      <c r="P120"/>
      <c r="Q120"/>
      <c r="S120"/>
    </row>
    <row r="121" spans="14:19">
      <c r="N121"/>
      <c r="O121"/>
      <c r="P121"/>
      <c r="Q121"/>
      <c r="S121"/>
    </row>
    <row r="122" spans="14:19">
      <c r="N122"/>
      <c r="O122"/>
      <c r="P122"/>
      <c r="Q122"/>
      <c r="S122"/>
    </row>
    <row r="123" spans="14:19">
      <c r="N123"/>
      <c r="O123"/>
      <c r="P123"/>
      <c r="Q123"/>
      <c r="S123"/>
    </row>
    <row r="124" spans="14:19">
      <c r="N124"/>
      <c r="O124"/>
      <c r="P124"/>
      <c r="Q124"/>
      <c r="S124"/>
    </row>
    <row r="125" spans="14:19">
      <c r="N125"/>
      <c r="O125"/>
      <c r="P125"/>
      <c r="Q125"/>
      <c r="S125"/>
    </row>
    <row r="126" spans="14:19">
      <c r="N126"/>
      <c r="O126"/>
      <c r="P126"/>
      <c r="Q126"/>
      <c r="S126"/>
    </row>
    <row r="127" spans="14:19">
      <c r="N127"/>
      <c r="O127"/>
      <c r="P127"/>
      <c r="Q127"/>
      <c r="S127"/>
    </row>
    <row r="128" spans="14:19">
      <c r="N128"/>
      <c r="O128"/>
      <c r="P128"/>
      <c r="Q128"/>
      <c r="S128"/>
    </row>
    <row r="129" spans="14:19">
      <c r="N129"/>
      <c r="O129"/>
      <c r="P129"/>
      <c r="Q129"/>
      <c r="S129"/>
    </row>
    <row r="130" spans="14:19">
      <c r="N130"/>
      <c r="O130"/>
      <c r="P130"/>
      <c r="Q130"/>
      <c r="S130"/>
    </row>
    <row r="131" spans="14:19">
      <c r="N131"/>
      <c r="O131"/>
      <c r="P131"/>
      <c r="Q131"/>
      <c r="S131"/>
    </row>
    <row r="132" spans="14:19">
      <c r="N132"/>
      <c r="O132"/>
      <c r="P132"/>
      <c r="Q132"/>
      <c r="S132"/>
    </row>
    <row r="133" spans="14:19">
      <c r="N133"/>
      <c r="O133"/>
      <c r="P133"/>
      <c r="Q133"/>
      <c r="S133"/>
    </row>
    <row r="1048575" spans="19:19">
      <c r="S1048575" s="80">
        <f>SUM(D1048575:P1048576)</f>
        <v>0</v>
      </c>
    </row>
  </sheetData>
  <mergeCells count="3">
    <mergeCell ref="AC5:AJ5"/>
    <mergeCell ref="D5:J5"/>
    <mergeCell ref="K5:Q5"/>
  </mergeCells>
  <pageMargins left="0.7" right="0.7" top="0.75" bottom="0.75" header="0.3" footer="0.3"/>
  <pageSetup scale="29" fitToWidth="0" fitToHeight="0" orientation="landscape" r:id="rId1"/>
  <headerFooter scaleWithDoc="0">
    <oddFooter>&amp;R&amp;"Times New Roman,Bold"&amp;12Exhibit CMG-5
Page 2 of 12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9" tint="0.39997558519241921"/>
    <pageSetUpPr fitToPage="1"/>
  </sheetPr>
  <dimension ref="A1:AJ1048490"/>
  <sheetViews>
    <sheetView workbookViewId="0"/>
  </sheetViews>
  <sheetFormatPr defaultColWidth="9.140625" defaultRowHeight="20.25"/>
  <cols>
    <col min="1" max="1" width="9.5703125" style="72" customWidth="1"/>
    <col min="2" max="2" width="9.140625" style="72"/>
    <col min="3" max="3" width="68.85546875" style="72" customWidth="1"/>
    <col min="4" max="5" width="19.140625" style="72" customWidth="1"/>
    <col min="6" max="6" width="20.85546875" style="72" customWidth="1"/>
    <col min="7" max="7" width="19" style="72" customWidth="1"/>
    <col min="8" max="8" width="19.5703125" style="72" customWidth="1"/>
    <col min="9" max="9" width="19.140625" style="72" customWidth="1"/>
    <col min="10" max="10" width="19" style="72" customWidth="1"/>
    <col min="11" max="11" width="19.140625" style="72" customWidth="1"/>
    <col min="12" max="14" width="22.5703125" style="72" bestFit="1" customWidth="1"/>
    <col min="15" max="16" width="19.140625" style="72" bestFit="1" customWidth="1"/>
    <col min="17" max="17" width="20.85546875" style="72" bestFit="1" customWidth="1"/>
    <col min="18" max="18" width="20.85546875" bestFit="1" customWidth="1"/>
    <col min="19" max="19" width="18.85546875" style="72" customWidth="1"/>
    <col min="20" max="20" width="18" style="72" customWidth="1"/>
    <col min="21" max="21" width="17" style="72" customWidth="1"/>
    <col min="22" max="22" width="14.85546875" style="72" bestFit="1" customWidth="1"/>
    <col min="23" max="23" width="14.5703125" style="72" bestFit="1" customWidth="1"/>
    <col min="24" max="24" width="13.140625" style="72" bestFit="1" customWidth="1"/>
    <col min="25" max="25" width="14" style="72" customWidth="1"/>
    <col min="26" max="26" width="15.5703125" style="72" customWidth="1"/>
    <col min="27" max="27" width="14.42578125" style="72" bestFit="1" customWidth="1"/>
    <col min="28" max="28" width="14.85546875" style="72" customWidth="1"/>
    <col min="29" max="29" width="15.85546875" style="72" customWidth="1"/>
    <col min="30" max="30" width="13.42578125" style="72" customWidth="1"/>
    <col min="31" max="31" width="12.140625" style="72" bestFit="1" customWidth="1"/>
    <col min="32" max="32" width="16.5703125" style="72" customWidth="1"/>
    <col min="33" max="33" width="14.42578125" style="72" customWidth="1"/>
    <col min="34" max="34" width="15.140625" style="72" customWidth="1"/>
    <col min="35" max="35" width="9.42578125" style="72" bestFit="1" customWidth="1"/>
    <col min="36" max="36" width="12.85546875" style="72" customWidth="1"/>
    <col min="37" max="16384" width="9.140625" style="72"/>
  </cols>
  <sheetData>
    <row r="1" spans="1:36">
      <c r="A1" s="193" t="s">
        <v>67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36">
      <c r="A2" s="192" t="s">
        <v>255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36">
      <c r="A3" s="193" t="s">
        <v>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36" s="31" customFormat="1">
      <c r="A4" s="73"/>
      <c r="D4" s="28"/>
      <c r="R4"/>
      <c r="U4" s="13"/>
      <c r="V4" s="13"/>
      <c r="W4" s="13"/>
      <c r="X4" s="13"/>
      <c r="Y4" s="13"/>
      <c r="Z4" s="13"/>
      <c r="AA4" s="13"/>
      <c r="AB4" s="13"/>
      <c r="AC4" s="14"/>
      <c r="AD4" s="13"/>
      <c r="AE4" s="13"/>
      <c r="AF4" s="13"/>
      <c r="AG4" s="13"/>
      <c r="AH4" s="13"/>
      <c r="AI4" s="13"/>
      <c r="AJ4" s="13"/>
    </row>
    <row r="5" spans="1:36" s="31" customFormat="1">
      <c r="D5" s="689"/>
      <c r="E5" s="690"/>
      <c r="F5" s="690"/>
      <c r="G5" s="690"/>
      <c r="H5" s="690"/>
      <c r="I5" s="690"/>
      <c r="J5" s="691"/>
      <c r="K5" s="686"/>
      <c r="L5" s="687"/>
      <c r="M5" s="687"/>
      <c r="N5" s="687"/>
      <c r="O5" s="687"/>
      <c r="P5" s="687"/>
      <c r="Q5" s="688"/>
      <c r="R5"/>
      <c r="U5" s="15"/>
      <c r="V5" s="14"/>
      <c r="W5" s="14"/>
      <c r="X5" s="14"/>
      <c r="Y5" s="14"/>
      <c r="Z5" s="14"/>
      <c r="AA5" s="14"/>
      <c r="AB5" s="14"/>
      <c r="AC5" s="677"/>
      <c r="AD5" s="677"/>
      <c r="AE5" s="677"/>
      <c r="AF5" s="677"/>
      <c r="AG5" s="677"/>
      <c r="AH5" s="677"/>
      <c r="AI5" s="677"/>
      <c r="AJ5" s="677"/>
    </row>
    <row r="6" spans="1:36" s="31" customFormat="1">
      <c r="A6" s="92" t="s">
        <v>4</v>
      </c>
      <c r="B6" s="32"/>
      <c r="D6" s="134">
        <v>2016</v>
      </c>
      <c r="E6" s="135">
        <v>2017</v>
      </c>
      <c r="F6" s="135">
        <f t="shared" ref="F6:Q6" si="0">$E$6</f>
        <v>2017</v>
      </c>
      <c r="G6" s="135">
        <f t="shared" si="0"/>
        <v>2017</v>
      </c>
      <c r="H6" s="135">
        <f t="shared" si="0"/>
        <v>2017</v>
      </c>
      <c r="I6" s="135">
        <f t="shared" si="0"/>
        <v>2017</v>
      </c>
      <c r="J6" s="136">
        <f t="shared" si="0"/>
        <v>2017</v>
      </c>
      <c r="K6" s="131">
        <f t="shared" si="0"/>
        <v>2017</v>
      </c>
      <c r="L6" s="132">
        <f t="shared" si="0"/>
        <v>2017</v>
      </c>
      <c r="M6" s="132">
        <f t="shared" si="0"/>
        <v>2017</v>
      </c>
      <c r="N6" s="132">
        <f t="shared" si="0"/>
        <v>2017</v>
      </c>
      <c r="O6" s="132">
        <f t="shared" si="0"/>
        <v>2017</v>
      </c>
      <c r="P6" s="132">
        <f t="shared" si="0"/>
        <v>2017</v>
      </c>
      <c r="Q6" s="133">
        <f t="shared" si="0"/>
        <v>2017</v>
      </c>
      <c r="R6"/>
      <c r="U6" s="93"/>
      <c r="V6" s="16"/>
      <c r="W6" s="93"/>
      <c r="X6" s="93"/>
      <c r="Y6" s="93"/>
      <c r="Z6" s="93"/>
      <c r="AA6" s="93"/>
      <c r="AB6" s="93"/>
      <c r="AC6" s="93"/>
      <c r="AD6" s="93"/>
      <c r="AE6" s="93"/>
      <c r="AF6" s="16"/>
      <c r="AG6" s="93"/>
      <c r="AH6" s="93"/>
      <c r="AI6" s="93"/>
      <c r="AJ6" s="93"/>
    </row>
    <row r="7" spans="1:36" s="31" customFormat="1">
      <c r="A7" s="74" t="s">
        <v>5</v>
      </c>
      <c r="B7" s="32"/>
      <c r="C7" s="74" t="s">
        <v>6</v>
      </c>
      <c r="D7" s="137" t="s">
        <v>107</v>
      </c>
      <c r="E7" s="138" t="s">
        <v>95</v>
      </c>
      <c r="F7" s="138" t="s">
        <v>98</v>
      </c>
      <c r="G7" s="138" t="s">
        <v>99</v>
      </c>
      <c r="H7" s="138" t="s">
        <v>100</v>
      </c>
      <c r="I7" s="138" t="s">
        <v>88</v>
      </c>
      <c r="J7" s="139" t="s">
        <v>101</v>
      </c>
      <c r="K7" s="117" t="s">
        <v>102</v>
      </c>
      <c r="L7" s="75" t="s">
        <v>103</v>
      </c>
      <c r="M7" s="75" t="s">
        <v>104</v>
      </c>
      <c r="N7" s="75" t="s">
        <v>105</v>
      </c>
      <c r="O7" s="75" t="s">
        <v>106</v>
      </c>
      <c r="P7" s="75" t="s">
        <v>107</v>
      </c>
      <c r="Q7" s="118" t="s">
        <v>243</v>
      </c>
      <c r="R7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16"/>
      <c r="AG7" s="93"/>
      <c r="AH7" s="93"/>
      <c r="AI7" s="93"/>
      <c r="AJ7" s="93"/>
    </row>
    <row r="8" spans="1:36" s="31" customFormat="1">
      <c r="A8" s="92"/>
      <c r="B8" s="32"/>
      <c r="C8" s="76">
        <v>-1</v>
      </c>
      <c r="D8" s="140">
        <v>-2</v>
      </c>
      <c r="E8" s="141">
        <v>-3</v>
      </c>
      <c r="F8" s="141">
        <v>-4</v>
      </c>
      <c r="G8" s="141">
        <v>-5</v>
      </c>
      <c r="H8" s="141">
        <v>-6</v>
      </c>
      <c r="I8" s="141">
        <v>-7</v>
      </c>
      <c r="J8" s="142">
        <v>-8</v>
      </c>
      <c r="K8" s="119">
        <v>-9</v>
      </c>
      <c r="L8" s="120">
        <v>-10</v>
      </c>
      <c r="M8" s="120">
        <v>-11</v>
      </c>
      <c r="N8" s="120">
        <v>-12</v>
      </c>
      <c r="O8" s="120">
        <v>-13</v>
      </c>
      <c r="P8" s="120">
        <v>-14</v>
      </c>
      <c r="Q8" s="121">
        <v>-15</v>
      </c>
      <c r="R8"/>
      <c r="U8" s="9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31" customFormat="1">
      <c r="A9" s="32"/>
      <c r="B9" s="32"/>
      <c r="D9" s="143"/>
      <c r="E9" s="144"/>
      <c r="F9" s="144"/>
      <c r="G9" s="144"/>
      <c r="H9" s="144"/>
      <c r="I9" s="144"/>
      <c r="J9" s="145"/>
      <c r="K9" s="122"/>
      <c r="L9" s="13"/>
      <c r="M9" s="13"/>
      <c r="N9" s="13"/>
      <c r="O9" s="13"/>
      <c r="P9" s="13"/>
      <c r="Q9" s="123"/>
      <c r="R9"/>
      <c r="U9" s="93"/>
      <c r="V9" s="17"/>
      <c r="W9" s="17"/>
      <c r="X9" s="17"/>
      <c r="Y9" s="17"/>
      <c r="Z9" s="17"/>
      <c r="AA9" s="17"/>
      <c r="AB9" s="18"/>
      <c r="AC9" s="17"/>
      <c r="AD9" s="18"/>
      <c r="AE9" s="18"/>
      <c r="AF9" s="18"/>
      <c r="AG9" s="17"/>
      <c r="AH9" s="17"/>
      <c r="AI9" s="17"/>
      <c r="AJ9" s="17"/>
    </row>
    <row r="10" spans="1:36" s="31" customFormat="1">
      <c r="A10" s="32"/>
      <c r="B10" s="77" t="s">
        <v>51</v>
      </c>
      <c r="D10" s="143"/>
      <c r="E10" s="144"/>
      <c r="F10" s="144"/>
      <c r="G10" s="144"/>
      <c r="H10" s="144"/>
      <c r="I10" s="144"/>
      <c r="J10" s="145"/>
      <c r="K10" s="122"/>
      <c r="L10" s="13"/>
      <c r="M10" s="13"/>
      <c r="N10" s="13"/>
      <c r="O10" s="13"/>
      <c r="P10" s="13"/>
      <c r="Q10" s="123"/>
      <c r="R10"/>
      <c r="U10" s="93"/>
      <c r="V10" s="17"/>
      <c r="W10" s="17"/>
      <c r="X10" s="17"/>
      <c r="Y10" s="17"/>
      <c r="Z10" s="17"/>
      <c r="AA10" s="17"/>
      <c r="AB10" s="18"/>
      <c r="AC10" s="17"/>
      <c r="AD10" s="17"/>
      <c r="AE10" s="17"/>
      <c r="AF10" s="18"/>
      <c r="AG10" s="17"/>
      <c r="AH10" s="17"/>
      <c r="AI10" s="17"/>
      <c r="AJ10" s="17"/>
    </row>
    <row r="11" spans="1:36" s="31" customFormat="1">
      <c r="A11" s="32">
        <v>1</v>
      </c>
      <c r="B11" s="32"/>
      <c r="C11" s="78" t="s">
        <v>459</v>
      </c>
      <c r="D11" s="386">
        <v>0</v>
      </c>
      <c r="E11" s="387"/>
      <c r="F11" s="387"/>
      <c r="G11" s="387"/>
      <c r="H11" s="387"/>
      <c r="I11" s="387"/>
      <c r="J11" s="388"/>
      <c r="K11" s="370">
        <f>'Cap&amp;OpEx 2017'!C11</f>
        <v>0</v>
      </c>
      <c r="L11" s="371">
        <f>'Cap&amp;OpEx 2017'!D11+K11</f>
        <v>0</v>
      </c>
      <c r="M11" s="371">
        <f>'Cap&amp;OpEx 2017'!E11+L11</f>
        <v>0</v>
      </c>
      <c r="N11" s="371">
        <f>'Cap&amp;OpEx 2017'!F11+M11</f>
        <v>0</v>
      </c>
      <c r="O11" s="371">
        <f>'Cap&amp;OpEx 2017'!G11+N11</f>
        <v>0</v>
      </c>
      <c r="P11" s="371">
        <f>'Cap&amp;OpEx 2017'!H11+O11</f>
        <v>0</v>
      </c>
      <c r="Q11" s="372">
        <f>SUM(K11:P11)/7</f>
        <v>0</v>
      </c>
      <c r="R11"/>
      <c r="U11" s="93"/>
      <c r="V11" s="17"/>
      <c r="W11" s="17"/>
      <c r="X11" s="17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7"/>
    </row>
    <row r="12" spans="1:36" s="31" customFormat="1">
      <c r="A12" s="32">
        <v>2</v>
      </c>
      <c r="B12" s="32"/>
      <c r="C12" s="31" t="s">
        <v>19</v>
      </c>
      <c r="D12" s="386">
        <v>0</v>
      </c>
      <c r="E12" s="387"/>
      <c r="F12" s="387"/>
      <c r="G12" s="387"/>
      <c r="H12" s="387"/>
      <c r="I12" s="387"/>
      <c r="J12" s="388"/>
      <c r="K12" s="373">
        <v>0</v>
      </c>
      <c r="L12" s="374">
        <v>0</v>
      </c>
      <c r="M12" s="374">
        <v>0</v>
      </c>
      <c r="N12" s="374">
        <v>0</v>
      </c>
      <c r="O12" s="374">
        <v>0</v>
      </c>
      <c r="P12" s="374">
        <v>0</v>
      </c>
      <c r="Q12" s="372">
        <f t="shared" ref="Q12:Q13" si="1">SUM(K12:P12)/7</f>
        <v>0</v>
      </c>
      <c r="R12"/>
      <c r="U12" s="93"/>
      <c r="V12" s="17"/>
      <c r="W12" s="17"/>
      <c r="X12" s="17"/>
      <c r="Y12" s="17"/>
      <c r="Z12" s="17"/>
      <c r="AA12" s="17"/>
      <c r="AB12" s="18"/>
      <c r="AC12" s="17"/>
      <c r="AD12" s="17"/>
      <c r="AE12" s="17"/>
      <c r="AF12" s="18"/>
      <c r="AG12" s="17"/>
      <c r="AH12" s="17"/>
      <c r="AI12" s="17"/>
      <c r="AJ12" s="17"/>
    </row>
    <row r="13" spans="1:36" s="31" customFormat="1">
      <c r="A13" s="32">
        <v>3</v>
      </c>
      <c r="B13" s="32"/>
      <c r="C13" s="31" t="s">
        <v>52</v>
      </c>
      <c r="D13" s="389">
        <v>0</v>
      </c>
      <c r="E13" s="390"/>
      <c r="F13" s="390"/>
      <c r="G13" s="390"/>
      <c r="H13" s="390"/>
      <c r="I13" s="390"/>
      <c r="J13" s="391"/>
      <c r="K13" s="375">
        <v>0</v>
      </c>
      <c r="L13" s="376">
        <v>0</v>
      </c>
      <c r="M13" s="376">
        <v>0</v>
      </c>
      <c r="N13" s="376">
        <v>0</v>
      </c>
      <c r="O13" s="376">
        <v>0</v>
      </c>
      <c r="P13" s="376">
        <v>0</v>
      </c>
      <c r="Q13" s="377">
        <f t="shared" si="1"/>
        <v>0</v>
      </c>
      <c r="R13"/>
      <c r="U13" s="93"/>
      <c r="V13" s="17"/>
      <c r="W13" s="17"/>
      <c r="X13" s="17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7"/>
    </row>
    <row r="14" spans="1:36" s="31" customFormat="1">
      <c r="A14" s="32">
        <v>4</v>
      </c>
      <c r="B14" s="32"/>
      <c r="C14" s="31" t="s">
        <v>53</v>
      </c>
      <c r="D14" s="386">
        <f t="shared" ref="D14:Q14" si="2">SUM(D11:D13)</f>
        <v>0</v>
      </c>
      <c r="E14" s="387">
        <f t="shared" si="2"/>
        <v>0</v>
      </c>
      <c r="F14" s="387">
        <f t="shared" si="2"/>
        <v>0</v>
      </c>
      <c r="G14" s="387">
        <f t="shared" si="2"/>
        <v>0</v>
      </c>
      <c r="H14" s="387">
        <f t="shared" si="2"/>
        <v>0</v>
      </c>
      <c r="I14" s="387">
        <f t="shared" si="2"/>
        <v>0</v>
      </c>
      <c r="J14" s="388">
        <f t="shared" si="2"/>
        <v>0</v>
      </c>
      <c r="K14" s="370">
        <f t="shared" si="2"/>
        <v>0</v>
      </c>
      <c r="L14" s="371">
        <f t="shared" si="2"/>
        <v>0</v>
      </c>
      <c r="M14" s="371">
        <f t="shared" si="2"/>
        <v>0</v>
      </c>
      <c r="N14" s="371">
        <f t="shared" si="2"/>
        <v>0</v>
      </c>
      <c r="O14" s="371">
        <f t="shared" si="2"/>
        <v>0</v>
      </c>
      <c r="P14" s="371">
        <f t="shared" si="2"/>
        <v>0</v>
      </c>
      <c r="Q14" s="372">
        <f t="shared" si="2"/>
        <v>0</v>
      </c>
      <c r="R14"/>
      <c r="U14" s="93"/>
      <c r="V14" s="13"/>
      <c r="W14" s="13"/>
      <c r="X14" s="13"/>
      <c r="Y14" s="13"/>
      <c r="Z14" s="13"/>
      <c r="AA14" s="13"/>
      <c r="AB14" s="18"/>
      <c r="AC14" s="17"/>
      <c r="AD14" s="17"/>
      <c r="AE14" s="17"/>
      <c r="AF14" s="18"/>
      <c r="AG14" s="17"/>
      <c r="AH14" s="17"/>
      <c r="AI14" s="17"/>
      <c r="AJ14" s="17"/>
    </row>
    <row r="15" spans="1:36" s="31" customFormat="1">
      <c r="A15" s="32"/>
      <c r="B15" s="32"/>
      <c r="D15" s="146"/>
      <c r="E15" s="147"/>
      <c r="F15" s="147"/>
      <c r="G15" s="147"/>
      <c r="H15" s="147"/>
      <c r="I15" s="147"/>
      <c r="J15" s="148"/>
      <c r="K15" s="124"/>
      <c r="L15" s="47"/>
      <c r="M15" s="47"/>
      <c r="N15" s="47"/>
      <c r="O15" s="47"/>
      <c r="P15" s="47"/>
      <c r="Q15" s="125"/>
      <c r="R15"/>
      <c r="U15" s="93"/>
      <c r="V15" s="13"/>
      <c r="W15" s="13"/>
      <c r="X15" s="13"/>
      <c r="Y15" s="13"/>
      <c r="Z15" s="13"/>
      <c r="AA15" s="13"/>
      <c r="AB15" s="18"/>
      <c r="AC15" s="17"/>
      <c r="AD15" s="17"/>
      <c r="AE15" s="17"/>
      <c r="AF15" s="18"/>
      <c r="AG15" s="17"/>
      <c r="AH15" s="17"/>
      <c r="AI15" s="17"/>
      <c r="AJ15" s="17"/>
    </row>
    <row r="16" spans="1:36" s="31" customFormat="1">
      <c r="A16" s="32">
        <v>5</v>
      </c>
      <c r="B16" s="32"/>
      <c r="C16" s="31" t="s">
        <v>54</v>
      </c>
      <c r="D16" s="389">
        <v>0</v>
      </c>
      <c r="E16" s="390"/>
      <c r="F16" s="390"/>
      <c r="G16" s="390"/>
      <c r="H16" s="390"/>
      <c r="I16" s="390"/>
      <c r="J16" s="391"/>
      <c r="K16" s="375">
        <v>0</v>
      </c>
      <c r="L16" s="376">
        <v>0</v>
      </c>
      <c r="M16" s="376">
        <v>0</v>
      </c>
      <c r="N16" s="376">
        <v>0</v>
      </c>
      <c r="O16" s="376">
        <v>0</v>
      </c>
      <c r="P16" s="376">
        <v>0</v>
      </c>
      <c r="Q16" s="377">
        <f>SUM(K16:P16)/7</f>
        <v>0</v>
      </c>
      <c r="R16"/>
      <c r="U16" s="93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19" s="31" customFormat="1" ht="21" customHeight="1">
      <c r="A17" s="32"/>
      <c r="B17" s="32"/>
      <c r="D17" s="146"/>
      <c r="E17" s="147"/>
      <c r="F17" s="147"/>
      <c r="G17" s="147"/>
      <c r="H17" s="147"/>
      <c r="I17" s="147"/>
      <c r="J17" s="148"/>
      <c r="K17" s="124"/>
      <c r="L17" s="47"/>
      <c r="M17" s="47"/>
      <c r="N17" s="47"/>
      <c r="O17" s="47"/>
      <c r="P17" s="47"/>
      <c r="Q17" s="125"/>
      <c r="R17"/>
    </row>
    <row r="18" spans="1:19" s="31" customFormat="1">
      <c r="A18" s="32">
        <v>6</v>
      </c>
      <c r="B18" s="32"/>
      <c r="C18" s="78" t="s">
        <v>55</v>
      </c>
      <c r="D18" s="386">
        <f t="shared" ref="D18:Q18" si="3">SUM(D14:D16)</f>
        <v>0</v>
      </c>
      <c r="E18" s="387">
        <f t="shared" si="3"/>
        <v>0</v>
      </c>
      <c r="F18" s="387">
        <f t="shared" si="3"/>
        <v>0</v>
      </c>
      <c r="G18" s="387">
        <f t="shared" si="3"/>
        <v>0</v>
      </c>
      <c r="H18" s="387">
        <f t="shared" si="3"/>
        <v>0</v>
      </c>
      <c r="I18" s="387">
        <f t="shared" si="3"/>
        <v>0</v>
      </c>
      <c r="J18" s="388">
        <f t="shared" si="3"/>
        <v>0</v>
      </c>
      <c r="K18" s="370">
        <f t="shared" si="3"/>
        <v>0</v>
      </c>
      <c r="L18" s="371">
        <f t="shared" si="3"/>
        <v>0</v>
      </c>
      <c r="M18" s="371">
        <f t="shared" si="3"/>
        <v>0</v>
      </c>
      <c r="N18" s="371">
        <f t="shared" si="3"/>
        <v>0</v>
      </c>
      <c r="O18" s="371">
        <f t="shared" si="3"/>
        <v>0</v>
      </c>
      <c r="P18" s="371">
        <f t="shared" si="3"/>
        <v>0</v>
      </c>
      <c r="Q18" s="372">
        <f t="shared" si="3"/>
        <v>0</v>
      </c>
      <c r="R18"/>
      <c r="S18" s="80"/>
    </row>
    <row r="19" spans="1:19" s="31" customFormat="1">
      <c r="A19" s="32"/>
      <c r="B19" s="32"/>
      <c r="D19" s="143"/>
      <c r="E19" s="144"/>
      <c r="F19" s="144"/>
      <c r="G19" s="144"/>
      <c r="H19" s="144"/>
      <c r="I19" s="144"/>
      <c r="J19" s="145"/>
      <c r="K19" s="122"/>
      <c r="L19" s="13"/>
      <c r="M19" s="13"/>
      <c r="N19" s="13"/>
      <c r="O19" s="13"/>
      <c r="P19" s="13"/>
      <c r="Q19" s="123"/>
      <c r="R19"/>
    </row>
    <row r="20" spans="1:19" s="31" customFormat="1">
      <c r="A20" s="32">
        <v>7</v>
      </c>
      <c r="B20" s="32"/>
      <c r="C20" s="31" t="s">
        <v>56</v>
      </c>
      <c r="D20" s="149"/>
      <c r="E20" s="150">
        <v>8.7039841473943429E-3</v>
      </c>
      <c r="F20" s="150">
        <v>8.7039841473943429E-3</v>
      </c>
      <c r="G20" s="150">
        <v>8.7039841473943429E-3</v>
      </c>
      <c r="H20" s="150">
        <v>8.7039841473943429E-3</v>
      </c>
      <c r="I20" s="150">
        <v>8.7039841473943429E-3</v>
      </c>
      <c r="J20" s="151">
        <v>8.7039841473943429E-3</v>
      </c>
      <c r="K20" s="126">
        <v>8.5431530257663712E-3</v>
      </c>
      <c r="L20" s="37">
        <v>8.5431530257663712E-3</v>
      </c>
      <c r="M20" s="37">
        <v>8.5431530257663712E-3</v>
      </c>
      <c r="N20" s="37">
        <v>8.5431530257663712E-3</v>
      </c>
      <c r="O20" s="37">
        <v>8.5431530257663712E-3</v>
      </c>
      <c r="P20" s="37">
        <v>8.5431530257663712E-3</v>
      </c>
      <c r="Q20" s="127">
        <f>SUM(K20:P20)</f>
        <v>5.1258918154598231E-2</v>
      </c>
      <c r="R20"/>
    </row>
    <row r="21" spans="1:19" s="31" customFormat="1">
      <c r="A21" s="32"/>
      <c r="B21" s="32"/>
      <c r="D21" s="152"/>
      <c r="E21" s="144"/>
      <c r="F21" s="144"/>
      <c r="G21" s="144"/>
      <c r="H21" s="144"/>
      <c r="I21" s="144"/>
      <c r="J21" s="145"/>
      <c r="K21" s="122"/>
      <c r="L21" s="13"/>
      <c r="M21" s="13"/>
      <c r="N21" s="13"/>
      <c r="O21" s="13"/>
      <c r="P21" s="13"/>
      <c r="Q21" s="123"/>
      <c r="R21"/>
    </row>
    <row r="22" spans="1:19" s="31" customFormat="1">
      <c r="A22" s="32">
        <v>8</v>
      </c>
      <c r="B22" s="32"/>
      <c r="C22" s="31" t="s">
        <v>57</v>
      </c>
      <c r="D22" s="389">
        <f t="shared" ref="D22:Q22" si="4">D18*D20</f>
        <v>0</v>
      </c>
      <c r="E22" s="390">
        <f t="shared" si="4"/>
        <v>0</v>
      </c>
      <c r="F22" s="390">
        <f t="shared" si="4"/>
        <v>0</v>
      </c>
      <c r="G22" s="390">
        <f t="shared" si="4"/>
        <v>0</v>
      </c>
      <c r="H22" s="390">
        <f t="shared" si="4"/>
        <v>0</v>
      </c>
      <c r="I22" s="390">
        <f t="shared" si="4"/>
        <v>0</v>
      </c>
      <c r="J22" s="391">
        <f t="shared" si="4"/>
        <v>0</v>
      </c>
      <c r="K22" s="378">
        <f t="shared" si="4"/>
        <v>0</v>
      </c>
      <c r="L22" s="379">
        <f t="shared" si="4"/>
        <v>0</v>
      </c>
      <c r="M22" s="379">
        <f t="shared" si="4"/>
        <v>0</v>
      </c>
      <c r="N22" s="379">
        <f t="shared" si="4"/>
        <v>0</v>
      </c>
      <c r="O22" s="379">
        <f t="shared" si="4"/>
        <v>0</v>
      </c>
      <c r="P22" s="379">
        <f t="shared" si="4"/>
        <v>0</v>
      </c>
      <c r="Q22" s="377">
        <f t="shared" si="4"/>
        <v>0</v>
      </c>
      <c r="R22"/>
    </row>
    <row r="23" spans="1:19" s="31" customFormat="1">
      <c r="A23" s="32"/>
      <c r="B23" s="32"/>
      <c r="D23" s="152"/>
      <c r="E23" s="144"/>
      <c r="F23" s="144"/>
      <c r="G23" s="144"/>
      <c r="H23" s="144"/>
      <c r="I23" s="144"/>
      <c r="J23" s="145"/>
      <c r="K23" s="122"/>
      <c r="L23" s="13"/>
      <c r="M23" s="13"/>
      <c r="N23" s="13"/>
      <c r="O23" s="13"/>
      <c r="P23" s="13"/>
      <c r="Q23" s="123"/>
      <c r="R23"/>
    </row>
    <row r="24" spans="1:19" s="31" customFormat="1">
      <c r="A24" s="32"/>
      <c r="B24" s="77" t="s">
        <v>58</v>
      </c>
      <c r="D24" s="143"/>
      <c r="E24" s="144"/>
      <c r="F24" s="144"/>
      <c r="G24" s="144"/>
      <c r="H24" s="144"/>
      <c r="I24" s="144"/>
      <c r="J24" s="145"/>
      <c r="K24" s="122"/>
      <c r="L24" s="13"/>
      <c r="M24" s="13"/>
      <c r="N24" s="13"/>
      <c r="O24" s="13"/>
      <c r="P24" s="13"/>
      <c r="Q24" s="123"/>
      <c r="R24"/>
    </row>
    <row r="25" spans="1:19" s="31" customFormat="1">
      <c r="A25" s="32">
        <v>9</v>
      </c>
      <c r="B25" s="32"/>
      <c r="C25" s="31" t="s">
        <v>0</v>
      </c>
      <c r="D25" s="386">
        <v>0</v>
      </c>
      <c r="E25" s="387"/>
      <c r="F25" s="387"/>
      <c r="G25" s="387"/>
      <c r="H25" s="387"/>
      <c r="I25" s="387"/>
      <c r="J25" s="388"/>
      <c r="K25" s="373">
        <v>0</v>
      </c>
      <c r="L25" s="374">
        <v>0</v>
      </c>
      <c r="M25" s="374">
        <v>0</v>
      </c>
      <c r="N25" s="374">
        <v>0</v>
      </c>
      <c r="O25" s="374">
        <v>0</v>
      </c>
      <c r="P25" s="374">
        <v>0</v>
      </c>
      <c r="Q25" s="372">
        <f>SUM(E25:P25)</f>
        <v>0</v>
      </c>
      <c r="R25"/>
      <c r="S25" s="80"/>
    </row>
    <row r="26" spans="1:19" s="31" customFormat="1">
      <c r="A26" s="32">
        <v>10</v>
      </c>
      <c r="B26" s="32"/>
      <c r="C26" s="13" t="s">
        <v>59</v>
      </c>
      <c r="D26" s="386">
        <v>0</v>
      </c>
      <c r="E26" s="387"/>
      <c r="F26" s="387"/>
      <c r="G26" s="387"/>
      <c r="H26" s="387"/>
      <c r="I26" s="387"/>
      <c r="J26" s="388"/>
      <c r="K26" s="373">
        <v>0</v>
      </c>
      <c r="L26" s="374">
        <v>0</v>
      </c>
      <c r="M26" s="374">
        <v>0</v>
      </c>
      <c r="N26" s="374">
        <v>0</v>
      </c>
      <c r="O26" s="374">
        <v>0</v>
      </c>
      <c r="P26" s="374">
        <v>0</v>
      </c>
      <c r="Q26" s="372">
        <f>SUM(E26:P26)</f>
        <v>0</v>
      </c>
      <c r="R26"/>
      <c r="S26" s="80"/>
    </row>
    <row r="27" spans="1:19" s="31" customFormat="1">
      <c r="A27" s="32">
        <v>11</v>
      </c>
      <c r="B27" s="32"/>
      <c r="C27" s="31" t="s">
        <v>178</v>
      </c>
      <c r="D27" s="386">
        <v>0</v>
      </c>
      <c r="E27" s="387"/>
      <c r="F27" s="387"/>
      <c r="G27" s="387"/>
      <c r="H27" s="387"/>
      <c r="I27" s="387"/>
      <c r="J27" s="388"/>
      <c r="K27" s="370">
        <f>'Cap&amp;OpEx 2017'!C31</f>
        <v>0</v>
      </c>
      <c r="L27" s="371">
        <f>'Cap&amp;OpEx 2017'!D31</f>
        <v>0</v>
      </c>
      <c r="M27" s="371">
        <f>'Cap&amp;OpEx 2017'!E31</f>
        <v>0</v>
      </c>
      <c r="N27" s="371">
        <f>'Cap&amp;OpEx 2017'!F31</f>
        <v>0</v>
      </c>
      <c r="O27" s="371">
        <f>'Cap&amp;OpEx 2017'!G31</f>
        <v>0</v>
      </c>
      <c r="P27" s="371">
        <f>'Cap&amp;OpEx 2017'!H31</f>
        <v>0</v>
      </c>
      <c r="Q27" s="372">
        <f>SUM(E27:P27)</f>
        <v>0</v>
      </c>
      <c r="R27"/>
      <c r="S27" s="80"/>
    </row>
    <row r="28" spans="1:19" s="31" customFormat="1">
      <c r="A28" s="32"/>
      <c r="B28" s="32"/>
      <c r="D28" s="146"/>
      <c r="E28" s="147"/>
      <c r="F28" s="147"/>
      <c r="G28" s="147"/>
      <c r="H28" s="147"/>
      <c r="I28" s="147"/>
      <c r="J28" s="148"/>
      <c r="K28" s="124"/>
      <c r="L28" s="47"/>
      <c r="M28" s="47"/>
      <c r="N28" s="47"/>
      <c r="O28" s="47"/>
      <c r="P28" s="47"/>
      <c r="Q28" s="125"/>
      <c r="R28"/>
    </row>
    <row r="29" spans="1:19" s="31" customFormat="1">
      <c r="A29" s="32">
        <v>12</v>
      </c>
      <c r="B29" s="32"/>
      <c r="C29" s="31" t="s">
        <v>60</v>
      </c>
      <c r="D29" s="386">
        <f t="shared" ref="D29:Q29" si="5">SUM(D25:D28)</f>
        <v>0</v>
      </c>
      <c r="E29" s="387">
        <f t="shared" si="5"/>
        <v>0</v>
      </c>
      <c r="F29" s="387">
        <f t="shared" si="5"/>
        <v>0</v>
      </c>
      <c r="G29" s="387">
        <f t="shared" si="5"/>
        <v>0</v>
      </c>
      <c r="H29" s="387">
        <f t="shared" si="5"/>
        <v>0</v>
      </c>
      <c r="I29" s="387">
        <f t="shared" si="5"/>
        <v>0</v>
      </c>
      <c r="J29" s="388">
        <f t="shared" si="5"/>
        <v>0</v>
      </c>
      <c r="K29" s="370">
        <f t="shared" si="5"/>
        <v>0</v>
      </c>
      <c r="L29" s="371">
        <f t="shared" si="5"/>
        <v>0</v>
      </c>
      <c r="M29" s="371">
        <f t="shared" si="5"/>
        <v>0</v>
      </c>
      <c r="N29" s="371">
        <f t="shared" si="5"/>
        <v>0</v>
      </c>
      <c r="O29" s="371">
        <f t="shared" si="5"/>
        <v>0</v>
      </c>
      <c r="P29" s="371">
        <f t="shared" si="5"/>
        <v>0</v>
      </c>
      <c r="Q29" s="372">
        <f t="shared" si="5"/>
        <v>0</v>
      </c>
      <c r="R29"/>
    </row>
    <row r="30" spans="1:19" s="31" customFormat="1">
      <c r="A30" s="32"/>
      <c r="B30" s="32"/>
      <c r="D30" s="143"/>
      <c r="E30" s="144"/>
      <c r="F30" s="144"/>
      <c r="G30" s="144"/>
      <c r="H30" s="144"/>
      <c r="I30" s="144"/>
      <c r="J30" s="145"/>
      <c r="K30" s="122"/>
      <c r="L30" s="13"/>
      <c r="M30" s="13"/>
      <c r="N30" s="13"/>
      <c r="O30" s="13"/>
      <c r="P30" s="13"/>
      <c r="Q30" s="123"/>
      <c r="R30"/>
    </row>
    <row r="31" spans="1:19" s="31" customFormat="1">
      <c r="A31" s="32">
        <v>13</v>
      </c>
      <c r="B31" s="77" t="s">
        <v>165</v>
      </c>
      <c r="D31" s="383">
        <f t="shared" ref="D31:Q31" si="6">D22+D29</f>
        <v>0</v>
      </c>
      <c r="E31" s="384">
        <f t="shared" si="6"/>
        <v>0</v>
      </c>
      <c r="F31" s="384">
        <f t="shared" si="6"/>
        <v>0</v>
      </c>
      <c r="G31" s="384">
        <f t="shared" si="6"/>
        <v>0</v>
      </c>
      <c r="H31" s="384">
        <f t="shared" si="6"/>
        <v>0</v>
      </c>
      <c r="I31" s="384">
        <f t="shared" si="6"/>
        <v>0</v>
      </c>
      <c r="J31" s="385">
        <f t="shared" si="6"/>
        <v>0</v>
      </c>
      <c r="K31" s="380">
        <f t="shared" si="6"/>
        <v>0</v>
      </c>
      <c r="L31" s="381">
        <f t="shared" si="6"/>
        <v>0</v>
      </c>
      <c r="M31" s="381">
        <f t="shared" si="6"/>
        <v>0</v>
      </c>
      <c r="N31" s="381">
        <f t="shared" si="6"/>
        <v>0</v>
      </c>
      <c r="O31" s="381">
        <f t="shared" si="6"/>
        <v>0</v>
      </c>
      <c r="P31" s="381">
        <f t="shared" si="6"/>
        <v>0</v>
      </c>
      <c r="Q31" s="382">
        <f t="shared" si="6"/>
        <v>0</v>
      </c>
      <c r="R31"/>
    </row>
    <row r="32" spans="1:19" s="31" customFormat="1">
      <c r="A32" s="32"/>
      <c r="B32" s="32"/>
      <c r="D32" s="80"/>
      <c r="P32" s="80"/>
      <c r="R32"/>
    </row>
    <row r="1048490" spans="19:19">
      <c r="S1048490" s="80">
        <f>SUM(D1048490:P1048576)</f>
        <v>0</v>
      </c>
    </row>
  </sheetData>
  <mergeCells count="3">
    <mergeCell ref="AC5:AJ5"/>
    <mergeCell ref="K5:Q5"/>
    <mergeCell ref="D5:J5"/>
  </mergeCells>
  <pageMargins left="0.7" right="0.7" top="0.75" bottom="0.75" header="0.3" footer="0.3"/>
  <pageSetup scale="30" orientation="landscape" r:id="rId1"/>
  <headerFooter scaleWithDoc="0">
    <oddFooter>&amp;R&amp;"Arial,Bold"Exhibit CMG-5
Page 3 of 12</oddFooter>
  </headerFooter>
  <rowBreaks count="1" manualBreakCount="1">
    <brk id="31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9" tint="0.39997558519241921"/>
    <pageSetUpPr fitToPage="1"/>
  </sheetPr>
  <dimension ref="A1:X48"/>
  <sheetViews>
    <sheetView workbookViewId="0"/>
  </sheetViews>
  <sheetFormatPr defaultColWidth="9.140625" defaultRowHeight="15.75"/>
  <cols>
    <col min="1" max="1" width="9.140625" style="28"/>
    <col min="2" max="2" width="35" style="26" bestFit="1" customWidth="1"/>
    <col min="3" max="3" width="15.85546875" style="26" customWidth="1"/>
    <col min="4" max="4" width="18" style="26" bestFit="1" customWidth="1"/>
    <col min="5" max="5" width="18.42578125" style="26" bestFit="1" customWidth="1"/>
    <col min="6" max="6" width="17.140625" style="26" customWidth="1"/>
    <col min="7" max="8" width="16.85546875" style="26" bestFit="1" customWidth="1"/>
    <col min="9" max="9" width="17" style="26" bestFit="1" customWidth="1"/>
    <col min="10" max="10" width="12.140625" style="28" bestFit="1" customWidth="1"/>
    <col min="11" max="11" width="16.140625" style="28" bestFit="1" customWidth="1"/>
    <col min="12" max="24" width="14.85546875" style="28" customWidth="1"/>
    <col min="25" max="25" width="9.140625" style="28"/>
    <col min="26" max="26" width="10.5703125" style="28" bestFit="1" customWidth="1"/>
    <col min="27" max="16384" width="9.140625" style="28"/>
  </cols>
  <sheetData>
    <row r="1" spans="1:24" ht="18.75">
      <c r="B1" s="692" t="s">
        <v>67</v>
      </c>
      <c r="C1" s="692"/>
      <c r="D1" s="692"/>
      <c r="E1" s="692"/>
      <c r="F1" s="692"/>
      <c r="G1" s="692"/>
      <c r="H1" s="692"/>
      <c r="I1" s="692"/>
      <c r="K1" s="39"/>
      <c r="L1" s="39"/>
      <c r="M1" s="39"/>
      <c r="N1" s="39"/>
      <c r="O1" s="39"/>
      <c r="P1" s="39"/>
      <c r="Q1" s="39"/>
      <c r="R1" s="40"/>
      <c r="S1" s="40"/>
      <c r="T1" s="40"/>
      <c r="U1" s="40"/>
      <c r="V1" s="40"/>
      <c r="W1" s="40"/>
      <c r="X1" s="40"/>
    </row>
    <row r="2" spans="1:24" ht="18.75">
      <c r="A2" s="692" t="s">
        <v>255</v>
      </c>
      <c r="B2" s="692"/>
      <c r="C2" s="692"/>
      <c r="D2" s="692"/>
      <c r="E2" s="692"/>
      <c r="F2" s="692"/>
      <c r="G2" s="692"/>
      <c r="H2" s="692"/>
      <c r="I2" s="692"/>
      <c r="J2" s="39"/>
      <c r="K2" s="39"/>
      <c r="L2" s="39"/>
      <c r="M2" s="39"/>
      <c r="N2" s="39"/>
      <c r="O2" s="39"/>
      <c r="P2" s="39"/>
      <c r="Q2" s="39"/>
      <c r="R2" s="40"/>
      <c r="S2" s="40"/>
      <c r="T2" s="40"/>
      <c r="U2" s="40"/>
      <c r="V2" s="40"/>
      <c r="W2" s="40"/>
      <c r="X2" s="40"/>
    </row>
    <row r="3" spans="1:24" ht="18.75">
      <c r="B3" s="692" t="s">
        <v>161</v>
      </c>
      <c r="C3" s="692"/>
      <c r="D3" s="692"/>
      <c r="E3" s="692"/>
      <c r="F3" s="692"/>
      <c r="G3" s="692"/>
      <c r="H3" s="692"/>
      <c r="I3" s="692"/>
      <c r="K3" s="39"/>
      <c r="L3" s="39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0"/>
    </row>
    <row r="4" spans="1:24">
      <c r="K4" s="40"/>
      <c r="L4" s="40"/>
      <c r="M4" s="40"/>
      <c r="N4" s="40"/>
      <c r="O4" s="40"/>
      <c r="P4" s="40"/>
      <c r="R4" s="40"/>
      <c r="S4" s="40"/>
      <c r="T4" s="40"/>
      <c r="U4" s="40"/>
      <c r="V4" s="40"/>
      <c r="W4" s="40"/>
      <c r="X4" s="40"/>
    </row>
    <row r="5" spans="1:24">
      <c r="K5" s="40"/>
      <c r="L5" s="40"/>
      <c r="M5" s="40"/>
      <c r="N5" s="40"/>
      <c r="O5" s="40"/>
      <c r="P5" s="40"/>
      <c r="R5" s="40"/>
      <c r="S5" s="40"/>
      <c r="T5" s="40"/>
      <c r="U5" s="40"/>
      <c r="V5" s="40"/>
      <c r="W5" s="40"/>
      <c r="X5" s="40"/>
    </row>
    <row r="6" spans="1:24" s="29" customFormat="1">
      <c r="A6" s="43" t="s">
        <v>4</v>
      </c>
      <c r="B6" s="42"/>
      <c r="C6" s="42"/>
      <c r="D6" s="42"/>
      <c r="E6" s="42"/>
      <c r="F6" s="42"/>
      <c r="G6" s="42"/>
      <c r="H6" s="42"/>
      <c r="I6" s="43" t="s">
        <v>69</v>
      </c>
      <c r="K6" s="28"/>
      <c r="L6" s="28"/>
      <c r="M6" s="28"/>
      <c r="N6" s="28"/>
      <c r="O6" s="28"/>
      <c r="P6" s="28"/>
      <c r="Q6" s="28"/>
    </row>
    <row r="7" spans="1:24" ht="16.5" thickBot="1">
      <c r="A7" s="44" t="s">
        <v>5</v>
      </c>
      <c r="B7" s="44" t="s">
        <v>6</v>
      </c>
      <c r="C7" s="44" t="s">
        <v>89</v>
      </c>
      <c r="D7" s="44" t="s">
        <v>90</v>
      </c>
      <c r="E7" s="44" t="s">
        <v>91</v>
      </c>
      <c r="F7" s="44" t="s">
        <v>92</v>
      </c>
      <c r="G7" s="44" t="s">
        <v>93</v>
      </c>
      <c r="H7" s="44" t="s">
        <v>94</v>
      </c>
      <c r="I7" s="44" t="s">
        <v>242</v>
      </c>
    </row>
    <row r="8" spans="1:24">
      <c r="A8" s="65" t="s">
        <v>204</v>
      </c>
      <c r="B8" s="65" t="s">
        <v>205</v>
      </c>
      <c r="C8" s="65" t="s">
        <v>206</v>
      </c>
      <c r="D8" s="65" t="s">
        <v>207</v>
      </c>
      <c r="E8" s="65" t="s">
        <v>208</v>
      </c>
      <c r="F8" s="65" t="s">
        <v>209</v>
      </c>
      <c r="G8" s="65" t="s">
        <v>210</v>
      </c>
      <c r="H8" s="65" t="s">
        <v>211</v>
      </c>
      <c r="I8" s="65" t="s">
        <v>212</v>
      </c>
    </row>
    <row r="9" spans="1:24">
      <c r="B9" s="45"/>
      <c r="C9" s="45"/>
      <c r="D9" s="45"/>
      <c r="E9" s="45"/>
      <c r="F9" s="45"/>
      <c r="G9" s="45"/>
      <c r="H9" s="45"/>
      <c r="I9" s="45"/>
    </row>
    <row r="10" spans="1:24">
      <c r="A10" s="38">
        <v>1</v>
      </c>
      <c r="B10" s="26" t="s">
        <v>250</v>
      </c>
      <c r="C10" s="33">
        <f>SUM('Capital Budget 2017'!K3:K7)</f>
        <v>0</v>
      </c>
      <c r="D10" s="33">
        <f>SUM('Capital Budget 2017'!L3:L7)</f>
        <v>0</v>
      </c>
      <c r="E10" s="33">
        <f>SUM('Capital Budget 2017'!M3:M7)</f>
        <v>0</v>
      </c>
      <c r="F10" s="33">
        <f>SUM('Capital Budget 2017'!N3:N7)</f>
        <v>0</v>
      </c>
      <c r="G10" s="33">
        <f>SUM('Capital Budget 2017'!O3:O7)</f>
        <v>0</v>
      </c>
      <c r="H10" s="33">
        <f>SUM('Capital Budget 2017'!P3:P7)</f>
        <v>0</v>
      </c>
      <c r="I10" s="33">
        <f>SUM(C10:H10)</f>
        <v>0</v>
      </c>
      <c r="J10" s="46"/>
    </row>
    <row r="11" spans="1:24">
      <c r="A11" s="38">
        <f>A10+1</f>
        <v>2</v>
      </c>
      <c r="B11" s="26" t="s">
        <v>251</v>
      </c>
      <c r="C11" s="33">
        <f>SUM('Capital Budget 2017'!E23:J23,'Capital Budget 2017'!K23)</f>
        <v>0</v>
      </c>
      <c r="D11" s="33">
        <f>SUM('Capital Budget 2017'!L23)</f>
        <v>0</v>
      </c>
      <c r="E11" s="33">
        <f>SUM('Capital Budget 2017'!M23)</f>
        <v>0</v>
      </c>
      <c r="F11" s="33">
        <f>SUM('Capital Budget 2017'!N23)</f>
        <v>0</v>
      </c>
      <c r="G11" s="33">
        <f>SUM('Capital Budget 2017'!O23)</f>
        <v>0</v>
      </c>
      <c r="H11" s="33">
        <f>SUM('Capital Budget 2017'!P23)</f>
        <v>0</v>
      </c>
      <c r="I11" s="33">
        <f>SUM(C11:H11)</f>
        <v>0</v>
      </c>
      <c r="J11" s="46"/>
    </row>
    <row r="12" spans="1:24">
      <c r="A12" s="38">
        <f>A11+1</f>
        <v>3</v>
      </c>
      <c r="B12" s="26" t="s">
        <v>80</v>
      </c>
      <c r="C12" s="33">
        <f>SUM('Capital Budget 2017'!K14,'Capital Budget 2017'!K16:K19)</f>
        <v>57016.729999999996</v>
      </c>
      <c r="D12" s="33">
        <f>SUM('Capital Budget 2017'!L14,'Capital Budget 2017'!L16:L19)</f>
        <v>285403.61000000004</v>
      </c>
      <c r="E12" s="33">
        <f>SUM('Capital Budget 2017'!M14,'Capital Budget 2017'!M16:M19)</f>
        <v>133246.21999999997</v>
      </c>
      <c r="F12" s="33">
        <f>SUM('Capital Budget 2017'!N14,'Capital Budget 2017'!N16:N19)</f>
        <v>196773.81</v>
      </c>
      <c r="G12" s="33">
        <f>SUM('Capital Budget 2017'!O14,'Capital Budget 2017'!O16:O19)</f>
        <v>86670.760000000009</v>
      </c>
      <c r="H12" s="33">
        <f>SUM('Capital Budget 2017'!P14,'Capital Budget 2017'!P16:P19)</f>
        <v>222390.31999999995</v>
      </c>
      <c r="I12" s="33">
        <f>SUM(C12:H12)</f>
        <v>981501.45</v>
      </c>
      <c r="J12" s="46"/>
    </row>
    <row r="13" spans="1:24">
      <c r="A13" s="38">
        <f>A12+1</f>
        <v>4</v>
      </c>
      <c r="B13" s="26" t="s">
        <v>81</v>
      </c>
      <c r="C13" s="33">
        <f>'Capital Budget 2017'!K15</f>
        <v>0</v>
      </c>
      <c r="D13" s="33">
        <f>'Capital Budget 2017'!L15</f>
        <v>0</v>
      </c>
      <c r="E13" s="33">
        <f>'Capital Budget 2017'!M15</f>
        <v>0</v>
      </c>
      <c r="F13" s="33">
        <f>'Capital Budget 2017'!N15</f>
        <v>0</v>
      </c>
      <c r="G13" s="33">
        <f>'Capital Budget 2017'!O15</f>
        <v>0</v>
      </c>
      <c r="H13" s="33">
        <f>'Capital Budget 2017'!P15</f>
        <v>0</v>
      </c>
      <c r="I13" s="33">
        <f>SUM(C13:H13)</f>
        <v>0</v>
      </c>
      <c r="J13" s="46"/>
    </row>
    <row r="14" spans="1:24">
      <c r="A14" s="38">
        <f>A13+1</f>
        <v>5</v>
      </c>
      <c r="B14" s="26" t="s">
        <v>162</v>
      </c>
      <c r="C14" s="34">
        <f>SUM('Capital Budget 2017'!K8:K13)</f>
        <v>511712.06000000006</v>
      </c>
      <c r="D14" s="34">
        <f>SUM('Capital Budget 2017'!L8:L13)</f>
        <v>556624.30000000005</v>
      </c>
      <c r="E14" s="34">
        <f>SUM('Capital Budget 2017'!M8:M13)</f>
        <v>581759.54999999993</v>
      </c>
      <c r="F14" s="34">
        <f>SUM('Capital Budget 2017'!N8:N13)</f>
        <v>774089.49000000011</v>
      </c>
      <c r="G14" s="34">
        <f>SUM('Capital Budget 2017'!O8:O13)</f>
        <v>639392.29999999981</v>
      </c>
      <c r="H14" s="34">
        <f>SUM('Capital Budget 2017'!P8:P13)</f>
        <v>743965.23999999987</v>
      </c>
      <c r="I14" s="34">
        <f>SUM(C14:H14)</f>
        <v>3807542.94</v>
      </c>
      <c r="J14" s="86"/>
    </row>
    <row r="15" spans="1:24">
      <c r="A15" s="38">
        <f>A14+1</f>
        <v>6</v>
      </c>
      <c r="B15" s="26" t="s">
        <v>82</v>
      </c>
      <c r="C15" s="33">
        <f t="shared" ref="C15:I15" si="0">SUM(C10:C14)</f>
        <v>568728.79</v>
      </c>
      <c r="D15" s="33">
        <f t="shared" si="0"/>
        <v>842027.91000000015</v>
      </c>
      <c r="E15" s="33">
        <f t="shared" si="0"/>
        <v>715005.7699999999</v>
      </c>
      <c r="F15" s="33">
        <f t="shared" si="0"/>
        <v>970863.3</v>
      </c>
      <c r="G15" s="33">
        <f t="shared" si="0"/>
        <v>726063.05999999982</v>
      </c>
      <c r="H15" s="33">
        <f t="shared" si="0"/>
        <v>966355.55999999982</v>
      </c>
      <c r="I15" s="33">
        <f t="shared" si="0"/>
        <v>4789044.3899999997</v>
      </c>
      <c r="J15" s="46"/>
    </row>
    <row r="16" spans="1:24">
      <c r="C16" s="33"/>
      <c r="D16" s="33"/>
      <c r="E16" s="33"/>
      <c r="F16" s="33"/>
      <c r="G16" s="33"/>
      <c r="H16" s="33"/>
      <c r="I16" s="33"/>
      <c r="J16" s="46"/>
    </row>
    <row r="17" spans="1:10">
      <c r="A17" s="38">
        <f>A15+1</f>
        <v>7</v>
      </c>
      <c r="B17" s="26" t="s">
        <v>252</v>
      </c>
      <c r="C17" s="369">
        <v>0</v>
      </c>
      <c r="D17" s="369">
        <v>0</v>
      </c>
      <c r="E17" s="369">
        <v>0</v>
      </c>
      <c r="F17" s="369">
        <v>0</v>
      </c>
      <c r="G17" s="369">
        <v>0</v>
      </c>
      <c r="H17" s="369">
        <v>0</v>
      </c>
      <c r="I17" s="33">
        <f>SUM(C17:H17)</f>
        <v>0</v>
      </c>
      <c r="J17" s="46"/>
    </row>
    <row r="18" spans="1:10">
      <c r="A18" s="38">
        <f>A17+1</f>
        <v>8</v>
      </c>
      <c r="B18" s="26" t="s">
        <v>72</v>
      </c>
      <c r="C18" s="368">
        <v>0</v>
      </c>
      <c r="D18" s="368">
        <v>0</v>
      </c>
      <c r="E18" s="368">
        <v>0</v>
      </c>
      <c r="F18" s="368">
        <v>0</v>
      </c>
      <c r="G18" s="368">
        <v>0</v>
      </c>
      <c r="H18" s="368">
        <v>0</v>
      </c>
      <c r="I18" s="35">
        <f>SUM(C18:H18)</f>
        <v>0</v>
      </c>
      <c r="J18" s="46"/>
    </row>
    <row r="19" spans="1:10">
      <c r="A19" s="38">
        <f>A18+1</f>
        <v>9</v>
      </c>
      <c r="B19" s="26" t="s">
        <v>73</v>
      </c>
      <c r="C19" s="359">
        <v>0</v>
      </c>
      <c r="D19" s="359">
        <v>0</v>
      </c>
      <c r="E19" s="359">
        <v>0</v>
      </c>
      <c r="F19" s="359">
        <v>0</v>
      </c>
      <c r="G19" s="359">
        <v>0</v>
      </c>
      <c r="H19" s="359">
        <v>0</v>
      </c>
      <c r="I19" s="34">
        <f>SUM(C19:H19)</f>
        <v>0</v>
      </c>
      <c r="J19" s="46"/>
    </row>
    <row r="20" spans="1:10">
      <c r="A20" s="38">
        <f>A19+1</f>
        <v>10</v>
      </c>
      <c r="B20" s="26" t="s">
        <v>180</v>
      </c>
      <c r="C20" s="35">
        <f t="shared" ref="C20:I20" si="1">SUM(C17:C19)</f>
        <v>0</v>
      </c>
      <c r="D20" s="35">
        <f t="shared" si="1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46"/>
    </row>
    <row r="21" spans="1:10">
      <c r="A21" s="38"/>
      <c r="C21" s="35"/>
      <c r="D21" s="35"/>
      <c r="E21" s="35"/>
      <c r="F21" s="35"/>
      <c r="G21" s="35"/>
      <c r="H21" s="35"/>
      <c r="I21" s="35"/>
      <c r="J21" s="46"/>
    </row>
    <row r="22" spans="1:10">
      <c r="A22" s="38">
        <f>A20+1</f>
        <v>11</v>
      </c>
      <c r="B22" s="26" t="s">
        <v>179</v>
      </c>
      <c r="C22" s="369">
        <v>0</v>
      </c>
      <c r="D22" s="369">
        <v>0</v>
      </c>
      <c r="E22" s="369">
        <v>0</v>
      </c>
      <c r="F22" s="369">
        <v>0</v>
      </c>
      <c r="G22" s="369">
        <f>-G32</f>
        <v>0</v>
      </c>
      <c r="H22" s="369">
        <v>0</v>
      </c>
      <c r="I22" s="33">
        <f>SUM(C22:H22)</f>
        <v>0</v>
      </c>
      <c r="J22" s="46"/>
    </row>
    <row r="23" spans="1:10">
      <c r="A23" s="38"/>
      <c r="C23" s="33"/>
      <c r="D23" s="33"/>
      <c r="E23" s="33"/>
      <c r="F23" s="33"/>
      <c r="G23" s="33"/>
      <c r="H23" s="33"/>
      <c r="I23" s="33"/>
      <c r="J23" s="46"/>
    </row>
    <row r="24" spans="1:10" ht="16.5" customHeight="1">
      <c r="A24" s="38">
        <f>A22+1</f>
        <v>12</v>
      </c>
      <c r="B24" s="26" t="s">
        <v>253</v>
      </c>
      <c r="C24" s="33">
        <f>SUM('Capital Budget 2017'!K26:K28,'Capital Budget 2017'!K31)</f>
        <v>0</v>
      </c>
      <c r="D24" s="33">
        <f>SUM('Capital Budget 2017'!L26:L28,'Capital Budget 2017'!L31)</f>
        <v>0</v>
      </c>
      <c r="E24" s="33">
        <f>SUM('Capital Budget 2017'!M26:M28,'Capital Budget 2017'!M31)</f>
        <v>0</v>
      </c>
      <c r="F24" s="33">
        <f>SUM('Capital Budget 2017'!N26:N28,'Capital Budget 2017'!N31)</f>
        <v>0</v>
      </c>
      <c r="G24" s="33">
        <f>SUM('Capital Budget 2017'!O26:O28,'Capital Budget 2017'!O31)</f>
        <v>0</v>
      </c>
      <c r="H24" s="33">
        <f>SUM('Capital Budget 2017'!P26:P28,'Capital Budget 2017'!P31)</f>
        <v>0</v>
      </c>
      <c r="I24" s="33">
        <f>SUM(C24:H24)</f>
        <v>0</v>
      </c>
      <c r="J24" s="46"/>
    </row>
    <row r="25" spans="1:10">
      <c r="A25" s="38">
        <f>A24+1</f>
        <v>13</v>
      </c>
      <c r="B25" s="26" t="s">
        <v>83</v>
      </c>
      <c r="C25" s="33">
        <f>SUM('Capital Budget 2017'!K29:K30)</f>
        <v>26417.16</v>
      </c>
      <c r="D25" s="33">
        <f>SUM('Capital Budget 2017'!L29:L30)</f>
        <v>28945.41</v>
      </c>
      <c r="E25" s="33">
        <f>SUM('Capital Budget 2017'!M29:M30)</f>
        <v>24037.84</v>
      </c>
      <c r="F25" s="33">
        <f>SUM('Capital Budget 2017'!N29:N30)</f>
        <v>31446.28</v>
      </c>
      <c r="G25" s="33">
        <f>SUM('Capital Budget 2017'!O29:O30)</f>
        <v>38800.33</v>
      </c>
      <c r="H25" s="33">
        <f>SUM('Capital Budget 2017'!P29:P30)</f>
        <v>37449.410000000003</v>
      </c>
      <c r="I25" s="33">
        <f>SUM(C25:H25)</f>
        <v>187096.43000000002</v>
      </c>
      <c r="J25" s="46"/>
    </row>
    <row r="26" spans="1:10">
      <c r="A26" s="38">
        <f>A25+1</f>
        <v>14</v>
      </c>
      <c r="B26" s="26" t="s">
        <v>84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f>SUM(C26:H26)</f>
        <v>0</v>
      </c>
      <c r="J26" s="86"/>
    </row>
    <row r="27" spans="1:10">
      <c r="A27" s="38">
        <f>A26+1</f>
        <v>15</v>
      </c>
      <c r="B27" s="26" t="s">
        <v>85</v>
      </c>
      <c r="C27" s="33">
        <f t="shared" ref="C27:I27" si="2">SUM(C24:C26)</f>
        <v>26417.16</v>
      </c>
      <c r="D27" s="33">
        <f t="shared" si="2"/>
        <v>28945.41</v>
      </c>
      <c r="E27" s="33">
        <f t="shared" si="2"/>
        <v>24037.84</v>
      </c>
      <c r="F27" s="33">
        <f t="shared" si="2"/>
        <v>31446.28</v>
      </c>
      <c r="G27" s="33">
        <f t="shared" si="2"/>
        <v>38800.33</v>
      </c>
      <c r="H27" s="33">
        <f t="shared" si="2"/>
        <v>37449.410000000003</v>
      </c>
      <c r="I27" s="33">
        <f t="shared" si="2"/>
        <v>187096.43000000002</v>
      </c>
      <c r="J27" s="46"/>
    </row>
    <row r="28" spans="1:10">
      <c r="A28" s="38"/>
      <c r="C28" s="33"/>
      <c r="D28" s="33"/>
      <c r="E28" s="33"/>
      <c r="F28" s="33"/>
      <c r="G28" s="33"/>
      <c r="H28" s="33"/>
      <c r="I28" s="33"/>
      <c r="J28" s="46"/>
    </row>
    <row r="29" spans="1:10">
      <c r="A29" s="38">
        <f>A27+1</f>
        <v>16</v>
      </c>
      <c r="B29" s="26" t="s">
        <v>59</v>
      </c>
      <c r="C29" s="369">
        <v>62063.899999999994</v>
      </c>
      <c r="D29" s="369">
        <v>85274.15</v>
      </c>
      <c r="E29" s="369">
        <v>64736.08</v>
      </c>
      <c r="F29" s="369">
        <v>107597.89000000001</v>
      </c>
      <c r="G29" s="369">
        <v>78694.020000000019</v>
      </c>
      <c r="H29" s="369">
        <v>88839.3</v>
      </c>
      <c r="I29" s="33">
        <f>SUM(C29:H29)</f>
        <v>487205.34</v>
      </c>
      <c r="J29" s="46"/>
    </row>
    <row r="30" spans="1:10">
      <c r="A30" s="38">
        <f>A29+1</f>
        <v>17</v>
      </c>
      <c r="B30" s="26" t="s">
        <v>457</v>
      </c>
      <c r="C30" s="369">
        <v>0</v>
      </c>
      <c r="D30" s="369">
        <v>0</v>
      </c>
      <c r="E30" s="369">
        <v>0</v>
      </c>
      <c r="F30" s="369">
        <v>0</v>
      </c>
      <c r="G30" s="369">
        <v>0</v>
      </c>
      <c r="H30" s="369">
        <v>0</v>
      </c>
      <c r="I30" s="33">
        <f>SUM(C30:H30)</f>
        <v>0</v>
      </c>
      <c r="J30" s="46"/>
    </row>
    <row r="31" spans="1:10">
      <c r="A31" s="38">
        <f>A30+1</f>
        <v>18</v>
      </c>
      <c r="B31" s="26" t="s">
        <v>458</v>
      </c>
      <c r="C31" s="369">
        <v>0</v>
      </c>
      <c r="D31" s="369">
        <v>0</v>
      </c>
      <c r="E31" s="369">
        <v>0</v>
      </c>
      <c r="F31" s="369">
        <v>0</v>
      </c>
      <c r="G31" s="369">
        <v>0</v>
      </c>
      <c r="H31" s="369">
        <v>0</v>
      </c>
      <c r="I31" s="33">
        <f>SUM(C31:H31)</f>
        <v>0</v>
      </c>
    </row>
    <row r="32" spans="1:10">
      <c r="F32" s="63"/>
      <c r="G32" s="33"/>
    </row>
    <row r="34" spans="2:8">
      <c r="G34" s="28"/>
      <c r="H34" s="28"/>
    </row>
    <row r="35" spans="2:8">
      <c r="B35" s="28"/>
      <c r="C35" s="28"/>
      <c r="D35" s="28"/>
      <c r="E35" s="28"/>
      <c r="F35" s="28"/>
      <c r="G35" s="28"/>
      <c r="H35" s="28"/>
    </row>
    <row r="36" spans="2:8">
      <c r="B36" s="28"/>
      <c r="C36" s="28"/>
      <c r="D36" s="28"/>
      <c r="E36" s="28"/>
      <c r="F36" s="28"/>
      <c r="G36" s="28"/>
      <c r="H36" s="28"/>
    </row>
    <row r="37" spans="2:8">
      <c r="B37" s="28"/>
      <c r="C37" s="28"/>
      <c r="D37" s="28"/>
      <c r="E37" s="28"/>
      <c r="F37" s="28"/>
      <c r="G37" s="28"/>
      <c r="H37" s="28"/>
    </row>
    <row r="38" spans="2:8">
      <c r="B38" s="28"/>
      <c r="C38" s="28"/>
      <c r="D38" s="28"/>
      <c r="E38" s="28"/>
      <c r="F38" s="28"/>
      <c r="G38" s="28"/>
      <c r="H38" s="28"/>
    </row>
    <row r="39" spans="2:8">
      <c r="B39" s="28"/>
      <c r="C39" s="28"/>
      <c r="D39" s="28"/>
      <c r="E39" s="28"/>
      <c r="F39" s="28"/>
      <c r="G39" s="28"/>
      <c r="H39" s="28"/>
    </row>
    <row r="40" spans="2:8">
      <c r="B40" s="28"/>
      <c r="C40" s="28"/>
      <c r="D40" s="28"/>
      <c r="E40" s="28"/>
      <c r="F40" s="28"/>
      <c r="G40" s="28"/>
      <c r="H40" s="28"/>
    </row>
    <row r="41" spans="2:8">
      <c r="B41" s="28"/>
      <c r="C41" s="28"/>
      <c r="D41" s="28"/>
      <c r="E41" s="28"/>
      <c r="F41" s="28"/>
      <c r="G41" s="28"/>
      <c r="H41" s="28"/>
    </row>
    <row r="42" spans="2:8">
      <c r="B42" s="28"/>
      <c r="C42" s="28"/>
      <c r="D42" s="28"/>
      <c r="E42" s="28"/>
      <c r="F42" s="28"/>
      <c r="G42" s="28"/>
      <c r="H42" s="28"/>
    </row>
    <row r="43" spans="2:8">
      <c r="B43" s="28"/>
      <c r="C43" s="28"/>
      <c r="D43" s="28"/>
      <c r="E43" s="28"/>
      <c r="F43" s="28"/>
      <c r="G43" s="28"/>
      <c r="H43" s="28"/>
    </row>
    <row r="44" spans="2:8">
      <c r="B44" s="28"/>
      <c r="C44" s="28"/>
      <c r="D44" s="28"/>
      <c r="E44" s="28"/>
      <c r="F44" s="28"/>
      <c r="G44" s="28"/>
      <c r="H44" s="28"/>
    </row>
    <row r="45" spans="2:8">
      <c r="B45" s="28"/>
      <c r="C45" s="28"/>
      <c r="D45" s="28"/>
      <c r="E45" s="28"/>
      <c r="F45" s="28"/>
      <c r="G45" s="28"/>
      <c r="H45" s="28"/>
    </row>
    <row r="46" spans="2:8">
      <c r="B46" s="28"/>
      <c r="C46" s="28"/>
      <c r="D46" s="28"/>
      <c r="E46" s="28"/>
      <c r="F46" s="28"/>
      <c r="G46" s="28"/>
      <c r="H46" s="28"/>
    </row>
    <row r="47" spans="2:8">
      <c r="B47" s="28"/>
      <c r="C47" s="28"/>
      <c r="D47" s="28"/>
      <c r="E47" s="28"/>
      <c r="F47" s="28"/>
      <c r="G47" s="28"/>
      <c r="H47" s="28"/>
    </row>
    <row r="48" spans="2:8">
      <c r="B48" s="28"/>
      <c r="C48" s="28"/>
      <c r="D48" s="28"/>
      <c r="E48" s="28"/>
      <c r="F48" s="28"/>
      <c r="G48" s="28"/>
      <c r="H48" s="28"/>
    </row>
  </sheetData>
  <mergeCells count="3">
    <mergeCell ref="B1:I1"/>
    <mergeCell ref="B3:I3"/>
    <mergeCell ref="A2:I2"/>
  </mergeCells>
  <pageMargins left="0.7" right="0.7" top="0.75" bottom="0.75" header="0.3" footer="0.3"/>
  <pageSetup scale="76" orientation="landscape" r:id="rId1"/>
  <headerFooter>
    <oddFooter>&amp;R&amp;"Times New Roman,Bold"&amp;12Exhibit CMG-5
Page 5 of 12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9" tint="0.39997558519241921"/>
    <pageSetUpPr fitToPage="1"/>
  </sheetPr>
  <dimension ref="A1:R31"/>
  <sheetViews>
    <sheetView workbookViewId="0"/>
  </sheetViews>
  <sheetFormatPr defaultColWidth="9.140625" defaultRowHeight="15.75"/>
  <cols>
    <col min="1" max="1" width="5.140625" style="6" customWidth="1"/>
    <col min="2" max="2" width="2.85546875" style="6" customWidth="1"/>
    <col min="3" max="3" width="23" style="4" customWidth="1"/>
    <col min="4" max="4" width="9.140625" style="6"/>
    <col min="5" max="5" width="1.140625" style="6" customWidth="1"/>
    <col min="6" max="6" width="15.85546875" style="4" customWidth="1"/>
    <col min="7" max="7" width="1.140625" style="6" customWidth="1"/>
    <col min="8" max="8" width="9.85546875" style="4" customWidth="1"/>
    <col min="9" max="9" width="1.140625" style="6" customWidth="1"/>
    <col min="10" max="10" width="12.5703125" style="4" bestFit="1" customWidth="1"/>
    <col min="11" max="11" width="1.140625" style="6" customWidth="1"/>
    <col min="12" max="12" width="14.85546875" style="4" bestFit="1" customWidth="1"/>
    <col min="13" max="13" width="1.140625" style="6" customWidth="1"/>
    <col min="14" max="14" width="16.85546875" style="4" customWidth="1"/>
    <col min="15" max="15" width="1.140625" style="6" customWidth="1"/>
    <col min="16" max="16" width="16" style="4" bestFit="1" customWidth="1"/>
    <col min="17" max="17" width="1.140625" style="6" customWidth="1"/>
    <col min="18" max="18" width="15.85546875" style="4" customWidth="1"/>
    <col min="19" max="16384" width="9.140625" style="4"/>
  </cols>
  <sheetData>
    <row r="1" spans="1:18" ht="18.75">
      <c r="A1" s="196" t="s">
        <v>67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8.75">
      <c r="A2" s="194" t="s">
        <v>255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8.75">
      <c r="A3" s="196" t="s">
        <v>214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>
      <c r="A5" s="8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8">
      <c r="C6" s="12"/>
      <c r="D6" s="12"/>
      <c r="E6" s="12"/>
      <c r="F6" s="12" t="s">
        <v>102</v>
      </c>
      <c r="G6" s="12"/>
      <c r="H6" s="12"/>
      <c r="I6" s="12"/>
      <c r="J6" s="12" t="s">
        <v>102</v>
      </c>
      <c r="K6" s="12"/>
      <c r="L6" s="12" t="s">
        <v>102</v>
      </c>
      <c r="M6" s="12"/>
      <c r="N6" s="12"/>
      <c r="O6" s="12"/>
      <c r="P6" s="12"/>
      <c r="Q6" s="12"/>
      <c r="R6" s="12" t="s">
        <v>102</v>
      </c>
    </row>
    <row r="7" spans="1:18">
      <c r="C7" s="12"/>
      <c r="D7" s="12"/>
      <c r="E7" s="12"/>
      <c r="F7" s="12" t="s">
        <v>8</v>
      </c>
      <c r="G7" s="12"/>
      <c r="H7" s="12" t="s">
        <v>164</v>
      </c>
      <c r="I7" s="12"/>
      <c r="J7" s="12" t="s">
        <v>11</v>
      </c>
      <c r="K7" s="12"/>
      <c r="L7" s="12" t="s">
        <v>20</v>
      </c>
      <c r="M7" s="12"/>
      <c r="N7" s="12" t="s">
        <v>96</v>
      </c>
      <c r="O7" s="12"/>
      <c r="P7" s="12" t="s">
        <v>96</v>
      </c>
      <c r="Q7" s="12"/>
      <c r="R7" s="12" t="s">
        <v>14</v>
      </c>
    </row>
    <row r="8" spans="1:18">
      <c r="A8" s="12" t="s">
        <v>4</v>
      </c>
      <c r="B8" s="12"/>
      <c r="C8" s="12"/>
      <c r="D8" s="12" t="s">
        <v>7</v>
      </c>
      <c r="E8" s="12"/>
      <c r="F8" s="12" t="s">
        <v>1</v>
      </c>
      <c r="G8" s="12"/>
      <c r="H8" s="12" t="s">
        <v>10</v>
      </c>
      <c r="I8" s="12"/>
      <c r="J8" s="12" t="s">
        <v>8</v>
      </c>
      <c r="K8" s="12"/>
      <c r="L8" s="12" t="s">
        <v>61</v>
      </c>
      <c r="M8" s="12"/>
      <c r="N8" s="12" t="s">
        <v>11</v>
      </c>
      <c r="O8" s="12"/>
      <c r="P8" s="12" t="s">
        <v>38</v>
      </c>
      <c r="Q8" s="12"/>
      <c r="R8" s="12" t="s">
        <v>1</v>
      </c>
    </row>
    <row r="9" spans="1:18">
      <c r="A9" s="7" t="s">
        <v>5</v>
      </c>
      <c r="B9" s="7"/>
      <c r="C9" s="7" t="s">
        <v>6</v>
      </c>
      <c r="D9" s="7" t="s">
        <v>5</v>
      </c>
      <c r="E9" s="7"/>
      <c r="F9" s="7" t="s">
        <v>9</v>
      </c>
      <c r="G9" s="7"/>
      <c r="H9" s="7" t="s">
        <v>2</v>
      </c>
      <c r="I9" s="7"/>
      <c r="J9" s="7" t="s">
        <v>9</v>
      </c>
      <c r="K9" s="7"/>
      <c r="L9" s="7" t="s">
        <v>12</v>
      </c>
      <c r="M9" s="7"/>
      <c r="N9" s="7" t="s">
        <v>13</v>
      </c>
      <c r="O9" s="7"/>
      <c r="P9" s="7" t="s">
        <v>0</v>
      </c>
      <c r="Q9" s="7"/>
      <c r="R9" s="7" t="s">
        <v>9</v>
      </c>
    </row>
    <row r="10" spans="1:18" s="5" customFormat="1">
      <c r="A10" s="12"/>
      <c r="B10" s="12"/>
      <c r="C10" s="8">
        <v>-1</v>
      </c>
      <c r="D10" s="8">
        <v>-2</v>
      </c>
      <c r="E10" s="8"/>
      <c r="F10" s="8">
        <v>-3</v>
      </c>
      <c r="G10" s="8"/>
      <c r="H10" s="8">
        <v>-4</v>
      </c>
      <c r="I10" s="8"/>
      <c r="J10" s="8" t="s">
        <v>15</v>
      </c>
      <c r="K10" s="8"/>
      <c r="L10" s="8">
        <v>-6</v>
      </c>
      <c r="M10" s="8"/>
      <c r="N10" s="8" t="s">
        <v>16</v>
      </c>
      <c r="O10" s="8"/>
      <c r="P10" s="8" t="s">
        <v>97</v>
      </c>
      <c r="Q10" s="8"/>
      <c r="R10" s="8" t="s">
        <v>17</v>
      </c>
    </row>
    <row r="12" spans="1:18">
      <c r="B12" s="10" t="s">
        <v>20</v>
      </c>
      <c r="C12" s="10"/>
    </row>
    <row r="13" spans="1:18">
      <c r="A13" s="6">
        <v>1</v>
      </c>
      <c r="B13" s="4"/>
      <c r="C13" s="4" t="s">
        <v>453</v>
      </c>
      <c r="D13" s="6">
        <v>376</v>
      </c>
      <c r="F13" s="364"/>
      <c r="H13" s="1">
        <f>1.62%/12</f>
        <v>1.3500000000000003E-3</v>
      </c>
      <c r="J13" s="364">
        <f>F13*H13</f>
        <v>0</v>
      </c>
      <c r="L13" s="364">
        <f>'Cap&amp;OpEx 2017'!C10</f>
        <v>0</v>
      </c>
      <c r="N13" s="364">
        <f>H13*L13*0.5</f>
        <v>0</v>
      </c>
      <c r="P13" s="364">
        <f>J13+N13</f>
        <v>0</v>
      </c>
      <c r="R13" s="364">
        <f>L13+F13</f>
        <v>0</v>
      </c>
    </row>
    <row r="14" spans="1:18">
      <c r="A14" s="6">
        <f>A13+1</f>
        <v>2</v>
      </c>
      <c r="B14" s="4"/>
      <c r="C14" s="9" t="s">
        <v>62</v>
      </c>
      <c r="D14" s="6">
        <v>380</v>
      </c>
      <c r="F14" s="364"/>
      <c r="H14" s="1">
        <f>3.24%/12</f>
        <v>2.7000000000000006E-3</v>
      </c>
      <c r="J14" s="364">
        <f>F14*H14</f>
        <v>0</v>
      </c>
      <c r="L14" s="364">
        <f>'Cap&amp;OpEx 2017'!C12</f>
        <v>57016.729999999996</v>
      </c>
      <c r="N14" s="364">
        <f>H14*L14*0.5</f>
        <v>76.972585500000008</v>
      </c>
      <c r="P14" s="364">
        <f>J14+N14</f>
        <v>76.972585500000008</v>
      </c>
      <c r="R14" s="364">
        <f>L14+F14</f>
        <v>57016.729999999996</v>
      </c>
    </row>
    <row r="15" spans="1:18">
      <c r="A15" s="6">
        <f t="shared" ref="A15:A17" si="0">A14+1</f>
        <v>3</v>
      </c>
      <c r="B15" s="4"/>
      <c r="C15" s="9" t="s">
        <v>63</v>
      </c>
      <c r="D15" s="6">
        <v>380</v>
      </c>
      <c r="F15" s="364"/>
      <c r="H15" s="1">
        <f t="shared" ref="H15:H16" si="1">3.24%/12</f>
        <v>2.7000000000000006E-3</v>
      </c>
      <c r="J15" s="364">
        <f>F15*H15</f>
        <v>0</v>
      </c>
      <c r="L15" s="364">
        <f>'Cap&amp;OpEx 2017'!C13</f>
        <v>0</v>
      </c>
      <c r="N15" s="364">
        <f>H15*L15*0.5</f>
        <v>0</v>
      </c>
      <c r="P15" s="364">
        <f>J15+N15</f>
        <v>0</v>
      </c>
      <c r="R15" s="364">
        <f>L15+F15</f>
        <v>0</v>
      </c>
    </row>
    <row r="16" spans="1:18">
      <c r="A16" s="6">
        <f t="shared" si="0"/>
        <v>4</v>
      </c>
      <c r="B16" s="4"/>
      <c r="C16" s="4" t="s">
        <v>163</v>
      </c>
      <c r="D16" s="6">
        <v>380</v>
      </c>
      <c r="F16" s="364"/>
      <c r="H16" s="1">
        <f t="shared" si="1"/>
        <v>2.7000000000000006E-3</v>
      </c>
      <c r="J16" s="364">
        <f>F16*H16</f>
        <v>0</v>
      </c>
      <c r="L16" s="364">
        <f>'Cap&amp;OpEx 2017'!C14</f>
        <v>511712.06000000006</v>
      </c>
      <c r="N16" s="364">
        <f>H16*L16*0.5</f>
        <v>690.81128100000024</v>
      </c>
      <c r="P16" s="364">
        <f>J16+N16</f>
        <v>690.81128100000024</v>
      </c>
      <c r="R16" s="364">
        <f>L16+F16</f>
        <v>511712.06000000006</v>
      </c>
    </row>
    <row r="17" spans="1:18">
      <c r="A17" s="6">
        <f t="shared" si="0"/>
        <v>5</v>
      </c>
      <c r="B17" s="4"/>
      <c r="C17" s="4" t="s">
        <v>21</v>
      </c>
      <c r="F17" s="362">
        <f>SUM(F13:F16)</f>
        <v>0</v>
      </c>
      <c r="J17" s="362">
        <f>SUM(J13:J16)</f>
        <v>0</v>
      </c>
      <c r="L17" s="362">
        <f>SUM(L13:L16)</f>
        <v>568728.79</v>
      </c>
      <c r="N17" s="362">
        <f>SUM(N13:N16)</f>
        <v>767.78386650000027</v>
      </c>
      <c r="P17" s="362">
        <f>SUM(P13:P16)</f>
        <v>767.78386650000027</v>
      </c>
      <c r="R17" s="362">
        <f>SUM(R13:R16)</f>
        <v>568728.79</v>
      </c>
    </row>
    <row r="18" spans="1:18">
      <c r="B18" s="4"/>
    </row>
    <row r="19" spans="1:18">
      <c r="B19" s="10" t="s">
        <v>12</v>
      </c>
      <c r="C19" s="10"/>
    </row>
    <row r="20" spans="1:18">
      <c r="A20" s="6">
        <f>A17+1</f>
        <v>6</v>
      </c>
      <c r="B20" s="4"/>
      <c r="C20" s="4" t="s">
        <v>453</v>
      </c>
      <c r="D20" s="6">
        <v>376</v>
      </c>
      <c r="F20" s="364"/>
      <c r="H20" s="1">
        <f>1.62%/12</f>
        <v>1.3500000000000003E-3</v>
      </c>
      <c r="J20" s="364">
        <f>F20*H20</f>
        <v>0</v>
      </c>
      <c r="L20" s="364">
        <f>'Cap&amp;OpEx 2017'!C17</f>
        <v>0</v>
      </c>
      <c r="N20" s="364">
        <f>H20*L20*0.5</f>
        <v>0</v>
      </c>
      <c r="P20" s="364">
        <f>J20+N20</f>
        <v>0</v>
      </c>
      <c r="R20" s="364">
        <f>L20+F20</f>
        <v>0</v>
      </c>
    </row>
    <row r="21" spans="1:18">
      <c r="A21" s="6">
        <f>A20+1</f>
        <v>7</v>
      </c>
      <c r="B21" s="4"/>
      <c r="C21" s="9" t="s">
        <v>62</v>
      </c>
      <c r="D21" s="6">
        <v>380</v>
      </c>
      <c r="F21" s="364"/>
      <c r="H21" s="1">
        <f>3.24%/12</f>
        <v>2.7000000000000006E-3</v>
      </c>
      <c r="J21" s="364">
        <f>F21*H21</f>
        <v>0</v>
      </c>
      <c r="L21" s="364">
        <f>'Cap&amp;OpEx 2017'!C18</f>
        <v>0</v>
      </c>
      <c r="N21" s="364">
        <f>H21*L21*0.5</f>
        <v>0</v>
      </c>
      <c r="P21" s="364">
        <f>J21+N21</f>
        <v>0</v>
      </c>
      <c r="R21" s="364">
        <f>L21+F21</f>
        <v>0</v>
      </c>
    </row>
    <row r="22" spans="1:18">
      <c r="A22" s="6">
        <f t="shared" ref="A22:A23" si="2">A21+1</f>
        <v>8</v>
      </c>
      <c r="B22" s="4"/>
      <c r="C22" s="9" t="s">
        <v>63</v>
      </c>
      <c r="D22" s="6">
        <v>380</v>
      </c>
      <c r="F22" s="364"/>
      <c r="H22" s="1">
        <f>3.24%/12</f>
        <v>2.7000000000000006E-3</v>
      </c>
      <c r="J22" s="364">
        <f>F22*H22</f>
        <v>0</v>
      </c>
      <c r="L22" s="364">
        <f>'Cap&amp;OpEx 2017'!C19</f>
        <v>0</v>
      </c>
      <c r="N22" s="364">
        <f>H22*L22*0.5</f>
        <v>0</v>
      </c>
      <c r="P22" s="364">
        <f>J22+N22</f>
        <v>0</v>
      </c>
      <c r="R22" s="364">
        <f>L22+F22</f>
        <v>0</v>
      </c>
    </row>
    <row r="23" spans="1:18">
      <c r="A23" s="6">
        <f t="shared" si="2"/>
        <v>9</v>
      </c>
      <c r="B23" s="4"/>
      <c r="C23" s="4" t="s">
        <v>22</v>
      </c>
      <c r="F23" s="362">
        <f>SUM(F20:F22)</f>
        <v>0</v>
      </c>
      <c r="J23" s="362">
        <f>SUM(J20:J22)</f>
        <v>0</v>
      </c>
      <c r="L23" s="362">
        <f>SUM(L20:L22)</f>
        <v>0</v>
      </c>
      <c r="N23" s="362">
        <f>SUM(N20:N22)</f>
        <v>0</v>
      </c>
      <c r="P23" s="362">
        <f>SUM(P20:P22)</f>
        <v>0</v>
      </c>
      <c r="R23" s="362">
        <f>SUM(R20:R22)</f>
        <v>0</v>
      </c>
    </row>
    <row r="24" spans="1:18">
      <c r="B24" s="4"/>
    </row>
    <row r="25" spans="1:18" ht="16.5" thickBot="1">
      <c r="A25" s="6">
        <f>A23+1</f>
        <v>10</v>
      </c>
      <c r="B25" s="11" t="s">
        <v>18</v>
      </c>
      <c r="C25" s="11"/>
      <c r="F25" s="363">
        <f>F17+F23</f>
        <v>0</v>
      </c>
      <c r="J25" s="363">
        <f>J17+J23</f>
        <v>0</v>
      </c>
      <c r="L25" s="363">
        <f>L17+L23</f>
        <v>568728.79</v>
      </c>
      <c r="N25" s="363">
        <f>N17+N23</f>
        <v>767.78386650000027</v>
      </c>
      <c r="P25" s="363">
        <f>P17+P23</f>
        <v>767.78386650000027</v>
      </c>
      <c r="R25" s="363">
        <f>R17+R23</f>
        <v>568728.79</v>
      </c>
    </row>
    <row r="26" spans="1:18" ht="16.5" thickTop="1">
      <c r="B26" s="4"/>
    </row>
    <row r="27" spans="1:18">
      <c r="B27" s="11" t="s">
        <v>19</v>
      </c>
      <c r="C27" s="11"/>
    </row>
    <row r="28" spans="1:18">
      <c r="A28" s="6">
        <f>A25+1</f>
        <v>11</v>
      </c>
      <c r="B28" s="4"/>
      <c r="C28" s="4" t="s">
        <v>453</v>
      </c>
      <c r="D28" s="6">
        <v>376</v>
      </c>
      <c r="F28" s="364"/>
      <c r="J28" s="364"/>
      <c r="L28" s="364">
        <f>'Cap&amp;OpEx 2017'!C24</f>
        <v>0</v>
      </c>
      <c r="N28" s="364"/>
      <c r="P28" s="364"/>
      <c r="R28" s="364">
        <f>L28+F28</f>
        <v>0</v>
      </c>
    </row>
    <row r="29" spans="1:18">
      <c r="A29" s="6">
        <f>A28+1</f>
        <v>12</v>
      </c>
      <c r="B29" s="4"/>
      <c r="C29" s="9" t="s">
        <v>62</v>
      </c>
      <c r="D29" s="6">
        <v>380</v>
      </c>
      <c r="F29" s="364"/>
      <c r="J29" s="364"/>
      <c r="L29" s="364">
        <f>'Cap&amp;OpEx 2017'!C25</f>
        <v>26417.16</v>
      </c>
      <c r="N29" s="364"/>
      <c r="P29" s="364"/>
      <c r="R29" s="364">
        <f>L29+F29</f>
        <v>26417.16</v>
      </c>
    </row>
    <row r="30" spans="1:18">
      <c r="A30" s="6">
        <f t="shared" ref="A30:A31" si="3">A29+1</f>
        <v>13</v>
      </c>
      <c r="B30" s="4"/>
      <c r="C30" s="9" t="s">
        <v>63</v>
      </c>
      <c r="D30" s="6">
        <v>380</v>
      </c>
      <c r="F30" s="364"/>
      <c r="J30" s="364"/>
      <c r="L30" s="364">
        <f>'Cap&amp;OpEx 2017'!C26</f>
        <v>0</v>
      </c>
      <c r="N30" s="364"/>
      <c r="P30" s="364"/>
      <c r="R30" s="364">
        <f>L30+F30</f>
        <v>0</v>
      </c>
    </row>
    <row r="31" spans="1:18">
      <c r="A31" s="6">
        <f t="shared" si="3"/>
        <v>14</v>
      </c>
      <c r="B31" s="4"/>
      <c r="C31" s="4" t="s">
        <v>23</v>
      </c>
      <c r="F31" s="362">
        <f>SUM(F28:F30)</f>
        <v>0</v>
      </c>
      <c r="J31" s="362">
        <f>SUM(J28:J30)</f>
        <v>0</v>
      </c>
      <c r="L31" s="362">
        <f>SUM(L28:L30)</f>
        <v>26417.16</v>
      </c>
      <c r="N31" s="362">
        <f>SUM(N28:N30)</f>
        <v>0</v>
      </c>
      <c r="P31" s="362">
        <f>SUM(P28:P30)</f>
        <v>0</v>
      </c>
      <c r="R31" s="362">
        <f>SUM(R28:R30)</f>
        <v>26417.16</v>
      </c>
    </row>
  </sheetData>
  <pageMargins left="0.7" right="0.7" top="0.75" bottom="0.75" header="0.3" footer="0.3"/>
  <pageSetup scale="82" orientation="landscape" r:id="rId1"/>
  <headerFooter>
    <oddFooter>&amp;R&amp;"Times New Roman,Bold"&amp;12Exhibit CMG-5
Page 6 of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106</vt:i4>
      </vt:variant>
      <vt:variant>
        <vt:lpstr>Named Ranges</vt:lpstr>
      </vt:variant>
      <vt:variant>
        <vt:i4>41</vt:i4>
      </vt:variant>
    </vt:vector>
  </HeadingPairs>
  <TitlesOfParts>
    <vt:vector size="147" baseType="lpstr">
      <vt:lpstr>Project Overview</vt:lpstr>
      <vt:lpstr>ROR Eff 07.2021</vt:lpstr>
      <vt:lpstr>Cover - Exhibit 1</vt:lpstr>
      <vt:lpstr>Cover - Exhibit 2</vt:lpstr>
      <vt:lpstr>Class Allocation</vt:lpstr>
      <vt:lpstr>True-up &gt;&gt;</vt:lpstr>
      <vt:lpstr>Cover - Exhibit 3</vt:lpstr>
      <vt:lpstr>OU Collection</vt:lpstr>
      <vt:lpstr>RevReq</vt:lpstr>
      <vt:lpstr>Net Assets</vt:lpstr>
      <vt:lpstr>OpEx</vt:lpstr>
      <vt:lpstr>Forecast &gt;&gt;</vt:lpstr>
      <vt:lpstr>Cover - Exhibit 4</vt:lpstr>
      <vt:lpstr>2021 Filing &gt;&gt;</vt:lpstr>
      <vt:lpstr>Rev Req 2021-Distr</vt:lpstr>
      <vt:lpstr>Rev Req 2021-Trans</vt:lpstr>
      <vt:lpstr>ROR 2021</vt:lpstr>
      <vt:lpstr>Cap&amp;OpEx 2021</vt:lpstr>
      <vt:lpstr>202101 Bk Depr</vt:lpstr>
      <vt:lpstr>202102 Bk Depr</vt:lpstr>
      <vt:lpstr>202103 Bk Depr</vt:lpstr>
      <vt:lpstr>202104 Bk Depr</vt:lpstr>
      <vt:lpstr>202105 Bk Depr</vt:lpstr>
      <vt:lpstr>202106 Bk Depr</vt:lpstr>
      <vt:lpstr>202107 Bk Depr</vt:lpstr>
      <vt:lpstr>202108 Bk Depr</vt:lpstr>
      <vt:lpstr>202109 Bk Depr</vt:lpstr>
      <vt:lpstr>202110 Bk Depr</vt:lpstr>
      <vt:lpstr>202111 Bk Depr</vt:lpstr>
      <vt:lpstr>202112 Bk Depr</vt:lpstr>
      <vt:lpstr>Tax Depr 2021-Dist</vt:lpstr>
      <vt:lpstr>Tax Depr 2021-Trans</vt:lpstr>
      <vt:lpstr>2021 Capital Budget</vt:lpstr>
      <vt:lpstr>COS Budget 2021</vt:lpstr>
      <vt:lpstr>Base Rate Retirements 2021</vt:lpstr>
      <vt:lpstr>Day 4 Report Dec 2020</vt:lpstr>
      <vt:lpstr>2020 Support &gt;&gt;</vt:lpstr>
      <vt:lpstr>Rev Req 2020-Distr</vt:lpstr>
      <vt:lpstr>Rev Req 2020-Trans</vt:lpstr>
      <vt:lpstr>ROR 2020</vt:lpstr>
      <vt:lpstr>Cap&amp;OpEx 2020</vt:lpstr>
      <vt:lpstr>202001 Bk Depr</vt:lpstr>
      <vt:lpstr>202002 Bk Depr</vt:lpstr>
      <vt:lpstr>202003 Bk Depr</vt:lpstr>
      <vt:lpstr>202004 Bk Depr</vt:lpstr>
      <vt:lpstr>202005 Bk Depr</vt:lpstr>
      <vt:lpstr>202006 Bk Depr</vt:lpstr>
      <vt:lpstr>202007 Bk Depr</vt:lpstr>
      <vt:lpstr>202008 Bk Depr</vt:lpstr>
      <vt:lpstr>202009 Bk Depr</vt:lpstr>
      <vt:lpstr>202010 Bk Depr</vt:lpstr>
      <vt:lpstr>202011 Bk Depr</vt:lpstr>
      <vt:lpstr>202012 Bk Depr</vt:lpstr>
      <vt:lpstr>Tax Depr 2020-Dist</vt:lpstr>
      <vt:lpstr>Tax Depr 2020-Trans</vt:lpstr>
      <vt:lpstr>2020 Capital Budget</vt:lpstr>
      <vt:lpstr>COS Budget 2020</vt:lpstr>
      <vt:lpstr>Base Rate Retirements 2020</vt:lpstr>
      <vt:lpstr>2019 Support &gt;&gt;</vt:lpstr>
      <vt:lpstr>Rev Req 2019-Distr</vt:lpstr>
      <vt:lpstr>Rev Req 2019-Trans</vt:lpstr>
      <vt:lpstr>Cap&amp;OpEx 2019</vt:lpstr>
      <vt:lpstr>201901 Bk Depr</vt:lpstr>
      <vt:lpstr>201902 Bk Depr</vt:lpstr>
      <vt:lpstr>201903 Bk Depr</vt:lpstr>
      <vt:lpstr>201904 Bk Depr</vt:lpstr>
      <vt:lpstr>201905 Bk Depr</vt:lpstr>
      <vt:lpstr>201906 Bk Depr</vt:lpstr>
      <vt:lpstr>201907 Bk Depr</vt:lpstr>
      <vt:lpstr>201908 Bk Depr</vt:lpstr>
      <vt:lpstr>201909 Bk Depr</vt:lpstr>
      <vt:lpstr>201910 Bk Depr</vt:lpstr>
      <vt:lpstr>201911 Bk Depr</vt:lpstr>
      <vt:lpstr>201912 Bk Depr</vt:lpstr>
      <vt:lpstr>Tax Depr 2019</vt:lpstr>
      <vt:lpstr>2019 Capital Budget</vt:lpstr>
      <vt:lpstr>2018 Support &gt;&gt;</vt:lpstr>
      <vt:lpstr>Rev Req 2018-Distr</vt:lpstr>
      <vt:lpstr>Rev Req 2018-Trans</vt:lpstr>
      <vt:lpstr>Cap&amp;OpEx 2018</vt:lpstr>
      <vt:lpstr>201801 Bk Depr</vt:lpstr>
      <vt:lpstr>201802 Bk Depr</vt:lpstr>
      <vt:lpstr>201803 Bk Depr</vt:lpstr>
      <vt:lpstr>201804 Bk Depr</vt:lpstr>
      <vt:lpstr>201805 Bk Depr</vt:lpstr>
      <vt:lpstr>201806 Bk Depr</vt:lpstr>
      <vt:lpstr>201807 Bk Depr</vt:lpstr>
      <vt:lpstr>201808 Bk Depr</vt:lpstr>
      <vt:lpstr>201809 Bk Depr</vt:lpstr>
      <vt:lpstr>201810 Bk Depr</vt:lpstr>
      <vt:lpstr>201811 Bk Depr</vt:lpstr>
      <vt:lpstr>201812 Bk Depr</vt:lpstr>
      <vt:lpstr>Tax Depr 2018</vt:lpstr>
      <vt:lpstr>2018 Capital Budget</vt:lpstr>
      <vt:lpstr>2017 Support &gt;&gt;</vt:lpstr>
      <vt:lpstr>Rev Req 2017-Distr</vt:lpstr>
      <vt:lpstr>Rev Req 2017-Trans</vt:lpstr>
      <vt:lpstr>Cap&amp;OpEx 2017</vt:lpstr>
      <vt:lpstr>201707 Bk Depr</vt:lpstr>
      <vt:lpstr>201708 Bk Depr</vt:lpstr>
      <vt:lpstr>201709 Bk Depr</vt:lpstr>
      <vt:lpstr>201710 Bk Depr</vt:lpstr>
      <vt:lpstr>201711 Bk Depr</vt:lpstr>
      <vt:lpstr>201712 Bk Depr</vt:lpstr>
      <vt:lpstr>Tax Depr 2017</vt:lpstr>
      <vt:lpstr>Capital Budget 2017</vt:lpstr>
      <vt:lpstr>'202001 Bk Depr'!Print_Area</vt:lpstr>
      <vt:lpstr>'202101 Bk Depr'!Print_Area</vt:lpstr>
      <vt:lpstr>'202102 Bk Depr'!Print_Area</vt:lpstr>
      <vt:lpstr>'202103 Bk Depr'!Print_Area</vt:lpstr>
      <vt:lpstr>'202104 Bk Depr'!Print_Area</vt:lpstr>
      <vt:lpstr>'202105 Bk Depr'!Print_Area</vt:lpstr>
      <vt:lpstr>'202106 Bk Depr'!Print_Area</vt:lpstr>
      <vt:lpstr>'202107 Bk Depr'!Print_Area</vt:lpstr>
      <vt:lpstr>'202108 Bk Depr'!Print_Area</vt:lpstr>
      <vt:lpstr>'202109 Bk Depr'!Print_Area</vt:lpstr>
      <vt:lpstr>'202110 Bk Depr'!Print_Area</vt:lpstr>
      <vt:lpstr>'202111 Bk Depr'!Print_Area</vt:lpstr>
      <vt:lpstr>'202112 Bk Depr'!Print_Area</vt:lpstr>
      <vt:lpstr>'Cap&amp;OpEx 2021'!Print_Area</vt:lpstr>
      <vt:lpstr>'Capital Budget 2017'!Print_Area</vt:lpstr>
      <vt:lpstr>'Class Allocation'!Print_Area</vt:lpstr>
      <vt:lpstr>'Cover - Exhibit 1'!Print_Area</vt:lpstr>
      <vt:lpstr>'Cover - Exhibit 2'!Print_Area</vt:lpstr>
      <vt:lpstr>'Cover - Exhibit 3'!Print_Area</vt:lpstr>
      <vt:lpstr>'Cover - Exhibit 4'!Print_Area</vt:lpstr>
      <vt:lpstr>'Net Assets'!Print_Area</vt:lpstr>
      <vt:lpstr>OpEx!Print_Area</vt:lpstr>
      <vt:lpstr>'OU Collection'!Print_Area</vt:lpstr>
      <vt:lpstr>'Rev Req 2017-Distr'!Print_Area</vt:lpstr>
      <vt:lpstr>'Rev Req 2017-Trans'!Print_Area</vt:lpstr>
      <vt:lpstr>'Rev Req 2018-Distr'!Print_Area</vt:lpstr>
      <vt:lpstr>'Rev Req 2018-Trans'!Print_Area</vt:lpstr>
      <vt:lpstr>'Rev Req 2019-Distr'!Print_Area</vt:lpstr>
      <vt:lpstr>'Rev Req 2019-Trans'!Print_Area</vt:lpstr>
      <vt:lpstr>'Rev Req 2020-Distr'!Print_Area</vt:lpstr>
      <vt:lpstr>'Rev Req 2020-Trans'!Print_Area</vt:lpstr>
      <vt:lpstr>'Rev Req 2021-Distr'!Print_Area</vt:lpstr>
      <vt:lpstr>'Rev Req 2021-Trans'!Print_Area</vt:lpstr>
      <vt:lpstr>RevReq!Print_Area</vt:lpstr>
      <vt:lpstr>'Tax Depr 2018'!Print_Area</vt:lpstr>
      <vt:lpstr>'Tax Depr 2019'!Print_Area</vt:lpstr>
      <vt:lpstr>'Tax Depr 2020-Dist'!Print_Area</vt:lpstr>
      <vt:lpstr>'Tax Depr 2020-Trans'!Print_Area</vt:lpstr>
      <vt:lpstr>'Tax Depr 2021-Dist'!Print_Area</vt:lpstr>
      <vt:lpstr>'Tax Depr 2021-Trans'!Print_Area</vt:lpstr>
      <vt:lpstr>'Class Allocation'!Print_Titles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2021-07-27T12:29:21Z</dcterms:created>
  <dcterms:modified xsi:type="dcterms:W3CDTF">2021-07-27T12:29:33Z</dcterms:modified>
</cp:coreProperties>
</file>