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vis\Rate Applications\2021 rate application\Application and Exhibits final documents to be filed\Electronic Files to Upload\"/>
    </mc:Choice>
  </mc:AlternateContent>
  <xr:revisionPtr revIDLastSave="0" documentId="8_{92115503-C4BB-445A-A3C9-0DF1068A0EBD}" xr6:coauthVersionLast="46" xr6:coauthVersionMax="46" xr10:uidLastSave="{00000000-0000-0000-0000-000000000000}"/>
  <bookViews>
    <workbookView xWindow="-120" yWindow="-120" windowWidth="25440" windowHeight="15390" tabRatio="741" xr2:uid="{00000000-000D-0000-FFFF-FFFF00000000}"/>
  </bookViews>
  <sheets>
    <sheet name="Present and Proposed Rates" sheetId="61" r:id="rId1"/>
    <sheet name="Res-1" sheetId="60" r:id="rId2"/>
    <sheet name="Residential NonTOU" sheetId="24" state="hidden" r:id="rId3"/>
    <sheet name="Resid. - TOU" sheetId="28" state="hidden" r:id="rId4"/>
    <sheet name="Com1Ph-3" sheetId="62" r:id="rId5"/>
    <sheet name="Com3Ph&lt;1000-5" sheetId="63" r:id="rId6"/>
    <sheet name="Com3Ph1000-7" sheetId="74" r:id="rId7"/>
    <sheet name="Lighting" sheetId="64" r:id="rId8"/>
    <sheet name="Summary" sheetId="13" r:id="rId9"/>
    <sheet name="ResIncr" sheetId="68" r:id="rId10"/>
    <sheet name="Notice-Abbrev" sheetId="69" r:id="rId11"/>
    <sheet name="Notice-Full" sheetId="73" state="hidden" r:id="rId12"/>
    <sheet name="BillDet" sheetId="71" r:id="rId13"/>
    <sheet name="BillDetLt" sheetId="72" r:id="rId14"/>
    <sheet name="List" sheetId="70" r:id="rId15"/>
  </sheets>
  <definedNames>
    <definedName name="_xlnm.Print_Area" localSheetId="4">'Com1Ph-3'!$A$1:$U$33</definedName>
    <definedName name="_xlnm.Print_Area" localSheetId="5">'Com3Ph&lt;1000-5'!$A$1:$U$38</definedName>
    <definedName name="_xlnm.Print_Area" localSheetId="6">'Com3Ph1000-7'!$A$1:$U$57</definedName>
    <definedName name="_xlnm.Print_Area" localSheetId="7">Lighting!$A$1:$O$116</definedName>
    <definedName name="_xlnm.Print_Area" localSheetId="10">'Notice-Abbrev'!$A$1:$F$32</definedName>
    <definedName name="_xlnm.Print_Area" localSheetId="11">'Notice-Full'!$A$1:$F$60</definedName>
    <definedName name="_xlnm.Print_Area" localSheetId="0">'Present and Proposed Rates'!$A$1:$P$34</definedName>
    <definedName name="_xlnm.Print_Area" localSheetId="1">'Res-1'!$A$1:$U$33</definedName>
    <definedName name="_xlnm.Print_Area" localSheetId="3">'Resid. - TOU'!$A$1:$H$35</definedName>
    <definedName name="_xlnm.Print_Area" localSheetId="2">'Residential NonTOU'!$A$1:$W$28</definedName>
    <definedName name="_xlnm.Print_Area" localSheetId="8">Summary!$A$1:$K$14</definedName>
    <definedName name="_xlnm.Print_Titles" localSheetId="7">Lighting!$1:$10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68" l="1"/>
  <c r="H97" i="64"/>
  <c r="K97" i="64"/>
  <c r="L97" i="64"/>
  <c r="O97" i="64" s="1"/>
  <c r="M97" i="64"/>
  <c r="A1" i="64"/>
  <c r="D11" i="13"/>
  <c r="M16" i="64"/>
  <c r="M17" i="64"/>
  <c r="M18" i="64"/>
  <c r="M19" i="64"/>
  <c r="M20" i="64"/>
  <c r="M22" i="64"/>
  <c r="M23" i="64"/>
  <c r="M25" i="64"/>
  <c r="M26" i="64"/>
  <c r="M27" i="64"/>
  <c r="M32" i="64"/>
  <c r="M34" i="64"/>
  <c r="M35" i="64"/>
  <c r="M36" i="64"/>
  <c r="M37" i="64"/>
  <c r="M38" i="64"/>
  <c r="M39" i="64"/>
  <c r="M42" i="64"/>
  <c r="M43" i="64"/>
  <c r="M44" i="64"/>
  <c r="M45" i="64"/>
  <c r="M46" i="64"/>
  <c r="M47" i="64"/>
  <c r="M50" i="64"/>
  <c r="M51" i="64"/>
  <c r="M52" i="64"/>
  <c r="M53" i="64"/>
  <c r="M54" i="64"/>
  <c r="M55" i="64"/>
  <c r="M59" i="64"/>
  <c r="M60" i="64"/>
  <c r="M61" i="64"/>
  <c r="M63" i="64"/>
  <c r="M64" i="64"/>
  <c r="M66" i="64"/>
  <c r="M67" i="64"/>
  <c r="M71" i="64"/>
  <c r="M72" i="64"/>
  <c r="M73" i="64"/>
  <c r="M75" i="64"/>
  <c r="M76" i="64"/>
  <c r="M78" i="64"/>
  <c r="M79" i="64"/>
  <c r="M81" i="64"/>
  <c r="M82" i="64"/>
  <c r="M85" i="64"/>
  <c r="M86" i="64"/>
  <c r="M87" i="64"/>
  <c r="M89" i="64"/>
  <c r="M91" i="64"/>
  <c r="M94" i="64"/>
  <c r="M95" i="64"/>
  <c r="M96" i="64"/>
  <c r="M99" i="64"/>
  <c r="M101" i="64"/>
  <c r="M15" i="64"/>
  <c r="M103" i="64"/>
  <c r="D103" i="64"/>
  <c r="H103" i="64" s="1"/>
  <c r="E108" i="64"/>
  <c r="K15" i="64"/>
  <c r="K16" i="64"/>
  <c r="K17" i="64"/>
  <c r="K18" i="64"/>
  <c r="K19" i="64"/>
  <c r="K20" i="64"/>
  <c r="K22" i="64"/>
  <c r="K23" i="64"/>
  <c r="K25" i="64"/>
  <c r="K26" i="64"/>
  <c r="K27" i="64"/>
  <c r="K32" i="64"/>
  <c r="K34" i="64"/>
  <c r="K35" i="64"/>
  <c r="K36" i="64"/>
  <c r="K37" i="64"/>
  <c r="K38" i="64"/>
  <c r="K39" i="64"/>
  <c r="K42" i="64"/>
  <c r="K43" i="64"/>
  <c r="K44" i="64"/>
  <c r="K45" i="64"/>
  <c r="K46" i="64"/>
  <c r="K47" i="64"/>
  <c r="K50" i="64"/>
  <c r="K51" i="64"/>
  <c r="K52" i="64"/>
  <c r="K53" i="64"/>
  <c r="K54" i="64"/>
  <c r="K55" i="64"/>
  <c r="K59" i="64"/>
  <c r="K60" i="64"/>
  <c r="K61" i="64"/>
  <c r="K63" i="64"/>
  <c r="K64" i="64"/>
  <c r="K66" i="64"/>
  <c r="K67" i="64"/>
  <c r="K71" i="64"/>
  <c r="K72" i="64"/>
  <c r="K73" i="64"/>
  <c r="K75" i="64"/>
  <c r="K76" i="64"/>
  <c r="K78" i="64"/>
  <c r="K79" i="64"/>
  <c r="K81" i="64"/>
  <c r="K82" i="64"/>
  <c r="K85" i="64"/>
  <c r="K86" i="64"/>
  <c r="K87" i="64"/>
  <c r="K89" i="64"/>
  <c r="K91" i="64"/>
  <c r="K94" i="64"/>
  <c r="K95" i="64"/>
  <c r="K96" i="64"/>
  <c r="K99" i="64"/>
  <c r="K101" i="64"/>
  <c r="H15" i="64"/>
  <c r="H16" i="64"/>
  <c r="H17" i="64"/>
  <c r="H18" i="64"/>
  <c r="H19" i="64"/>
  <c r="H20" i="64"/>
  <c r="H22" i="64"/>
  <c r="H23" i="64"/>
  <c r="H25" i="64"/>
  <c r="H26" i="64"/>
  <c r="H27" i="64"/>
  <c r="H32" i="64"/>
  <c r="H34" i="64"/>
  <c r="H35" i="64"/>
  <c r="H36" i="64"/>
  <c r="H37" i="64"/>
  <c r="H38" i="64"/>
  <c r="H39" i="64"/>
  <c r="H42" i="64"/>
  <c r="H43" i="64"/>
  <c r="H44" i="64"/>
  <c r="H45" i="64"/>
  <c r="H46" i="64"/>
  <c r="H47" i="64"/>
  <c r="H50" i="64"/>
  <c r="H51" i="64"/>
  <c r="H52" i="64"/>
  <c r="H53" i="64"/>
  <c r="H54" i="64"/>
  <c r="H55" i="64"/>
  <c r="H59" i="64"/>
  <c r="H60" i="64"/>
  <c r="H61" i="64"/>
  <c r="H63" i="64"/>
  <c r="H64" i="64"/>
  <c r="H66" i="64"/>
  <c r="H67" i="64"/>
  <c r="H71" i="64"/>
  <c r="H72" i="64"/>
  <c r="H73" i="64"/>
  <c r="H75" i="64"/>
  <c r="H76" i="64"/>
  <c r="H78" i="64"/>
  <c r="H79" i="64"/>
  <c r="H81" i="64"/>
  <c r="H82" i="64"/>
  <c r="H85" i="64"/>
  <c r="H86" i="64"/>
  <c r="H87" i="64"/>
  <c r="H89" i="64"/>
  <c r="H91" i="64"/>
  <c r="H94" i="64"/>
  <c r="H95" i="64"/>
  <c r="H96" i="64"/>
  <c r="H99" i="64"/>
  <c r="H101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L96" i="64"/>
  <c r="L95" i="64"/>
  <c r="L94" i="64"/>
  <c r="L91" i="64"/>
  <c r="L89" i="64"/>
  <c r="O89" i="64" s="1"/>
  <c r="L87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11" i="64"/>
  <c r="L67" i="64"/>
  <c r="L64" i="64"/>
  <c r="L61" i="64"/>
  <c r="O61" i="64" s="1"/>
  <c r="L60" i="64"/>
  <c r="L55" i="64"/>
  <c r="L54" i="64"/>
  <c r="L53" i="64"/>
  <c r="O53" i="64" s="1"/>
  <c r="L52" i="64"/>
  <c r="L51" i="64"/>
  <c r="L50" i="64"/>
  <c r="O50" i="64" s="1"/>
  <c r="L42" i="64"/>
  <c r="O42" i="64" s="1"/>
  <c r="L39" i="64"/>
  <c r="L38" i="64"/>
  <c r="L37" i="64"/>
  <c r="O37" i="64" s="1"/>
  <c r="L36" i="64"/>
  <c r="L35" i="64"/>
  <c r="L34" i="64"/>
  <c r="O34" i="64" s="1"/>
  <c r="L32" i="64"/>
  <c r="L27" i="64"/>
  <c r="L26" i="64"/>
  <c r="O26" i="64" s="1"/>
  <c r="L25" i="64"/>
  <c r="O25" i="64" s="1"/>
  <c r="L23" i="64"/>
  <c r="L22" i="64"/>
  <c r="L20" i="64"/>
  <c r="L19" i="64"/>
  <c r="L17" i="64"/>
  <c r="L16" i="64"/>
  <c r="L15" i="64"/>
  <c r="O15" i="64" s="1"/>
  <c r="L71" i="64"/>
  <c r="L46" i="64"/>
  <c r="L45" i="64"/>
  <c r="O45" i="64" s="1"/>
  <c r="L44" i="64"/>
  <c r="L43" i="64"/>
  <c r="L78" i="64"/>
  <c r="L75" i="64"/>
  <c r="L86" i="64"/>
  <c r="L81" i="64"/>
  <c r="O81" i="64" s="1"/>
  <c r="L101" i="64"/>
  <c r="O101" i="64" s="1"/>
  <c r="O64" i="64" l="1"/>
  <c r="O44" i="64"/>
  <c r="O96" i="64"/>
  <c r="O32" i="64"/>
  <c r="O19" i="64"/>
  <c r="O35" i="64"/>
  <c r="O27" i="64"/>
  <c r="O20" i="64"/>
  <c r="O16" i="64"/>
  <c r="O36" i="64"/>
  <c r="O43" i="64"/>
  <c r="O51" i="64"/>
  <c r="O60" i="64"/>
  <c r="H102" i="64"/>
  <c r="H104" i="64" s="1"/>
  <c r="H108" i="64" s="1"/>
  <c r="H110" i="64" s="1"/>
  <c r="O67" i="64"/>
  <c r="O75" i="64"/>
  <c r="O91" i="64"/>
  <c r="K103" i="64"/>
  <c r="K108" i="64" s="1"/>
  <c r="O52" i="64"/>
  <c r="D108" i="64"/>
  <c r="C11" i="13" s="1"/>
  <c r="O95" i="64"/>
  <c r="O87" i="64"/>
  <c r="O71" i="64"/>
  <c r="O55" i="64"/>
  <c r="O39" i="64"/>
  <c r="O23" i="64"/>
  <c r="O94" i="64"/>
  <c r="O86" i="64"/>
  <c r="O78" i="64"/>
  <c r="O54" i="64"/>
  <c r="O46" i="64"/>
  <c r="O38" i="64"/>
  <c r="O22" i="64"/>
  <c r="O17" i="64"/>
  <c r="L63" i="64"/>
  <c r="O63" i="64" s="1"/>
  <c r="L66" i="64"/>
  <c r="O66" i="64" s="1"/>
  <c r="L18" i="64"/>
  <c r="O18" i="64" s="1"/>
  <c r="L59" i="64"/>
  <c r="O59" i="64" s="1"/>
  <c r="L72" i="64"/>
  <c r="O72" i="64" s="1"/>
  <c r="L47" i="64"/>
  <c r="O47" i="64" s="1"/>
  <c r="L85" i="64"/>
  <c r="O85" i="64" s="1"/>
  <c r="L73" i="64"/>
  <c r="O73" i="64" s="1"/>
  <c r="L76" i="64"/>
  <c r="O76" i="64" s="1"/>
  <c r="L79" i="64"/>
  <c r="O79" i="64" s="1"/>
  <c r="L82" i="64"/>
  <c r="O82" i="64" s="1"/>
  <c r="L99" i="64"/>
  <c r="O99" i="64" s="1"/>
  <c r="O103" i="64" l="1"/>
  <c r="O102" i="64"/>
  <c r="E11" i="13"/>
  <c r="F11" i="13" s="1"/>
  <c r="G11" i="13" s="1"/>
  <c r="L32" i="61"/>
  <c r="L108" i="64"/>
  <c r="O104" i="64" l="1"/>
  <c r="O108" i="64" s="1"/>
  <c r="J21" i="62" l="1"/>
  <c r="J22" i="62"/>
  <c r="J23" i="62"/>
  <c r="J20" i="62"/>
  <c r="U44" i="74"/>
  <c r="S38" i="74"/>
  <c r="R18" i="74"/>
  <c r="O37" i="74"/>
  <c r="U37" i="74" s="1"/>
  <c r="O38" i="74"/>
  <c r="U38" i="74" s="1"/>
  <c r="O39" i="74"/>
  <c r="U39" i="74" s="1"/>
  <c r="O44" i="74"/>
  <c r="O45" i="74"/>
  <c r="U45" i="74" s="1"/>
  <c r="O46" i="74"/>
  <c r="U46" i="74" s="1"/>
  <c r="M37" i="74"/>
  <c r="S37" i="74" s="1"/>
  <c r="M38" i="74"/>
  <c r="M39" i="74"/>
  <c r="S39" i="74" s="1"/>
  <c r="L19" i="74"/>
  <c r="R19" i="74" s="1"/>
  <c r="L20" i="74"/>
  <c r="R20" i="74" s="1"/>
  <c r="L22" i="74"/>
  <c r="R22" i="74" s="1"/>
  <c r="L23" i="74"/>
  <c r="R23" i="74" s="1"/>
  <c r="L18" i="74"/>
  <c r="J34" i="74"/>
  <c r="J35" i="74"/>
  <c r="J36" i="74"/>
  <c r="J37" i="74"/>
  <c r="J38" i="74"/>
  <c r="J39" i="74"/>
  <c r="J40" i="74"/>
  <c r="J41" i="74"/>
  <c r="J42" i="74"/>
  <c r="J43" i="74"/>
  <c r="J44" i="74"/>
  <c r="J45" i="74"/>
  <c r="J46" i="74"/>
  <c r="J33" i="74"/>
  <c r="J29" i="74"/>
  <c r="J28" i="74"/>
  <c r="J23" i="74"/>
  <c r="J22" i="74"/>
  <c r="J19" i="74"/>
  <c r="J20" i="74"/>
  <c r="J18" i="74"/>
  <c r="J13" i="74"/>
  <c r="J14" i="74"/>
  <c r="J12" i="74"/>
  <c r="I40" i="74"/>
  <c r="I33" i="74"/>
  <c r="I29" i="74"/>
  <c r="I28" i="74"/>
  <c r="I22" i="74"/>
  <c r="I18" i="74"/>
  <c r="I13" i="74"/>
  <c r="I12" i="74"/>
  <c r="L18" i="63"/>
  <c r="R18" i="63" s="1"/>
  <c r="L17" i="63"/>
  <c r="R17" i="63" s="1"/>
  <c r="L12" i="63"/>
  <c r="R12" i="63" s="1"/>
  <c r="J27" i="63"/>
  <c r="J28" i="63"/>
  <c r="J29" i="63"/>
  <c r="J26" i="63"/>
  <c r="L17" i="62"/>
  <c r="L12" i="62"/>
  <c r="R12" i="62" s="1"/>
  <c r="L12" i="60"/>
  <c r="R12" i="60" s="1"/>
  <c r="J21" i="60"/>
  <c r="J22" i="60"/>
  <c r="J23" i="60"/>
  <c r="J20" i="60"/>
  <c r="R17" i="62" l="1"/>
  <c r="G11" i="61" l="1"/>
  <c r="G14" i="61"/>
  <c r="G13" i="61"/>
  <c r="G7" i="68" l="1"/>
  <c r="D7" i="68"/>
  <c r="D10" i="13"/>
  <c r="H7" i="68" l="1"/>
  <c r="D24" i="74"/>
  <c r="L24" i="74" s="1"/>
  <c r="R24" i="74" s="1"/>
  <c r="D21" i="74"/>
  <c r="L21" i="74" s="1"/>
  <c r="R21" i="74" s="1"/>
  <c r="C10" i="13" l="1"/>
  <c r="Q73" i="71"/>
  <c r="R73" i="71" s="1"/>
  <c r="P73" i="71"/>
  <c r="O73" i="71"/>
  <c r="N73" i="71"/>
  <c r="M73" i="71"/>
  <c r="L73" i="71"/>
  <c r="K73" i="71"/>
  <c r="J73" i="71"/>
  <c r="I73" i="71"/>
  <c r="H73" i="71"/>
  <c r="G73" i="71"/>
  <c r="F73" i="71"/>
  <c r="E73" i="71"/>
  <c r="R63" i="71"/>
  <c r="Q63" i="71"/>
  <c r="P63" i="71"/>
  <c r="O63" i="71"/>
  <c r="N63" i="71"/>
  <c r="M63" i="71"/>
  <c r="L63" i="71"/>
  <c r="K63" i="71"/>
  <c r="J63" i="71"/>
  <c r="I63" i="71"/>
  <c r="H63" i="71"/>
  <c r="G63" i="71"/>
  <c r="F63" i="71"/>
  <c r="E63" i="71"/>
  <c r="Q53" i="71"/>
  <c r="R53" i="71" s="1"/>
  <c r="P53" i="71"/>
  <c r="O53" i="71"/>
  <c r="N53" i="71"/>
  <c r="M53" i="71"/>
  <c r="L53" i="71"/>
  <c r="K53" i="71"/>
  <c r="J53" i="71"/>
  <c r="I53" i="71"/>
  <c r="H53" i="71"/>
  <c r="G53" i="71"/>
  <c r="F53" i="71"/>
  <c r="E53" i="71"/>
  <c r="Q43" i="71"/>
  <c r="R43" i="71" s="1"/>
  <c r="P43" i="71"/>
  <c r="O43" i="71"/>
  <c r="N43" i="71"/>
  <c r="M43" i="71"/>
  <c r="L43" i="71"/>
  <c r="K43" i="71"/>
  <c r="J43" i="71"/>
  <c r="I43" i="71"/>
  <c r="H43" i="71"/>
  <c r="G43" i="71"/>
  <c r="F43" i="71"/>
  <c r="E43" i="71"/>
  <c r="R32" i="71"/>
  <c r="Q32" i="71"/>
  <c r="P32" i="71"/>
  <c r="O32" i="71"/>
  <c r="N32" i="71"/>
  <c r="M32" i="71"/>
  <c r="L32" i="71"/>
  <c r="K32" i="71"/>
  <c r="J32" i="71"/>
  <c r="I32" i="71"/>
  <c r="H32" i="71"/>
  <c r="G32" i="71"/>
  <c r="F32" i="71"/>
  <c r="E32" i="71"/>
  <c r="P22" i="71"/>
  <c r="O22" i="71"/>
  <c r="N22" i="71"/>
  <c r="M22" i="71"/>
  <c r="L22" i="71"/>
  <c r="K22" i="71"/>
  <c r="J22" i="71"/>
  <c r="I22" i="71"/>
  <c r="H22" i="71"/>
  <c r="G22" i="71"/>
  <c r="F22" i="71"/>
  <c r="E22" i="71"/>
  <c r="Q12" i="71"/>
  <c r="R12" i="71" s="1"/>
  <c r="P12" i="71"/>
  <c r="O12" i="71"/>
  <c r="N12" i="71"/>
  <c r="M12" i="71"/>
  <c r="L12" i="71"/>
  <c r="K12" i="71"/>
  <c r="J12" i="71"/>
  <c r="I12" i="71"/>
  <c r="H12" i="71"/>
  <c r="G12" i="71"/>
  <c r="F12" i="71"/>
  <c r="E12" i="71"/>
  <c r="R72" i="71"/>
  <c r="Q72" i="71"/>
  <c r="Q71" i="71"/>
  <c r="R71" i="71" s="1"/>
  <c r="Q70" i="71"/>
  <c r="G36" i="74" s="1"/>
  <c r="O36" i="74" s="1"/>
  <c r="U36" i="74" s="1"/>
  <c r="R69" i="71"/>
  <c r="Q69" i="71"/>
  <c r="R68" i="71"/>
  <c r="Q68" i="71"/>
  <c r="Q67" i="71"/>
  <c r="R62" i="71"/>
  <c r="Q62" i="71"/>
  <c r="R61" i="71"/>
  <c r="Q61" i="71"/>
  <c r="Q60" i="71"/>
  <c r="R60" i="71" s="1"/>
  <c r="Q59" i="71"/>
  <c r="R59" i="71" s="1"/>
  <c r="R58" i="71"/>
  <c r="Q58" i="71"/>
  <c r="R57" i="71"/>
  <c r="Q57" i="71"/>
  <c r="Q52" i="71"/>
  <c r="R52" i="71" s="1"/>
  <c r="R51" i="71"/>
  <c r="Q51" i="71"/>
  <c r="R50" i="71"/>
  <c r="Q50" i="71"/>
  <c r="Q49" i="71"/>
  <c r="R49" i="71" s="1"/>
  <c r="Q48" i="71"/>
  <c r="R47" i="71"/>
  <c r="Q47" i="71"/>
  <c r="Q42" i="71"/>
  <c r="R42" i="71" s="1"/>
  <c r="Q41" i="71"/>
  <c r="R41" i="71" s="1"/>
  <c r="R40" i="71"/>
  <c r="Q40" i="71"/>
  <c r="R39" i="71"/>
  <c r="Q39" i="71"/>
  <c r="Q38" i="71"/>
  <c r="R38" i="71" s="1"/>
  <c r="Q37" i="71"/>
  <c r="R31" i="71"/>
  <c r="Q31" i="71"/>
  <c r="Q30" i="71"/>
  <c r="R30" i="71" s="1"/>
  <c r="Q29" i="71"/>
  <c r="R29" i="71" s="1"/>
  <c r="R28" i="71"/>
  <c r="Q28" i="71"/>
  <c r="R27" i="71"/>
  <c r="Q27" i="71"/>
  <c r="Q26" i="71"/>
  <c r="R21" i="71"/>
  <c r="Q21" i="71"/>
  <c r="R20" i="71"/>
  <c r="Q20" i="71"/>
  <c r="Q19" i="71"/>
  <c r="R19" i="71" s="1"/>
  <c r="Q18" i="71"/>
  <c r="R18" i="71" s="1"/>
  <c r="Q17" i="71"/>
  <c r="R17" i="71" s="1"/>
  <c r="R16" i="71"/>
  <c r="Q16" i="71"/>
  <c r="Q11" i="71"/>
  <c r="R11" i="71" s="1"/>
  <c r="R10" i="71"/>
  <c r="Q10" i="71"/>
  <c r="R9" i="71"/>
  <c r="Q9" i="71"/>
  <c r="Q8" i="71"/>
  <c r="R8" i="71" s="1"/>
  <c r="Q7" i="71"/>
  <c r="R6" i="71"/>
  <c r="Q6" i="71"/>
  <c r="S29" i="74"/>
  <c r="S23" i="74"/>
  <c r="S13" i="74"/>
  <c r="S28" i="74"/>
  <c r="S20" i="74"/>
  <c r="S19" i="74"/>
  <c r="S12" i="74"/>
  <c r="S23" i="63"/>
  <c r="S17" i="63"/>
  <c r="S16" i="63"/>
  <c r="S18" i="63"/>
  <c r="S22" i="74"/>
  <c r="S18" i="74"/>
  <c r="G33" i="74"/>
  <c r="G42" i="74"/>
  <c r="O42" i="74" s="1"/>
  <c r="U42" i="74" s="1"/>
  <c r="G21" i="71"/>
  <c r="H21" i="71" s="1"/>
  <c r="F21" i="71"/>
  <c r="E33" i="74" l="1"/>
  <c r="M33" i="74" s="1"/>
  <c r="O33" i="74"/>
  <c r="U33" i="74" s="1"/>
  <c r="E42" i="74"/>
  <c r="M42" i="74" s="1"/>
  <c r="S42" i="74" s="1"/>
  <c r="E36" i="74"/>
  <c r="M36" i="74" s="1"/>
  <c r="S36" i="74" s="1"/>
  <c r="Q22" i="71"/>
  <c r="R22" i="71" s="1"/>
  <c r="R7" i="71"/>
  <c r="R37" i="71"/>
  <c r="R48" i="71"/>
  <c r="R70" i="71"/>
  <c r="G35" i="74"/>
  <c r="O35" i="74" s="1"/>
  <c r="U35" i="74" s="1"/>
  <c r="R26" i="71"/>
  <c r="R67" i="71"/>
  <c r="G40" i="74"/>
  <c r="O40" i="74" s="1"/>
  <c r="U40" i="74" s="1"/>
  <c r="G41" i="74"/>
  <c r="O41" i="74" s="1"/>
  <c r="U41" i="74" s="1"/>
  <c r="G43" i="74"/>
  <c r="O43" i="74" s="1"/>
  <c r="U43" i="74" s="1"/>
  <c r="G34" i="74"/>
  <c r="O34" i="74" s="1"/>
  <c r="U34" i="74" s="1"/>
  <c r="I21" i="71"/>
  <c r="E29" i="74"/>
  <c r="M29" i="74" s="1"/>
  <c r="E28" i="74"/>
  <c r="M28" i="74" s="1"/>
  <c r="D29" i="74"/>
  <c r="L29" i="74" s="1"/>
  <c r="R29" i="74" s="1"/>
  <c r="D28" i="74"/>
  <c r="L28" i="74" s="1"/>
  <c r="R28" i="74" s="1"/>
  <c r="E23" i="74"/>
  <c r="M23" i="74" s="1"/>
  <c r="O23" i="74" s="1"/>
  <c r="E19" i="74"/>
  <c r="M19" i="74" s="1"/>
  <c r="O19" i="74" s="1"/>
  <c r="E20" i="74"/>
  <c r="M20" i="74" s="1"/>
  <c r="O20" i="74" s="1"/>
  <c r="E22" i="74"/>
  <c r="M22" i="74" s="1"/>
  <c r="O22" i="74" s="1"/>
  <c r="E18" i="74"/>
  <c r="E13" i="74"/>
  <c r="M13" i="74" s="1"/>
  <c r="O13" i="74" s="1"/>
  <c r="E12" i="74"/>
  <c r="M12" i="74" s="1"/>
  <c r="E17" i="63"/>
  <c r="M17" i="63" s="1"/>
  <c r="O17" i="63" s="1"/>
  <c r="E18" i="63"/>
  <c r="M18" i="63" s="1"/>
  <c r="O18" i="63" s="1"/>
  <c r="E16" i="63"/>
  <c r="M16" i="63" s="1"/>
  <c r="E12" i="63"/>
  <c r="M12" i="63" s="1"/>
  <c r="O12" i="63" s="1"/>
  <c r="D12" i="63"/>
  <c r="G29" i="63"/>
  <c r="G28" i="63"/>
  <c r="G27" i="63"/>
  <c r="G26" i="63"/>
  <c r="E23" i="63"/>
  <c r="M23" i="63" s="1"/>
  <c r="D23" i="63"/>
  <c r="L23" i="63" s="1"/>
  <c r="R23" i="63" s="1"/>
  <c r="D19" i="63"/>
  <c r="L16" i="63" s="1"/>
  <c r="D13" i="74"/>
  <c r="L13" i="74" s="1"/>
  <c r="R13" i="74" s="1"/>
  <c r="D12" i="74"/>
  <c r="A1" i="74"/>
  <c r="A32" i="61"/>
  <c r="A2" i="64" s="1"/>
  <c r="B32" i="61"/>
  <c r="A3" i="64" s="1"/>
  <c r="O28" i="74" l="1"/>
  <c r="L12" i="74"/>
  <c r="R12" i="74" s="1"/>
  <c r="U12" i="74" s="1"/>
  <c r="O29" i="74"/>
  <c r="O24" i="74"/>
  <c r="S33" i="74"/>
  <c r="R16" i="63"/>
  <c r="R19" i="63" s="1"/>
  <c r="L19" i="63"/>
  <c r="O23" i="63"/>
  <c r="O16" i="63"/>
  <c r="O19" i="63" s="1"/>
  <c r="G18" i="74"/>
  <c r="M18" i="74"/>
  <c r="O18" i="74" s="1"/>
  <c r="O21" i="74" s="1"/>
  <c r="E43" i="74"/>
  <c r="M43" i="74" s="1"/>
  <c r="S43" i="74" s="1"/>
  <c r="E41" i="74"/>
  <c r="M41" i="74" s="1"/>
  <c r="S41" i="74" s="1"/>
  <c r="E40" i="74"/>
  <c r="E35" i="74"/>
  <c r="M35" i="74" s="1"/>
  <c r="S35" i="74" s="1"/>
  <c r="E34" i="74"/>
  <c r="E27" i="63"/>
  <c r="M27" i="63" s="1"/>
  <c r="E28" i="63"/>
  <c r="M28" i="63" s="1"/>
  <c r="E29" i="63"/>
  <c r="M29" i="63" s="1"/>
  <c r="E26" i="63"/>
  <c r="D39" i="63"/>
  <c r="D30" i="69" s="1"/>
  <c r="G12" i="63"/>
  <c r="G13" i="74"/>
  <c r="J21" i="71"/>
  <c r="D30" i="74"/>
  <c r="L30" i="74" s="1"/>
  <c r="R30" i="74" s="1"/>
  <c r="G12" i="74"/>
  <c r="U19" i="74"/>
  <c r="U18" i="74"/>
  <c r="U20" i="74"/>
  <c r="G29" i="74"/>
  <c r="G20" i="74"/>
  <c r="G19" i="74"/>
  <c r="U28" i="74"/>
  <c r="U23" i="74"/>
  <c r="G28" i="74"/>
  <c r="G23" i="74"/>
  <c r="G22" i="74"/>
  <c r="U18" i="63"/>
  <c r="U17" i="63"/>
  <c r="G18" i="63"/>
  <c r="G17" i="63"/>
  <c r="U13" i="74"/>
  <c r="U29" i="74"/>
  <c r="D14" i="74"/>
  <c r="L14" i="74" s="1"/>
  <c r="R14" i="74" s="1"/>
  <c r="E63" i="74" l="1"/>
  <c r="M34" i="74"/>
  <c r="E64" i="74"/>
  <c r="M40" i="74"/>
  <c r="O30" i="74"/>
  <c r="O12" i="74"/>
  <c r="O14" i="74" s="1"/>
  <c r="O29" i="63"/>
  <c r="U29" i="63" s="1"/>
  <c r="O27" i="63"/>
  <c r="U27" i="63" s="1"/>
  <c r="O28" i="63"/>
  <c r="U28" i="63" s="1"/>
  <c r="E30" i="63"/>
  <c r="M26" i="63"/>
  <c r="M30" i="63" s="1"/>
  <c r="G21" i="74"/>
  <c r="E21" i="74" s="1"/>
  <c r="M21" i="74" s="1"/>
  <c r="U22" i="74"/>
  <c r="U24" i="74" s="1"/>
  <c r="S24" i="74" s="1"/>
  <c r="G24" i="74"/>
  <c r="E24" i="74" s="1"/>
  <c r="M24" i="74" s="1"/>
  <c r="U21" i="74"/>
  <c r="S21" i="74" s="1"/>
  <c r="D58" i="74"/>
  <c r="U48" i="74"/>
  <c r="U30" i="74"/>
  <c r="G48" i="74"/>
  <c r="O48" i="74" s="1"/>
  <c r="G49" i="74"/>
  <c r="O49" i="74" s="1"/>
  <c r="G30" i="74"/>
  <c r="E30" i="74" s="1"/>
  <c r="M30" i="74" s="1"/>
  <c r="K21" i="71"/>
  <c r="U14" i="74"/>
  <c r="G14" i="74"/>
  <c r="S40" i="74" l="1"/>
  <c r="S64" i="74" s="1"/>
  <c r="M64" i="74"/>
  <c r="S34" i="74"/>
  <c r="S63" i="74" s="1"/>
  <c r="M63" i="74"/>
  <c r="O26" i="63"/>
  <c r="O51" i="74"/>
  <c r="U49" i="74"/>
  <c r="U51" i="74" s="1"/>
  <c r="M22" i="61" s="1"/>
  <c r="G60" i="74"/>
  <c r="S30" i="74"/>
  <c r="S14" i="74"/>
  <c r="G51" i="74"/>
  <c r="L21" i="71"/>
  <c r="E14" i="74"/>
  <c r="M14" i="74" s="1"/>
  <c r="U26" i="63" l="1"/>
  <c r="O32" i="63"/>
  <c r="L16" i="61" s="1"/>
  <c r="O53" i="74"/>
  <c r="L22" i="61"/>
  <c r="E10" i="13"/>
  <c r="G55" i="74"/>
  <c r="G57" i="74" s="1"/>
  <c r="U53" i="74"/>
  <c r="N22" i="61" s="1"/>
  <c r="M21" i="71"/>
  <c r="O55" i="74" l="1"/>
  <c r="O57" i="74"/>
  <c r="U57" i="74"/>
  <c r="P22" i="61" s="1"/>
  <c r="N21" i="71"/>
  <c r="U55" i="74"/>
  <c r="O22" i="61" s="1"/>
  <c r="O21" i="71" l="1"/>
  <c r="P21" i="71" l="1"/>
  <c r="I30" i="61" l="1"/>
  <c r="H30" i="61"/>
  <c r="I27" i="61"/>
  <c r="H27" i="61"/>
  <c r="A1" i="13"/>
  <c r="A1" i="63"/>
  <c r="A1" i="62"/>
  <c r="A1" i="60"/>
  <c r="G23" i="60"/>
  <c r="G20" i="60"/>
  <c r="D17" i="60"/>
  <c r="L17" i="60" s="1"/>
  <c r="B22" i="61"/>
  <c r="A3" i="74" s="1"/>
  <c r="B10" i="13" s="1"/>
  <c r="B16" i="61"/>
  <c r="B13" i="61"/>
  <c r="B10" i="61"/>
  <c r="A22" i="61"/>
  <c r="A2" i="74" s="1"/>
  <c r="A10" i="13" s="1"/>
  <c r="A16" i="61"/>
  <c r="A13" i="61"/>
  <c r="A10" i="61"/>
  <c r="R17" i="60" l="1"/>
  <c r="L34" i="60"/>
  <c r="E20" i="60"/>
  <c r="M20" i="60" s="1"/>
  <c r="O20" i="60" s="1"/>
  <c r="U20" i="60" s="1"/>
  <c r="E23" i="60"/>
  <c r="M23" i="60" s="1"/>
  <c r="O23" i="60" s="1"/>
  <c r="U23" i="60" s="1"/>
  <c r="G21" i="60"/>
  <c r="E21" i="60" s="1"/>
  <c r="D17" i="62"/>
  <c r="G21" i="62"/>
  <c r="G23" i="62"/>
  <c r="G22" i="60"/>
  <c r="E22" i="60" s="1"/>
  <c r="M22" i="60" s="1"/>
  <c r="O22" i="60" s="1"/>
  <c r="U22" i="60" s="1"/>
  <c r="G20" i="62"/>
  <c r="G22" i="62"/>
  <c r="D12" i="60"/>
  <c r="D12" i="62"/>
  <c r="J27" i="61"/>
  <c r="J30" i="61"/>
  <c r="E24" i="60" l="1"/>
  <c r="M21" i="60"/>
  <c r="E22" i="62"/>
  <c r="M22" i="62" s="1"/>
  <c r="O22" i="62" s="1"/>
  <c r="U22" i="62" s="1"/>
  <c r="E23" i="62"/>
  <c r="M23" i="62" s="1"/>
  <c r="O23" i="62" s="1"/>
  <c r="U23" i="62" s="1"/>
  <c r="E20" i="62"/>
  <c r="M20" i="62" s="1"/>
  <c r="E21" i="62"/>
  <c r="M21" i="62" s="1"/>
  <c r="O21" i="62" s="1"/>
  <c r="U21" i="62" s="1"/>
  <c r="O20" i="62" l="1"/>
  <c r="U20" i="62" s="1"/>
  <c r="M24" i="62"/>
  <c r="O21" i="60"/>
  <c r="U21" i="60" s="1"/>
  <c r="M24" i="60"/>
  <c r="E24" i="62"/>
  <c r="E25" i="73"/>
  <c r="E26" i="73"/>
  <c r="E27" i="73"/>
  <c r="E28" i="73"/>
  <c r="E24" i="73"/>
  <c r="C25" i="73"/>
  <c r="C26" i="73"/>
  <c r="C27" i="73"/>
  <c r="C28" i="73"/>
  <c r="C24" i="73"/>
  <c r="E21" i="73"/>
  <c r="E22" i="73"/>
  <c r="E20" i="73"/>
  <c r="C21" i="73"/>
  <c r="C22" i="73"/>
  <c r="C20" i="73"/>
  <c r="E15" i="73"/>
  <c r="E16" i="73"/>
  <c r="E17" i="73"/>
  <c r="E18" i="73"/>
  <c r="E14" i="73"/>
  <c r="E12" i="73"/>
  <c r="E11" i="73"/>
  <c r="C15" i="73"/>
  <c r="C16" i="73"/>
  <c r="C17" i="73"/>
  <c r="C18" i="73"/>
  <c r="C14" i="73"/>
  <c r="C59" i="73" l="1"/>
  <c r="C58" i="73"/>
  <c r="C57" i="73"/>
  <c r="C56" i="73"/>
  <c r="C55" i="73"/>
  <c r="C54" i="73"/>
  <c r="C53" i="73"/>
  <c r="C47" i="73"/>
  <c r="C46" i="73"/>
  <c r="C45" i="73"/>
  <c r="C44" i="73"/>
  <c r="C43" i="73"/>
  <c r="C42" i="73"/>
  <c r="C41" i="73"/>
  <c r="E9" i="73"/>
  <c r="E8" i="73"/>
  <c r="A1" i="73"/>
  <c r="F9" i="73" l="1"/>
  <c r="D17" i="68" l="1"/>
  <c r="E31" i="73"/>
  <c r="S13" i="61"/>
  <c r="D9" i="13"/>
  <c r="D8" i="13"/>
  <c r="C28" i="69"/>
  <c r="C29" i="69"/>
  <c r="C30" i="69"/>
  <c r="C31" i="69"/>
  <c r="C27" i="69"/>
  <c r="C18" i="69"/>
  <c r="C19" i="69"/>
  <c r="C20" i="69"/>
  <c r="C21" i="69"/>
  <c r="C17" i="69"/>
  <c r="A1" i="70"/>
  <c r="E9" i="69"/>
  <c r="E8" i="69"/>
  <c r="A1" i="69"/>
  <c r="H39" i="68"/>
  <c r="E7" i="68"/>
  <c r="E9" i="68" s="1"/>
  <c r="A1" i="68"/>
  <c r="C9" i="68"/>
  <c r="C10" i="68" s="1"/>
  <c r="F26" i="73"/>
  <c r="F27" i="73"/>
  <c r="H25" i="61"/>
  <c r="F17" i="73"/>
  <c r="H14" i="61"/>
  <c r="F36" i="73"/>
  <c r="F25" i="73"/>
  <c r="F22" i="73"/>
  <c r="F20" i="73"/>
  <c r="F16" i="73"/>
  <c r="F15" i="73"/>
  <c r="F14" i="73"/>
  <c r="J13" i="61"/>
  <c r="H11" i="61"/>
  <c r="F9" i="69"/>
  <c r="S17" i="60"/>
  <c r="E33" i="73"/>
  <c r="E35" i="73"/>
  <c r="B11" i="13"/>
  <c r="A11" i="13"/>
  <c r="A3" i="63"/>
  <c r="B9" i="13" s="1"/>
  <c r="A2" i="63"/>
  <c r="A9" i="13" s="1"/>
  <c r="E17" i="62"/>
  <c r="M17" i="62" s="1"/>
  <c r="O17" i="62" s="1"/>
  <c r="E12" i="62"/>
  <c r="A3" i="62"/>
  <c r="B8" i="13" s="1"/>
  <c r="A2" i="62"/>
  <c r="A8" i="13" s="1"/>
  <c r="E17" i="60"/>
  <c r="M17" i="60" s="1"/>
  <c r="O17" i="60" s="1"/>
  <c r="E12" i="60"/>
  <c r="A3" i="60"/>
  <c r="B7" i="13" s="1"/>
  <c r="A2" i="60"/>
  <c r="A7" i="13" s="1"/>
  <c r="I20" i="61"/>
  <c r="D17" i="28"/>
  <c r="T17" i="28" s="1"/>
  <c r="W17" i="28" s="1"/>
  <c r="E18" i="24"/>
  <c r="G18" i="24"/>
  <c r="D20" i="28"/>
  <c r="G20" i="28"/>
  <c r="D19" i="28"/>
  <c r="G19" i="28"/>
  <c r="G106" i="28"/>
  <c r="E106" i="28"/>
  <c r="D106" i="28"/>
  <c r="C106" i="28"/>
  <c r="G88" i="28"/>
  <c r="E88" i="28"/>
  <c r="D88" i="28"/>
  <c r="C88" i="28"/>
  <c r="D18" i="28"/>
  <c r="G70" i="28"/>
  <c r="E70" i="28"/>
  <c r="D70" i="28"/>
  <c r="C70" i="28"/>
  <c r="U12" i="24"/>
  <c r="U18" i="28"/>
  <c r="U12" i="28"/>
  <c r="M22" i="28"/>
  <c r="T24" i="28"/>
  <c r="W24" i="28"/>
  <c r="U19" i="24"/>
  <c r="M19" i="24"/>
  <c r="G52" i="28"/>
  <c r="G28" i="28" s="1"/>
  <c r="O24" i="28"/>
  <c r="E66" i="24"/>
  <c r="E46" i="24"/>
  <c r="D46" i="24"/>
  <c r="E52" i="28"/>
  <c r="F66" i="24"/>
  <c r="D66" i="24"/>
  <c r="D16" i="24" s="1"/>
  <c r="G16" i="24" s="1"/>
  <c r="C66" i="24"/>
  <c r="F46" i="24"/>
  <c r="C46" i="24"/>
  <c r="D12" i="24" s="1"/>
  <c r="D52" i="28"/>
  <c r="D12" i="28"/>
  <c r="G12" i="28" s="1"/>
  <c r="H12" i="13"/>
  <c r="C52" i="28"/>
  <c r="T18" i="28"/>
  <c r="W18" i="28" s="1"/>
  <c r="G18" i="28"/>
  <c r="G24" i="24"/>
  <c r="L16" i="24"/>
  <c r="L18" i="24" s="1"/>
  <c r="D21" i="28"/>
  <c r="L17" i="28" s="1"/>
  <c r="I11" i="61"/>
  <c r="I19" i="61"/>
  <c r="I16" i="61"/>
  <c r="I26" i="61"/>
  <c r="I22" i="61"/>
  <c r="I13" i="61"/>
  <c r="I14" i="61"/>
  <c r="I25" i="61"/>
  <c r="I10" i="61"/>
  <c r="J22" i="61"/>
  <c r="H19" i="61"/>
  <c r="D7" i="13"/>
  <c r="J11" i="61"/>
  <c r="D10" i="68"/>
  <c r="G12" i="62" l="1"/>
  <c r="M12" i="62"/>
  <c r="O12" i="62" s="1"/>
  <c r="O26" i="62" s="1"/>
  <c r="L13" i="61" s="1"/>
  <c r="G12" i="60"/>
  <c r="M12" i="60"/>
  <c r="O12" i="60" s="1"/>
  <c r="O26" i="60" s="1"/>
  <c r="L10" i="61" s="1"/>
  <c r="V14" i="61"/>
  <c r="U16" i="61"/>
  <c r="D37" i="68"/>
  <c r="F30" i="73"/>
  <c r="D35" i="68"/>
  <c r="D21" i="68"/>
  <c r="D13" i="68"/>
  <c r="D26" i="68"/>
  <c r="D39" i="68"/>
  <c r="H18" i="61"/>
  <c r="S12" i="63"/>
  <c r="U12" i="63" s="1"/>
  <c r="J16" i="61"/>
  <c r="E39" i="68"/>
  <c r="D11" i="68"/>
  <c r="D9" i="68"/>
  <c r="F9" i="68" s="1"/>
  <c r="D16" i="68"/>
  <c r="D33" i="68"/>
  <c r="D27" i="68"/>
  <c r="D36" i="68"/>
  <c r="D31" i="68"/>
  <c r="D12" i="68"/>
  <c r="D38" i="68"/>
  <c r="D19" i="68"/>
  <c r="D20" i="68"/>
  <c r="H17" i="61"/>
  <c r="E8" i="68"/>
  <c r="D30" i="68"/>
  <c r="D8" i="68"/>
  <c r="D18" i="68"/>
  <c r="H22" i="61"/>
  <c r="D29" i="68"/>
  <c r="D28" i="68"/>
  <c r="D14" i="68"/>
  <c r="D34" i="68"/>
  <c r="F31" i="73"/>
  <c r="J19" i="61"/>
  <c r="D24" i="68"/>
  <c r="D23" i="68"/>
  <c r="D32" i="68"/>
  <c r="J26" i="61"/>
  <c r="D25" i="68"/>
  <c r="D22" i="68"/>
  <c r="D15" i="68"/>
  <c r="H16" i="61"/>
  <c r="H26" i="61"/>
  <c r="O18" i="24"/>
  <c r="T16" i="24"/>
  <c r="L18" i="28"/>
  <c r="O18" i="28" s="1"/>
  <c r="L21" i="28"/>
  <c r="O21" i="28" s="1"/>
  <c r="O17" i="28"/>
  <c r="E10" i="68"/>
  <c r="F10" i="68" s="1"/>
  <c r="C11" i="68"/>
  <c r="W21" i="28"/>
  <c r="L12" i="24"/>
  <c r="G12" i="24"/>
  <c r="G22" i="24" s="1"/>
  <c r="G26" i="24" s="1"/>
  <c r="G28" i="24" s="1"/>
  <c r="L12" i="28"/>
  <c r="F33" i="73"/>
  <c r="E36" i="73"/>
  <c r="E30" i="73"/>
  <c r="F28" i="73"/>
  <c r="J25" i="61"/>
  <c r="F21" i="73"/>
  <c r="G17" i="28"/>
  <c r="G21" i="28" s="1"/>
  <c r="G26" i="28" s="1"/>
  <c r="G30" i="28" s="1"/>
  <c r="G32" i="28" s="1"/>
  <c r="L17" i="24"/>
  <c r="O17" i="24" s="1"/>
  <c r="E32" i="73"/>
  <c r="F24" i="73"/>
  <c r="O16" i="24"/>
  <c r="J20" i="61"/>
  <c r="F18" i="73"/>
  <c r="S12" i="62"/>
  <c r="F11" i="73"/>
  <c r="F32" i="73"/>
  <c r="J14" i="61"/>
  <c r="F12" i="73"/>
  <c r="S17" i="62"/>
  <c r="H13" i="61"/>
  <c r="H20" i="61"/>
  <c r="H9" i="68"/>
  <c r="H11" i="68"/>
  <c r="H10" i="68"/>
  <c r="H8" i="68"/>
  <c r="D34" i="60"/>
  <c r="D34" i="62"/>
  <c r="V11" i="61"/>
  <c r="V10" i="61"/>
  <c r="O39" i="60" l="1"/>
  <c r="U12" i="62"/>
  <c r="F39" i="68"/>
  <c r="F8" i="68"/>
  <c r="D28" i="69"/>
  <c r="D54" i="73"/>
  <c r="O12" i="24"/>
  <c r="T12" i="24"/>
  <c r="W12" i="24" s="1"/>
  <c r="D56" i="73"/>
  <c r="O22" i="28"/>
  <c r="F35" i="73"/>
  <c r="O19" i="24"/>
  <c r="O12" i="28"/>
  <c r="T12" i="28"/>
  <c r="W12" i="28" s="1"/>
  <c r="W27" i="28" s="1"/>
  <c r="W29" i="28" s="1"/>
  <c r="W31" i="28" s="1"/>
  <c r="W16" i="24"/>
  <c r="T17" i="24"/>
  <c r="W17" i="24" s="1"/>
  <c r="T18" i="24"/>
  <c r="W18" i="24" s="1"/>
  <c r="D27" i="69"/>
  <c r="D53" i="73"/>
  <c r="C12" i="68"/>
  <c r="E11" i="68"/>
  <c r="F11" i="68" s="1"/>
  <c r="F10" i="13"/>
  <c r="G10" i="13" s="1"/>
  <c r="D12" i="13"/>
  <c r="U23" i="63"/>
  <c r="G23" i="63"/>
  <c r="C9" i="13"/>
  <c r="G16" i="63"/>
  <c r="G19" i="63" s="1"/>
  <c r="G41" i="63" s="1"/>
  <c r="G17" i="60"/>
  <c r="G36" i="60" s="1"/>
  <c r="C7" i="13"/>
  <c r="C8" i="13"/>
  <c r="G17" i="62"/>
  <c r="U16" i="63" l="1"/>
  <c r="U19" i="63" s="1"/>
  <c r="U32" i="63" s="1"/>
  <c r="U34" i="63" s="1"/>
  <c r="U36" i="63" s="1"/>
  <c r="U17" i="60"/>
  <c r="S23" i="60"/>
  <c r="S22" i="60"/>
  <c r="S21" i="60"/>
  <c r="S20" i="60"/>
  <c r="U17" i="62"/>
  <c r="U26" i="62" s="1"/>
  <c r="U28" i="62" s="1"/>
  <c r="U30" i="62" s="1"/>
  <c r="S21" i="62"/>
  <c r="S23" i="62"/>
  <c r="S22" i="62"/>
  <c r="S20" i="62"/>
  <c r="G26" i="62"/>
  <c r="G35" i="62"/>
  <c r="E19" i="63"/>
  <c r="M19" i="63" s="1"/>
  <c r="G32" i="63"/>
  <c r="O34" i="63" s="1"/>
  <c r="I10" i="13"/>
  <c r="J10" i="13" s="1"/>
  <c r="D29" i="69"/>
  <c r="D55" i="73"/>
  <c r="O23" i="24"/>
  <c r="O25" i="24" s="1"/>
  <c r="O27" i="24" s="1"/>
  <c r="C13" i="68"/>
  <c r="E12" i="68"/>
  <c r="F12" i="68" s="1"/>
  <c r="H12" i="68"/>
  <c r="O27" i="28"/>
  <c r="O29" i="28" s="1"/>
  <c r="O31" i="28" s="1"/>
  <c r="W19" i="24"/>
  <c r="W23" i="24" s="1"/>
  <c r="W25" i="24" s="1"/>
  <c r="W27" i="24" s="1"/>
  <c r="E30" i="69"/>
  <c r="E56" i="73"/>
  <c r="G26" i="60"/>
  <c r="C12" i="13"/>
  <c r="O36" i="63" l="1"/>
  <c r="O38" i="63"/>
  <c r="S19" i="63"/>
  <c r="S29" i="63"/>
  <c r="S26" i="63"/>
  <c r="S27" i="63"/>
  <c r="S28" i="63"/>
  <c r="O28" i="62"/>
  <c r="S24" i="62"/>
  <c r="G39" i="60"/>
  <c r="O28" i="60"/>
  <c r="S24" i="60"/>
  <c r="G30" i="62"/>
  <c r="G32" i="62" s="1"/>
  <c r="E8" i="13"/>
  <c r="I8" i="13" s="1"/>
  <c r="J8" i="13" s="1"/>
  <c r="M13" i="61"/>
  <c r="E13" i="68"/>
  <c r="F13" i="68" s="1"/>
  <c r="C14" i="68"/>
  <c r="H13" i="68"/>
  <c r="H116" i="64"/>
  <c r="H114" i="64"/>
  <c r="D57" i="73"/>
  <c r="O110" i="64"/>
  <c r="M32" i="61" s="1"/>
  <c r="E44" i="73"/>
  <c r="F56" i="73"/>
  <c r="D20" i="69"/>
  <c r="D44" i="73"/>
  <c r="E7" i="13"/>
  <c r="G30" i="60"/>
  <c r="G32" i="60" s="1"/>
  <c r="E9" i="13"/>
  <c r="G36" i="63"/>
  <c r="G38" i="63" s="1"/>
  <c r="E20" i="69"/>
  <c r="F30" i="69"/>
  <c r="M16" i="61"/>
  <c r="U38" i="63"/>
  <c r="N13" i="61"/>
  <c r="U32" i="62"/>
  <c r="P13" i="61" s="1"/>
  <c r="O13" i="61"/>
  <c r="S30" i="63" l="1"/>
  <c r="O30" i="62"/>
  <c r="O32" i="62"/>
  <c r="O32" i="60"/>
  <c r="O30" i="60"/>
  <c r="F8" i="13"/>
  <c r="G8" i="13" s="1"/>
  <c r="E12" i="13"/>
  <c r="I11" i="13"/>
  <c r="J11" i="13" s="1"/>
  <c r="F59" i="73"/>
  <c r="E47" i="73"/>
  <c r="E59" i="73"/>
  <c r="O112" i="64"/>
  <c r="N32" i="61" s="1"/>
  <c r="D21" i="69" s="1"/>
  <c r="D47" i="73"/>
  <c r="C15" i="68"/>
  <c r="E14" i="68"/>
  <c r="F14" i="68" s="1"/>
  <c r="H14" i="68"/>
  <c r="D18" i="69"/>
  <c r="D42" i="73"/>
  <c r="E42" i="73"/>
  <c r="F54" i="73"/>
  <c r="E28" i="69"/>
  <c r="E54" i="73"/>
  <c r="L34" i="61"/>
  <c r="F9" i="13"/>
  <c r="G9" i="13" s="1"/>
  <c r="I9" i="13"/>
  <c r="J9" i="13" s="1"/>
  <c r="N16" i="61"/>
  <c r="O16" i="61"/>
  <c r="P16" i="61"/>
  <c r="F7" i="13"/>
  <c r="G7" i="13" s="1"/>
  <c r="I7" i="13"/>
  <c r="F28" i="69"/>
  <c r="E18" i="69"/>
  <c r="C16" i="68" l="1"/>
  <c r="E15" i="68"/>
  <c r="F15" i="68" s="1"/>
  <c r="H15" i="68"/>
  <c r="O116" i="64"/>
  <c r="P32" i="61" s="1"/>
  <c r="E31" i="69" s="1"/>
  <c r="O114" i="64"/>
  <c r="O32" i="61" s="1"/>
  <c r="E43" i="73"/>
  <c r="F55" i="73"/>
  <c r="D19" i="69"/>
  <c r="D43" i="73"/>
  <c r="E29" i="69"/>
  <c r="E55" i="73"/>
  <c r="F29" i="69"/>
  <c r="E19" i="69"/>
  <c r="J7" i="13"/>
  <c r="I12" i="13"/>
  <c r="J12" i="13" s="1"/>
  <c r="F12" i="13"/>
  <c r="G12" i="13" s="1"/>
  <c r="D45" i="73"/>
  <c r="F31" i="69" l="1"/>
  <c r="E21" i="69"/>
  <c r="E58" i="73"/>
  <c r="D46" i="73"/>
  <c r="F58" i="73"/>
  <c r="E46" i="73"/>
  <c r="C17" i="68"/>
  <c r="E16" i="68"/>
  <c r="F16" i="68" s="1"/>
  <c r="H16" i="68"/>
  <c r="E45" i="73"/>
  <c r="F57" i="73"/>
  <c r="E57" i="73"/>
  <c r="E17" i="68" l="1"/>
  <c r="F17" i="68" s="1"/>
  <c r="C18" i="68"/>
  <c r="H17" i="68"/>
  <c r="C19" i="68" l="1"/>
  <c r="E18" i="68"/>
  <c r="F18" i="68" s="1"/>
  <c r="H18" i="68"/>
  <c r="F8" i="73"/>
  <c r="F8" i="69"/>
  <c r="S12" i="60"/>
  <c r="U12" i="60" s="1"/>
  <c r="J10" i="61"/>
  <c r="H10" i="61"/>
  <c r="C20" i="68" l="1"/>
  <c r="E19" i="68"/>
  <c r="F19" i="68" s="1"/>
  <c r="H19" i="68"/>
  <c r="G24" i="68"/>
  <c r="G15" i="68"/>
  <c r="I15" i="68" s="1"/>
  <c r="J15" i="68" s="1"/>
  <c r="K15" i="68" s="1"/>
  <c r="G21" i="68"/>
  <c r="G26" i="68"/>
  <c r="G11" i="68"/>
  <c r="I11" i="68" s="1"/>
  <c r="J11" i="68" s="1"/>
  <c r="K11" i="68" s="1"/>
  <c r="G23" i="68"/>
  <c r="G34" i="68"/>
  <c r="G39" i="68"/>
  <c r="I39" i="68" s="1"/>
  <c r="J39" i="68" s="1"/>
  <c r="K39" i="68" s="1"/>
  <c r="G22" i="68"/>
  <c r="G30" i="68"/>
  <c r="G31" i="68"/>
  <c r="G36" i="68"/>
  <c r="G20" i="68"/>
  <c r="G38" i="68"/>
  <c r="G29" i="68"/>
  <c r="G25" i="68"/>
  <c r="G14" i="68"/>
  <c r="I14" i="68" s="1"/>
  <c r="J14" i="68" s="1"/>
  <c r="K14" i="68" s="1"/>
  <c r="G33" i="68"/>
  <c r="G12" i="68"/>
  <c r="I12" i="68" s="1"/>
  <c r="J12" i="68" s="1"/>
  <c r="K12" i="68" s="1"/>
  <c r="G27" i="68"/>
  <c r="G35" i="68"/>
  <c r="G16" i="68"/>
  <c r="I16" i="68" s="1"/>
  <c r="J16" i="68" s="1"/>
  <c r="K16" i="68" s="1"/>
  <c r="G19" i="68"/>
  <c r="G28" i="68"/>
  <c r="G32" i="68"/>
  <c r="G37" i="68"/>
  <c r="G8" i="68"/>
  <c r="I8" i="68" s="1"/>
  <c r="J8" i="68" s="1"/>
  <c r="K8" i="68" s="1"/>
  <c r="G13" i="68"/>
  <c r="I13" i="68" s="1"/>
  <c r="J13" i="68" s="1"/>
  <c r="K13" i="68" s="1"/>
  <c r="G10" i="68"/>
  <c r="I10" i="68" s="1"/>
  <c r="J10" i="68" s="1"/>
  <c r="K10" i="68" s="1"/>
  <c r="G17" i="68"/>
  <c r="I17" i="68" s="1"/>
  <c r="J17" i="68" s="1"/>
  <c r="K17" i="68" s="1"/>
  <c r="G9" i="68"/>
  <c r="I9" i="68" s="1"/>
  <c r="J9" i="68" s="1"/>
  <c r="K9" i="68" s="1"/>
  <c r="G18" i="68"/>
  <c r="I18" i="68" s="1"/>
  <c r="J18" i="68" s="1"/>
  <c r="K18" i="68" s="1"/>
  <c r="U26" i="60"/>
  <c r="U39" i="60" l="1"/>
  <c r="U28" i="60"/>
  <c r="U30" i="60" s="1"/>
  <c r="I19" i="68"/>
  <c r="J19" i="68" s="1"/>
  <c r="K19" i="68" s="1"/>
  <c r="C21" i="68"/>
  <c r="E20" i="68"/>
  <c r="F20" i="68" s="1"/>
  <c r="H20" i="68"/>
  <c r="I20" i="68" s="1"/>
  <c r="M10" i="61"/>
  <c r="M34" i="61" s="1"/>
  <c r="J20" i="68" l="1"/>
  <c r="K20" i="68" s="1"/>
  <c r="E21" i="68"/>
  <c r="F21" i="68" s="1"/>
  <c r="C22" i="68"/>
  <c r="H21" i="68"/>
  <c r="I21" i="68" s="1"/>
  <c r="O10" i="61"/>
  <c r="N10" i="61"/>
  <c r="D41" i="73" s="1"/>
  <c r="U32" i="60"/>
  <c r="P10" i="61" s="1"/>
  <c r="J21" i="68" l="1"/>
  <c r="K21" i="68" s="1"/>
  <c r="E22" i="68"/>
  <c r="F22" i="68" s="1"/>
  <c r="C23" i="68"/>
  <c r="H22" i="68"/>
  <c r="I22" i="68" s="1"/>
  <c r="E27" i="69"/>
  <c r="E53" i="73"/>
  <c r="E41" i="73"/>
  <c r="F53" i="73"/>
  <c r="D17" i="69"/>
  <c r="N34" i="61"/>
  <c r="D48" i="73" s="1"/>
  <c r="E17" i="69"/>
  <c r="F27" i="69"/>
  <c r="J22" i="68" l="1"/>
  <c r="K22" i="68" s="1"/>
  <c r="E23" i="68"/>
  <c r="F23" i="68" s="1"/>
  <c r="C24" i="68"/>
  <c r="H23" i="68"/>
  <c r="I23" i="68" s="1"/>
  <c r="D22" i="69"/>
  <c r="N37" i="61"/>
  <c r="N38" i="61" s="1"/>
  <c r="O34" i="61"/>
  <c r="J23" i="68" l="1"/>
  <c r="K23" i="68" s="1"/>
  <c r="E24" i="68"/>
  <c r="F24" i="68" s="1"/>
  <c r="C25" i="68"/>
  <c r="H24" i="68"/>
  <c r="I24" i="68" s="1"/>
  <c r="F60" i="73"/>
  <c r="E48" i="73"/>
  <c r="E22" i="69"/>
  <c r="F32" i="69"/>
  <c r="J24" i="68" l="1"/>
  <c r="K24" i="68" s="1"/>
  <c r="E25" i="68"/>
  <c r="F25" i="68" s="1"/>
  <c r="C26" i="68"/>
  <c r="H25" i="68"/>
  <c r="I25" i="68" s="1"/>
  <c r="J25" i="68" l="1"/>
  <c r="K25" i="68" s="1"/>
  <c r="E26" i="68"/>
  <c r="F26" i="68" s="1"/>
  <c r="C27" i="68"/>
  <c r="H26" i="68"/>
  <c r="I26" i="68" s="1"/>
  <c r="J26" i="68" l="1"/>
  <c r="K26" i="68" s="1"/>
  <c r="C28" i="68"/>
  <c r="E27" i="68"/>
  <c r="F27" i="68" s="1"/>
  <c r="H27" i="68"/>
  <c r="I27" i="68" s="1"/>
  <c r="J27" i="68" l="1"/>
  <c r="K27" i="68" s="1"/>
  <c r="C29" i="68"/>
  <c r="E28" i="68"/>
  <c r="F28" i="68" s="1"/>
  <c r="H28" i="68"/>
  <c r="I28" i="68" s="1"/>
  <c r="J28" i="68" l="1"/>
  <c r="K28" i="68" s="1"/>
  <c r="C30" i="68"/>
  <c r="E29" i="68"/>
  <c r="F29" i="68" s="1"/>
  <c r="H29" i="68"/>
  <c r="I29" i="68" s="1"/>
  <c r="J29" i="68" l="1"/>
  <c r="K29" i="68" s="1"/>
  <c r="C31" i="68"/>
  <c r="E30" i="68"/>
  <c r="F30" i="68" s="1"/>
  <c r="H30" i="68"/>
  <c r="I30" i="68" s="1"/>
  <c r="J30" i="68" l="1"/>
  <c r="K30" i="68" s="1"/>
  <c r="C32" i="68"/>
  <c r="E31" i="68"/>
  <c r="F31" i="68" s="1"/>
  <c r="H31" i="68"/>
  <c r="I31" i="68" s="1"/>
  <c r="J31" i="68" l="1"/>
  <c r="K31" i="68" s="1"/>
  <c r="C33" i="68"/>
  <c r="E32" i="68"/>
  <c r="F32" i="68" s="1"/>
  <c r="H32" i="68"/>
  <c r="I32" i="68" s="1"/>
  <c r="J32" i="68" l="1"/>
  <c r="K32" i="68" s="1"/>
  <c r="C34" i="68"/>
  <c r="E33" i="68"/>
  <c r="F33" i="68" s="1"/>
  <c r="H33" i="68"/>
  <c r="I33" i="68" s="1"/>
  <c r="J33" i="68" l="1"/>
  <c r="K33" i="68" s="1"/>
  <c r="E34" i="68"/>
  <c r="F34" i="68" s="1"/>
  <c r="H34" i="68"/>
  <c r="I34" i="68" s="1"/>
  <c r="C35" i="68"/>
  <c r="J34" i="68" l="1"/>
  <c r="K34" i="68" s="1"/>
  <c r="C36" i="68"/>
  <c r="E35" i="68"/>
  <c r="F35" i="68" s="1"/>
  <c r="H35" i="68"/>
  <c r="I35" i="68" s="1"/>
  <c r="J35" i="68" l="1"/>
  <c r="K35" i="68" s="1"/>
  <c r="C37" i="68"/>
  <c r="E36" i="68"/>
  <c r="F36" i="68" s="1"/>
  <c r="H36" i="68"/>
  <c r="I36" i="68" s="1"/>
  <c r="J36" i="68" l="1"/>
  <c r="K36" i="68" s="1"/>
  <c r="C38" i="68"/>
  <c r="E37" i="68"/>
  <c r="F37" i="68" s="1"/>
  <c r="H37" i="68"/>
  <c r="I37" i="68" s="1"/>
  <c r="J37" i="68" l="1"/>
  <c r="K37" i="68" s="1"/>
  <c r="E38" i="68"/>
  <c r="F38" i="68" s="1"/>
  <c r="H38" i="68"/>
  <c r="I38" i="68" s="1"/>
  <c r="J38" i="68" l="1"/>
  <c r="K38" i="68" s="1"/>
</calcChain>
</file>

<file path=xl/sharedStrings.xml><?xml version="1.0" encoding="utf-8"?>
<sst xmlns="http://schemas.openxmlformats.org/spreadsheetml/2006/main" count="1175" uniqueCount="460">
  <si>
    <t>Proposed Rate</t>
  </si>
  <si>
    <t>Billing</t>
  </si>
  <si>
    <t>Calculated</t>
  </si>
  <si>
    <t>Description</t>
  </si>
  <si>
    <t>Units</t>
  </si>
  <si>
    <t>Rate</t>
  </si>
  <si>
    <t>Billings</t>
  </si>
  <si>
    <t>Energy Charge</t>
  </si>
  <si>
    <t>kWh</t>
  </si>
  <si>
    <t>Customer Months</t>
  </si>
  <si>
    <t>Customer Charge</t>
  </si>
  <si>
    <t>Per kWh</t>
  </si>
  <si>
    <t>Per Customer</t>
  </si>
  <si>
    <t>Difference</t>
  </si>
  <si>
    <t>Customer Class</t>
  </si>
  <si>
    <t>Current  Rate Calculated Billings</t>
  </si>
  <si>
    <t>Lights</t>
  </si>
  <si>
    <t>Per Light</t>
  </si>
  <si>
    <t>Minimum Bills</t>
  </si>
  <si>
    <t>Revenue Per Books</t>
  </si>
  <si>
    <t>Percentage Difference</t>
  </si>
  <si>
    <t>All Kwh's</t>
  </si>
  <si>
    <t>Percent Change</t>
  </si>
  <si>
    <t>All kWh</t>
  </si>
  <si>
    <t>Cust</t>
  </si>
  <si>
    <t>MO-YR</t>
  </si>
  <si>
    <t>Percent Difference</t>
  </si>
  <si>
    <t>Distribution Demand</t>
  </si>
  <si>
    <t>Residential Service</t>
  </si>
  <si>
    <t>All Cust. Months</t>
  </si>
  <si>
    <t>Test Year Rate</t>
  </si>
  <si>
    <t>Purchased Power Demand</t>
  </si>
  <si>
    <t>Purchased Power Energy</t>
  </si>
  <si>
    <t>Test Year Rate Calculated Billings</t>
  </si>
  <si>
    <t>Facility Charge</t>
  </si>
  <si>
    <t>Total Rate 11</t>
  </si>
  <si>
    <t>Total Rate 10 &amp; 13</t>
  </si>
  <si>
    <t xml:space="preserve">No. Consumers </t>
  </si>
  <si>
    <t>On Peak</t>
  </si>
  <si>
    <t>Off Peak</t>
  </si>
  <si>
    <t>All Months</t>
  </si>
  <si>
    <t>Revenue</t>
  </si>
  <si>
    <t>Cost Based Rate @ 7% ROR</t>
  </si>
  <si>
    <t>All Customers</t>
  </si>
  <si>
    <t>kWh Sold</t>
  </si>
  <si>
    <t>kWh Revenue</t>
  </si>
  <si>
    <t>Service Revenue</t>
  </si>
  <si>
    <t>Cost Based Rates - 7% ROR</t>
  </si>
  <si>
    <t xml:space="preserve">Purchased Power Energy </t>
  </si>
  <si>
    <t>On Peak Energy</t>
  </si>
  <si>
    <t>Off Peak Energy</t>
  </si>
  <si>
    <t>Cost Based TOU Rates - 7% ROR</t>
  </si>
  <si>
    <t>Present and Proposed Rates</t>
  </si>
  <si>
    <t>Rate Class</t>
  </si>
  <si>
    <t xml:space="preserve">Billing  </t>
  </si>
  <si>
    <t>Present</t>
  </si>
  <si>
    <t xml:space="preserve">Increase </t>
  </si>
  <si>
    <t>Proposed</t>
  </si>
  <si>
    <t>Increase</t>
  </si>
  <si>
    <t>Classification</t>
  </si>
  <si>
    <t>Code</t>
  </si>
  <si>
    <t>Unit</t>
  </si>
  <si>
    <t>(Decrease)</t>
  </si>
  <si>
    <t>$</t>
  </si>
  <si>
    <t>%</t>
  </si>
  <si>
    <t>TOTAL</t>
  </si>
  <si>
    <t>Intermountain Rural Electric Association</t>
  </si>
  <si>
    <t>Service $</t>
  </si>
  <si>
    <t>Energy $</t>
  </si>
  <si>
    <t>Residential - Overhead A02</t>
  </si>
  <si>
    <t>Residential - Underground A03</t>
  </si>
  <si>
    <t>Residential TOU - Overhead A02T</t>
  </si>
  <si>
    <t>Residential TOU - Underground A03T</t>
  </si>
  <si>
    <t>Residential TOU Service</t>
  </si>
  <si>
    <t>On Peak Kwh - Rural</t>
  </si>
  <si>
    <t>Off Peak Kwh - Rural</t>
  </si>
  <si>
    <t>On Peak Kwh - City</t>
  </si>
  <si>
    <t>Off Peak Kwh - City</t>
  </si>
  <si>
    <t>Residential TOU - City Overhead CS2T</t>
  </si>
  <si>
    <t>Residential TOU - City Underground CS3T</t>
  </si>
  <si>
    <t>Total Rate Revenue</t>
  </si>
  <si>
    <t>Rate Code</t>
  </si>
  <si>
    <t>A02 &amp; A03</t>
  </si>
  <si>
    <t>A02T, A03T, C02T, C03T</t>
  </si>
  <si>
    <t>Total</t>
  </si>
  <si>
    <t>Difference from Test Year</t>
  </si>
  <si>
    <t>Percent Change from Test Year</t>
  </si>
  <si>
    <t>Avg Incr/(Decr) Per Customer Per Month</t>
  </si>
  <si>
    <t>Current</t>
  </si>
  <si>
    <t>Revenues</t>
  </si>
  <si>
    <t>Variance</t>
  </si>
  <si>
    <t xml:space="preserve">Present </t>
  </si>
  <si>
    <t>from Cost</t>
  </si>
  <si>
    <t>Based Rate</t>
  </si>
  <si>
    <t>Energy Charge (per kWh)</t>
  </si>
  <si>
    <t>Demand Charge (per kW)</t>
  </si>
  <si>
    <t>Proposed Rates</t>
  </si>
  <si>
    <t>Avg Bill</t>
  </si>
  <si>
    <t>Jan to Dec</t>
  </si>
  <si>
    <t>Other Charges</t>
  </si>
  <si>
    <t>3A</t>
  </si>
  <si>
    <t>Customers</t>
  </si>
  <si>
    <t>Environmental Surcharge</t>
  </si>
  <si>
    <t>Member Rate Stability</t>
  </si>
  <si>
    <t>Non-FAC PPA</t>
  </si>
  <si>
    <t>Fuel Adjustment Clause</t>
  </si>
  <si>
    <t>Charge 0-100 KVA</t>
  </si>
  <si>
    <t>Demand Charge</t>
  </si>
  <si>
    <t>kW</t>
  </si>
  <si>
    <t>Per kW</t>
  </si>
  <si>
    <t>Per Month</t>
  </si>
  <si>
    <t>Summary of Consumption Analysis</t>
  </si>
  <si>
    <t>Monthly</t>
  </si>
  <si>
    <t>Annual</t>
  </si>
  <si>
    <t>Rates</t>
  </si>
  <si>
    <t>Cost-Based</t>
  </si>
  <si>
    <t xml:space="preserve">Rate </t>
  </si>
  <si>
    <t xml:space="preserve">Customer </t>
  </si>
  <si>
    <t>Energy</t>
  </si>
  <si>
    <t>Customer</t>
  </si>
  <si>
    <t>Monthly Base Rate Increase by KWH</t>
  </si>
  <si>
    <t xml:space="preserve">Residential </t>
  </si>
  <si>
    <t>Present Base Rates</t>
  </si>
  <si>
    <t>Proposed Base Rates</t>
  </si>
  <si>
    <t>#</t>
  </si>
  <si>
    <t xml:space="preserve">Energy </t>
  </si>
  <si>
    <t>AVG</t>
  </si>
  <si>
    <t>Public Notice of Proposed Rate Revisions</t>
  </si>
  <si>
    <t>Energy Charge Per kWh (all kWh)</t>
  </si>
  <si>
    <t>The amount of the change requested in both dollar amounts and percentage change for each customer classification to which the proposed rates will apply is set forth below:</t>
  </si>
  <si>
    <t>Dollars</t>
  </si>
  <si>
    <t>Percent</t>
  </si>
  <si>
    <t>The amount of the average usage and the effect upon the average bill for each customer classification to which the proposed rates will apply is set forth below:</t>
  </si>
  <si>
    <t>Average</t>
  </si>
  <si>
    <t>Usage (kWh)</t>
  </si>
  <si>
    <t>NA</t>
  </si>
  <si>
    <t>Customer Charge Per Day</t>
  </si>
  <si>
    <t>List of Rate Schedules</t>
  </si>
  <si>
    <t>No changes are proposed to particular Rate Schedules.</t>
  </si>
  <si>
    <t>May</t>
  </si>
  <si>
    <t>AVERAGE</t>
  </si>
  <si>
    <t>CostBased</t>
  </si>
  <si>
    <t>Diff</t>
  </si>
  <si>
    <t>Target</t>
  </si>
  <si>
    <t>Target:</t>
  </si>
  <si>
    <t>Variance $:</t>
  </si>
  <si>
    <t>Variance %:</t>
  </si>
  <si>
    <t>Residential Customer Charge Range Analysis</t>
  </si>
  <si>
    <t>Movement</t>
  </si>
  <si>
    <t>^</t>
  </si>
  <si>
    <t>Total movement across gap btwn Current and Cost-Based</t>
  </si>
  <si>
    <t>Rate 1</t>
  </si>
  <si>
    <t>Residential, Farm &amp; Non-Farm, Schools &amp; Churches</t>
  </si>
  <si>
    <t>Commercial Rate</t>
  </si>
  <si>
    <t>Three Phase Power Service, 0 KVA and Qreater - 3 Phase Service</t>
  </si>
  <si>
    <t>Three Phase Power Service, 0 KVA - 999 KVA- Optional Time-of-Day (TOO) Rate</t>
  </si>
  <si>
    <t>Large Power Service, 1,000 KVA and Larger (TOD)</t>
  </si>
  <si>
    <t>Outdoor LiQhting Service - Individual Consumers</t>
  </si>
  <si>
    <t>175 Watt unmetered, per month</t>
  </si>
  <si>
    <t>175 Watt metered, per month</t>
  </si>
  <si>
    <t>400 Watt unmetered, per month</t>
  </si>
  <si>
    <t>400 Watt metered, per month</t>
  </si>
  <si>
    <t>Street Lighting - Community, Municipalities, Towns</t>
  </si>
  <si>
    <t>175 Watt, per month</t>
  </si>
  <si>
    <t>400 Watt, per month</t>
  </si>
  <si>
    <t>Rate Schedule</t>
  </si>
  <si>
    <t>KENERGY CORP.</t>
  </si>
  <si>
    <t>Unmetered Lighting</t>
  </si>
  <si>
    <t>Res</t>
  </si>
  <si>
    <t>Com1</t>
  </si>
  <si>
    <t>Com3</t>
  </si>
  <si>
    <t>Com1000</t>
  </si>
  <si>
    <t>Residential (Single and Three Phase)</t>
  </si>
  <si>
    <t>Commercial &amp; All Other Single Phase</t>
  </si>
  <si>
    <t>BILLING DETERMINANTS</t>
  </si>
  <si>
    <t>CUSTOMERS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</si>
  <si>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</si>
  <si>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</si>
  <si>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</si>
  <si>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</si>
  <si>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</si>
  <si>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</si>
  <si>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</si>
  <si>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</si>
  <si>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</si>
  <si>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</si>
  <si>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</si>
  <si>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ENERGY (KWH)</t>
  </si>
  <si>
    <t xml:space="preserve">BILLED DEMAND (KW) </t>
  </si>
  <si>
    <t>FAC ($)</t>
  </si>
  <si>
    <t>ES ($)</t>
  </si>
  <si>
    <t>MRSM ($)</t>
  </si>
  <si>
    <t>NON-FAC PPA ($)</t>
  </si>
  <si>
    <t>Customer Charge (per month)</t>
  </si>
  <si>
    <t>Energy Charge (1st 200 kWh per kW)</t>
  </si>
  <si>
    <t>Energy Charge (Next 200 kWh per kW)</t>
  </si>
  <si>
    <t>Energy Charge (Over 400 kWh per kW)</t>
  </si>
  <si>
    <t>Option A - HLF</t>
  </si>
  <si>
    <t>Option B - LLF</t>
  </si>
  <si>
    <t>Energy Charge (1st 150 kWh per kW)</t>
  </si>
  <si>
    <t>Energy Charge (Over 150 kWh per kW)</t>
  </si>
  <si>
    <t>Primary Discount</t>
  </si>
  <si>
    <t>various</t>
  </si>
  <si>
    <t>Commercial Three Phase (1001 kW +) HLF</t>
  </si>
  <si>
    <t>Commercial Three Phase (1001 kW +) LLF</t>
  </si>
  <si>
    <t>Commercial &amp; Public Bldgs Three Phase (&lt;1000 kW)</t>
  </si>
  <si>
    <t>Per unit per month</t>
  </si>
  <si>
    <t>Next 200 kWh per kW</t>
  </si>
  <si>
    <t>1st 200 kWh per kW</t>
  </si>
  <si>
    <t>Over 400 kWh per kW</t>
  </si>
  <si>
    <t>HLF</t>
  </si>
  <si>
    <t>LLF</t>
  </si>
  <si>
    <t>Subtotal</t>
  </si>
  <si>
    <t>1st 150 kWh per kW</t>
  </si>
  <si>
    <t>Over 150 kWh per kW</t>
  </si>
  <si>
    <t>Facilities Charge</t>
  </si>
  <si>
    <t>Power Factor Adj</t>
  </si>
  <si>
    <t>Commercial &amp; Public Bldgs Three Phase (&lt; 1000 kW)</t>
  </si>
  <si>
    <t>Commercial Three Phase (1001 kW +)</t>
  </si>
  <si>
    <t>Cust Adder</t>
  </si>
  <si>
    <t>Res Scalar</t>
  </si>
  <si>
    <t>Customer Charge Per Month</t>
  </si>
  <si>
    <t>Energy Charge Per kWh</t>
  </si>
  <si>
    <t>Present Rates</t>
  </si>
  <si>
    <t>Private Outdoor Lighting</t>
  </si>
  <si>
    <t>Tariff sheet 15</t>
  </si>
  <si>
    <t xml:space="preserve">Standard(served overhead) </t>
  </si>
  <si>
    <t>Not available for New Installations after December 1, 2012:</t>
  </si>
  <si>
    <t>7000 LUMEN-175W-MERCURY VAPOR</t>
  </si>
  <si>
    <t>12000 LUMEN-250W-MERCURY VAPOR</t>
  </si>
  <si>
    <t>20000 LUMEN-400W-MERCURY VAPOR</t>
  </si>
  <si>
    <t>9500 LUMEN-100W-HPS</t>
  </si>
  <si>
    <t>9000 LUMEN-100W METAL HALIDE (MH)</t>
  </si>
  <si>
    <t>24000 LUMEN-400W METAL HALIDE (MH)</t>
  </si>
  <si>
    <t>Not available for New Installations after November 2014:</t>
  </si>
  <si>
    <t>20000/27000 LUMEN-200/250W- HPS</t>
  </si>
  <si>
    <t>61000 LUMEN-400W-HPS-FLOOD LGT</t>
  </si>
  <si>
    <t>Available for New Installations after November 2014:</t>
  </si>
  <si>
    <t>5200 LUMEN-60W-LED NEMA HEAD</t>
  </si>
  <si>
    <t>9500 LUMEN-108W-LED MID OUTPUT</t>
  </si>
  <si>
    <t>11000 LUMEN-135W-LED HIGH OUTPUT</t>
  </si>
  <si>
    <t>Tariff sheet 15A</t>
  </si>
  <si>
    <t>Commercial and Industrial Lighting</t>
  </si>
  <si>
    <t>Flood Lighting Fixture</t>
  </si>
  <si>
    <t>18500 LUMEN 192W-LED FLOOD</t>
  </si>
  <si>
    <t>28000 LUMEN HPS-250W-FLOOD LGT</t>
  </si>
  <si>
    <t>140000 LUM-1000W-HPS-FLOOD LGT</t>
  </si>
  <si>
    <t>19500 LUMEN-250W-MH-FLOOD LGT</t>
  </si>
  <si>
    <t>32000 LUMEN-400W-MH-FLOOD LGT</t>
  </si>
  <si>
    <t>107000 LUM-1000W-MH-FLOOD LGT</t>
  </si>
  <si>
    <t>Not Available for New Installations after April 1 , 2011:</t>
  </si>
  <si>
    <t>Contemporary(Shoebox)</t>
  </si>
  <si>
    <t>28000 LUMEN-250W-HPS SHOEBOX</t>
  </si>
  <si>
    <t>61000 LUMEN-400W-HPS SHOEBOX</t>
  </si>
  <si>
    <t>140000 LUMENS-1000W-HPS SHOEBOX</t>
  </si>
  <si>
    <t>19500 LUMEN-250W-MH SHOEBOX</t>
  </si>
  <si>
    <t>32000 LUMENS-400W-MH SHOEBOX</t>
  </si>
  <si>
    <t>107000 LUMENS-1000W-MH SHOEBOX</t>
  </si>
  <si>
    <t>Decorative Lighting</t>
  </si>
  <si>
    <t>9000 LUM-100W-MH ACORN GLOBE</t>
  </si>
  <si>
    <t>16600 LUM-175W-MH ACORN GLOBE</t>
  </si>
  <si>
    <t>9000 LUM-100W-MH ROUND GLOBE</t>
  </si>
  <si>
    <t>16600 LUM-175W-MH ROUND GLOBE</t>
  </si>
  <si>
    <t>16600 LUM-175W-MH LANTERN GLOBE</t>
  </si>
  <si>
    <t>9500 LUM-100W-HPS ACORN GLOBE</t>
  </si>
  <si>
    <t>Tariff sheet 15B</t>
  </si>
  <si>
    <t>Pedestal Mounted Pole</t>
  </si>
  <si>
    <t>STEEL 25 FT PEDESTAL MT POLE</t>
  </si>
  <si>
    <t>STEEL 30 FT PEDESTAL MT POLE</t>
  </si>
  <si>
    <t>STEEL 39 FT PEDESTAL MT POLE</t>
  </si>
  <si>
    <t>Not Available for New Installations after January 1, 2017:</t>
  </si>
  <si>
    <t>WOOD 30 FT DIRECT BURIAL POLE</t>
  </si>
  <si>
    <t>ALUMINUM 28 FT DIRECT BURIAL</t>
  </si>
  <si>
    <t>FLUTED FIBERGLASS 15 FT POLE</t>
  </si>
  <si>
    <t>FLUTED ALUMINUM 14FT POLE</t>
  </si>
  <si>
    <t>Street Lighting Service</t>
  </si>
  <si>
    <t>Tariff sheet 16</t>
  </si>
  <si>
    <t>Special street lighting districts</t>
  </si>
  <si>
    <t>BASKETT STREET LIGHTING</t>
  </si>
  <si>
    <t>MEADOW HILL STREET LIGHTING</t>
  </si>
  <si>
    <t>SPOTTSVILLE STREET LIGHTING</t>
  </si>
  <si>
    <t>9500 LUMEN-100W-HPS STREET LGT</t>
  </si>
  <si>
    <t>27000 LUMEN-250W-HPS ST LIGHT</t>
  </si>
  <si>
    <t>9000 LUMEN-100W MH</t>
  </si>
  <si>
    <t>24000 LUMEN-400W MH</t>
  </si>
  <si>
    <t>Tariff sheet 16A</t>
  </si>
  <si>
    <t>Underground service with non-std. pole</t>
  </si>
  <si>
    <t>UG NON-STD POLE-GOVT &amp; DISTRICT</t>
  </si>
  <si>
    <t>Overhead service to street lighting districts</t>
  </si>
  <si>
    <t>OH FAC-STREET LIGHT DISTRICT</t>
  </si>
  <si>
    <t>Decorative Underground service</t>
  </si>
  <si>
    <t>6300 LUMEN-DECOR-70W-HPS ACORN</t>
  </si>
  <si>
    <t>6300 LUM DECOR-70W-HPS LANTERN</t>
  </si>
  <si>
    <t>12600 LUM HPS-70W-2 DECOR FIX</t>
  </si>
  <si>
    <t>Tariff sheet 16B</t>
  </si>
  <si>
    <t>9500 LUM - HPS ACORN GL 14 FT POLE</t>
  </si>
  <si>
    <t>2900 LUM - LED ACORN GL 14 FT POLE</t>
  </si>
  <si>
    <t>CASE NO. 2021-XXXXX</t>
  </si>
  <si>
    <t>PRIVATE AND OUTDOOR LIGHTING CONSUMPTION ANALYSIS 2019 TEST YEAR</t>
  </si>
  <si>
    <t xml:space="preserve">Line </t>
  </si>
  <si>
    <t>(a)</t>
  </si>
  <si>
    <t>(b)</t>
  </si>
  <si>
    <t>(c)</t>
  </si>
  <si>
    <t>(d)</t>
  </si>
  <si>
    <t>(e)</t>
  </si>
  <si>
    <t>(f)</t>
  </si>
  <si>
    <t>(g)</t>
  </si>
  <si>
    <t>(h)</t>
  </si>
  <si>
    <t>No.</t>
  </si>
  <si>
    <t>Normalized</t>
  </si>
  <si>
    <t>Test Period</t>
  </si>
  <si>
    <t>Distribution</t>
  </si>
  <si>
    <t xml:space="preserve">Number </t>
  </si>
  <si>
    <t>Billed</t>
  </si>
  <si>
    <t>Assigned</t>
  </si>
  <si>
    <t>kwh</t>
  </si>
  <si>
    <t>DESCRIPTION</t>
  </si>
  <si>
    <t>billed</t>
  </si>
  <si>
    <t>kWh/light</t>
  </si>
  <si>
    <t>kwh/light</t>
  </si>
  <si>
    <t>rate</t>
  </si>
  <si>
    <t>Original billing base charge</t>
  </si>
  <si>
    <t>base</t>
  </si>
  <si>
    <t>Original billing factors</t>
  </si>
  <si>
    <t>factors</t>
  </si>
  <si>
    <t>adj base</t>
  </si>
  <si>
    <t>Adjustments base charge</t>
  </si>
  <si>
    <t>adj factors</t>
  </si>
  <si>
    <t>Adjustments factors</t>
  </si>
  <si>
    <t>kwh base</t>
  </si>
  <si>
    <t>kwh adj</t>
  </si>
  <si>
    <t>fac</t>
  </si>
  <si>
    <t>es</t>
  </si>
  <si>
    <t>mrsm</t>
  </si>
  <si>
    <t>ppa</t>
  </si>
  <si>
    <t>BRC</t>
  </si>
  <si>
    <t>RER</t>
  </si>
  <si>
    <t>January</t>
  </si>
  <si>
    <t>adjustments included in above totals. Not included in individual light totals . Will be done at year end.</t>
  </si>
  <si>
    <t>Residential</t>
  </si>
  <si>
    <t>5200 lumen 60w led</t>
  </si>
  <si>
    <t xml:space="preserve">175 watt MV </t>
  </si>
  <si>
    <t>LED mid output 9500 lumen</t>
  </si>
  <si>
    <t>LED Nema head 5200 lumens</t>
  </si>
  <si>
    <t>per adj.</t>
  </si>
  <si>
    <t>(5) See pg 9 of adj. analysis. The entire adj. for march-dec 2015 was entered in Device Rev adj. this column was off 2.14 offset by factors and taxes being off.</t>
  </si>
  <si>
    <t xml:space="preserve">the customer was adjusted the correct dollars. </t>
  </si>
  <si>
    <t xml:space="preserve">(1) Light kwh was not caputred correctly by the adjustment program. The dollars are correct. </t>
  </si>
  <si>
    <t xml:space="preserve">Commercial </t>
  </si>
  <si>
    <t>LED Flood 18500 lumens</t>
  </si>
  <si>
    <t xml:space="preserve">FEB </t>
  </si>
  <si>
    <t>LED 60w 5200 Lumens</t>
  </si>
  <si>
    <t>175W mv</t>
  </si>
  <si>
    <t>Unmetered Lighting code 7</t>
  </si>
  <si>
    <t>total</t>
  </si>
  <si>
    <t>March</t>
  </si>
  <si>
    <t>code 3</t>
  </si>
  <si>
    <t>residential codes 1 and 2</t>
  </si>
  <si>
    <t>cust</t>
  </si>
  <si>
    <t>energy</t>
  </si>
  <si>
    <t>addl</t>
  </si>
  <si>
    <t>device</t>
  </si>
  <si>
    <t>add'l</t>
  </si>
  <si>
    <t>net</t>
  </si>
  <si>
    <t>code 4</t>
  </si>
  <si>
    <t>chg</t>
  </si>
  <si>
    <t>charge</t>
  </si>
  <si>
    <t>factprs</t>
  </si>
  <si>
    <t>rev</t>
  </si>
  <si>
    <t>code 1</t>
  </si>
  <si>
    <t>code 2</t>
  </si>
  <si>
    <t>put in ES</t>
  </si>
  <si>
    <t>to es</t>
  </si>
  <si>
    <t>corrects Feb error</t>
  </si>
  <si>
    <t>calculated</t>
  </si>
  <si>
    <t>above</t>
  </si>
  <si>
    <t>rounding</t>
  </si>
  <si>
    <t>device chg</t>
  </si>
  <si>
    <t>remove  61000 lumen 400w hps flood</t>
  </si>
  <si>
    <t>remove  LED Flood 18500 lumens</t>
  </si>
  <si>
    <t>add  LED Flood 18,500 lumens</t>
  </si>
  <si>
    <t>remove LED high output 11,000 lumens</t>
  </si>
  <si>
    <t>add 5200 lemens 60w LED NEM</t>
  </si>
  <si>
    <t xml:space="preserve">     </t>
  </si>
  <si>
    <t>remove LED mid output 9,500</t>
  </si>
  <si>
    <t>only kwh</t>
  </si>
  <si>
    <t>Windward hgts</t>
  </si>
  <si>
    <t xml:space="preserve"> add 5200 lumens 60w LED nema head</t>
  </si>
  <si>
    <t xml:space="preserve">only kwh </t>
  </si>
  <si>
    <t>Correct a Feb adj. that left out kwh</t>
  </si>
  <si>
    <t>dollars adjusted in FEB</t>
  </si>
  <si>
    <t>remove 5200 lumens 60w led nema head</t>
  </si>
  <si>
    <t xml:space="preserve">correct feb adj kwh left off </t>
  </si>
  <si>
    <t>dollars adjusted in Feb</t>
  </si>
  <si>
    <t xml:space="preserve">remove 175w MV 7000 lumens </t>
  </si>
  <si>
    <t>only kwhj</t>
  </si>
  <si>
    <t>remove 175mv correct jan</t>
  </si>
  <si>
    <t>April</t>
  </si>
  <si>
    <t>information for consumption analysis:</t>
  </si>
  <si>
    <t xml:space="preserve">cust </t>
  </si>
  <si>
    <t>add;</t>
  </si>
  <si>
    <t xml:space="preserve">device </t>
  </si>
  <si>
    <t>add'l charge</t>
  </si>
  <si>
    <t>residentail codes 1 and 2</t>
  </si>
  <si>
    <t>adj. made by journal entry</t>
  </si>
  <si>
    <t xml:space="preserve">refund 175 mv light </t>
  </si>
  <si>
    <t>other</t>
  </si>
  <si>
    <t>lights</t>
  </si>
  <si>
    <t>on light adj going back years</t>
  </si>
  <si>
    <t>% rev. reduction</t>
  </si>
  <si>
    <t>RER base rate credit</t>
  </si>
  <si>
    <t>RER factor</t>
  </si>
  <si>
    <t>amount</t>
  </si>
  <si>
    <t>remove 175 watt mv</t>
  </si>
  <si>
    <t>booked in April 2019</t>
  </si>
  <si>
    <t>booked in may 2019</t>
  </si>
  <si>
    <t>remove 61000 lumen hps flood</t>
  </si>
  <si>
    <t xml:space="preserve">remove 5200 lumen 60w led nema </t>
  </si>
  <si>
    <t>21 not inputted on adj.</t>
  </si>
  <si>
    <t>commercial code 3</t>
  </si>
  <si>
    <t>totals for consumption analysis"</t>
  </si>
  <si>
    <t>class 1</t>
  </si>
  <si>
    <t>fuel adj</t>
  </si>
  <si>
    <t>ES</t>
  </si>
  <si>
    <t xml:space="preserve">mrsm </t>
  </si>
  <si>
    <t>Pca</t>
  </si>
  <si>
    <t>will be booked in may</t>
  </si>
  <si>
    <t>175w mv</t>
  </si>
  <si>
    <t>Dollars booked in April</t>
  </si>
  <si>
    <t>class 3</t>
  </si>
  <si>
    <t>175w MV</t>
  </si>
  <si>
    <t>June</t>
  </si>
  <si>
    <t>Light_Mo</t>
  </si>
  <si>
    <t>July</t>
  </si>
  <si>
    <t>5200 lumens 60w led nema head</t>
  </si>
  <si>
    <t xml:space="preserve">   </t>
  </si>
  <si>
    <t>August</t>
  </si>
  <si>
    <t>175 watt mercury vapor 7000 lumens</t>
  </si>
  <si>
    <t>sept</t>
  </si>
  <si>
    <t>class 1 lights</t>
  </si>
  <si>
    <t>7000 lumen 175w mv</t>
  </si>
  <si>
    <t>class 3 lights</t>
  </si>
  <si>
    <t>Sept</t>
  </si>
  <si>
    <t xml:space="preserve"> </t>
  </si>
  <si>
    <t>oct</t>
  </si>
  <si>
    <t>175 watt MV</t>
  </si>
  <si>
    <t>-70 kwh</t>
  </si>
  <si>
    <t>class 8</t>
  </si>
  <si>
    <t>led md output 9500 lemens</t>
  </si>
  <si>
    <t>lumens</t>
  </si>
  <si>
    <t>nov</t>
  </si>
  <si>
    <t>61000 lumen  hps fl</t>
  </si>
  <si>
    <t>175 w mv</t>
  </si>
  <si>
    <t>5200 lumen 60 w led</t>
  </si>
  <si>
    <t>dec</t>
  </si>
  <si>
    <t>Class 1</t>
  </si>
  <si>
    <t>1 175 watt mercury vapor</t>
  </si>
  <si>
    <t xml:space="preserve">correcting prior month kwh left off adj. </t>
  </si>
  <si>
    <t>Totals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</si>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</sst>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00"/>
    <numFmt numFmtId="166" formatCode="&quot;$&quot;#,##0.00000"/>
    <numFmt numFmtId="167" formatCode="0.0%"/>
    <numFmt numFmtId="168" formatCode="0.000%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&quot;$&quot;#,##0.00"/>
    <numFmt numFmtId="177" formatCode="0.000000"/>
    <numFmt numFmtId="178" formatCode="[$-409]mmmm\-yy;@"/>
    <numFmt numFmtId="179" formatCode="&quot;$&quot;#,##0"/>
    <numFmt numFmtId="180" formatCode="&quot;$&quot;#,##0.000"/>
    <numFmt numFmtId="181" formatCode="_(&quot;$&quot;* #,##0.000_);_(&quot;$&quot;* \(#,##0.000\);_(&quot;$&quot;* &quot;-&quot;??_);_(@_)"/>
    <numFmt numFmtId="182" formatCode="&quot;$&quot;#,##0.000000"/>
    <numFmt numFmtId="183" formatCode="&quot;$&quot;#,##0.0000_);[Red]\(&quot;$&quot;#,##0.0000\)"/>
    <numFmt numFmtId="184" formatCode="_(&quot;$&quot;* #,##0.00000000_);_(&quot;$&quot;* \(#,##0.00000000\);_(&quot;$&quot;* &quot;-&quot;??_);_(@_)"/>
    <numFmt numFmtId="185" formatCode="&quot;$&quot;#,##0.0000000_);[Red]\(&quot;$&quot;#,##0.0000000\)"/>
    <numFmt numFmtId="186" formatCode="_(* #,##0.00000000_);_(* \(#,##0.000000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color rgb="FFC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7030A0"/>
      <name val="Times New Roman"/>
      <family val="1"/>
    </font>
    <font>
      <i/>
      <u/>
      <sz val="12"/>
      <name val="Times New Roman"/>
      <family val="1"/>
    </font>
    <font>
      <u/>
      <sz val="10"/>
      <color theme="1"/>
      <name val="Arial"/>
      <family val="2"/>
    </font>
    <font>
      <sz val="10"/>
      <color rgb="FF00009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51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4" fillId="0" borderId="2" xfId="0" applyFont="1" applyBorder="1"/>
    <xf numFmtId="41" fontId="4" fillId="0" borderId="0" xfId="0" applyNumberFormat="1" applyFont="1"/>
    <xf numFmtId="44" fontId="4" fillId="0" borderId="0" xfId="5" applyNumberFormat="1" applyFont="1"/>
    <xf numFmtId="44" fontId="4" fillId="0" borderId="0" xfId="0" applyNumberFormat="1" applyFont="1"/>
    <xf numFmtId="164" fontId="4" fillId="0" borderId="0" xfId="0" applyNumberFormat="1" applyFont="1"/>
    <xf numFmtId="0" fontId="5" fillId="0" borderId="2" xfId="0" applyFont="1" applyBorder="1"/>
    <xf numFmtId="41" fontId="5" fillId="0" borderId="2" xfId="0" applyNumberFormat="1" applyFont="1" applyBorder="1"/>
    <xf numFmtId="169" fontId="4" fillId="0" borderId="0" xfId="1" applyNumberFormat="1" applyFont="1"/>
    <xf numFmtId="165" fontId="4" fillId="0" borderId="0" xfId="0" applyNumberFormat="1" applyFont="1"/>
    <xf numFmtId="0" fontId="5" fillId="0" borderId="0" xfId="0" applyFont="1"/>
    <xf numFmtId="44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41" fontId="4" fillId="0" borderId="2" xfId="0" applyNumberFormat="1" applyFont="1" applyBorder="1"/>
    <xf numFmtId="166" fontId="4" fillId="0" borderId="0" xfId="0" applyNumberFormat="1" applyFont="1"/>
    <xf numFmtId="169" fontId="4" fillId="0" borderId="0" xfId="0" applyNumberFormat="1" applyFont="1"/>
    <xf numFmtId="0" fontId="5" fillId="0" borderId="0" xfId="0" applyFont="1" applyBorder="1"/>
    <xf numFmtId="43" fontId="4" fillId="0" borderId="0" xfId="0" applyNumberFormat="1" applyFont="1" applyBorder="1"/>
    <xf numFmtId="174" fontId="4" fillId="0" borderId="0" xfId="0" applyNumberFormat="1" applyFont="1"/>
    <xf numFmtId="43" fontId="4" fillId="0" borderId="0" xfId="0" applyNumberFormat="1" applyFont="1"/>
    <xf numFmtId="164" fontId="4" fillId="0" borderId="0" xfId="12" applyNumberFormat="1" applyFont="1"/>
    <xf numFmtId="10" fontId="4" fillId="0" borderId="0" xfId="12" applyNumberFormat="1" applyFont="1" applyBorder="1"/>
    <xf numFmtId="164" fontId="4" fillId="0" borderId="3" xfId="0" applyNumberFormat="1" applyFont="1" applyBorder="1"/>
    <xf numFmtId="10" fontId="4" fillId="0" borderId="0" xfId="12" applyNumberFormat="1" applyFont="1"/>
    <xf numFmtId="43" fontId="4" fillId="0" borderId="0" xfId="1" applyFont="1"/>
    <xf numFmtId="175" fontId="4" fillId="0" borderId="0" xfId="0" applyNumberFormat="1" applyFont="1"/>
    <xf numFmtId="166" fontId="4" fillId="0" borderId="2" xfId="0" applyNumberFormat="1" applyFont="1" applyBorder="1"/>
    <xf numFmtId="0" fontId="4" fillId="0" borderId="0" xfId="0" applyFont="1" applyFill="1"/>
    <xf numFmtId="0" fontId="3" fillId="0" borderId="2" xfId="0" applyFont="1" applyBorder="1"/>
    <xf numFmtId="0" fontId="3" fillId="0" borderId="2" xfId="0" applyFont="1" applyBorder="1" applyAlignment="1">
      <alignment horizontal="right" wrapText="1"/>
    </xf>
    <xf numFmtId="164" fontId="4" fillId="0" borderId="0" xfId="5" applyNumberFormat="1" applyFont="1"/>
    <xf numFmtId="169" fontId="4" fillId="0" borderId="2" xfId="1" applyNumberFormat="1" applyFont="1" applyBorder="1" applyAlignment="1">
      <alignment horizontal="right"/>
    </xf>
    <xf numFmtId="41" fontId="4" fillId="0" borderId="0" xfId="0" applyNumberFormat="1" applyFont="1" applyBorder="1"/>
    <xf numFmtId="166" fontId="4" fillId="0" borderId="0" xfId="0" applyNumberFormat="1" applyFont="1" applyBorder="1"/>
    <xf numFmtId="44" fontId="4" fillId="0" borderId="0" xfId="5" applyFont="1" applyBorder="1"/>
    <xf numFmtId="43" fontId="4" fillId="0" borderId="0" xfId="1" applyFont="1" applyBorder="1"/>
    <xf numFmtId="164" fontId="4" fillId="0" borderId="0" xfId="5" applyNumberFormat="1" applyFont="1" applyBorder="1" applyAlignment="1">
      <alignment horizontal="right"/>
    </xf>
    <xf numFmtId="0" fontId="3" fillId="0" borderId="0" xfId="0" applyFont="1" applyBorder="1"/>
    <xf numFmtId="44" fontId="4" fillId="0" borderId="0" xfId="5" applyNumberFormat="1" applyFont="1" applyBorder="1"/>
    <xf numFmtId="169" fontId="4" fillId="0" borderId="0" xfId="1" applyNumberFormat="1" applyFont="1" applyBorder="1"/>
    <xf numFmtId="169" fontId="4" fillId="0" borderId="2" xfId="1" applyNumberFormat="1" applyFont="1" applyBorder="1"/>
    <xf numFmtId="0" fontId="4" fillId="0" borderId="0" xfId="0" applyFont="1" applyFill="1" applyBorder="1"/>
    <xf numFmtId="41" fontId="4" fillId="0" borderId="0" xfId="0" applyNumberFormat="1" applyFont="1" applyBorder="1" applyAlignment="1">
      <alignment horizontal="right"/>
    </xf>
    <xf numFmtId="164" fontId="4" fillId="0" borderId="0" xfId="5" applyNumberFormat="1" applyFont="1" applyBorder="1"/>
    <xf numFmtId="169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9" fontId="4" fillId="0" borderId="0" xfId="1" applyNumberFormat="1" applyFont="1" applyAlignment="1">
      <alignment horizontal="right"/>
    </xf>
    <xf numFmtId="17" fontId="4" fillId="0" borderId="0" xfId="0" applyNumberFormat="1" applyFont="1" applyBorder="1"/>
    <xf numFmtId="169" fontId="4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41" fontId="4" fillId="0" borderId="0" xfId="0" applyNumberFormat="1" applyFont="1" applyFill="1"/>
    <xf numFmtId="169" fontId="4" fillId="0" borderId="0" xfId="1" applyNumberFormat="1" applyFont="1" applyFill="1"/>
    <xf numFmtId="164" fontId="4" fillId="0" borderId="0" xfId="0" applyNumberFormat="1" applyFont="1" applyFill="1" applyBorder="1"/>
    <xf numFmtId="169" fontId="4" fillId="0" borderId="0" xfId="1" applyNumberFormat="1" applyFont="1" applyFill="1" applyBorder="1"/>
    <xf numFmtId="166" fontId="4" fillId="0" borderId="0" xfId="0" applyNumberFormat="1" applyFont="1" applyFill="1"/>
    <xf numFmtId="10" fontId="4" fillId="0" borderId="0" xfId="12" applyNumberFormat="1" applyFont="1" applyFill="1" applyBorder="1"/>
    <xf numFmtId="44" fontId="4" fillId="0" borderId="0" xfId="5" applyFont="1"/>
    <xf numFmtId="175" fontId="4" fillId="0" borderId="0" xfId="5" applyNumberFormat="1" applyFont="1" applyBorder="1"/>
    <xf numFmtId="175" fontId="4" fillId="0" borderId="0" xfId="5" applyNumberFormat="1" applyFont="1"/>
    <xf numFmtId="177" fontId="4" fillId="0" borderId="0" xfId="0" applyNumberFormat="1" applyFont="1" applyBorder="1"/>
    <xf numFmtId="164" fontId="4" fillId="0" borderId="0" xfId="1" applyNumberFormat="1" applyFont="1"/>
    <xf numFmtId="164" fontId="4" fillId="0" borderId="0" xfId="5" applyNumberFormat="1" applyFont="1" applyFill="1" applyBorder="1"/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169" fontId="4" fillId="0" borderId="2" xfId="0" applyNumberFormat="1" applyFont="1" applyBorder="1"/>
    <xf numFmtId="41" fontId="4" fillId="0" borderId="3" xfId="0" applyNumberFormat="1" applyFont="1" applyFill="1" applyBorder="1"/>
    <xf numFmtId="164" fontId="4" fillId="0" borderId="3" xfId="0" applyNumberFormat="1" applyFont="1" applyFill="1" applyBorder="1"/>
    <xf numFmtId="10" fontId="4" fillId="0" borderId="3" xfId="12" applyNumberFormat="1" applyFont="1" applyFill="1" applyBorder="1"/>
    <xf numFmtId="164" fontId="4" fillId="0" borderId="3" xfId="5" applyNumberFormat="1" applyFont="1" applyFill="1" applyBorder="1"/>
    <xf numFmtId="8" fontId="4" fillId="0" borderId="0" xfId="0" applyNumberFormat="1" applyFont="1"/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9" fontId="4" fillId="0" borderId="0" xfId="1" applyNumberFormat="1" applyFont="1" applyFill="1" applyBorder="1" applyAlignment="1">
      <alignment horizontal="right"/>
    </xf>
    <xf numFmtId="169" fontId="4" fillId="0" borderId="0" xfId="1" applyNumberFormat="1" applyFont="1" applyFill="1" applyAlignment="1">
      <alignment horizontal="right"/>
    </xf>
    <xf numFmtId="0" fontId="3" fillId="0" borderId="0" xfId="0" applyFont="1" applyBorder="1" applyAlignment="1">
      <alignment horizontal="left"/>
    </xf>
    <xf numFmtId="1" fontId="4" fillId="0" borderId="0" xfId="0" applyNumberFormat="1" applyFont="1"/>
    <xf numFmtId="171" fontId="4" fillId="0" borderId="0" xfId="1" applyNumberFormat="1" applyFont="1" applyBorder="1" applyAlignment="1">
      <alignment horizontal="right"/>
    </xf>
    <xf numFmtId="44" fontId="4" fillId="0" borderId="0" xfId="5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76" fontId="4" fillId="0" borderId="0" xfId="0" applyNumberFormat="1" applyFont="1"/>
    <xf numFmtId="172" fontId="4" fillId="0" borderId="2" xfId="1" applyNumberFormat="1" applyFont="1" applyBorder="1"/>
    <xf numFmtId="1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4" fillId="0" borderId="0" xfId="1" applyFont="1" applyFill="1"/>
    <xf numFmtId="44" fontId="4" fillId="0" borderId="0" xfId="5" applyFont="1" applyFill="1"/>
    <xf numFmtId="169" fontId="4" fillId="0" borderId="0" xfId="12" applyNumberFormat="1" applyFont="1"/>
    <xf numFmtId="169" fontId="4" fillId="0" borderId="0" xfId="0" applyNumberFormat="1" applyFont="1" applyFill="1" applyBorder="1" applyAlignment="1">
      <alignment horizontal="left"/>
    </xf>
    <xf numFmtId="10" fontId="4" fillId="0" borderId="0" xfId="1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/>
    <xf numFmtId="1" fontId="4" fillId="0" borderId="2" xfId="0" applyNumberFormat="1" applyFont="1" applyFill="1" applyBorder="1" applyAlignment="1">
      <alignment horizontal="right"/>
    </xf>
    <xf numFmtId="1" fontId="4" fillId="0" borderId="2" xfId="0" applyNumberFormat="1" applyFont="1" applyFill="1" applyBorder="1"/>
    <xf numFmtId="172" fontId="4" fillId="0" borderId="0" xfId="1" applyNumberFormat="1" applyFont="1" applyBorder="1"/>
    <xf numFmtId="172" fontId="4" fillId="0" borderId="0" xfId="1" applyNumberFormat="1" applyFont="1"/>
    <xf numFmtId="41" fontId="4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4" fillId="0" borderId="0" xfId="6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1" fontId="4" fillId="0" borderId="0" xfId="0" applyNumberFormat="1" applyFont="1" applyFill="1" applyAlignment="1">
      <alignment horizontal="right"/>
    </xf>
    <xf numFmtId="164" fontId="4" fillId="0" borderId="0" xfId="5" applyNumberFormat="1" applyFont="1" applyFill="1" applyAlignment="1">
      <alignment horizontal="right"/>
    </xf>
    <xf numFmtId="164" fontId="4" fillId="0" borderId="0" xfId="5" applyNumberFormat="1" applyFont="1" applyFill="1"/>
    <xf numFmtId="10" fontId="4" fillId="0" borderId="0" xfId="12" applyNumberFormat="1" applyFont="1" applyFill="1"/>
    <xf numFmtId="41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Border="1"/>
    <xf numFmtId="2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4" fontId="4" fillId="0" borderId="0" xfId="5" applyFont="1" applyFill="1" applyBorder="1"/>
    <xf numFmtId="44" fontId="4" fillId="0" borderId="2" xfId="5" applyFont="1" applyBorder="1"/>
    <xf numFmtId="44" fontId="4" fillId="0" borderId="0" xfId="5" applyNumberFormat="1" applyFont="1" applyFill="1"/>
    <xf numFmtId="44" fontId="4" fillId="0" borderId="0" xfId="5" applyNumberFormat="1" applyFont="1" applyFill="1" applyBorder="1"/>
    <xf numFmtId="44" fontId="4" fillId="0" borderId="2" xfId="5" applyNumberFormat="1" applyFont="1" applyBorder="1"/>
    <xf numFmtId="44" fontId="4" fillId="0" borderId="2" xfId="5" applyNumberFormat="1" applyFont="1" applyFill="1" applyBorder="1"/>
    <xf numFmtId="0" fontId="3" fillId="0" borderId="0" xfId="0" applyFont="1" applyAlignment="1">
      <alignment horizontal="left"/>
    </xf>
    <xf numFmtId="44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/>
    <xf numFmtId="9" fontId="4" fillId="0" borderId="0" xfId="12" applyFont="1"/>
    <xf numFmtId="0" fontId="4" fillId="0" borderId="0" xfId="11" applyFont="1"/>
    <xf numFmtId="0" fontId="4" fillId="0" borderId="0" xfId="11" applyFont="1" applyFill="1"/>
    <xf numFmtId="10" fontId="4" fillId="0" borderId="0" xfId="15" applyNumberFormat="1" applyFont="1"/>
    <xf numFmtId="0" fontId="7" fillId="0" borderId="0" xfId="11" applyFont="1"/>
    <xf numFmtId="0" fontId="3" fillId="0" borderId="2" xfId="11" applyFont="1" applyBorder="1" applyAlignment="1">
      <alignment horizontal="center"/>
    </xf>
    <xf numFmtId="0" fontId="3" fillId="0" borderId="0" xfId="11" applyFont="1" applyBorder="1" applyAlignment="1">
      <alignment horizontal="right"/>
    </xf>
    <xf numFmtId="0" fontId="3" fillId="0" borderId="0" xfId="11" applyFont="1" applyAlignment="1">
      <alignment horizontal="righ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right"/>
    </xf>
    <xf numFmtId="0" fontId="3" fillId="0" borderId="2" xfId="11" applyFont="1" applyBorder="1"/>
    <xf numFmtId="0" fontId="3" fillId="0" borderId="2" xfId="11" applyFont="1" applyBorder="1" applyAlignment="1">
      <alignment horizontal="right"/>
    </xf>
    <xf numFmtId="0" fontId="4" fillId="0" borderId="0" xfId="9" applyFont="1" applyFill="1"/>
    <xf numFmtId="43" fontId="4" fillId="0" borderId="0" xfId="3" applyFont="1"/>
    <xf numFmtId="172" fontId="4" fillId="0" borderId="0" xfId="3" applyNumberFormat="1" applyFont="1"/>
    <xf numFmtId="0" fontId="4" fillId="2" borderId="0" xfId="9" applyFont="1" applyFill="1"/>
    <xf numFmtId="0" fontId="4" fillId="2" borderId="0" xfId="11" applyFont="1" applyFill="1"/>
    <xf numFmtId="164" fontId="4" fillId="2" borderId="0" xfId="6" applyNumberFormat="1" applyFont="1" applyFill="1"/>
    <xf numFmtId="167" fontId="4" fillId="2" borderId="0" xfId="14" applyNumberFormat="1" applyFont="1" applyFill="1"/>
    <xf numFmtId="167" fontId="4" fillId="0" borderId="0" xfId="15" applyNumberFormat="1" applyFont="1"/>
    <xf numFmtId="0" fontId="4" fillId="0" borderId="3" xfId="11" applyFont="1" applyBorder="1" applyAlignment="1">
      <alignment vertical="center"/>
    </xf>
    <xf numFmtId="164" fontId="4" fillId="0" borderId="3" xfId="11" applyNumberFormat="1" applyFont="1" applyBorder="1" applyAlignment="1">
      <alignment vertical="center"/>
    </xf>
    <xf numFmtId="164" fontId="4" fillId="0" borderId="3" xfId="11" applyNumberFormat="1" applyFont="1" applyFill="1" applyBorder="1" applyAlignment="1">
      <alignment vertical="center"/>
    </xf>
    <xf numFmtId="10" fontId="3" fillId="0" borderId="0" xfId="14" applyNumberFormat="1" applyFont="1" applyAlignment="1">
      <alignment vertical="center"/>
    </xf>
    <xf numFmtId="0" fontId="4" fillId="0" borderId="0" xfId="11" applyFont="1" applyAlignment="1">
      <alignment vertical="center"/>
    </xf>
    <xf numFmtId="5" fontId="4" fillId="0" borderId="0" xfId="5" applyNumberFormat="1" applyFont="1" applyFill="1"/>
    <xf numFmtId="5" fontId="4" fillId="2" borderId="0" xfId="5" applyNumberFormat="1" applyFont="1" applyFill="1"/>
    <xf numFmtId="41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4" fillId="0" borderId="0" xfId="11" applyFont="1"/>
    <xf numFmtId="182" fontId="4" fillId="0" borderId="0" xfId="0" applyNumberFormat="1" applyFont="1" applyBorder="1"/>
    <xf numFmtId="181" fontId="4" fillId="0" borderId="0" xfId="5" applyNumberFormat="1" applyFont="1"/>
    <xf numFmtId="170" fontId="4" fillId="0" borderId="0" xfId="3" applyNumberFormat="1" applyFont="1"/>
    <xf numFmtId="173" fontId="4" fillId="0" borderId="0" xfId="3" applyNumberFormat="1" applyFont="1"/>
    <xf numFmtId="0" fontId="5" fillId="0" borderId="2" xfId="0" applyFont="1" applyBorder="1" applyAlignment="1">
      <alignment horizontal="right" wrapText="1"/>
    </xf>
    <xf numFmtId="176" fontId="4" fillId="0" borderId="0" xfId="0" applyNumberFormat="1" applyFont="1" applyBorder="1"/>
    <xf numFmtId="164" fontId="4" fillId="0" borderId="0" xfId="12" applyNumberFormat="1" applyFont="1" applyBorder="1"/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/>
    <xf numFmtId="41" fontId="4" fillId="0" borderId="4" xfId="0" applyNumberFormat="1" applyFont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5" xfId="0" applyFont="1" applyBorder="1"/>
    <xf numFmtId="164" fontId="4" fillId="0" borderId="5" xfId="0" applyNumberFormat="1" applyFont="1" applyBorder="1"/>
    <xf numFmtId="169" fontId="4" fillId="0" borderId="5" xfId="1" applyNumberFormat="1" applyFont="1" applyBorder="1"/>
    <xf numFmtId="164" fontId="4" fillId="0" borderId="5" xfId="0" applyNumberFormat="1" applyFont="1" applyFill="1" applyBorder="1"/>
    <xf numFmtId="44" fontId="4" fillId="0" borderId="5" xfId="0" applyNumberFormat="1" applyFont="1" applyBorder="1"/>
    <xf numFmtId="164" fontId="4" fillId="0" borderId="5" xfId="12" applyNumberFormat="1" applyFont="1" applyBorder="1"/>
    <xf numFmtId="10" fontId="4" fillId="0" borderId="5" xfId="12" applyNumberFormat="1" applyFont="1" applyBorder="1"/>
    <xf numFmtId="43" fontId="4" fillId="0" borderId="0" xfId="3" applyNumberFormat="1" applyFont="1"/>
    <xf numFmtId="9" fontId="4" fillId="0" borderId="0" xfId="12" applyFont="1" applyFill="1"/>
    <xf numFmtId="0" fontId="4" fillId="0" borderId="0" xfId="11" applyFont="1" applyAlignment="1">
      <alignment horizontal="right"/>
    </xf>
    <xf numFmtId="0" fontId="3" fillId="0" borderId="0" xfId="11" applyFont="1" applyBorder="1" applyAlignment="1">
      <alignment horizontal="center"/>
    </xf>
    <xf numFmtId="0" fontId="4" fillId="0" borderId="0" xfId="11" applyFont="1" applyBorder="1" applyAlignment="1">
      <alignment vertical="center"/>
    </xf>
    <xf numFmtId="0" fontId="6" fillId="0" borderId="0" xfId="0" applyFont="1"/>
    <xf numFmtId="0" fontId="7" fillId="0" borderId="0" xfId="10" applyFont="1"/>
    <xf numFmtId="0" fontId="6" fillId="0" borderId="0" xfId="10" applyAlignment="1">
      <alignment horizontal="center"/>
    </xf>
    <xf numFmtId="0" fontId="6" fillId="0" borderId="0" xfId="10"/>
    <xf numFmtId="0" fontId="7" fillId="0" borderId="0" xfId="10" applyFont="1" applyAlignment="1">
      <alignment horizontal="left"/>
    </xf>
    <xf numFmtId="0" fontId="10" fillId="0" borderId="7" xfId="10" applyFont="1" applyBorder="1" applyAlignment="1">
      <alignment horizontal="center" vertical="center"/>
    </xf>
    <xf numFmtId="0" fontId="10" fillId="0" borderId="8" xfId="10" applyFont="1" applyBorder="1" applyAlignment="1">
      <alignment horizontal="center" vertical="center"/>
    </xf>
    <xf numFmtId="0" fontId="10" fillId="0" borderId="9" xfId="10" applyFont="1" applyBorder="1" applyAlignment="1">
      <alignment horizontal="center" vertical="center"/>
    </xf>
    <xf numFmtId="0" fontId="10" fillId="0" borderId="10" xfId="10" applyFont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10" fillId="0" borderId="11" xfId="10" applyFont="1" applyFill="1" applyBorder="1" applyAlignment="1">
      <alignment horizontal="center" vertical="center"/>
    </xf>
    <xf numFmtId="0" fontId="10" fillId="0" borderId="12" xfId="10" applyFont="1" applyFill="1" applyBorder="1" applyAlignment="1">
      <alignment horizontal="center" vertical="center"/>
    </xf>
    <xf numFmtId="0" fontId="10" fillId="0" borderId="0" xfId="10" applyFont="1"/>
    <xf numFmtId="0" fontId="10" fillId="0" borderId="13" xfId="10" applyFont="1" applyBorder="1" applyAlignment="1">
      <alignment horizontal="center" vertical="center"/>
    </xf>
    <xf numFmtId="0" fontId="10" fillId="0" borderId="14" xfId="10" applyFont="1" applyBorder="1" applyAlignment="1">
      <alignment horizontal="center" vertical="center"/>
    </xf>
    <xf numFmtId="44" fontId="11" fillId="0" borderId="14" xfId="10" applyNumberFormat="1" applyFont="1" applyBorder="1" applyAlignment="1">
      <alignment horizontal="center" vertical="center"/>
    </xf>
    <xf numFmtId="175" fontId="11" fillId="0" borderId="14" xfId="6" applyNumberFormat="1" applyFont="1" applyBorder="1" applyAlignment="1">
      <alignment horizontal="center" vertical="center"/>
    </xf>
    <xf numFmtId="0" fontId="11" fillId="0" borderId="14" xfId="10" applyFont="1" applyBorder="1" applyAlignment="1">
      <alignment horizontal="center" vertical="center"/>
    </xf>
    <xf numFmtId="0" fontId="10" fillId="0" borderId="15" xfId="10" applyFont="1" applyFill="1" applyBorder="1" applyAlignment="1">
      <alignment horizontal="center" vertical="center"/>
    </xf>
    <xf numFmtId="0" fontId="6" fillId="0" borderId="16" xfId="10" applyBorder="1" applyAlignment="1">
      <alignment horizontal="center"/>
    </xf>
    <xf numFmtId="169" fontId="0" fillId="0" borderId="17" xfId="4" applyNumberFormat="1" applyFont="1" applyBorder="1"/>
    <xf numFmtId="44" fontId="6" fillId="0" borderId="18" xfId="10" applyNumberFormat="1" applyFont="1" applyBorder="1"/>
    <xf numFmtId="44" fontId="6" fillId="0" borderId="0" xfId="10" applyNumberFormat="1" applyFont="1" applyBorder="1"/>
    <xf numFmtId="44" fontId="6" fillId="0" borderId="5" xfId="10" applyNumberFormat="1" applyFont="1" applyBorder="1"/>
    <xf numFmtId="44" fontId="6" fillId="0" borderId="18" xfId="7" applyFont="1" applyBorder="1"/>
    <xf numFmtId="44" fontId="6" fillId="0" borderId="5" xfId="7" applyNumberFormat="1" applyFont="1" applyBorder="1"/>
    <xf numFmtId="44" fontId="6" fillId="0" borderId="18" xfId="7" applyNumberFormat="1" applyFont="1" applyBorder="1"/>
    <xf numFmtId="167" fontId="6" fillId="0" borderId="19" xfId="16" applyNumberFormat="1" applyFont="1" applyBorder="1"/>
    <xf numFmtId="0" fontId="6" fillId="0" borderId="13" xfId="10" applyBorder="1" applyAlignment="1">
      <alignment horizontal="center"/>
    </xf>
    <xf numFmtId="169" fontId="6" fillId="0" borderId="20" xfId="3" applyNumberFormat="1" applyFont="1" applyBorder="1"/>
    <xf numFmtId="44" fontId="6" fillId="0" borderId="20" xfId="10" applyNumberFormat="1" applyFont="1" applyBorder="1"/>
    <xf numFmtId="44" fontId="6" fillId="0" borderId="21" xfId="10" applyNumberFormat="1" applyFont="1" applyBorder="1"/>
    <xf numFmtId="44" fontId="6" fillId="0" borderId="22" xfId="10" applyNumberFormat="1" applyFont="1" applyBorder="1"/>
    <xf numFmtId="44" fontId="6" fillId="0" borderId="20" xfId="7" applyFont="1" applyBorder="1"/>
    <xf numFmtId="44" fontId="6" fillId="0" borderId="22" xfId="7" applyNumberFormat="1" applyFont="1" applyBorder="1"/>
    <xf numFmtId="44" fontId="6" fillId="0" borderId="20" xfId="7" applyNumberFormat="1" applyFont="1" applyBorder="1"/>
    <xf numFmtId="167" fontId="6" fillId="0" borderId="23" xfId="16" applyNumberFormat="1" applyFont="1" applyBorder="1"/>
    <xf numFmtId="0" fontId="6" fillId="0" borderId="0" xfId="10" applyAlignment="1">
      <alignment vertical="center"/>
    </xf>
    <xf numFmtId="0" fontId="6" fillId="0" borderId="24" xfId="10" applyBorder="1" applyAlignment="1">
      <alignment horizontal="center" vertical="center"/>
    </xf>
    <xf numFmtId="169" fontId="0" fillId="0" borderId="25" xfId="4" applyNumberFormat="1" applyFont="1" applyBorder="1" applyAlignment="1">
      <alignment vertical="center"/>
    </xf>
    <xf numFmtId="44" fontId="6" fillId="0" borderId="26" xfId="10" applyNumberFormat="1" applyFont="1" applyBorder="1" applyAlignment="1">
      <alignment vertical="center"/>
    </xf>
    <xf numFmtId="44" fontId="6" fillId="0" borderId="27" xfId="10" applyNumberFormat="1" applyFont="1" applyBorder="1" applyAlignment="1">
      <alignment vertical="center"/>
    </xf>
    <xf numFmtId="44" fontId="6" fillId="0" borderId="28" xfId="10" applyNumberFormat="1" applyFont="1" applyBorder="1" applyAlignment="1">
      <alignment vertical="center"/>
    </xf>
    <xf numFmtId="44" fontId="6" fillId="0" borderId="26" xfId="7" applyFont="1" applyBorder="1" applyAlignment="1">
      <alignment vertical="center"/>
    </xf>
    <xf numFmtId="44" fontId="6" fillId="0" borderId="28" xfId="7" applyNumberFormat="1" applyFont="1" applyBorder="1" applyAlignment="1">
      <alignment vertical="center"/>
    </xf>
    <xf numFmtId="44" fontId="6" fillId="0" borderId="26" xfId="7" applyNumberFormat="1" applyFont="1" applyBorder="1" applyAlignment="1">
      <alignment vertical="center"/>
    </xf>
    <xf numFmtId="167" fontId="6" fillId="0" borderId="29" xfId="16" applyNumberFormat="1" applyFont="1" applyBorder="1" applyAlignment="1">
      <alignment vertical="center"/>
    </xf>
    <xf numFmtId="0" fontId="6" fillId="0" borderId="0" xfId="0" applyFont="1" applyFill="1"/>
    <xf numFmtId="0" fontId="10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11" applyFont="1" applyFill="1"/>
    <xf numFmtId="0" fontId="13" fillId="0" borderId="0" xfId="9" applyFont="1" applyFill="1"/>
    <xf numFmtId="166" fontId="6" fillId="0" borderId="0" xfId="3" applyNumberFormat="1" applyFont="1" applyFill="1"/>
    <xf numFmtId="0" fontId="6" fillId="0" borderId="0" xfId="0" applyFont="1" applyAlignment="1">
      <alignment horizontal="center"/>
    </xf>
    <xf numFmtId="0" fontId="15" fillId="0" borderId="0" xfId="0" applyFont="1"/>
    <xf numFmtId="0" fontId="10" fillId="0" borderId="0" xfId="0" applyFont="1" applyAlignment="1">
      <alignment horizontal="center" vertical="top" wrapText="1"/>
    </xf>
    <xf numFmtId="0" fontId="16" fillId="0" borderId="30" xfId="0" applyFont="1" applyBorder="1" applyAlignment="1">
      <alignment horizontal="right"/>
    </xf>
    <xf numFmtId="179" fontId="15" fillId="0" borderId="0" xfId="0" applyNumberFormat="1" applyFont="1"/>
    <xf numFmtId="176" fontId="15" fillId="0" borderId="0" xfId="0" applyNumberFormat="1" applyFont="1"/>
    <xf numFmtId="0" fontId="6" fillId="0" borderId="4" xfId="0" applyFont="1" applyFill="1" applyBorder="1"/>
    <xf numFmtId="179" fontId="15" fillId="0" borderId="4" xfId="0" applyNumberFormat="1" applyFont="1" applyBorder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69" fontId="0" fillId="0" borderId="0" xfId="3" applyNumberFormat="1" applyFont="1"/>
    <xf numFmtId="0" fontId="10" fillId="0" borderId="0" xfId="0" applyFont="1" applyAlignment="1">
      <alignment horizontal="left"/>
    </xf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69" fontId="0" fillId="0" borderId="0" xfId="3" applyNumberFormat="1" applyFont="1" applyAlignment="1">
      <alignment horizontal="right"/>
    </xf>
    <xf numFmtId="169" fontId="0" fillId="0" borderId="4" xfId="3" applyNumberFormat="1" applyFont="1" applyBorder="1" applyAlignment="1">
      <alignment horizontal="right"/>
    </xf>
    <xf numFmtId="43" fontId="4" fillId="0" borderId="0" xfId="11" applyNumberFormat="1" applyFont="1" applyFill="1"/>
    <xf numFmtId="9" fontId="4" fillId="0" borderId="0" xfId="11" applyNumberFormat="1" applyFont="1" applyFill="1"/>
    <xf numFmtId="7" fontId="4" fillId="0" borderId="0" xfId="5" applyNumberFormat="1" applyFont="1" applyFill="1"/>
    <xf numFmtId="167" fontId="4" fillId="0" borderId="0" xfId="12" applyNumberFormat="1" applyFont="1"/>
    <xf numFmtId="180" fontId="6" fillId="0" borderId="0" xfId="3" applyNumberFormat="1" applyFont="1" applyFill="1"/>
    <xf numFmtId="10" fontId="4" fillId="0" borderId="0" xfId="14" applyNumberFormat="1" applyFont="1"/>
    <xf numFmtId="10" fontId="4" fillId="2" borderId="0" xfId="14" applyNumberFormat="1" applyFont="1" applyFill="1"/>
    <xf numFmtId="10" fontId="15" fillId="0" borderId="0" xfId="12" applyNumberFormat="1" applyFont="1"/>
    <xf numFmtId="10" fontId="15" fillId="0" borderId="4" xfId="15" applyNumberFormat="1" applyFont="1" applyBorder="1"/>
    <xf numFmtId="10" fontId="15" fillId="0" borderId="0" xfId="15" applyNumberFormat="1" applyFont="1"/>
    <xf numFmtId="0" fontId="15" fillId="0" borderId="0" xfId="0" applyFont="1" applyFill="1"/>
    <xf numFmtId="0" fontId="17" fillId="0" borderId="0" xfId="11" applyFont="1" applyAlignment="1">
      <alignment horizontal="right"/>
    </xf>
    <xf numFmtId="0" fontId="17" fillId="0" borderId="0" xfId="11" applyFont="1"/>
    <xf numFmtId="9" fontId="15" fillId="0" borderId="0" xfId="12" applyNumberFormat="1" applyFont="1"/>
    <xf numFmtId="9" fontId="15" fillId="0" borderId="0" xfId="15" applyNumberFormat="1" applyFont="1"/>
    <xf numFmtId="0" fontId="2" fillId="0" borderId="0" xfId="0" applyFont="1" applyFill="1" applyAlignment="1">
      <alignment horizontal="center"/>
    </xf>
    <xf numFmtId="169" fontId="4" fillId="0" borderId="3" xfId="1" applyNumberFormat="1" applyFont="1" applyFill="1" applyBorder="1"/>
    <xf numFmtId="0" fontId="18" fillId="0" borderId="0" xfId="11" applyFont="1" applyFill="1" applyAlignment="1">
      <alignment horizontal="right"/>
    </xf>
    <xf numFmtId="43" fontId="4" fillId="0" borderId="0" xfId="1" applyNumberFormat="1" applyFont="1" applyFill="1"/>
    <xf numFmtId="170" fontId="4" fillId="0" borderId="0" xfId="11" applyNumberFormat="1" applyFont="1" applyFill="1"/>
    <xf numFmtId="164" fontId="2" fillId="0" borderId="0" xfId="0" applyNumberFormat="1" applyFont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76" fontId="6" fillId="0" borderId="0" xfId="3" applyNumberFormat="1" applyFont="1" applyFill="1"/>
    <xf numFmtId="182" fontId="6" fillId="0" borderId="0" xfId="3" applyNumberFormat="1" applyFont="1" applyFill="1"/>
    <xf numFmtId="43" fontId="15" fillId="0" borderId="0" xfId="0" applyNumberFormat="1" applyFont="1"/>
    <xf numFmtId="0" fontId="2" fillId="0" borderId="0" xfId="0" applyFont="1"/>
    <xf numFmtId="0" fontId="3" fillId="0" borderId="2" xfId="11" applyFont="1" applyBorder="1" applyAlignment="1">
      <alignment horizontal="center"/>
    </xf>
    <xf numFmtId="0" fontId="4" fillId="0" borderId="0" xfId="11" applyFont="1" applyAlignment="1">
      <alignment horizontal="center"/>
    </xf>
    <xf numFmtId="0" fontId="4" fillId="0" borderId="0" xfId="1" applyNumberFormat="1" applyFont="1" applyFill="1" applyAlignment="1">
      <alignment horizontal="center"/>
    </xf>
    <xf numFmtId="0" fontId="4" fillId="0" borderId="0" xfId="14" applyNumberFormat="1" applyFont="1" applyFill="1" applyAlignment="1">
      <alignment horizontal="center"/>
    </xf>
    <xf numFmtId="0" fontId="4" fillId="2" borderId="0" xfId="14" applyNumberFormat="1" applyFont="1" applyFill="1" applyAlignment="1">
      <alignment horizontal="center"/>
    </xf>
    <xf numFmtId="10" fontId="4" fillId="2" borderId="0" xfId="14" applyNumberFormat="1" applyFont="1" applyFill="1" applyAlignment="1">
      <alignment horizontal="center"/>
    </xf>
    <xf numFmtId="0" fontId="4" fillId="0" borderId="3" xfId="11" applyFont="1" applyBorder="1" applyAlignment="1">
      <alignment horizontal="center" vertical="center"/>
    </xf>
    <xf numFmtId="0" fontId="10" fillId="0" borderId="0" xfId="0" applyFont="1"/>
    <xf numFmtId="169" fontId="15" fillId="0" borderId="0" xfId="1" applyNumberFormat="1" applyFont="1"/>
    <xf numFmtId="0" fontId="15" fillId="0" borderId="0" xfId="17" applyFont="1"/>
    <xf numFmtId="0" fontId="16" fillId="0" borderId="0" xfId="0" applyFont="1"/>
    <xf numFmtId="0" fontId="19" fillId="0" borderId="0" xfId="0" applyFont="1" applyAlignment="1">
      <alignment horizontal="right"/>
    </xf>
    <xf numFmtId="169" fontId="19" fillId="0" borderId="0" xfId="1" applyNumberFormat="1" applyFont="1" applyAlignment="1">
      <alignment horizontal="right"/>
    </xf>
    <xf numFmtId="0" fontId="2" fillId="0" borderId="0" xfId="0" applyFont="1" applyAlignment="1">
      <alignment horizontal="center"/>
    </xf>
    <xf numFmtId="169" fontId="20" fillId="3" borderId="0" xfId="1" applyNumberFormat="1" applyFont="1" applyFill="1"/>
    <xf numFmtId="0" fontId="15" fillId="0" borderId="4" xfId="0" applyFont="1" applyBorder="1"/>
    <xf numFmtId="0" fontId="2" fillId="0" borderId="4" xfId="0" applyFont="1" applyBorder="1"/>
    <xf numFmtId="169" fontId="15" fillId="0" borderId="4" xfId="1" applyNumberFormat="1" applyFont="1" applyBorder="1"/>
    <xf numFmtId="169" fontId="15" fillId="0" borderId="0" xfId="1" applyNumberFormat="1" applyFont="1" applyBorder="1"/>
    <xf numFmtId="169" fontId="15" fillId="0" borderId="0" xfId="0" applyNumberFormat="1" applyFont="1"/>
    <xf numFmtId="173" fontId="15" fillId="0" borderId="0" xfId="1" applyNumberFormat="1" applyFont="1"/>
    <xf numFmtId="0" fontId="4" fillId="0" borderId="0" xfId="9" applyFont="1" applyFill="1" applyAlignment="1">
      <alignment horizontal="right" vertical="top"/>
    </xf>
    <xf numFmtId="182" fontId="5" fillId="0" borderId="4" xfId="0" applyNumberFormat="1" applyFont="1" applyBorder="1"/>
    <xf numFmtId="44" fontId="5" fillId="0" borderId="4" xfId="5" applyNumberFormat="1" applyFont="1" applyBorder="1"/>
    <xf numFmtId="176" fontId="5" fillId="0" borderId="4" xfId="0" applyNumberFormat="1" applyFont="1" applyBorder="1"/>
    <xf numFmtId="167" fontId="4" fillId="0" borderId="3" xfId="15" applyNumberFormat="1" applyFont="1" applyBorder="1" applyAlignment="1">
      <alignment horizontal="right" vertical="center"/>
    </xf>
    <xf numFmtId="166" fontId="5" fillId="0" borderId="0" xfId="0" applyNumberFormat="1" applyFont="1" applyBorder="1"/>
    <xf numFmtId="166" fontId="5" fillId="0" borderId="4" xfId="0" applyNumberFormat="1" applyFont="1" applyFill="1" applyBorder="1"/>
    <xf numFmtId="44" fontId="10" fillId="0" borderId="14" xfId="10" applyNumberFormat="1" applyFont="1" applyFill="1" applyBorder="1" applyAlignment="1">
      <alignment horizontal="center" vertical="center"/>
    </xf>
    <xf numFmtId="0" fontId="17" fillId="4" borderId="0" xfId="11" applyFont="1" applyFill="1"/>
    <xf numFmtId="0" fontId="4" fillId="4" borderId="0" xfId="11" applyFont="1" applyFill="1"/>
    <xf numFmtId="43" fontId="4" fillId="4" borderId="0" xfId="1" applyFont="1" applyFill="1"/>
    <xf numFmtId="171" fontId="4" fillId="4" borderId="0" xfId="1" applyNumberFormat="1" applyFont="1" applyFill="1"/>
    <xf numFmtId="167" fontId="4" fillId="0" borderId="0" xfId="12" applyNumberFormat="1" applyFont="1" applyFill="1"/>
    <xf numFmtId="0" fontId="2" fillId="0" borderId="0" xfId="11" applyFont="1" applyFill="1"/>
    <xf numFmtId="169" fontId="2" fillId="0" borderId="0" xfId="3" applyNumberFormat="1" applyFont="1" applyAlignment="1">
      <alignment horizontal="right"/>
    </xf>
    <xf numFmtId="167" fontId="4" fillId="0" borderId="3" xfId="15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64" fontId="4" fillId="0" borderId="5" xfId="5" applyNumberFormat="1" applyFont="1" applyBorder="1"/>
    <xf numFmtId="9" fontId="4" fillId="0" borderId="5" xfId="12" applyFont="1" applyBorder="1"/>
    <xf numFmtId="182" fontId="4" fillId="0" borderId="4" xfId="0" applyNumberFormat="1" applyFont="1" applyBorder="1"/>
    <xf numFmtId="10" fontId="4" fillId="0" borderId="0" xfId="0" applyNumberFormat="1" applyFont="1"/>
    <xf numFmtId="164" fontId="4" fillId="0" borderId="0" xfId="1" applyNumberFormat="1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justify"/>
    </xf>
    <xf numFmtId="164" fontId="2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21" fillId="0" borderId="1" xfId="0" applyFont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43" fontId="21" fillId="0" borderId="0" xfId="1" applyFont="1" applyBorder="1" applyAlignment="1">
      <alignment horizontal="center"/>
    </xf>
    <xf numFmtId="169" fontId="21" fillId="0" borderId="0" xfId="1" applyNumberFormat="1" applyFont="1" applyBorder="1" applyAlignment="1">
      <alignment horizontal="center"/>
    </xf>
    <xf numFmtId="43" fontId="21" fillId="0" borderId="0" xfId="1" applyFont="1"/>
    <xf numFmtId="169" fontId="21" fillId="0" borderId="0" xfId="1" applyNumberFormat="1" applyFont="1"/>
    <xf numFmtId="3" fontId="21" fillId="0" borderId="0" xfId="0" applyNumberFormat="1" applyFont="1"/>
    <xf numFmtId="170" fontId="22" fillId="5" borderId="0" xfId="1" applyNumberFormat="1" applyFont="1" applyFill="1"/>
    <xf numFmtId="169" fontId="22" fillId="5" borderId="0" xfId="1" applyNumberFormat="1" applyFont="1" applyFill="1"/>
    <xf numFmtId="169" fontId="23" fillId="0" borderId="0" xfId="1" applyNumberFormat="1" applyFont="1"/>
    <xf numFmtId="43" fontId="22" fillId="5" borderId="0" xfId="1" applyFont="1" applyFill="1"/>
    <xf numFmtId="169" fontId="22" fillId="0" borderId="0" xfId="1" applyNumberFormat="1" applyFont="1"/>
    <xf numFmtId="44" fontId="22" fillId="0" borderId="0" xfId="5" applyFont="1"/>
    <xf numFmtId="164" fontId="22" fillId="0" borderId="0" xfId="5" applyNumberFormat="1" applyFont="1"/>
    <xf numFmtId="44" fontId="2" fillId="0" borderId="0" xfId="0" applyNumberFormat="1" applyFont="1"/>
    <xf numFmtId="164" fontId="2" fillId="0" borderId="0" xfId="0" applyNumberFormat="1" applyFont="1"/>
    <xf numFmtId="183" fontId="0" fillId="0" borderId="0" xfId="0" applyNumberFormat="1"/>
    <xf numFmtId="164" fontId="0" fillId="0" borderId="0" xfId="0" applyNumberFormat="1"/>
    <xf numFmtId="167" fontId="24" fillId="0" borderId="0" xfId="12" applyNumberFormat="1" applyFont="1"/>
    <xf numFmtId="164" fontId="0" fillId="0" borderId="0" xfId="5" applyNumberFormat="1" applyFont="1"/>
    <xf numFmtId="44" fontId="24" fillId="0" borderId="0" xfId="0" applyNumberFormat="1" applyFont="1"/>
    <xf numFmtId="44" fontId="0" fillId="0" borderId="0" xfId="0" applyNumberFormat="1"/>
    <xf numFmtId="169" fontId="24" fillId="0" borderId="0" xfId="1" applyNumberFormat="1" applyFont="1"/>
    <xf numFmtId="44" fontId="0" fillId="0" borderId="0" xfId="5" applyFont="1"/>
    <xf numFmtId="170" fontId="21" fillId="5" borderId="0" xfId="1" applyNumberFormat="1" applyFont="1" applyFill="1" applyAlignment="1">
      <alignment horizontal="center"/>
    </xf>
    <xf numFmtId="169" fontId="21" fillId="5" borderId="0" xfId="1" applyNumberFormat="1" applyFont="1" applyFill="1" applyAlignment="1">
      <alignment horizontal="center"/>
    </xf>
    <xf numFmtId="43" fontId="21" fillId="5" borderId="0" xfId="1" applyFont="1" applyFill="1" applyAlignment="1">
      <alignment horizontal="center"/>
    </xf>
    <xf numFmtId="8" fontId="22" fillId="0" borderId="0" xfId="5" applyNumberFormat="1" applyFont="1"/>
    <xf numFmtId="0" fontId="24" fillId="0" borderId="0" xfId="0" applyFont="1"/>
    <xf numFmtId="170" fontId="21" fillId="5" borderId="0" xfId="1" applyNumberFormat="1" applyFont="1" applyFill="1"/>
    <xf numFmtId="169" fontId="21" fillId="5" borderId="0" xfId="1" applyNumberFormat="1" applyFont="1" applyFill="1"/>
    <xf numFmtId="43" fontId="21" fillId="5" borderId="0" xfId="1" applyFont="1" applyFill="1"/>
    <xf numFmtId="44" fontId="24" fillId="0" borderId="0" xfId="5" applyFont="1"/>
    <xf numFmtId="169" fontId="22" fillId="0" borderId="0" xfId="1" applyNumberFormat="1" applyFont="1" applyBorder="1"/>
    <xf numFmtId="170" fontId="21" fillId="5" borderId="0" xfId="1" applyNumberFormat="1" applyFont="1" applyFill="1" applyBorder="1" applyAlignment="1">
      <alignment horizontal="center"/>
    </xf>
    <xf numFmtId="169" fontId="21" fillId="5" borderId="0" xfId="1" applyNumberFormat="1" applyFont="1" applyFill="1" applyBorder="1" applyAlignment="1">
      <alignment horizontal="center"/>
    </xf>
    <xf numFmtId="43" fontId="21" fillId="5" borderId="0" xfId="1" applyFont="1" applyFill="1" applyBorder="1" applyAlignment="1">
      <alignment horizontal="center"/>
    </xf>
    <xf numFmtId="170" fontId="22" fillId="5" borderId="0" xfId="1" applyNumberFormat="1" applyFont="1" applyFill="1" applyAlignment="1">
      <alignment horizontal="center"/>
    </xf>
    <xf numFmtId="170" fontId="22" fillId="0" borderId="0" xfId="1" applyNumberFormat="1" applyFont="1"/>
    <xf numFmtId="43" fontId="2" fillId="0" borderId="0" xfId="0" applyNumberFormat="1" applyFont="1"/>
    <xf numFmtId="2" fontId="0" fillId="0" borderId="0" xfId="0" applyNumberFormat="1"/>
    <xf numFmtId="184" fontId="2" fillId="0" borderId="0" xfId="5" applyNumberFormat="1" applyFont="1"/>
    <xf numFmtId="184" fontId="2" fillId="0" borderId="0" xfId="0" applyNumberFormat="1" applyFont="1"/>
    <xf numFmtId="169" fontId="0" fillId="0" borderId="0" xfId="0" applyNumberFormat="1"/>
    <xf numFmtId="175" fontId="0" fillId="0" borderId="0" xfId="5" applyNumberFormat="1" applyFont="1"/>
    <xf numFmtId="2" fontId="2" fillId="0" borderId="0" xfId="0" applyNumberFormat="1" applyFont="1"/>
    <xf numFmtId="169" fontId="2" fillId="0" borderId="0" xfId="0" applyNumberFormat="1" applyFont="1"/>
    <xf numFmtId="170" fontId="2" fillId="0" borderId="0" xfId="0" applyNumberFormat="1" applyFont="1"/>
    <xf numFmtId="169" fontId="0" fillId="0" borderId="0" xfId="1" applyNumberFormat="1" applyFont="1"/>
    <xf numFmtId="0" fontId="22" fillId="0" borderId="1" xfId="0" applyFont="1" applyBorder="1"/>
    <xf numFmtId="3" fontId="22" fillId="0" borderId="1" xfId="0" applyNumberFormat="1" applyFont="1" applyBorder="1"/>
    <xf numFmtId="17" fontId="2" fillId="0" borderId="0" xfId="0" applyNumberFormat="1" applyFont="1"/>
    <xf numFmtId="170" fontId="21" fillId="0" borderId="0" xfId="0" applyNumberFormat="1" applyFont="1"/>
    <xf numFmtId="169" fontId="21" fillId="0" borderId="0" xfId="0" applyNumberFormat="1" applyFont="1"/>
    <xf numFmtId="43" fontId="21" fillId="0" borderId="0" xfId="0" applyNumberFormat="1" applyFont="1"/>
    <xf numFmtId="3" fontId="22" fillId="0" borderId="0" xfId="0" applyNumberFormat="1" applyFont="1"/>
    <xf numFmtId="44" fontId="22" fillId="0" borderId="0" xfId="0" applyNumberFormat="1" applyFont="1"/>
    <xf numFmtId="164" fontId="22" fillId="0" borderId="0" xfId="5" applyNumberFormat="1" applyFont="1" applyBorder="1"/>
    <xf numFmtId="43" fontId="0" fillId="0" borderId="0" xfId="0" applyNumberFormat="1"/>
    <xf numFmtId="164" fontId="2" fillId="0" borderId="0" xfId="5" applyNumberFormat="1" applyFont="1"/>
    <xf numFmtId="169" fontId="2" fillId="0" borderId="0" xfId="1" applyNumberFormat="1" applyFont="1"/>
    <xf numFmtId="44" fontId="2" fillId="0" borderId="0" xfId="5" applyFont="1"/>
    <xf numFmtId="6" fontId="0" fillId="0" borderId="0" xfId="0" applyNumberFormat="1"/>
    <xf numFmtId="175" fontId="0" fillId="0" borderId="0" xfId="0" applyNumberFormat="1"/>
    <xf numFmtId="0" fontId="0" fillId="0" borderId="0" xfId="0" quotePrefix="1"/>
    <xf numFmtId="0" fontId="0" fillId="6" borderId="0" xfId="0" applyFill="1" applyAlignment="1">
      <alignment horizontal="right"/>
    </xf>
    <xf numFmtId="44" fontId="0" fillId="6" borderId="0" xfId="0" applyNumberFormat="1" applyFill="1"/>
    <xf numFmtId="169" fontId="0" fillId="6" borderId="0" xfId="1" applyNumberFormat="1" applyFont="1" applyFill="1"/>
    <xf numFmtId="0" fontId="0" fillId="6" borderId="0" xfId="0" applyFill="1"/>
    <xf numFmtId="185" fontId="0" fillId="0" borderId="0" xfId="0" applyNumberFormat="1"/>
    <xf numFmtId="0" fontId="0" fillId="0" borderId="5" xfId="0" applyBorder="1"/>
    <xf numFmtId="43" fontId="0" fillId="0" borderId="0" xfId="1" applyFont="1"/>
    <xf numFmtId="43" fontId="2" fillId="0" borderId="4" xfId="0" applyNumberFormat="1" applyFont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5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1" xfId="0" applyFont="1" applyFill="1" applyBorder="1"/>
    <xf numFmtId="0" fontId="2" fillId="0" borderId="1" xfId="0" applyFont="1" applyFill="1" applyBorder="1"/>
    <xf numFmtId="0" fontId="10" fillId="0" borderId="1" xfId="0" applyFont="1" applyFill="1" applyBorder="1" applyAlignment="1">
      <alignment horizontal="right"/>
    </xf>
    <xf numFmtId="41" fontId="11" fillId="0" borderId="0" xfId="0" applyNumberFormat="1" applyFont="1" applyFill="1" applyAlignment="1">
      <alignment horizontal="right"/>
    </xf>
    <xf numFmtId="44" fontId="2" fillId="0" borderId="0" xfId="0" applyNumberFormat="1" applyFont="1" applyFill="1"/>
    <xf numFmtId="41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44" fontId="2" fillId="0" borderId="0" xfId="0" applyNumberFormat="1" applyFont="1" applyFill="1" applyBorder="1"/>
    <xf numFmtId="0" fontId="10" fillId="0" borderId="0" xfId="0" applyFont="1" applyFill="1" applyBorder="1"/>
    <xf numFmtId="41" fontId="11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169" fontId="2" fillId="0" borderId="0" xfId="1" applyNumberFormat="1" applyFont="1" applyFill="1" applyAlignment="1">
      <alignment horizontal="right"/>
    </xf>
    <xf numFmtId="169" fontId="2" fillId="0" borderId="0" xfId="1" applyNumberFormat="1" applyFont="1" applyFill="1"/>
    <xf numFmtId="169" fontId="2" fillId="0" borderId="0" xfId="1" applyNumberFormat="1" applyFont="1" applyFill="1" applyBorder="1"/>
    <xf numFmtId="176" fontId="2" fillId="0" borderId="0" xfId="0" applyNumberFormat="1" applyFont="1" applyFill="1" applyBorder="1"/>
    <xf numFmtId="43" fontId="2" fillId="0" borderId="0" xfId="1" applyFont="1" applyFill="1"/>
    <xf numFmtId="164" fontId="2" fillId="0" borderId="0" xfId="5" applyNumberFormat="1" applyFont="1" applyFill="1" applyBorder="1"/>
    <xf numFmtId="173" fontId="2" fillId="0" borderId="0" xfId="1" applyNumberFormat="1" applyFont="1" applyFill="1"/>
    <xf numFmtId="186" fontId="2" fillId="0" borderId="0" xfId="1" applyNumberFormat="1" applyFont="1" applyFill="1"/>
    <xf numFmtId="0" fontId="2" fillId="0" borderId="2" xfId="0" applyFont="1" applyFill="1" applyBorder="1"/>
    <xf numFmtId="41" fontId="2" fillId="0" borderId="2" xfId="0" applyNumberFormat="1" applyFont="1" applyFill="1" applyBorder="1"/>
    <xf numFmtId="176" fontId="2" fillId="0" borderId="2" xfId="0" applyNumberFormat="1" applyFont="1" applyFill="1" applyBorder="1"/>
    <xf numFmtId="164" fontId="2" fillId="0" borderId="2" xfId="0" applyNumberFormat="1" applyFont="1" applyFill="1" applyBorder="1"/>
    <xf numFmtId="169" fontId="2" fillId="0" borderId="0" xfId="0" applyNumberFormat="1" applyFont="1" applyFill="1"/>
    <xf numFmtId="0" fontId="10" fillId="0" borderId="5" xfId="0" quotePrefix="1" applyFont="1" applyFill="1" applyBorder="1"/>
    <xf numFmtId="166" fontId="2" fillId="0" borderId="0" xfId="0" applyNumberFormat="1" applyFont="1" applyFill="1"/>
    <xf numFmtId="0" fontId="10" fillId="0" borderId="0" xfId="0" quotePrefix="1" applyFont="1" applyFill="1" applyBorder="1"/>
    <xf numFmtId="169" fontId="2" fillId="0" borderId="0" xfId="0" applyNumberFormat="1" applyFont="1" applyFill="1" applyBorder="1"/>
    <xf numFmtId="166" fontId="2" fillId="0" borderId="0" xfId="0" applyNumberFormat="1" applyFont="1" applyFill="1" applyBorder="1"/>
    <xf numFmtId="41" fontId="2" fillId="0" borderId="0" xfId="0" applyNumberFormat="1" applyFont="1" applyFill="1"/>
    <xf numFmtId="164" fontId="2" fillId="0" borderId="0" xfId="0" applyNumberFormat="1" applyFont="1" applyFill="1"/>
    <xf numFmtId="164" fontId="2" fillId="0" borderId="3" xfId="5" applyNumberFormat="1" applyFont="1" applyFill="1" applyBorder="1"/>
    <xf numFmtId="0" fontId="10" fillId="0" borderId="0" xfId="0" applyFont="1" applyBorder="1"/>
    <xf numFmtId="164" fontId="2" fillId="0" borderId="0" xfId="12" applyNumberFormat="1" applyFont="1" applyFill="1" applyBorder="1"/>
    <xf numFmtId="44" fontId="2" fillId="0" borderId="0" xfId="0" applyNumberFormat="1" applyFont="1" applyBorder="1"/>
    <xf numFmtId="164" fontId="2" fillId="0" borderId="0" xfId="12" applyNumberFormat="1" applyFont="1" applyFill="1"/>
    <xf numFmtId="9" fontId="2" fillId="0" borderId="0" xfId="12" applyFont="1" applyFill="1"/>
    <xf numFmtId="168" fontId="2" fillId="0" borderId="0" xfId="12" applyNumberFormat="1" applyFont="1" applyFill="1" applyBorder="1"/>
    <xf numFmtId="0" fontId="2" fillId="0" borderId="5" xfId="0" applyFont="1" applyBorder="1"/>
    <xf numFmtId="44" fontId="2" fillId="0" borderId="0" xfId="5" applyFont="1" applyFill="1" applyBorder="1"/>
    <xf numFmtId="164" fontId="2" fillId="0" borderId="5" xfId="0" applyNumberFormat="1" applyFont="1" applyFill="1" applyBorder="1"/>
    <xf numFmtId="43" fontId="2" fillId="0" borderId="0" xfId="1" applyFont="1" applyBorder="1"/>
    <xf numFmtId="17" fontId="2" fillId="0" borderId="0" xfId="0" applyNumberFormat="1" applyFont="1" applyBorder="1"/>
    <xf numFmtId="164" fontId="2" fillId="0" borderId="4" xfId="5" applyNumberFormat="1" applyFont="1" applyBorder="1"/>
    <xf numFmtId="169" fontId="2" fillId="0" borderId="4" xfId="1" applyNumberFormat="1" applyFont="1" applyFill="1" applyBorder="1" applyAlignment="1">
      <alignment horizontal="right"/>
    </xf>
    <xf numFmtId="169" fontId="2" fillId="0" borderId="4" xfId="1" applyNumberFormat="1" applyFont="1" applyFill="1" applyBorder="1"/>
    <xf numFmtId="43" fontId="2" fillId="0" borderId="4" xfId="1" applyFont="1" applyFill="1" applyBorder="1"/>
    <xf numFmtId="43" fontId="2" fillId="0" borderId="0" xfId="1" applyFont="1"/>
    <xf numFmtId="0" fontId="3" fillId="0" borderId="2" xfId="0" applyFont="1" applyBorder="1" applyAlignment="1">
      <alignment horizontal="center" wrapText="1"/>
    </xf>
    <xf numFmtId="43" fontId="4" fillId="0" borderId="0" xfId="3" quotePrefix="1" applyFont="1" applyAlignment="1">
      <alignment horizontal="center"/>
    </xf>
    <xf numFmtId="0" fontId="2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2" xfId="11" applyFont="1" applyBorder="1" applyAlignment="1">
      <alignment horizontal="center"/>
    </xf>
    <xf numFmtId="0" fontId="4" fillId="0" borderId="0" xfId="9" applyFont="1" applyFill="1" applyAlignment="1">
      <alignment horizontal="left" vertical="top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6" xfId="10" applyFont="1" applyBorder="1" applyAlignment="1">
      <alignment horizontal="center" vertical="center"/>
    </xf>
    <xf numFmtId="0" fontId="10" fillId="0" borderId="37" xfId="10" applyFont="1" applyBorder="1" applyAlignment="1">
      <alignment horizontal="center" vertical="center"/>
    </xf>
    <xf numFmtId="0" fontId="10" fillId="0" borderId="38" xfId="10" applyFont="1" applyBorder="1" applyAlignment="1">
      <alignment horizontal="center" vertical="center"/>
    </xf>
    <xf numFmtId="0" fontId="10" fillId="0" borderId="38" xfId="10" applyFont="1" applyFill="1" applyBorder="1" applyAlignment="1">
      <alignment horizontal="center" vertical="center"/>
    </xf>
    <xf numFmtId="0" fontId="10" fillId="0" borderId="39" xfId="1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6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0" fillId="0" borderId="2" xfId="0" quotePrefix="1" applyFont="1" applyBorder="1" applyAlignment="1">
      <alignment horizontal="center"/>
    </xf>
    <xf numFmtId="0" fontId="21" fillId="0" borderId="2" xfId="0" applyFont="1" applyBorder="1" applyAlignment="1">
      <alignment horizontal="center"/>
    </xf>
  </cellXfs>
  <cellStyles count="18">
    <cellStyle name="Comma" xfId="1" builtinId="3"/>
    <cellStyle name="Comma 2" xfId="2" xr:uid="{00000000-0005-0000-0000-000001000000}"/>
    <cellStyle name="Comma 3" xfId="3" xr:uid="{00000000-0005-0000-0000-000002000000}"/>
    <cellStyle name="Comma 3 2" xfId="4" xr:uid="{00000000-0005-0000-0000-000003000000}"/>
    <cellStyle name="Currency" xfId="5" builtinId="4"/>
    <cellStyle name="Currency 2" xfId="6" xr:uid="{00000000-0005-0000-0000-000005000000}"/>
    <cellStyle name="Currency 2 2" xfId="7" xr:uid="{00000000-0005-0000-0000-000006000000}"/>
    <cellStyle name="Currency 3" xfId="8" xr:uid="{00000000-0005-0000-0000-000007000000}"/>
    <cellStyle name="Normal" xfId="0" builtinId="0"/>
    <cellStyle name="Normal 2" xfId="9" xr:uid="{00000000-0005-0000-0000-000009000000}"/>
    <cellStyle name="Normal 2 2" xfId="10" xr:uid="{00000000-0005-0000-0000-00000A000000}"/>
    <cellStyle name="Normal 3" xfId="11" xr:uid="{00000000-0005-0000-0000-00000B000000}"/>
    <cellStyle name="Normal 4" xfId="17" xr:uid="{95C724CA-0681-4D61-BA70-6466BB027915}"/>
    <cellStyle name="Percent" xfId="12" builtinId="5"/>
    <cellStyle name="Percent 2" xfId="13" xr:uid="{00000000-0005-0000-0000-00000D000000}"/>
    <cellStyle name="Percent 2 2" xfId="14" xr:uid="{00000000-0005-0000-0000-00000E000000}"/>
    <cellStyle name="Percent 3" xfId="15" xr:uid="{00000000-0005-0000-0000-00000F000000}"/>
    <cellStyle name="Percent 3 2" xfId="16" xr:uid="{00000000-0005-0000-0000-000010000000}"/>
  </cellStyles>
  <dxfs count="0"/>
  <tableStyles count="0" defaultTableStyle="TableStyleMedium9" defaultPivotStyle="PivotStyleLight16"/>
  <colors>
    <mruColors>
      <color rgb="FF0000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55"/>
  <sheetViews>
    <sheetView tabSelected="1" view="pageBreakPreview" zoomScale="75" zoomScaleNormal="75" zoomScaleSheetLayoutView="75" workbookViewId="0">
      <pane xSplit="3" ySplit="8" topLeftCell="K9" activePane="bottomRight" state="frozen"/>
      <selection activeCell="T17" sqref="T17"/>
      <selection pane="topRight" activeCell="T17" sqref="T17"/>
      <selection pane="bottomLeft" activeCell="T17" sqref="T17"/>
      <selection pane="bottomRight" activeCell="M24" sqref="M24"/>
    </sheetView>
  </sheetViews>
  <sheetFormatPr defaultColWidth="9.140625" defaultRowHeight="15.75" x14ac:dyDescent="0.25"/>
  <cols>
    <col min="1" max="1" width="35.140625" style="133" customWidth="1"/>
    <col min="2" max="2" width="8.28515625" style="291" customWidth="1"/>
    <col min="3" max="3" width="36.7109375" style="133" customWidth="1"/>
    <col min="4" max="4" width="1.7109375" style="133" customWidth="1"/>
    <col min="5" max="5" width="12.5703125" style="133" hidden="1" customWidth="1"/>
    <col min="6" max="6" width="13.5703125" style="133" customWidth="1"/>
    <col min="7" max="7" width="11.42578125" style="133" customWidth="1"/>
    <col min="8" max="8" width="12" style="133" customWidth="1"/>
    <col min="9" max="10" width="12" style="133" hidden="1" customWidth="1"/>
    <col min="11" max="11" width="2.7109375" style="133" customWidth="1"/>
    <col min="12" max="12" width="17.28515625" style="133" bestFit="1" customWidth="1"/>
    <col min="13" max="13" width="15" style="133" customWidth="1"/>
    <col min="14" max="14" width="13.85546875" style="133" customWidth="1"/>
    <col min="15" max="15" width="13.140625" style="133" customWidth="1"/>
    <col min="16" max="16" width="15.140625" style="134" customWidth="1"/>
    <col min="17" max="17" width="14.42578125" style="133" customWidth="1"/>
    <col min="18" max="18" width="11.42578125" style="133" customWidth="1"/>
    <col min="19" max="19" width="10.140625" style="133" customWidth="1"/>
    <col min="20" max="20" width="16.42578125" style="133" customWidth="1"/>
    <col min="21" max="21" width="11.42578125" style="133" customWidth="1"/>
    <col min="22" max="22" width="22" style="133" customWidth="1"/>
    <col min="23" max="23" width="13" style="133" customWidth="1"/>
    <col min="24" max="24" width="9.140625" style="133"/>
    <col min="25" max="25" width="4.7109375" style="133" customWidth="1"/>
    <col min="26" max="26" width="13.5703125" style="133" customWidth="1"/>
    <col min="27" max="27" width="22.28515625" style="133" customWidth="1"/>
    <col min="28" max="29" width="9.140625" style="133"/>
    <col min="30" max="30" width="11.42578125" style="133" customWidth="1"/>
    <col min="31" max="31" width="12.42578125" style="133" customWidth="1"/>
    <col min="32" max="32" width="11.42578125" style="133" customWidth="1"/>
    <col min="33" max="33" width="16.140625" style="133" customWidth="1"/>
    <col min="34" max="34" width="11.42578125" style="133" customWidth="1"/>
    <col min="35" max="35" width="12.140625" style="133" customWidth="1"/>
    <col min="36" max="36" width="11.42578125" style="133" customWidth="1"/>
    <col min="37" max="16384" width="9.140625" style="133"/>
  </cols>
  <sheetData>
    <row r="1" spans="1:25" ht="18.75" x14ac:dyDescent="0.3">
      <c r="A1" s="108" t="s">
        <v>166</v>
      </c>
      <c r="B1" s="141"/>
      <c r="F1" s="140"/>
      <c r="G1" s="141"/>
      <c r="H1" s="140"/>
      <c r="M1" s="162"/>
    </row>
    <row r="2" spans="1:25" x14ac:dyDescent="0.25">
      <c r="C2" s="273"/>
      <c r="H2" s="274"/>
      <c r="S2" s="319" t="s">
        <v>220</v>
      </c>
      <c r="T2" s="322">
        <v>1.0325299999999999</v>
      </c>
    </row>
    <row r="3" spans="1:25" ht="18.75" x14ac:dyDescent="0.3">
      <c r="A3" s="136" t="s">
        <v>52</v>
      </c>
      <c r="S3" s="320" t="s">
        <v>219</v>
      </c>
      <c r="T3" s="321">
        <v>0</v>
      </c>
    </row>
    <row r="5" spans="1:25" x14ac:dyDescent="0.25">
      <c r="A5" s="480" t="s">
        <v>53</v>
      </c>
      <c r="B5" s="480"/>
      <c r="C5" s="480"/>
      <c r="D5" s="186"/>
      <c r="E5" s="480" t="s">
        <v>114</v>
      </c>
      <c r="F5" s="480"/>
      <c r="G5" s="480"/>
      <c r="H5" s="480"/>
      <c r="I5" s="138" t="s">
        <v>88</v>
      </c>
      <c r="J5" s="138" t="s">
        <v>57</v>
      </c>
      <c r="L5" s="480" t="s">
        <v>89</v>
      </c>
      <c r="M5" s="480"/>
      <c r="N5" s="480"/>
      <c r="O5" s="480"/>
      <c r="P5" s="480"/>
    </row>
    <row r="6" spans="1:25" x14ac:dyDescent="0.25">
      <c r="I6" s="139" t="s">
        <v>90</v>
      </c>
      <c r="J6" s="139" t="s">
        <v>90</v>
      </c>
      <c r="P6" s="133"/>
    </row>
    <row r="7" spans="1:25" s="140" customFormat="1" x14ac:dyDescent="0.25">
      <c r="B7" s="141"/>
      <c r="C7" s="141" t="s">
        <v>54</v>
      </c>
      <c r="D7" s="141"/>
      <c r="E7" s="141" t="s">
        <v>115</v>
      </c>
      <c r="F7" s="139" t="s">
        <v>91</v>
      </c>
      <c r="G7" s="139" t="s">
        <v>57</v>
      </c>
      <c r="H7" s="139" t="s">
        <v>56</v>
      </c>
      <c r="I7" s="139" t="s">
        <v>92</v>
      </c>
      <c r="J7" s="139" t="s">
        <v>92</v>
      </c>
      <c r="L7" s="142" t="s">
        <v>55</v>
      </c>
      <c r="M7" s="139" t="s">
        <v>57</v>
      </c>
      <c r="N7" s="139" t="s">
        <v>58</v>
      </c>
      <c r="O7" s="139" t="s">
        <v>58</v>
      </c>
      <c r="P7" s="139" t="s">
        <v>58</v>
      </c>
      <c r="Q7" s="133"/>
    </row>
    <row r="8" spans="1:25" s="140" customFormat="1" x14ac:dyDescent="0.25">
      <c r="A8" s="143" t="s">
        <v>59</v>
      </c>
      <c r="B8" s="290" t="s">
        <v>60</v>
      </c>
      <c r="C8" s="137" t="s">
        <v>61</v>
      </c>
      <c r="D8" s="186"/>
      <c r="E8" s="141" t="s">
        <v>116</v>
      </c>
      <c r="F8" s="144" t="s">
        <v>5</v>
      </c>
      <c r="G8" s="144" t="s">
        <v>5</v>
      </c>
      <c r="H8" s="144" t="s">
        <v>62</v>
      </c>
      <c r="I8" s="144" t="s">
        <v>93</v>
      </c>
      <c r="J8" s="144" t="s">
        <v>93</v>
      </c>
      <c r="L8" s="144" t="s">
        <v>41</v>
      </c>
      <c r="M8" s="144" t="s">
        <v>41</v>
      </c>
      <c r="N8" s="144" t="s">
        <v>63</v>
      </c>
      <c r="O8" s="144" t="s">
        <v>64</v>
      </c>
      <c r="P8" s="144" t="s">
        <v>97</v>
      </c>
      <c r="Q8" s="133"/>
      <c r="S8" s="140" t="s">
        <v>147</v>
      </c>
    </row>
    <row r="9" spans="1:25" x14ac:dyDescent="0.25">
      <c r="S9" s="134"/>
      <c r="T9" s="134"/>
      <c r="U9" s="279" t="s">
        <v>148</v>
      </c>
      <c r="V9" s="279" t="s">
        <v>112</v>
      </c>
      <c r="W9" s="279"/>
      <c r="X9" s="134"/>
      <c r="Y9" s="134"/>
    </row>
    <row r="10" spans="1:25" s="134" customFormat="1" x14ac:dyDescent="0.25">
      <c r="A10" s="145" t="str">
        <f>List!B5</f>
        <v>Residential (Single and Three Phase)</v>
      </c>
      <c r="B10" s="292">
        <f>List!C5</f>
        <v>1</v>
      </c>
      <c r="C10" s="133" t="s">
        <v>193</v>
      </c>
      <c r="D10" s="133"/>
      <c r="E10" s="165"/>
      <c r="F10" s="183">
        <v>18.2</v>
      </c>
      <c r="G10" s="183">
        <v>20.6</v>
      </c>
      <c r="H10" s="183">
        <f>G10-F10</f>
        <v>2.4000000000000021</v>
      </c>
      <c r="I10" s="146" t="e">
        <f>F10-#REF!</f>
        <v>#REF!</v>
      </c>
      <c r="J10" s="146" t="e">
        <f>G10-#REF!</f>
        <v>#REF!</v>
      </c>
      <c r="K10" s="133"/>
      <c r="L10" s="111">
        <f>'Res-1'!O26</f>
        <v>84333647.071671605</v>
      </c>
      <c r="M10" s="111">
        <f>'Res-1'!U26</f>
        <v>87967871.02068761</v>
      </c>
      <c r="N10" s="111">
        <f>'Res-1'!U28</f>
        <v>3634223.9490160048</v>
      </c>
      <c r="O10" s="267">
        <f>'Res-1'!U30</f>
        <v>4.3093404296003363E-2</v>
      </c>
      <c r="P10" s="264">
        <f>'Res-1'!U32</f>
        <v>6.5426342273830445</v>
      </c>
      <c r="Q10" s="133"/>
      <c r="S10" s="262">
        <v>18.2</v>
      </c>
      <c r="T10" s="134" t="s">
        <v>88</v>
      </c>
      <c r="U10" s="263">
        <v>0.25</v>
      </c>
      <c r="V10" s="94">
        <f>U10*S13+S10</f>
        <v>20.0625</v>
      </c>
    </row>
    <row r="11" spans="1:25" s="134" customFormat="1" x14ac:dyDescent="0.25">
      <c r="A11" s="145"/>
      <c r="B11" s="293"/>
      <c r="C11" s="133" t="s">
        <v>94</v>
      </c>
      <c r="D11" s="133"/>
      <c r="E11" s="166"/>
      <c r="F11" s="166">
        <v>0.102038</v>
      </c>
      <c r="G11" s="166">
        <f>ROUND(F11*T2,6)</f>
        <v>0.10535700000000001</v>
      </c>
      <c r="H11" s="166">
        <f>G11-F11</f>
        <v>3.3190000000000025E-3</v>
      </c>
      <c r="I11" s="147" t="e">
        <f>F11-#REF!</f>
        <v>#REF!</v>
      </c>
      <c r="J11" s="147" t="e">
        <f>G11-#REF!</f>
        <v>#REF!</v>
      </c>
      <c r="K11" s="133"/>
      <c r="L11" s="111"/>
      <c r="M11" s="111"/>
      <c r="N11" s="111"/>
      <c r="O11" s="267"/>
      <c r="P11" s="158"/>
      <c r="S11" s="94">
        <v>25.65</v>
      </c>
      <c r="T11" s="134" t="s">
        <v>141</v>
      </c>
      <c r="U11" s="263">
        <v>0.33</v>
      </c>
      <c r="V11" s="94">
        <f>U11*S13+S10</f>
        <v>20.6585</v>
      </c>
    </row>
    <row r="12" spans="1:25" s="134" customFormat="1" ht="9" customHeight="1" x14ac:dyDescent="0.25">
      <c r="A12" s="148"/>
      <c r="B12" s="294"/>
      <c r="C12" s="149"/>
      <c r="D12" s="149"/>
      <c r="E12" s="149"/>
      <c r="F12" s="149"/>
      <c r="G12" s="149"/>
      <c r="H12" s="149"/>
      <c r="I12" s="149"/>
      <c r="J12" s="149"/>
      <c r="K12" s="149"/>
      <c r="L12" s="150"/>
      <c r="M12" s="150"/>
      <c r="N12" s="150"/>
      <c r="O12" s="268"/>
      <c r="P12" s="159"/>
    </row>
    <row r="13" spans="1:25" s="134" customFormat="1" x14ac:dyDescent="0.25">
      <c r="A13" s="145" t="str">
        <f>List!B6</f>
        <v>Commercial &amp; All Other Single Phase</v>
      </c>
      <c r="B13" s="293">
        <f>List!C6</f>
        <v>3</v>
      </c>
      <c r="C13" s="133" t="s">
        <v>193</v>
      </c>
      <c r="D13" s="133"/>
      <c r="E13" s="165"/>
      <c r="F13" s="183">
        <v>22.1</v>
      </c>
      <c r="G13" s="183">
        <f>F13</f>
        <v>22.1</v>
      </c>
      <c r="H13" s="183">
        <f>G13-F13</f>
        <v>0</v>
      </c>
      <c r="I13" s="146" t="e">
        <f>F13-#REF!</f>
        <v>#REF!</v>
      </c>
      <c r="J13" s="146" t="e">
        <f>G13-#REF!</f>
        <v>#REF!</v>
      </c>
      <c r="K13" s="133"/>
      <c r="L13" s="111">
        <f>'Com1Ph-3'!O26</f>
        <v>13990918.302436749</v>
      </c>
      <c r="M13" s="111">
        <f>'Com1Ph-3'!U26</f>
        <v>13990918.302436749</v>
      </c>
      <c r="N13" s="111">
        <f>'Com1Ph-3'!U28</f>
        <v>0</v>
      </c>
      <c r="O13" s="267">
        <f>'Com1Ph-3'!U30</f>
        <v>0</v>
      </c>
      <c r="P13" s="264">
        <f>'Com1Ph-3'!U32</f>
        <v>0</v>
      </c>
      <c r="Q13" s="133"/>
      <c r="S13" s="262">
        <f>S11-S10</f>
        <v>7.4499999999999993</v>
      </c>
      <c r="T13" s="134" t="s">
        <v>142</v>
      </c>
      <c r="U13" s="263"/>
      <c r="V13" s="94"/>
    </row>
    <row r="14" spans="1:25" s="134" customFormat="1" x14ac:dyDescent="0.25">
      <c r="A14" s="145"/>
      <c r="B14" s="293"/>
      <c r="C14" s="133" t="s">
        <v>94</v>
      </c>
      <c r="D14" s="133"/>
      <c r="E14" s="166"/>
      <c r="F14" s="166">
        <v>0.100744</v>
      </c>
      <c r="G14" s="166">
        <f>F14</f>
        <v>0.100744</v>
      </c>
      <c r="H14" s="147">
        <f>G14-F14</f>
        <v>0</v>
      </c>
      <c r="I14" s="147" t="e">
        <f>F14-#REF!</f>
        <v>#REF!</v>
      </c>
      <c r="J14" s="147" t="e">
        <f>G14-#REF!</f>
        <v>#REF!</v>
      </c>
      <c r="K14" s="133"/>
      <c r="L14" s="111"/>
      <c r="M14" s="111"/>
      <c r="N14" s="111"/>
      <c r="O14" s="267"/>
      <c r="P14" s="158"/>
      <c r="T14" s="134" t="s">
        <v>143</v>
      </c>
      <c r="U14" s="184">
        <v>0.38500000000000001</v>
      </c>
      <c r="V14" s="280">
        <f>S10+U14*S13</f>
        <v>21.068249999999999</v>
      </c>
      <c r="W14" s="281"/>
    </row>
    <row r="15" spans="1:25" s="134" customFormat="1" ht="9" customHeight="1" x14ac:dyDescent="0.25">
      <c r="A15" s="148"/>
      <c r="B15" s="294"/>
      <c r="C15" s="149"/>
      <c r="D15" s="149"/>
      <c r="E15" s="149"/>
      <c r="F15" s="149"/>
      <c r="G15" s="149"/>
      <c r="H15" s="149"/>
      <c r="I15" s="149"/>
      <c r="J15" s="149"/>
      <c r="K15" s="149"/>
      <c r="L15" s="150"/>
      <c r="M15" s="150"/>
      <c r="N15" s="150"/>
      <c r="O15" s="268"/>
      <c r="P15" s="159"/>
    </row>
    <row r="16" spans="1:25" s="134" customFormat="1" x14ac:dyDescent="0.25">
      <c r="A16" s="481" t="str">
        <f>List!B7</f>
        <v>Commercial &amp; Public Bldgs Three Phase (&lt; 1000 kW)</v>
      </c>
      <c r="B16" s="293">
        <f>List!C7</f>
        <v>5</v>
      </c>
      <c r="C16" s="133" t="s">
        <v>193</v>
      </c>
      <c r="D16" s="133"/>
      <c r="E16" s="165"/>
      <c r="F16" s="183">
        <v>45.52</v>
      </c>
      <c r="G16" s="165">
        <v>45.52</v>
      </c>
      <c r="H16" s="165">
        <f>G16-F16</f>
        <v>0</v>
      </c>
      <c r="I16" s="146" t="e">
        <f>F16-#REF!</f>
        <v>#REF!</v>
      </c>
      <c r="J16" s="146" t="e">
        <f>G16-#REF!</f>
        <v>#REF!</v>
      </c>
      <c r="K16" s="133"/>
      <c r="L16" s="111">
        <f>'Com3Ph&lt;1000-5'!O32</f>
        <v>20285938.032263655</v>
      </c>
      <c r="M16" s="111">
        <f>'Com3Ph&lt;1000-5'!U32</f>
        <v>20285938.032263655</v>
      </c>
      <c r="N16" s="111">
        <f>'Com3Ph&lt;1000-5'!U34</f>
        <v>0</v>
      </c>
      <c r="O16" s="267">
        <f>'Com3Ph&lt;1000-5'!U36</f>
        <v>0</v>
      </c>
      <c r="P16" s="264">
        <f>'Com3Ph&lt;1000-5'!U38</f>
        <v>0</v>
      </c>
      <c r="Q16" s="133"/>
      <c r="U16" s="323">
        <f>(V16-S10)/S13</f>
        <v>0.32214765100671172</v>
      </c>
      <c r="V16" s="262">
        <v>20.6</v>
      </c>
    </row>
    <row r="17" spans="1:21" s="134" customFormat="1" x14ac:dyDescent="0.25">
      <c r="A17" s="481"/>
      <c r="B17" s="293"/>
      <c r="C17" s="133" t="s">
        <v>194</v>
      </c>
      <c r="D17" s="133"/>
      <c r="E17" s="165"/>
      <c r="F17" s="147">
        <v>8.7489999999999998E-2</v>
      </c>
      <c r="G17" s="147">
        <v>8.7489999999999998E-2</v>
      </c>
      <c r="H17" s="165">
        <f>G17-F17</f>
        <v>0</v>
      </c>
      <c r="I17" s="146"/>
      <c r="J17" s="146"/>
      <c r="K17" s="133"/>
      <c r="L17" s="111"/>
      <c r="M17" s="111"/>
      <c r="N17" s="111"/>
      <c r="O17" s="267"/>
      <c r="P17" s="158"/>
      <c r="Q17" s="133"/>
      <c r="U17" s="142" t="s">
        <v>149</v>
      </c>
    </row>
    <row r="18" spans="1:21" s="134" customFormat="1" x14ac:dyDescent="0.25">
      <c r="A18" s="145"/>
      <c r="B18" s="293"/>
      <c r="C18" s="133" t="s">
        <v>195</v>
      </c>
      <c r="D18" s="133"/>
      <c r="E18" s="165"/>
      <c r="F18" s="147">
        <v>6.7100000000000007E-2</v>
      </c>
      <c r="G18" s="147">
        <v>6.7100000000000007E-2</v>
      </c>
      <c r="H18" s="165">
        <f>G18-F18</f>
        <v>0</v>
      </c>
      <c r="I18" s="146"/>
      <c r="J18" s="146"/>
      <c r="K18" s="133"/>
      <c r="L18" s="111"/>
      <c r="M18" s="111"/>
      <c r="N18" s="111"/>
      <c r="O18" s="267"/>
      <c r="P18" s="158"/>
      <c r="Q18" s="133"/>
      <c r="U18" s="134" t="s">
        <v>150</v>
      </c>
    </row>
    <row r="19" spans="1:21" s="134" customFormat="1" x14ac:dyDescent="0.25">
      <c r="A19" s="145"/>
      <c r="B19" s="293"/>
      <c r="C19" s="133" t="s">
        <v>196</v>
      </c>
      <c r="D19" s="133"/>
      <c r="E19" s="166"/>
      <c r="F19" s="147">
        <v>5.9400000000000001E-2</v>
      </c>
      <c r="G19" s="147">
        <v>5.9400000000000001E-2</v>
      </c>
      <c r="H19" s="147">
        <f>G19-F19</f>
        <v>0</v>
      </c>
      <c r="I19" s="147" t="e">
        <f>F19-#REF!</f>
        <v>#REF!</v>
      </c>
      <c r="J19" s="147" t="e">
        <f>G19-#REF!</f>
        <v>#REF!</v>
      </c>
      <c r="K19" s="133"/>
      <c r="L19" s="111"/>
      <c r="M19" s="111"/>
      <c r="N19" s="111"/>
      <c r="O19" s="267"/>
      <c r="P19" s="158"/>
    </row>
    <row r="20" spans="1:21" s="134" customFormat="1" x14ac:dyDescent="0.25">
      <c r="A20" s="145"/>
      <c r="B20" s="293"/>
      <c r="C20" s="133" t="s">
        <v>95</v>
      </c>
      <c r="D20" s="133"/>
      <c r="E20" s="31"/>
      <c r="F20" s="31">
        <v>5.78</v>
      </c>
      <c r="G20" s="146">
        <v>5.78</v>
      </c>
      <c r="H20" s="146">
        <f>G20-F20</f>
        <v>0</v>
      </c>
      <c r="I20" s="31" t="e">
        <f>F20-#REF!</f>
        <v>#REF!</v>
      </c>
      <c r="J20" s="31" t="e">
        <f>G20-#REF!</f>
        <v>#REF!</v>
      </c>
      <c r="K20" s="133"/>
      <c r="L20" s="111"/>
      <c r="M20" s="111"/>
      <c r="N20" s="111"/>
      <c r="O20" s="267"/>
      <c r="P20" s="158"/>
    </row>
    <row r="21" spans="1:21" s="134" customFormat="1" ht="9" customHeight="1" x14ac:dyDescent="0.25">
      <c r="A21" s="148"/>
      <c r="B21" s="294"/>
      <c r="C21" s="149"/>
      <c r="D21" s="149"/>
      <c r="E21" s="149"/>
      <c r="F21" s="149"/>
      <c r="G21" s="149"/>
      <c r="H21" s="149"/>
      <c r="I21" s="149"/>
      <c r="J21" s="149"/>
      <c r="K21" s="149"/>
      <c r="L21" s="150"/>
      <c r="M21" s="150"/>
      <c r="N21" s="150"/>
      <c r="O21" s="268"/>
      <c r="P21" s="159"/>
    </row>
    <row r="22" spans="1:21" s="134" customFormat="1" x14ac:dyDescent="0.25">
      <c r="A22" s="145" t="str">
        <f>List!B8</f>
        <v>Commercial Three Phase (1001 kW +)</v>
      </c>
      <c r="B22" s="293">
        <f>List!C8</f>
        <v>7</v>
      </c>
      <c r="C22" s="133" t="s">
        <v>193</v>
      </c>
      <c r="D22" s="133"/>
      <c r="E22" s="165"/>
      <c r="F22" s="183">
        <v>975.27</v>
      </c>
      <c r="G22" s="165">
        <v>975.27</v>
      </c>
      <c r="H22" s="165">
        <f>G22-F22</f>
        <v>0</v>
      </c>
      <c r="I22" s="146" t="e">
        <f>F22-#REF!</f>
        <v>#REF!</v>
      </c>
      <c r="J22" s="146" t="e">
        <f>G22-#REF!</f>
        <v>#REF!</v>
      </c>
      <c r="K22" s="133"/>
      <c r="L22" s="111">
        <f>'Com3Ph1000-7'!O51</f>
        <v>8078643.5330459988</v>
      </c>
      <c r="M22" s="111">
        <f>'Com3Ph1000-7'!U51</f>
        <v>8078643.5330459988</v>
      </c>
      <c r="N22" s="111">
        <f>'Com3Ph1000-7'!U53</f>
        <v>0</v>
      </c>
      <c r="O22" s="267">
        <f>'Com3Ph1000-7'!U55</f>
        <v>0</v>
      </c>
      <c r="P22" s="264">
        <f>'Com3Ph1000-7'!U57</f>
        <v>0</v>
      </c>
      <c r="Q22" s="133"/>
    </row>
    <row r="23" spans="1:21" s="134" customFormat="1" x14ac:dyDescent="0.25">
      <c r="A23" s="311" t="s">
        <v>197</v>
      </c>
      <c r="B23" s="293"/>
      <c r="C23" s="133" t="s">
        <v>194</v>
      </c>
      <c r="D23" s="133"/>
      <c r="E23" s="165"/>
      <c r="F23" s="166">
        <v>5.4068999999999999E-2</v>
      </c>
      <c r="G23" s="166">
        <v>5.4068999999999999E-2</v>
      </c>
      <c r="H23" s="165"/>
      <c r="I23" s="146"/>
      <c r="J23" s="146"/>
      <c r="K23" s="133"/>
      <c r="L23" s="111"/>
      <c r="M23" s="111"/>
      <c r="N23" s="111"/>
      <c r="O23" s="267"/>
      <c r="P23" s="158"/>
      <c r="Q23" s="133"/>
    </row>
    <row r="24" spans="1:21" s="134" customFormat="1" x14ac:dyDescent="0.25">
      <c r="A24" s="145"/>
      <c r="B24" s="293"/>
      <c r="C24" s="133" t="s">
        <v>195</v>
      </c>
      <c r="D24" s="133"/>
      <c r="E24" s="165"/>
      <c r="F24" s="166">
        <v>4.9666000000000002E-2</v>
      </c>
      <c r="G24" s="166">
        <v>4.9666000000000002E-2</v>
      </c>
      <c r="H24" s="165"/>
      <c r="I24" s="146"/>
      <c r="J24" s="146"/>
      <c r="K24" s="133"/>
      <c r="L24" s="111"/>
      <c r="M24" s="111"/>
      <c r="N24" s="111"/>
      <c r="O24" s="267"/>
      <c r="P24" s="158"/>
      <c r="Q24" s="133"/>
    </row>
    <row r="25" spans="1:21" s="134" customFormat="1" x14ac:dyDescent="0.25">
      <c r="A25" s="145"/>
      <c r="B25" s="293"/>
      <c r="C25" s="133" t="s">
        <v>196</v>
      </c>
      <c r="D25" s="133"/>
      <c r="E25" s="166"/>
      <c r="F25" s="166">
        <v>4.7012999999999999E-2</v>
      </c>
      <c r="G25" s="166">
        <v>4.7012999999999999E-2</v>
      </c>
      <c r="H25" s="147">
        <f>G25-F25</f>
        <v>0</v>
      </c>
      <c r="I25" s="147" t="e">
        <f>F25-#REF!</f>
        <v>#REF!</v>
      </c>
      <c r="J25" s="147" t="e">
        <f>G25-#REF!</f>
        <v>#REF!</v>
      </c>
      <c r="K25" s="133"/>
      <c r="L25" s="111"/>
      <c r="M25" s="111"/>
      <c r="N25" s="111"/>
      <c r="O25" s="267"/>
      <c r="P25" s="158"/>
    </row>
    <row r="26" spans="1:21" s="134" customFormat="1" x14ac:dyDescent="0.25">
      <c r="A26" s="145"/>
      <c r="B26" s="293"/>
      <c r="C26" s="133" t="s">
        <v>95</v>
      </c>
      <c r="D26" s="133"/>
      <c r="E26" s="31"/>
      <c r="F26" s="31">
        <v>12.75</v>
      </c>
      <c r="G26" s="146">
        <v>12.75</v>
      </c>
      <c r="H26" s="146">
        <f>G26-F26</f>
        <v>0</v>
      </c>
      <c r="I26" s="31" t="e">
        <f>F26-#REF!</f>
        <v>#REF!</v>
      </c>
      <c r="J26" s="31" t="e">
        <f>G26-#REF!</f>
        <v>#REF!</v>
      </c>
      <c r="K26" s="133"/>
      <c r="L26" s="111"/>
      <c r="M26" s="111"/>
      <c r="N26" s="111"/>
      <c r="O26" s="267"/>
      <c r="P26" s="158"/>
    </row>
    <row r="27" spans="1:21" s="134" customFormat="1" x14ac:dyDescent="0.25">
      <c r="A27" s="311" t="s">
        <v>198</v>
      </c>
      <c r="B27" s="293"/>
      <c r="C27" s="133" t="s">
        <v>193</v>
      </c>
      <c r="D27" s="133"/>
      <c r="E27" s="165"/>
      <c r="F27" s="183">
        <v>975.27</v>
      </c>
      <c r="G27" s="165">
        <v>975.27</v>
      </c>
      <c r="H27" s="165">
        <f>G27-F27</f>
        <v>0</v>
      </c>
      <c r="I27" s="146" t="e">
        <f>F27-#REF!</f>
        <v>#REF!</v>
      </c>
      <c r="J27" s="146" t="e">
        <f>G27-#REF!</f>
        <v>#REF!</v>
      </c>
      <c r="K27" s="133"/>
      <c r="L27" s="111"/>
      <c r="M27" s="111"/>
      <c r="N27" s="111"/>
      <c r="O27" s="267"/>
      <c r="P27" s="158"/>
      <c r="Q27" s="133"/>
    </row>
    <row r="28" spans="1:21" s="134" customFormat="1" x14ac:dyDescent="0.25">
      <c r="A28" s="145"/>
      <c r="B28" s="293"/>
      <c r="C28" s="133" t="s">
        <v>199</v>
      </c>
      <c r="D28" s="133"/>
      <c r="E28" s="165"/>
      <c r="F28" s="166">
        <v>7.4912999999999993E-2</v>
      </c>
      <c r="G28" s="166">
        <v>7.4912999999999993E-2</v>
      </c>
      <c r="H28" s="165"/>
      <c r="I28" s="146"/>
      <c r="J28" s="146"/>
      <c r="K28" s="133"/>
      <c r="L28" s="111"/>
      <c r="M28" s="111"/>
      <c r="N28" s="111"/>
      <c r="O28" s="267"/>
      <c r="P28" s="158"/>
      <c r="Q28" s="133"/>
    </row>
    <row r="29" spans="1:21" s="134" customFormat="1" x14ac:dyDescent="0.25">
      <c r="A29" s="145"/>
      <c r="B29" s="293"/>
      <c r="C29" s="133" t="s">
        <v>200</v>
      </c>
      <c r="D29" s="133"/>
      <c r="E29" s="165"/>
      <c r="F29" s="166">
        <v>6.5609000000000001E-2</v>
      </c>
      <c r="G29" s="166">
        <v>6.5609000000000001E-2</v>
      </c>
      <c r="H29" s="165"/>
      <c r="I29" s="146"/>
      <c r="J29" s="146"/>
      <c r="K29" s="133"/>
      <c r="L29" s="111"/>
      <c r="M29" s="111"/>
      <c r="N29" s="111"/>
      <c r="O29" s="267"/>
      <c r="P29" s="158"/>
      <c r="Q29" s="133"/>
    </row>
    <row r="30" spans="1:21" s="134" customFormat="1" x14ac:dyDescent="0.25">
      <c r="A30" s="145"/>
      <c r="B30" s="293"/>
      <c r="C30" s="133" t="s">
        <v>95</v>
      </c>
      <c r="D30" s="133"/>
      <c r="E30" s="31"/>
      <c r="F30" s="31">
        <v>7.15</v>
      </c>
      <c r="G30" s="146">
        <v>7.15</v>
      </c>
      <c r="H30" s="146">
        <f>G30-F30</f>
        <v>0</v>
      </c>
      <c r="I30" s="31" t="e">
        <f>F30-#REF!</f>
        <v>#REF!</v>
      </c>
      <c r="J30" s="31" t="e">
        <f>G30-#REF!</f>
        <v>#REF!</v>
      </c>
      <c r="K30" s="133"/>
      <c r="L30" s="111"/>
      <c r="M30" s="111"/>
      <c r="N30" s="111"/>
      <c r="O30" s="267"/>
      <c r="P30" s="158"/>
    </row>
    <row r="31" spans="1:21" s="134" customFormat="1" ht="9" customHeight="1" x14ac:dyDescent="0.25">
      <c r="A31" s="148"/>
      <c r="B31" s="294"/>
      <c r="C31" s="149"/>
      <c r="D31" s="149"/>
      <c r="E31" s="149"/>
      <c r="F31" s="149"/>
      <c r="G31" s="149"/>
      <c r="H31" s="149"/>
      <c r="I31" s="149"/>
      <c r="J31" s="149"/>
      <c r="K31" s="149"/>
      <c r="L31" s="150"/>
      <c r="M31" s="150"/>
      <c r="N31" s="150"/>
      <c r="O31" s="268"/>
      <c r="P31" s="159"/>
    </row>
    <row r="32" spans="1:21" s="134" customFormat="1" x14ac:dyDescent="0.25">
      <c r="A32" s="145" t="str">
        <f>List!B9</f>
        <v>Unmetered Lighting</v>
      </c>
      <c r="B32" s="293">
        <f>List!C9</f>
        <v>15</v>
      </c>
      <c r="C32" s="34" t="s">
        <v>206</v>
      </c>
      <c r="D32" s="34"/>
      <c r="E32" s="146"/>
      <c r="F32" s="476"/>
      <c r="G32" s="146" t="s">
        <v>202</v>
      </c>
      <c r="H32" s="146"/>
      <c r="I32" s="149"/>
      <c r="J32" s="149"/>
      <c r="K32" s="133"/>
      <c r="L32" s="111">
        <f>Lighting!H110</f>
        <v>2216521.2477846816</v>
      </c>
      <c r="M32" s="111">
        <f>Lighting!O110</f>
        <v>2216521.2477846816</v>
      </c>
      <c r="N32" s="111">
        <f>Lighting!O112</f>
        <v>0</v>
      </c>
      <c r="O32" s="267">
        <f>Lighting!O114</f>
        <v>0</v>
      </c>
      <c r="P32" s="124">
        <f>Lighting!O116</f>
        <v>0</v>
      </c>
      <c r="Q32" s="133"/>
    </row>
    <row r="33" spans="1:36" s="134" customFormat="1" ht="9" customHeight="1" x14ac:dyDescent="0.25">
      <c r="A33" s="148"/>
      <c r="B33" s="295"/>
      <c r="C33" s="149"/>
      <c r="D33" s="149"/>
      <c r="E33" s="149"/>
      <c r="F33" s="149"/>
      <c r="G33" s="149"/>
      <c r="H33" s="149"/>
      <c r="I33" s="149"/>
      <c r="J33" s="149"/>
      <c r="K33" s="149"/>
      <c r="L33" s="150"/>
      <c r="M33" s="150"/>
      <c r="N33" s="150"/>
      <c r="O33" s="151"/>
      <c r="P33" s="149"/>
    </row>
    <row r="34" spans="1:36" s="157" customFormat="1" ht="31.5" customHeight="1" thickBot="1" x14ac:dyDescent="0.3">
      <c r="A34" s="153" t="s">
        <v>65</v>
      </c>
      <c r="B34" s="296"/>
      <c r="C34" s="153"/>
      <c r="D34" s="187"/>
      <c r="E34" s="153"/>
      <c r="F34" s="153"/>
      <c r="G34" s="153"/>
      <c r="H34" s="153"/>
      <c r="I34" s="153"/>
      <c r="J34" s="153"/>
      <c r="K34" s="133"/>
      <c r="L34" s="154">
        <f>SUM(L10:L33)</f>
        <v>128905668.18720269</v>
      </c>
      <c r="M34" s="154">
        <f>SUM(M10:M33)</f>
        <v>132539892.1362187</v>
      </c>
      <c r="N34" s="155">
        <f>SUM(N10:N33)</f>
        <v>3634223.9490160048</v>
      </c>
      <c r="O34" s="326">
        <f>N34/L34</f>
        <v>2.8192894851902236E-2</v>
      </c>
      <c r="P34" s="315"/>
      <c r="Q34" s="156"/>
    </row>
    <row r="35" spans="1:36" ht="16.5" thickTop="1" x14ac:dyDescent="0.25"/>
    <row r="36" spans="1:36" x14ac:dyDescent="0.25">
      <c r="L36" s="37"/>
      <c r="M36" s="185" t="s">
        <v>144</v>
      </c>
      <c r="N36" s="37">
        <v>3634612.3351066411</v>
      </c>
      <c r="O36" s="152"/>
    </row>
    <row r="37" spans="1:36" x14ac:dyDescent="0.25">
      <c r="L37" s="37"/>
      <c r="M37" s="185" t="s">
        <v>145</v>
      </c>
      <c r="N37" s="37">
        <f>N34-N36</f>
        <v>-388.38609063625336</v>
      </c>
      <c r="O37" s="135"/>
    </row>
    <row r="38" spans="1:36" x14ac:dyDescent="0.25">
      <c r="L38" s="30"/>
      <c r="M38" s="185" t="s">
        <v>146</v>
      </c>
      <c r="N38" s="30">
        <f>N37/N36</f>
        <v>-1.0685763840199424E-4</v>
      </c>
    </row>
    <row r="39" spans="1:36" x14ac:dyDescent="0.25">
      <c r="A39" s="145"/>
    </row>
    <row r="40" spans="1:36" x14ac:dyDescent="0.25">
      <c r="A40" s="145"/>
    </row>
    <row r="41" spans="1:36" x14ac:dyDescent="0.25">
      <c r="A41" s="145"/>
      <c r="N41" s="37"/>
    </row>
    <row r="42" spans="1:36" x14ac:dyDescent="0.25">
      <c r="A42" s="145"/>
      <c r="N42" s="37"/>
    </row>
    <row r="43" spans="1:36" s="134" customFormat="1" x14ac:dyDescent="0.25">
      <c r="A43" s="145"/>
      <c r="B43" s="291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O43" s="133"/>
      <c r="R43" s="133"/>
      <c r="U43" s="133"/>
      <c r="AD43" s="133"/>
      <c r="AF43" s="133"/>
      <c r="AH43" s="133"/>
      <c r="AJ43" s="133"/>
    </row>
    <row r="44" spans="1:36" s="134" customFormat="1" x14ac:dyDescent="0.25">
      <c r="A44" s="145"/>
      <c r="B44" s="291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37"/>
      <c r="O44" s="133"/>
      <c r="R44" s="133"/>
      <c r="U44" s="133"/>
      <c r="AD44" s="133"/>
      <c r="AF44" s="133"/>
      <c r="AH44" s="133"/>
      <c r="AJ44" s="133"/>
    </row>
    <row r="45" spans="1:36" s="134" customFormat="1" x14ac:dyDescent="0.25">
      <c r="A45" s="145"/>
      <c r="B45" s="291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R45" s="133"/>
      <c r="U45" s="133"/>
      <c r="AD45" s="133"/>
      <c r="AF45" s="133"/>
      <c r="AH45" s="133"/>
      <c r="AJ45" s="133"/>
    </row>
    <row r="46" spans="1:36" x14ac:dyDescent="0.25">
      <c r="A46" s="145"/>
    </row>
    <row r="48" spans="1:36" x14ac:dyDescent="0.25">
      <c r="P48" s="133"/>
    </row>
    <row r="49" spans="1:36" s="134" customFormat="1" x14ac:dyDescent="0.25">
      <c r="A49" s="133"/>
      <c r="B49" s="291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AD49" s="133"/>
      <c r="AF49" s="133"/>
      <c r="AH49" s="133"/>
      <c r="AJ49" s="133"/>
    </row>
    <row r="50" spans="1:36" x14ac:dyDescent="0.25">
      <c r="P50" s="133"/>
    </row>
    <row r="51" spans="1:36" s="134" customFormat="1" x14ac:dyDescent="0.25">
      <c r="A51" s="133"/>
      <c r="B51" s="291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AD51" s="133"/>
      <c r="AF51" s="133"/>
      <c r="AH51" s="133"/>
      <c r="AJ51" s="133"/>
    </row>
    <row r="52" spans="1:36" x14ac:dyDescent="0.25">
      <c r="P52" s="133"/>
    </row>
    <row r="53" spans="1:36" x14ac:dyDescent="0.25">
      <c r="P53" s="133"/>
    </row>
    <row r="54" spans="1:36" x14ac:dyDescent="0.25">
      <c r="P54" s="133"/>
    </row>
    <row r="55" spans="1:36" x14ac:dyDescent="0.25">
      <c r="N55" s="37"/>
    </row>
  </sheetData>
  <dataConsolidate/>
  <mergeCells count="4">
    <mergeCell ref="A5:C5"/>
    <mergeCell ref="L5:P5"/>
    <mergeCell ref="E5:H5"/>
    <mergeCell ref="A16:A17"/>
  </mergeCells>
  <printOptions horizontalCentered="1"/>
  <pageMargins left="0.25" right="0.25" top="0.75" bottom="0.75" header="0.3" footer="0.3"/>
  <pageSetup scale="69" orientation="landscape" r:id="rId1"/>
  <headerFooter>
    <oddFooter>&amp;RExhibit JW-9
Page &amp;P of &amp;N</oddFooter>
  </headerFooter>
  <colBreaks count="1" manualBreakCount="1">
    <brk id="16" max="4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L40"/>
  <sheetViews>
    <sheetView view="pageBreakPreview" zoomScale="60" zoomScaleNormal="100" workbookViewId="0">
      <selection activeCell="X10" sqref="X10"/>
    </sheetView>
  </sheetViews>
  <sheetFormatPr defaultRowHeight="12.75" x14ac:dyDescent="0.2"/>
  <cols>
    <col min="1" max="1" width="3.42578125" style="191" customWidth="1"/>
    <col min="2" max="2" width="5.28515625" style="190" customWidth="1"/>
    <col min="3" max="3" width="9.140625" style="191"/>
    <col min="4" max="4" width="10.7109375" style="191" customWidth="1"/>
    <col min="5" max="5" width="10.28515625" style="191" bestFit="1" customWidth="1"/>
    <col min="6" max="6" width="9.140625" style="191"/>
    <col min="7" max="7" width="10.5703125" style="191" customWidth="1"/>
    <col min="8" max="8" width="10.5703125" style="191" bestFit="1" customWidth="1"/>
    <col min="9" max="9" width="9.140625" style="191"/>
    <col min="10" max="10" width="10.42578125" style="191" customWidth="1"/>
    <col min="11" max="11" width="7.7109375" style="191" customWidth="1"/>
    <col min="12" max="12" width="9.140625" style="191"/>
  </cols>
  <sheetData>
    <row r="1" spans="1:12" ht="18.75" x14ac:dyDescent="0.3">
      <c r="A1" s="189" t="str">
        <f>'Present and Proposed Rates'!A1</f>
        <v>KENERGY CORP.</v>
      </c>
    </row>
    <row r="2" spans="1:12" ht="18.75" x14ac:dyDescent="0.3">
      <c r="A2" s="136" t="s">
        <v>120</v>
      </c>
      <c r="H2" s="192"/>
    </row>
    <row r="3" spans="1:12" ht="18.75" x14ac:dyDescent="0.3">
      <c r="A3" s="189" t="s">
        <v>121</v>
      </c>
    </row>
    <row r="4" spans="1:12" ht="24" customHeight="1" thickBot="1" x14ac:dyDescent="0.25"/>
    <row r="5" spans="1:12" ht="13.5" thickTop="1" x14ac:dyDescent="0.2">
      <c r="B5" s="193"/>
      <c r="C5" s="194" t="s">
        <v>112</v>
      </c>
      <c r="D5" s="503" t="s">
        <v>122</v>
      </c>
      <c r="E5" s="503"/>
      <c r="F5" s="504"/>
      <c r="G5" s="505" t="s">
        <v>123</v>
      </c>
      <c r="H5" s="503"/>
      <c r="I5" s="504"/>
      <c r="J5" s="506" t="s">
        <v>58</v>
      </c>
      <c r="K5" s="507"/>
    </row>
    <row r="6" spans="1:12" x14ac:dyDescent="0.2">
      <c r="B6" s="195" t="s">
        <v>124</v>
      </c>
      <c r="C6" s="196" t="s">
        <v>8</v>
      </c>
      <c r="D6" s="197" t="s">
        <v>119</v>
      </c>
      <c r="E6" s="197" t="s">
        <v>125</v>
      </c>
      <c r="F6" s="197" t="s">
        <v>84</v>
      </c>
      <c r="G6" s="197" t="s">
        <v>117</v>
      </c>
      <c r="H6" s="197" t="s">
        <v>118</v>
      </c>
      <c r="I6" s="197" t="s">
        <v>84</v>
      </c>
      <c r="J6" s="198" t="s">
        <v>63</v>
      </c>
      <c r="K6" s="199" t="s">
        <v>64</v>
      </c>
    </row>
    <row r="7" spans="1:12" ht="18" customHeight="1" thickBot="1" x14ac:dyDescent="0.25">
      <c r="A7" s="200"/>
      <c r="B7" s="201"/>
      <c r="C7" s="202"/>
      <c r="D7" s="203">
        <f>'Present and Proposed Rates'!F10</f>
        <v>18.2</v>
      </c>
      <c r="E7" s="204">
        <f>'Present and Proposed Rates'!F11</f>
        <v>0.102038</v>
      </c>
      <c r="F7" s="205"/>
      <c r="G7" s="203">
        <f>'Present and Proposed Rates'!G10</f>
        <v>20.6</v>
      </c>
      <c r="H7" s="204">
        <f>'Present and Proposed Rates'!G11</f>
        <v>0.10535700000000001</v>
      </c>
      <c r="I7" s="202"/>
      <c r="J7" s="318"/>
      <c r="K7" s="206"/>
      <c r="L7" s="200"/>
    </row>
    <row r="8" spans="1:12" ht="13.5" thickTop="1" x14ac:dyDescent="0.2">
      <c r="B8" s="207">
        <v>1</v>
      </c>
      <c r="C8" s="208">
        <v>0</v>
      </c>
      <c r="D8" s="209">
        <f>D$7</f>
        <v>18.2</v>
      </c>
      <c r="E8" s="210">
        <f>$E$7*C8</f>
        <v>0</v>
      </c>
      <c r="F8" s="211">
        <f>E8+D8</f>
        <v>18.2</v>
      </c>
      <c r="G8" s="212">
        <f>$G$7</f>
        <v>20.6</v>
      </c>
      <c r="H8" s="210">
        <f>$H$7*C8</f>
        <v>0</v>
      </c>
      <c r="I8" s="213">
        <f>G8+H8</f>
        <v>20.6</v>
      </c>
      <c r="J8" s="214">
        <f t="shared" ref="J8:J39" si="0">I8-F8</f>
        <v>2.4000000000000021</v>
      </c>
      <c r="K8" s="215">
        <f t="shared" ref="K8:K39" si="1">J8/F8</f>
        <v>0.13186813186813198</v>
      </c>
    </row>
    <row r="9" spans="1:12" x14ac:dyDescent="0.2">
      <c r="B9" s="207">
        <v>2</v>
      </c>
      <c r="C9" s="208">
        <f t="shared" ref="C9:C38" si="2">C8+100</f>
        <v>100</v>
      </c>
      <c r="D9" s="209">
        <f t="shared" ref="D9:D39" si="3">D$7</f>
        <v>18.2</v>
      </c>
      <c r="E9" s="210">
        <f t="shared" ref="E9:E39" si="4">$E$7*C9</f>
        <v>10.203800000000001</v>
      </c>
      <c r="F9" s="211">
        <f t="shared" ref="F9:F39" si="5">E9+D9</f>
        <v>28.4038</v>
      </c>
      <c r="G9" s="212">
        <f t="shared" ref="G9:G39" si="6">$G$7</f>
        <v>20.6</v>
      </c>
      <c r="H9" s="210">
        <f t="shared" ref="H9:H39" si="7">$H$7*C9</f>
        <v>10.5357</v>
      </c>
      <c r="I9" s="213">
        <f t="shared" ref="I9:I39" si="8">G9+H9</f>
        <v>31.1357</v>
      </c>
      <c r="J9" s="214">
        <f t="shared" si="0"/>
        <v>2.7318999999999996</v>
      </c>
      <c r="K9" s="215">
        <f t="shared" si="1"/>
        <v>9.6180792710834448E-2</v>
      </c>
    </row>
    <row r="10" spans="1:12" x14ac:dyDescent="0.2">
      <c r="B10" s="207">
        <v>2</v>
      </c>
      <c r="C10" s="208">
        <f t="shared" si="2"/>
        <v>200</v>
      </c>
      <c r="D10" s="209">
        <f t="shared" si="3"/>
        <v>18.2</v>
      </c>
      <c r="E10" s="210">
        <f t="shared" si="4"/>
        <v>20.407600000000002</v>
      </c>
      <c r="F10" s="211">
        <f t="shared" si="5"/>
        <v>38.607600000000005</v>
      </c>
      <c r="G10" s="212">
        <f t="shared" si="6"/>
        <v>20.6</v>
      </c>
      <c r="H10" s="210">
        <f t="shared" si="7"/>
        <v>21.071400000000001</v>
      </c>
      <c r="I10" s="213">
        <f t="shared" si="8"/>
        <v>41.671400000000006</v>
      </c>
      <c r="J10" s="214">
        <f t="shared" si="0"/>
        <v>3.0638000000000005</v>
      </c>
      <c r="K10" s="215">
        <f t="shared" si="1"/>
        <v>7.935743221541873E-2</v>
      </c>
    </row>
    <row r="11" spans="1:12" x14ac:dyDescent="0.2">
      <c r="B11" s="207">
        <v>3</v>
      </c>
      <c r="C11" s="208">
        <f t="shared" si="2"/>
        <v>300</v>
      </c>
      <c r="D11" s="209">
        <f t="shared" si="3"/>
        <v>18.2</v>
      </c>
      <c r="E11" s="210">
        <f t="shared" si="4"/>
        <v>30.6114</v>
      </c>
      <c r="F11" s="211">
        <f t="shared" si="5"/>
        <v>48.811399999999999</v>
      </c>
      <c r="G11" s="212">
        <f t="shared" si="6"/>
        <v>20.6</v>
      </c>
      <c r="H11" s="210">
        <f t="shared" si="7"/>
        <v>31.607100000000003</v>
      </c>
      <c r="I11" s="213">
        <f t="shared" si="8"/>
        <v>52.207100000000004</v>
      </c>
      <c r="J11" s="214">
        <f t="shared" si="0"/>
        <v>3.395700000000005</v>
      </c>
      <c r="K11" s="215">
        <f t="shared" si="1"/>
        <v>6.9567764907378302E-2</v>
      </c>
    </row>
    <row r="12" spans="1:12" x14ac:dyDescent="0.2">
      <c r="B12" s="207">
        <v>4</v>
      </c>
      <c r="C12" s="208">
        <f t="shared" si="2"/>
        <v>400</v>
      </c>
      <c r="D12" s="209">
        <f t="shared" si="3"/>
        <v>18.2</v>
      </c>
      <c r="E12" s="210">
        <f t="shared" si="4"/>
        <v>40.815200000000004</v>
      </c>
      <c r="F12" s="211">
        <f t="shared" si="5"/>
        <v>59.015200000000007</v>
      </c>
      <c r="G12" s="212">
        <f t="shared" si="6"/>
        <v>20.6</v>
      </c>
      <c r="H12" s="210">
        <f t="shared" si="7"/>
        <v>42.142800000000001</v>
      </c>
      <c r="I12" s="213">
        <f t="shared" si="8"/>
        <v>62.742800000000003</v>
      </c>
      <c r="J12" s="214">
        <f t="shared" si="0"/>
        <v>3.7275999999999954</v>
      </c>
      <c r="K12" s="215">
        <f t="shared" si="1"/>
        <v>6.3163388415187871E-2</v>
      </c>
    </row>
    <row r="13" spans="1:12" x14ac:dyDescent="0.2">
      <c r="B13" s="207">
        <v>2</v>
      </c>
      <c r="C13" s="208">
        <f t="shared" si="2"/>
        <v>500</v>
      </c>
      <c r="D13" s="209">
        <f t="shared" si="3"/>
        <v>18.2</v>
      </c>
      <c r="E13" s="210">
        <f t="shared" si="4"/>
        <v>51.018999999999998</v>
      </c>
      <c r="F13" s="211">
        <f t="shared" si="5"/>
        <v>69.218999999999994</v>
      </c>
      <c r="G13" s="212">
        <f t="shared" si="6"/>
        <v>20.6</v>
      </c>
      <c r="H13" s="210">
        <f t="shared" si="7"/>
        <v>52.6785</v>
      </c>
      <c r="I13" s="213">
        <f t="shared" si="8"/>
        <v>73.278500000000008</v>
      </c>
      <c r="J13" s="214">
        <f t="shared" si="0"/>
        <v>4.0595000000000141</v>
      </c>
      <c r="K13" s="215">
        <f t="shared" si="1"/>
        <v>5.8647192244904063E-2</v>
      </c>
    </row>
    <row r="14" spans="1:12" x14ac:dyDescent="0.2">
      <c r="B14" s="207">
        <v>3</v>
      </c>
      <c r="C14" s="208">
        <f t="shared" si="2"/>
        <v>600</v>
      </c>
      <c r="D14" s="209">
        <f t="shared" si="3"/>
        <v>18.2</v>
      </c>
      <c r="E14" s="210">
        <f t="shared" si="4"/>
        <v>61.222799999999999</v>
      </c>
      <c r="F14" s="211">
        <f t="shared" si="5"/>
        <v>79.422799999999995</v>
      </c>
      <c r="G14" s="212">
        <f t="shared" si="6"/>
        <v>20.6</v>
      </c>
      <c r="H14" s="210">
        <f t="shared" si="7"/>
        <v>63.214200000000005</v>
      </c>
      <c r="I14" s="213">
        <f t="shared" si="8"/>
        <v>83.8142</v>
      </c>
      <c r="J14" s="214">
        <f t="shared" si="0"/>
        <v>4.3914000000000044</v>
      </c>
      <c r="K14" s="215">
        <f t="shared" si="1"/>
        <v>5.5291427650498402E-2</v>
      </c>
    </row>
    <row r="15" spans="1:12" x14ac:dyDescent="0.2">
      <c r="B15" s="207">
        <v>4</v>
      </c>
      <c r="C15" s="208">
        <f t="shared" si="2"/>
        <v>700</v>
      </c>
      <c r="D15" s="209">
        <f t="shared" si="3"/>
        <v>18.2</v>
      </c>
      <c r="E15" s="210">
        <f t="shared" si="4"/>
        <v>71.426600000000008</v>
      </c>
      <c r="F15" s="211">
        <f t="shared" si="5"/>
        <v>89.62660000000001</v>
      </c>
      <c r="G15" s="212">
        <f t="shared" si="6"/>
        <v>20.6</v>
      </c>
      <c r="H15" s="210">
        <f t="shared" si="7"/>
        <v>73.749900000000011</v>
      </c>
      <c r="I15" s="213">
        <f t="shared" si="8"/>
        <v>94.349900000000019</v>
      </c>
      <c r="J15" s="214">
        <f t="shared" si="0"/>
        <v>4.7233000000000089</v>
      </c>
      <c r="K15" s="215">
        <f t="shared" si="1"/>
        <v>5.2699756545489938E-2</v>
      </c>
    </row>
    <row r="16" spans="1:12" x14ac:dyDescent="0.2">
      <c r="B16" s="207">
        <v>5</v>
      </c>
      <c r="C16" s="208">
        <f t="shared" si="2"/>
        <v>800</v>
      </c>
      <c r="D16" s="209">
        <f t="shared" si="3"/>
        <v>18.2</v>
      </c>
      <c r="E16" s="210">
        <f t="shared" si="4"/>
        <v>81.630400000000009</v>
      </c>
      <c r="F16" s="211">
        <f t="shared" si="5"/>
        <v>99.830400000000012</v>
      </c>
      <c r="G16" s="212">
        <f t="shared" si="6"/>
        <v>20.6</v>
      </c>
      <c r="H16" s="210">
        <f t="shared" si="7"/>
        <v>84.285600000000002</v>
      </c>
      <c r="I16" s="213">
        <f t="shared" si="8"/>
        <v>104.88560000000001</v>
      </c>
      <c r="J16" s="214">
        <f t="shared" si="0"/>
        <v>5.0551999999999992</v>
      </c>
      <c r="K16" s="215">
        <f t="shared" si="1"/>
        <v>5.0637881847613538E-2</v>
      </c>
    </row>
    <row r="17" spans="2:11" x14ac:dyDescent="0.2">
      <c r="B17" s="207">
        <v>6</v>
      </c>
      <c r="C17" s="208">
        <f t="shared" si="2"/>
        <v>900</v>
      </c>
      <c r="D17" s="209">
        <f t="shared" si="3"/>
        <v>18.2</v>
      </c>
      <c r="E17" s="210">
        <f t="shared" si="4"/>
        <v>91.83420000000001</v>
      </c>
      <c r="F17" s="211">
        <f t="shared" si="5"/>
        <v>110.03420000000001</v>
      </c>
      <c r="G17" s="212">
        <f t="shared" si="6"/>
        <v>20.6</v>
      </c>
      <c r="H17" s="210">
        <f t="shared" si="7"/>
        <v>94.821300000000008</v>
      </c>
      <c r="I17" s="213">
        <f t="shared" si="8"/>
        <v>115.4213</v>
      </c>
      <c r="J17" s="214">
        <f t="shared" si="0"/>
        <v>5.3870999999999896</v>
      </c>
      <c r="K17" s="215">
        <f t="shared" si="1"/>
        <v>4.8958414747414795E-2</v>
      </c>
    </row>
    <row r="18" spans="2:11" x14ac:dyDescent="0.2">
      <c r="B18" s="207">
        <v>7</v>
      </c>
      <c r="C18" s="208">
        <f t="shared" si="2"/>
        <v>1000</v>
      </c>
      <c r="D18" s="209">
        <f t="shared" si="3"/>
        <v>18.2</v>
      </c>
      <c r="E18" s="210">
        <f t="shared" si="4"/>
        <v>102.038</v>
      </c>
      <c r="F18" s="211">
        <f t="shared" si="5"/>
        <v>120.238</v>
      </c>
      <c r="G18" s="212">
        <f t="shared" si="6"/>
        <v>20.6</v>
      </c>
      <c r="H18" s="210">
        <f t="shared" si="7"/>
        <v>105.357</v>
      </c>
      <c r="I18" s="213">
        <f t="shared" si="8"/>
        <v>125.95699999999999</v>
      </c>
      <c r="J18" s="214">
        <f t="shared" si="0"/>
        <v>5.7189999999999941</v>
      </c>
      <c r="K18" s="215">
        <f t="shared" si="1"/>
        <v>4.7563998070493475E-2</v>
      </c>
    </row>
    <row r="19" spans="2:11" x14ac:dyDescent="0.2">
      <c r="B19" s="207">
        <v>8</v>
      </c>
      <c r="C19" s="208">
        <f t="shared" si="2"/>
        <v>1100</v>
      </c>
      <c r="D19" s="209">
        <f t="shared" si="3"/>
        <v>18.2</v>
      </c>
      <c r="E19" s="210">
        <f t="shared" si="4"/>
        <v>112.2418</v>
      </c>
      <c r="F19" s="211">
        <f t="shared" si="5"/>
        <v>130.4418</v>
      </c>
      <c r="G19" s="212">
        <f t="shared" si="6"/>
        <v>20.6</v>
      </c>
      <c r="H19" s="210">
        <f t="shared" si="7"/>
        <v>115.8927</v>
      </c>
      <c r="I19" s="213">
        <f t="shared" si="8"/>
        <v>136.49270000000001</v>
      </c>
      <c r="J19" s="214">
        <f t="shared" si="0"/>
        <v>6.0509000000000128</v>
      </c>
      <c r="K19" s="215">
        <f t="shared" si="1"/>
        <v>4.6387737673046624E-2</v>
      </c>
    </row>
    <row r="20" spans="2:11" x14ac:dyDescent="0.2">
      <c r="B20" s="207">
        <v>9</v>
      </c>
      <c r="C20" s="208">
        <f t="shared" si="2"/>
        <v>1200</v>
      </c>
      <c r="D20" s="209">
        <f t="shared" si="3"/>
        <v>18.2</v>
      </c>
      <c r="E20" s="210">
        <f t="shared" si="4"/>
        <v>122.4456</v>
      </c>
      <c r="F20" s="211">
        <f t="shared" si="5"/>
        <v>140.6456</v>
      </c>
      <c r="G20" s="212">
        <f t="shared" si="6"/>
        <v>20.6</v>
      </c>
      <c r="H20" s="210">
        <f t="shared" si="7"/>
        <v>126.42840000000001</v>
      </c>
      <c r="I20" s="213">
        <f t="shared" si="8"/>
        <v>147.0284</v>
      </c>
      <c r="J20" s="214">
        <f t="shared" si="0"/>
        <v>6.3828000000000031</v>
      </c>
      <c r="K20" s="215">
        <f t="shared" si="1"/>
        <v>4.5382152018975379E-2</v>
      </c>
    </row>
    <row r="21" spans="2:11" x14ac:dyDescent="0.2">
      <c r="B21" s="207">
        <v>10</v>
      </c>
      <c r="C21" s="208">
        <f t="shared" si="2"/>
        <v>1300</v>
      </c>
      <c r="D21" s="209">
        <f t="shared" si="3"/>
        <v>18.2</v>
      </c>
      <c r="E21" s="210">
        <f t="shared" si="4"/>
        <v>132.64940000000001</v>
      </c>
      <c r="F21" s="211">
        <f t="shared" si="5"/>
        <v>150.8494</v>
      </c>
      <c r="G21" s="212">
        <f t="shared" si="6"/>
        <v>20.6</v>
      </c>
      <c r="H21" s="210">
        <f t="shared" si="7"/>
        <v>136.9641</v>
      </c>
      <c r="I21" s="213">
        <f t="shared" si="8"/>
        <v>157.5641</v>
      </c>
      <c r="J21" s="214">
        <f t="shared" si="0"/>
        <v>6.7146999999999935</v>
      </c>
      <c r="K21" s="215">
        <f t="shared" si="1"/>
        <v>4.4512606612953004E-2</v>
      </c>
    </row>
    <row r="22" spans="2:11" x14ac:dyDescent="0.2">
      <c r="B22" s="207">
        <v>11</v>
      </c>
      <c r="C22" s="208">
        <f t="shared" si="2"/>
        <v>1400</v>
      </c>
      <c r="D22" s="209">
        <f t="shared" si="3"/>
        <v>18.2</v>
      </c>
      <c r="E22" s="210">
        <f t="shared" si="4"/>
        <v>142.85320000000002</v>
      </c>
      <c r="F22" s="211">
        <f t="shared" si="5"/>
        <v>161.0532</v>
      </c>
      <c r="G22" s="212">
        <f t="shared" si="6"/>
        <v>20.6</v>
      </c>
      <c r="H22" s="210">
        <f t="shared" si="7"/>
        <v>147.49980000000002</v>
      </c>
      <c r="I22" s="213">
        <f t="shared" si="8"/>
        <v>168.09980000000002</v>
      </c>
      <c r="J22" s="214">
        <f t="shared" si="0"/>
        <v>7.0466000000000122</v>
      </c>
      <c r="K22" s="215">
        <f t="shared" si="1"/>
        <v>4.3753244269595461E-2</v>
      </c>
    </row>
    <row r="23" spans="2:11" x14ac:dyDescent="0.2">
      <c r="B23" s="207">
        <v>12</v>
      </c>
      <c r="C23" s="208">
        <f t="shared" si="2"/>
        <v>1500</v>
      </c>
      <c r="D23" s="209">
        <f t="shared" si="3"/>
        <v>18.2</v>
      </c>
      <c r="E23" s="210">
        <f t="shared" si="4"/>
        <v>153.05700000000002</v>
      </c>
      <c r="F23" s="211">
        <f t="shared" si="5"/>
        <v>171.25700000000001</v>
      </c>
      <c r="G23" s="212">
        <f t="shared" si="6"/>
        <v>20.6</v>
      </c>
      <c r="H23" s="210">
        <f t="shared" si="7"/>
        <v>158.03550000000001</v>
      </c>
      <c r="I23" s="213">
        <f t="shared" si="8"/>
        <v>178.63550000000001</v>
      </c>
      <c r="J23" s="214">
        <f t="shared" si="0"/>
        <v>7.3785000000000025</v>
      </c>
      <c r="K23" s="215">
        <f t="shared" si="1"/>
        <v>4.3084370273915824E-2</v>
      </c>
    </row>
    <row r="24" spans="2:11" x14ac:dyDescent="0.2">
      <c r="B24" s="207">
        <v>13</v>
      </c>
      <c r="C24" s="208">
        <f t="shared" si="2"/>
        <v>1600</v>
      </c>
      <c r="D24" s="209">
        <f t="shared" si="3"/>
        <v>18.2</v>
      </c>
      <c r="E24" s="210">
        <f t="shared" si="4"/>
        <v>163.26080000000002</v>
      </c>
      <c r="F24" s="211">
        <f t="shared" si="5"/>
        <v>181.46080000000001</v>
      </c>
      <c r="G24" s="212">
        <f t="shared" si="6"/>
        <v>20.6</v>
      </c>
      <c r="H24" s="210">
        <f t="shared" si="7"/>
        <v>168.5712</v>
      </c>
      <c r="I24" s="213">
        <f t="shared" si="8"/>
        <v>189.1712</v>
      </c>
      <c r="J24" s="214">
        <f t="shared" si="0"/>
        <v>7.7103999999999928</v>
      </c>
      <c r="K24" s="215">
        <f t="shared" si="1"/>
        <v>4.2490719758757775E-2</v>
      </c>
    </row>
    <row r="25" spans="2:11" x14ac:dyDescent="0.2">
      <c r="B25" s="207">
        <v>14</v>
      </c>
      <c r="C25" s="208">
        <f t="shared" si="2"/>
        <v>1700</v>
      </c>
      <c r="D25" s="209">
        <f t="shared" si="3"/>
        <v>18.2</v>
      </c>
      <c r="E25" s="210">
        <f t="shared" si="4"/>
        <v>173.46460000000002</v>
      </c>
      <c r="F25" s="211">
        <f t="shared" si="5"/>
        <v>191.66460000000001</v>
      </c>
      <c r="G25" s="212">
        <f t="shared" si="6"/>
        <v>20.6</v>
      </c>
      <c r="H25" s="210">
        <f t="shared" si="7"/>
        <v>179.10690000000002</v>
      </c>
      <c r="I25" s="213">
        <f t="shared" si="8"/>
        <v>199.70690000000002</v>
      </c>
      <c r="J25" s="214">
        <f t="shared" si="0"/>
        <v>8.0423000000000116</v>
      </c>
      <c r="K25" s="215">
        <f t="shared" si="1"/>
        <v>4.1960278528220714E-2</v>
      </c>
    </row>
    <row r="26" spans="2:11" x14ac:dyDescent="0.2">
      <c r="B26" s="207">
        <v>15</v>
      </c>
      <c r="C26" s="208">
        <f t="shared" si="2"/>
        <v>1800</v>
      </c>
      <c r="D26" s="209">
        <f t="shared" si="3"/>
        <v>18.2</v>
      </c>
      <c r="E26" s="210">
        <f t="shared" si="4"/>
        <v>183.66840000000002</v>
      </c>
      <c r="F26" s="211">
        <f t="shared" si="5"/>
        <v>201.86840000000001</v>
      </c>
      <c r="G26" s="212">
        <f t="shared" si="6"/>
        <v>20.6</v>
      </c>
      <c r="H26" s="210">
        <f t="shared" si="7"/>
        <v>189.64260000000002</v>
      </c>
      <c r="I26" s="213">
        <f t="shared" si="8"/>
        <v>210.24260000000001</v>
      </c>
      <c r="J26" s="214">
        <f t="shared" si="0"/>
        <v>8.3742000000000019</v>
      </c>
      <c r="K26" s="215">
        <f t="shared" si="1"/>
        <v>4.1483461502642323E-2</v>
      </c>
    </row>
    <row r="27" spans="2:11" x14ac:dyDescent="0.2">
      <c r="B27" s="207">
        <v>16</v>
      </c>
      <c r="C27" s="208">
        <f t="shared" si="2"/>
        <v>1900</v>
      </c>
      <c r="D27" s="209">
        <f t="shared" si="3"/>
        <v>18.2</v>
      </c>
      <c r="E27" s="210">
        <f t="shared" si="4"/>
        <v>193.87220000000002</v>
      </c>
      <c r="F27" s="211">
        <f t="shared" si="5"/>
        <v>212.07220000000001</v>
      </c>
      <c r="G27" s="212">
        <f t="shared" si="6"/>
        <v>20.6</v>
      </c>
      <c r="H27" s="210">
        <f t="shared" si="7"/>
        <v>200.17830000000001</v>
      </c>
      <c r="I27" s="213">
        <f t="shared" si="8"/>
        <v>220.7783</v>
      </c>
      <c r="J27" s="214">
        <f t="shared" si="0"/>
        <v>8.7060999999999922</v>
      </c>
      <c r="K27" s="215">
        <f t="shared" si="1"/>
        <v>4.1052528337047436E-2</v>
      </c>
    </row>
    <row r="28" spans="2:11" x14ac:dyDescent="0.2">
      <c r="B28" s="207">
        <v>17</v>
      </c>
      <c r="C28" s="208">
        <f t="shared" si="2"/>
        <v>2000</v>
      </c>
      <c r="D28" s="209">
        <f t="shared" si="3"/>
        <v>18.2</v>
      </c>
      <c r="E28" s="210">
        <f t="shared" si="4"/>
        <v>204.07599999999999</v>
      </c>
      <c r="F28" s="211">
        <f t="shared" si="5"/>
        <v>222.27599999999998</v>
      </c>
      <c r="G28" s="212">
        <f t="shared" si="6"/>
        <v>20.6</v>
      </c>
      <c r="H28" s="210">
        <f t="shared" si="7"/>
        <v>210.714</v>
      </c>
      <c r="I28" s="213">
        <f t="shared" si="8"/>
        <v>231.31399999999999</v>
      </c>
      <c r="J28" s="214">
        <f t="shared" si="0"/>
        <v>9.0380000000000109</v>
      </c>
      <c r="K28" s="215">
        <f t="shared" si="1"/>
        <v>4.0661159999280223E-2</v>
      </c>
    </row>
    <row r="29" spans="2:11" x14ac:dyDescent="0.2">
      <c r="B29" s="207">
        <v>18</v>
      </c>
      <c r="C29" s="208">
        <f t="shared" si="2"/>
        <v>2100</v>
      </c>
      <c r="D29" s="209">
        <f t="shared" si="3"/>
        <v>18.2</v>
      </c>
      <c r="E29" s="210">
        <f t="shared" si="4"/>
        <v>214.27979999999999</v>
      </c>
      <c r="F29" s="211">
        <f t="shared" si="5"/>
        <v>232.47979999999998</v>
      </c>
      <c r="G29" s="212">
        <f t="shared" si="6"/>
        <v>20.6</v>
      </c>
      <c r="H29" s="210">
        <f t="shared" si="7"/>
        <v>221.24970000000002</v>
      </c>
      <c r="I29" s="213">
        <f t="shared" si="8"/>
        <v>241.84970000000001</v>
      </c>
      <c r="J29" s="214">
        <f t="shared" si="0"/>
        <v>9.3699000000000296</v>
      </c>
      <c r="K29" s="215">
        <f t="shared" si="1"/>
        <v>4.0304146854909677E-2</v>
      </c>
    </row>
    <row r="30" spans="2:11" x14ac:dyDescent="0.2">
      <c r="B30" s="207">
        <v>19</v>
      </c>
      <c r="C30" s="208">
        <f t="shared" si="2"/>
        <v>2200</v>
      </c>
      <c r="D30" s="209">
        <f t="shared" si="3"/>
        <v>18.2</v>
      </c>
      <c r="E30" s="210">
        <f t="shared" si="4"/>
        <v>224.4836</v>
      </c>
      <c r="F30" s="211">
        <f t="shared" si="5"/>
        <v>242.68359999999998</v>
      </c>
      <c r="G30" s="212">
        <f t="shared" si="6"/>
        <v>20.6</v>
      </c>
      <c r="H30" s="210">
        <f t="shared" si="7"/>
        <v>231.78540000000001</v>
      </c>
      <c r="I30" s="213">
        <f t="shared" si="8"/>
        <v>252.3854</v>
      </c>
      <c r="J30" s="214">
        <f t="shared" si="0"/>
        <v>9.70180000000002</v>
      </c>
      <c r="K30" s="215">
        <f t="shared" si="1"/>
        <v>3.9977155440252328E-2</v>
      </c>
    </row>
    <row r="31" spans="2:11" x14ac:dyDescent="0.2">
      <c r="B31" s="207">
        <v>20</v>
      </c>
      <c r="C31" s="208">
        <f t="shared" si="2"/>
        <v>2300</v>
      </c>
      <c r="D31" s="209">
        <f t="shared" si="3"/>
        <v>18.2</v>
      </c>
      <c r="E31" s="210">
        <f t="shared" si="4"/>
        <v>234.6874</v>
      </c>
      <c r="F31" s="211">
        <f t="shared" si="5"/>
        <v>252.88739999999999</v>
      </c>
      <c r="G31" s="212">
        <f t="shared" si="6"/>
        <v>20.6</v>
      </c>
      <c r="H31" s="210">
        <f t="shared" si="7"/>
        <v>242.3211</v>
      </c>
      <c r="I31" s="213">
        <f t="shared" si="8"/>
        <v>262.92110000000002</v>
      </c>
      <c r="J31" s="214">
        <f t="shared" si="0"/>
        <v>10.033700000000039</v>
      </c>
      <c r="K31" s="215">
        <f t="shared" si="1"/>
        <v>3.9676551698503128E-2</v>
      </c>
    </row>
    <row r="32" spans="2:11" x14ac:dyDescent="0.2">
      <c r="B32" s="207">
        <v>21</v>
      </c>
      <c r="C32" s="208">
        <f t="shared" si="2"/>
        <v>2400</v>
      </c>
      <c r="D32" s="209">
        <f t="shared" si="3"/>
        <v>18.2</v>
      </c>
      <c r="E32" s="210">
        <f t="shared" si="4"/>
        <v>244.8912</v>
      </c>
      <c r="F32" s="211">
        <f t="shared" si="5"/>
        <v>263.09120000000001</v>
      </c>
      <c r="G32" s="212">
        <f t="shared" si="6"/>
        <v>20.6</v>
      </c>
      <c r="H32" s="210">
        <f t="shared" si="7"/>
        <v>252.85680000000002</v>
      </c>
      <c r="I32" s="213">
        <f t="shared" si="8"/>
        <v>273.45680000000004</v>
      </c>
      <c r="J32" s="214">
        <f t="shared" si="0"/>
        <v>10.365600000000029</v>
      </c>
      <c r="K32" s="215">
        <f t="shared" si="1"/>
        <v>3.9399265349810364E-2</v>
      </c>
    </row>
    <row r="33" spans="1:12" x14ac:dyDescent="0.2">
      <c r="B33" s="207">
        <v>22</v>
      </c>
      <c r="C33" s="208">
        <f t="shared" si="2"/>
        <v>2500</v>
      </c>
      <c r="D33" s="209">
        <f t="shared" si="3"/>
        <v>18.2</v>
      </c>
      <c r="E33" s="210">
        <f t="shared" si="4"/>
        <v>255.095</v>
      </c>
      <c r="F33" s="211">
        <f t="shared" si="5"/>
        <v>273.29500000000002</v>
      </c>
      <c r="G33" s="212">
        <f t="shared" si="6"/>
        <v>20.6</v>
      </c>
      <c r="H33" s="210">
        <f t="shared" si="7"/>
        <v>263.39250000000004</v>
      </c>
      <c r="I33" s="213">
        <f t="shared" si="8"/>
        <v>283.99250000000006</v>
      </c>
      <c r="J33" s="214">
        <f t="shared" si="0"/>
        <v>10.697500000000048</v>
      </c>
      <c r="K33" s="215">
        <f t="shared" si="1"/>
        <v>3.914268464479792E-2</v>
      </c>
    </row>
    <row r="34" spans="1:12" x14ac:dyDescent="0.2">
      <c r="B34" s="207">
        <v>23</v>
      </c>
      <c r="C34" s="208">
        <f t="shared" si="2"/>
        <v>2600</v>
      </c>
      <c r="D34" s="209">
        <f t="shared" si="3"/>
        <v>18.2</v>
      </c>
      <c r="E34" s="210">
        <f t="shared" si="4"/>
        <v>265.29880000000003</v>
      </c>
      <c r="F34" s="211">
        <f t="shared" si="5"/>
        <v>283.49880000000002</v>
      </c>
      <c r="G34" s="212">
        <f t="shared" si="6"/>
        <v>20.6</v>
      </c>
      <c r="H34" s="210">
        <f t="shared" si="7"/>
        <v>273.9282</v>
      </c>
      <c r="I34" s="213">
        <f t="shared" si="8"/>
        <v>294.52820000000003</v>
      </c>
      <c r="J34" s="214">
        <f t="shared" si="0"/>
        <v>11.02940000000001</v>
      </c>
      <c r="K34" s="215">
        <f t="shared" si="1"/>
        <v>3.8904573846520719E-2</v>
      </c>
    </row>
    <row r="35" spans="1:12" x14ac:dyDescent="0.2">
      <c r="B35" s="207">
        <v>24</v>
      </c>
      <c r="C35" s="208">
        <f t="shared" si="2"/>
        <v>2700</v>
      </c>
      <c r="D35" s="209">
        <f t="shared" si="3"/>
        <v>18.2</v>
      </c>
      <c r="E35" s="210">
        <f t="shared" si="4"/>
        <v>275.50260000000003</v>
      </c>
      <c r="F35" s="211">
        <f t="shared" si="5"/>
        <v>293.70260000000002</v>
      </c>
      <c r="G35" s="212">
        <f t="shared" si="6"/>
        <v>20.6</v>
      </c>
      <c r="H35" s="210">
        <f t="shared" si="7"/>
        <v>284.46390000000002</v>
      </c>
      <c r="I35" s="213">
        <f t="shared" si="8"/>
        <v>305.06390000000005</v>
      </c>
      <c r="J35" s="214">
        <f t="shared" si="0"/>
        <v>11.361300000000028</v>
      </c>
      <c r="K35" s="215">
        <f t="shared" si="1"/>
        <v>3.8683007913447233E-2</v>
      </c>
    </row>
    <row r="36" spans="1:12" x14ac:dyDescent="0.2">
      <c r="B36" s="207">
        <v>25</v>
      </c>
      <c r="C36" s="208">
        <f t="shared" si="2"/>
        <v>2800</v>
      </c>
      <c r="D36" s="209">
        <f t="shared" si="3"/>
        <v>18.2</v>
      </c>
      <c r="E36" s="210">
        <f t="shared" si="4"/>
        <v>285.70640000000003</v>
      </c>
      <c r="F36" s="211">
        <f t="shared" si="5"/>
        <v>303.90640000000002</v>
      </c>
      <c r="G36" s="212">
        <f t="shared" si="6"/>
        <v>20.6</v>
      </c>
      <c r="H36" s="210">
        <f t="shared" si="7"/>
        <v>294.99960000000004</v>
      </c>
      <c r="I36" s="213">
        <f t="shared" si="8"/>
        <v>315.59960000000007</v>
      </c>
      <c r="J36" s="214">
        <f t="shared" si="0"/>
        <v>11.693200000000047</v>
      </c>
      <c r="K36" s="215">
        <f t="shared" si="1"/>
        <v>3.8476320340736642E-2</v>
      </c>
    </row>
    <row r="37" spans="1:12" x14ac:dyDescent="0.2">
      <c r="B37" s="207">
        <v>26</v>
      </c>
      <c r="C37" s="208">
        <f t="shared" si="2"/>
        <v>2900</v>
      </c>
      <c r="D37" s="209">
        <f t="shared" si="3"/>
        <v>18.2</v>
      </c>
      <c r="E37" s="210">
        <f t="shared" si="4"/>
        <v>295.91020000000003</v>
      </c>
      <c r="F37" s="211">
        <f t="shared" si="5"/>
        <v>314.11020000000002</v>
      </c>
      <c r="G37" s="212">
        <f t="shared" si="6"/>
        <v>20.6</v>
      </c>
      <c r="H37" s="210">
        <f t="shared" si="7"/>
        <v>305.53530000000001</v>
      </c>
      <c r="I37" s="213">
        <f t="shared" si="8"/>
        <v>326.13530000000003</v>
      </c>
      <c r="J37" s="214">
        <f t="shared" si="0"/>
        <v>12.025100000000009</v>
      </c>
      <c r="K37" s="215">
        <f t="shared" si="1"/>
        <v>3.8283061167704864E-2</v>
      </c>
    </row>
    <row r="38" spans="1:12" ht="13.5" thickBot="1" x14ac:dyDescent="0.25">
      <c r="B38" s="216">
        <v>27</v>
      </c>
      <c r="C38" s="217">
        <f t="shared" si="2"/>
        <v>3000</v>
      </c>
      <c r="D38" s="218">
        <f t="shared" si="3"/>
        <v>18.2</v>
      </c>
      <c r="E38" s="219">
        <f t="shared" si="4"/>
        <v>306.11400000000003</v>
      </c>
      <c r="F38" s="220">
        <f t="shared" si="5"/>
        <v>324.31400000000002</v>
      </c>
      <c r="G38" s="221">
        <f t="shared" si="6"/>
        <v>20.6</v>
      </c>
      <c r="H38" s="219">
        <f t="shared" si="7"/>
        <v>316.07100000000003</v>
      </c>
      <c r="I38" s="222">
        <f t="shared" si="8"/>
        <v>336.67100000000005</v>
      </c>
      <c r="J38" s="223">
        <f t="shared" si="0"/>
        <v>12.357000000000028</v>
      </c>
      <c r="K38" s="224">
        <f t="shared" si="1"/>
        <v>3.8101962912486131E-2</v>
      </c>
    </row>
    <row r="39" spans="1:12" ht="14.25" thickTop="1" thickBot="1" x14ac:dyDescent="0.25">
      <c r="A39" s="225"/>
      <c r="B39" s="226" t="s">
        <v>126</v>
      </c>
      <c r="C39" s="227">
        <f>'Res-1'!D34</f>
        <v>1248.1528710011503</v>
      </c>
      <c r="D39" s="228">
        <f t="shared" si="3"/>
        <v>18.2</v>
      </c>
      <c r="E39" s="229">
        <f t="shared" si="4"/>
        <v>127.35902265121538</v>
      </c>
      <c r="F39" s="230">
        <f t="shared" si="5"/>
        <v>145.55902265121537</v>
      </c>
      <c r="G39" s="231">
        <f t="shared" si="6"/>
        <v>20.6</v>
      </c>
      <c r="H39" s="229">
        <f t="shared" si="7"/>
        <v>131.50164203006821</v>
      </c>
      <c r="I39" s="232">
        <f t="shared" si="8"/>
        <v>152.10164203006821</v>
      </c>
      <c r="J39" s="233">
        <f t="shared" si="0"/>
        <v>6.5426193788528337</v>
      </c>
      <c r="K39" s="234">
        <f t="shared" si="1"/>
        <v>4.4948222787467344E-2</v>
      </c>
      <c r="L39" s="225"/>
    </row>
    <row r="40" spans="1:12" ht="13.5" thickTop="1" x14ac:dyDescent="0.2"/>
  </sheetData>
  <mergeCells count="3">
    <mergeCell ref="D5:F5"/>
    <mergeCell ref="G5:I5"/>
    <mergeCell ref="J5:K5"/>
  </mergeCells>
  <printOptions horizontalCentered="1"/>
  <pageMargins left="0.7" right="0.7" top="0.75" bottom="0.75" header="0.3" footer="0.3"/>
  <pageSetup paperSize="9" scale="91" orientation="portrait" r:id="rId1"/>
  <headerFooter>
    <oddFooter>&amp;RExhibit JW-9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FF0000"/>
  </sheetPr>
  <dimension ref="A1:G32"/>
  <sheetViews>
    <sheetView zoomScaleNormal="100" workbookViewId="0">
      <selection activeCell="H27" sqref="H27"/>
    </sheetView>
  </sheetViews>
  <sheetFormatPr defaultRowHeight="12.75" x14ac:dyDescent="0.2"/>
  <cols>
    <col min="1" max="2" width="2.7109375" style="246" customWidth="1"/>
    <col min="3" max="3" width="37.5703125" style="246" bestFit="1" customWidth="1"/>
    <col min="4" max="4" width="13.5703125" style="246" customWidth="1"/>
    <col min="5" max="6" width="14" style="246" bestFit="1" customWidth="1"/>
    <col min="7" max="7" width="9.140625" style="246"/>
    <col min="8" max="8" width="37" bestFit="1" customWidth="1"/>
  </cols>
  <sheetData>
    <row r="1" spans="1:7" ht="18.75" x14ac:dyDescent="0.3">
      <c r="A1" s="108" t="str">
        <f>'Present and Proposed Rates'!A1</f>
        <v>KENERGY CORP.</v>
      </c>
      <c r="B1" s="235"/>
      <c r="C1" s="235"/>
      <c r="D1" s="235"/>
      <c r="E1" s="235"/>
      <c r="F1" s="235"/>
      <c r="G1" s="235"/>
    </row>
    <row r="2" spans="1:7" x14ac:dyDescent="0.2">
      <c r="A2" s="236"/>
      <c r="B2" s="235"/>
      <c r="C2" s="235"/>
      <c r="D2" s="235"/>
      <c r="E2" s="235"/>
      <c r="F2" s="235"/>
      <c r="G2" s="235"/>
    </row>
    <row r="3" spans="1:7" x14ac:dyDescent="0.2">
      <c r="A3" s="236" t="s">
        <v>127</v>
      </c>
      <c r="B3" s="235"/>
      <c r="C3" s="235"/>
      <c r="D3" s="235"/>
      <c r="E3" s="235"/>
      <c r="F3" s="235"/>
      <c r="G3" s="235"/>
    </row>
    <row r="4" spans="1:7" x14ac:dyDescent="0.2">
      <c r="A4" s="235"/>
      <c r="B4" s="235"/>
      <c r="C4" s="235"/>
      <c r="D4" s="235"/>
      <c r="E4" s="235"/>
      <c r="F4" s="235"/>
      <c r="G4" s="235"/>
    </row>
    <row r="5" spans="1:7" x14ac:dyDescent="0.2">
      <c r="A5" s="235"/>
      <c r="B5" s="235"/>
      <c r="C5" s="235"/>
      <c r="D5" s="235"/>
      <c r="E5" s="508" t="s">
        <v>114</v>
      </c>
      <c r="F5" s="508"/>
      <c r="G5" s="235"/>
    </row>
    <row r="6" spans="1:7" x14ac:dyDescent="0.2">
      <c r="A6" s="235"/>
      <c r="B6" s="237" t="s">
        <v>53</v>
      </c>
      <c r="C6" s="235"/>
      <c r="D6" s="238" t="s">
        <v>60</v>
      </c>
      <c r="E6" s="239" t="s">
        <v>55</v>
      </c>
      <c r="F6" s="239" t="s">
        <v>57</v>
      </c>
      <c r="G6" s="235"/>
    </row>
    <row r="7" spans="1:7" x14ac:dyDescent="0.2">
      <c r="A7" s="235"/>
      <c r="B7" s="240" t="s">
        <v>28</v>
      </c>
      <c r="C7" s="235"/>
      <c r="D7" s="277" t="s">
        <v>151</v>
      </c>
      <c r="E7" s="235"/>
      <c r="F7" s="235"/>
      <c r="G7" s="235"/>
    </row>
    <row r="8" spans="1:7" x14ac:dyDescent="0.2">
      <c r="A8" s="235"/>
      <c r="B8" s="240"/>
      <c r="C8" s="324" t="s">
        <v>221</v>
      </c>
      <c r="D8" s="242"/>
      <c r="E8" s="266">
        <f>'Present and Proposed Rates'!F10</f>
        <v>18.2</v>
      </c>
      <c r="F8" s="266">
        <f>'Present and Proposed Rates'!G10</f>
        <v>20.6</v>
      </c>
      <c r="G8" s="235"/>
    </row>
    <row r="9" spans="1:7" x14ac:dyDescent="0.2">
      <c r="A9" s="235"/>
      <c r="B9" s="243"/>
      <c r="C9" s="324" t="s">
        <v>222</v>
      </c>
      <c r="D9" s="242"/>
      <c r="E9" s="287">
        <f>'Present and Proposed Rates'!F11</f>
        <v>0.102038</v>
      </c>
      <c r="F9" s="287">
        <f>'Present and Proposed Rates'!G11</f>
        <v>0.10535700000000001</v>
      </c>
      <c r="G9" s="235"/>
    </row>
    <row r="10" spans="1:7" x14ac:dyDescent="0.2">
      <c r="A10" s="235"/>
      <c r="B10" s="243"/>
      <c r="C10" s="242"/>
      <c r="D10" s="242"/>
      <c r="E10" s="244"/>
      <c r="F10" s="244"/>
      <c r="G10" s="235"/>
    </row>
    <row r="11" spans="1:7" x14ac:dyDescent="0.2">
      <c r="A11" s="235"/>
      <c r="B11" s="240" t="s">
        <v>138</v>
      </c>
      <c r="C11" s="235"/>
      <c r="D11" s="241"/>
      <c r="E11" s="235"/>
      <c r="F11" s="188"/>
      <c r="G11" s="235"/>
    </row>
    <row r="12" spans="1:7" x14ac:dyDescent="0.2">
      <c r="A12" s="235"/>
      <c r="C12" s="272"/>
      <c r="D12" s="272"/>
      <c r="E12" s="272"/>
      <c r="G12" s="235"/>
    </row>
    <row r="13" spans="1:7" ht="39.75" customHeight="1" x14ac:dyDescent="0.2">
      <c r="A13" s="235"/>
      <c r="C13" s="509" t="s">
        <v>129</v>
      </c>
      <c r="D13" s="509"/>
      <c r="E13" s="509"/>
      <c r="G13" s="235"/>
    </row>
    <row r="14" spans="1:7" x14ac:dyDescent="0.2">
      <c r="A14" s="235"/>
      <c r="C14" s="247"/>
      <c r="D14" s="247"/>
      <c r="E14" s="247"/>
      <c r="G14" s="235"/>
    </row>
    <row r="15" spans="1:7" x14ac:dyDescent="0.2">
      <c r="D15" s="510" t="s">
        <v>58</v>
      </c>
      <c r="E15" s="510"/>
    </row>
    <row r="16" spans="1:7" x14ac:dyDescent="0.2">
      <c r="C16" s="237" t="s">
        <v>53</v>
      </c>
      <c r="D16" s="248" t="s">
        <v>130</v>
      </c>
      <c r="E16" s="248" t="s">
        <v>131</v>
      </c>
    </row>
    <row r="17" spans="3:7" x14ac:dyDescent="0.2">
      <c r="C17" s="188" t="str">
        <f>List!B5</f>
        <v>Residential (Single and Three Phase)</v>
      </c>
      <c r="D17" s="249">
        <f>'Present and Proposed Rates'!N10</f>
        <v>3634223.9490160048</v>
      </c>
      <c r="E17" s="269">
        <f>'Present and Proposed Rates'!O10</f>
        <v>4.3093404296003363E-2</v>
      </c>
    </row>
    <row r="18" spans="3:7" x14ac:dyDescent="0.2">
      <c r="C18" s="188" t="str">
        <f>List!B6</f>
        <v>Commercial &amp; All Other Single Phase</v>
      </c>
      <c r="D18" s="249">
        <f>'Present and Proposed Rates'!N13</f>
        <v>0</v>
      </c>
      <c r="E18" s="275">
        <f>'Present and Proposed Rates'!O13</f>
        <v>0</v>
      </c>
    </row>
    <row r="19" spans="3:7" x14ac:dyDescent="0.2">
      <c r="C19" s="188" t="str">
        <f>List!B7</f>
        <v>Commercial &amp; Public Bldgs Three Phase (&lt; 1000 kW)</v>
      </c>
      <c r="D19" s="249">
        <f>'Present and Proposed Rates'!N16</f>
        <v>0</v>
      </c>
      <c r="E19" s="275">
        <f>'Present and Proposed Rates'!O16</f>
        <v>0</v>
      </c>
    </row>
    <row r="20" spans="3:7" x14ac:dyDescent="0.2">
      <c r="C20" s="188" t="str">
        <f>List!B8</f>
        <v>Commercial Three Phase (1001 kW +)</v>
      </c>
      <c r="D20" s="249">
        <f>'Present and Proposed Rates'!N22</f>
        <v>0</v>
      </c>
      <c r="E20" s="275">
        <f>'Present and Proposed Rates'!O22</f>
        <v>0</v>
      </c>
    </row>
    <row r="21" spans="3:7" x14ac:dyDescent="0.2">
      <c r="C21" s="188" t="str">
        <f>List!B9</f>
        <v>Unmetered Lighting</v>
      </c>
      <c r="D21" s="249">
        <f>'Present and Proposed Rates'!N32</f>
        <v>0</v>
      </c>
      <c r="E21" s="275">
        <f>'Present and Proposed Rates'!O32</f>
        <v>0</v>
      </c>
    </row>
    <row r="22" spans="3:7" x14ac:dyDescent="0.2">
      <c r="C22" s="251" t="s">
        <v>84</v>
      </c>
      <c r="D22" s="252">
        <f>'Present and Proposed Rates'!N34</f>
        <v>3634223.9490160048</v>
      </c>
      <c r="E22" s="270">
        <f>'Present and Proposed Rates'!O34</f>
        <v>2.8192894851902236E-2</v>
      </c>
      <c r="G22" s="250"/>
    </row>
    <row r="23" spans="3:7" x14ac:dyDescent="0.2">
      <c r="G23" s="250"/>
    </row>
    <row r="24" spans="3:7" ht="39" customHeight="1" x14ac:dyDescent="0.2">
      <c r="C24" s="509" t="s">
        <v>132</v>
      </c>
      <c r="D24" s="509"/>
      <c r="E24" s="509"/>
      <c r="F24" s="509"/>
      <c r="G24" s="250"/>
    </row>
    <row r="25" spans="3:7" x14ac:dyDescent="0.2">
      <c r="D25" s="253" t="s">
        <v>133</v>
      </c>
      <c r="E25" s="510" t="s">
        <v>58</v>
      </c>
      <c r="F25" s="510"/>
      <c r="G25" s="250"/>
    </row>
    <row r="26" spans="3:7" x14ac:dyDescent="0.2">
      <c r="C26" s="237" t="s">
        <v>53</v>
      </c>
      <c r="D26" s="254" t="s">
        <v>134</v>
      </c>
      <c r="E26" s="248" t="s">
        <v>130</v>
      </c>
      <c r="F26" s="248" t="s">
        <v>131</v>
      </c>
      <c r="G26" s="250"/>
    </row>
    <row r="27" spans="3:7" x14ac:dyDescent="0.2">
      <c r="C27" s="188" t="str">
        <f>List!B5</f>
        <v>Residential (Single and Three Phase)</v>
      </c>
      <c r="D27" s="255">
        <f>'Res-1'!D34</f>
        <v>1248.1528710011503</v>
      </c>
      <c r="E27" s="250">
        <f>'Present and Proposed Rates'!P10</f>
        <v>6.5426342273830445</v>
      </c>
      <c r="F27" s="271">
        <f>'Present and Proposed Rates'!O10</f>
        <v>4.3093404296003363E-2</v>
      </c>
    </row>
    <row r="28" spans="3:7" x14ac:dyDescent="0.2">
      <c r="C28" s="188" t="str">
        <f>List!B6</f>
        <v>Commercial &amp; All Other Single Phase</v>
      </c>
      <c r="D28" s="255">
        <f>'Com1Ph-3'!D34</f>
        <v>1004.0652168396477</v>
      </c>
      <c r="E28" s="249">
        <f>'Present and Proposed Rates'!P13</f>
        <v>0</v>
      </c>
      <c r="F28" s="276">
        <f>'Present and Proposed Rates'!O13</f>
        <v>0</v>
      </c>
    </row>
    <row r="29" spans="3:7" x14ac:dyDescent="0.2">
      <c r="C29" s="188" t="str">
        <f>List!B7</f>
        <v>Commercial &amp; Public Bldgs Three Phase (&lt; 1000 kW)</v>
      </c>
      <c r="D29" s="255">
        <f>'Com3Ph&lt;1000-5'!D39</f>
        <v>12807.281377899046</v>
      </c>
      <c r="E29" s="249">
        <f>'Present and Proposed Rates'!P16</f>
        <v>0</v>
      </c>
      <c r="F29" s="276">
        <f>'Present and Proposed Rates'!O16</f>
        <v>0</v>
      </c>
    </row>
    <row r="30" spans="3:7" x14ac:dyDescent="0.2">
      <c r="C30" s="188" t="str">
        <f>List!B8</f>
        <v>Commercial Three Phase (1001 kW +)</v>
      </c>
      <c r="D30" s="255">
        <f>'Com3Ph&lt;1000-5'!D39</f>
        <v>12807.281377899046</v>
      </c>
      <c r="E30" s="249">
        <f>'Present and Proposed Rates'!P22</f>
        <v>0</v>
      </c>
      <c r="F30" s="276">
        <f>'Present and Proposed Rates'!O22</f>
        <v>0</v>
      </c>
    </row>
    <row r="31" spans="3:7" x14ac:dyDescent="0.2">
      <c r="C31" s="188" t="str">
        <f>List!B9</f>
        <v>Unmetered Lighting</v>
      </c>
      <c r="D31" s="325" t="s">
        <v>135</v>
      </c>
      <c r="E31" s="249">
        <f>'Present and Proposed Rates'!P32</f>
        <v>0</v>
      </c>
      <c r="F31" s="276">
        <f>'Present and Proposed Rates'!O32</f>
        <v>0</v>
      </c>
    </row>
    <row r="32" spans="3:7" x14ac:dyDescent="0.2">
      <c r="C32" s="251" t="s">
        <v>84</v>
      </c>
      <c r="D32" s="261" t="s">
        <v>135</v>
      </c>
      <c r="E32" s="261" t="s">
        <v>135</v>
      </c>
      <c r="F32" s="270">
        <f>'Present and Proposed Rates'!O34</f>
        <v>2.8192894851902236E-2</v>
      </c>
    </row>
  </sheetData>
  <mergeCells count="5">
    <mergeCell ref="E5:F5"/>
    <mergeCell ref="C13:E13"/>
    <mergeCell ref="D15:E15"/>
    <mergeCell ref="C24:F24"/>
    <mergeCell ref="E25:F2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FF0000"/>
    <pageSetUpPr fitToPage="1"/>
  </sheetPr>
  <dimension ref="A1:G60"/>
  <sheetViews>
    <sheetView topLeftCell="A28" zoomScaleNormal="100" workbookViewId="0">
      <selection activeCell="G42" sqref="G42"/>
    </sheetView>
  </sheetViews>
  <sheetFormatPr defaultRowHeight="12.75" x14ac:dyDescent="0.2"/>
  <cols>
    <col min="1" max="2" width="2.7109375" style="246" customWidth="1"/>
    <col min="3" max="3" width="64.7109375" style="246" customWidth="1"/>
    <col min="4" max="4" width="13.42578125" style="246" customWidth="1"/>
    <col min="5" max="6" width="14" style="246" bestFit="1" customWidth="1"/>
    <col min="7" max="7" width="9.140625" style="246"/>
    <col min="8" max="8" width="37" bestFit="1" customWidth="1"/>
  </cols>
  <sheetData>
    <row r="1" spans="1:7" ht="18.75" x14ac:dyDescent="0.3">
      <c r="A1" s="108" t="str">
        <f>'Present and Proposed Rates'!A1</f>
        <v>KENERGY CORP.</v>
      </c>
      <c r="B1" s="235"/>
      <c r="C1" s="235"/>
      <c r="D1" s="235"/>
      <c r="E1" s="235"/>
      <c r="F1" s="235"/>
      <c r="G1" s="235"/>
    </row>
    <row r="2" spans="1:7" x14ac:dyDescent="0.2">
      <c r="A2" s="236"/>
      <c r="B2" s="235"/>
      <c r="C2" s="235"/>
      <c r="D2" s="235"/>
      <c r="E2" s="235"/>
      <c r="F2" s="235"/>
      <c r="G2" s="235"/>
    </row>
    <row r="3" spans="1:7" x14ac:dyDescent="0.2">
      <c r="A3" s="236" t="s">
        <v>127</v>
      </c>
      <c r="B3" s="235"/>
      <c r="C3" s="235"/>
      <c r="D3" s="235"/>
      <c r="E3" s="235"/>
      <c r="F3" s="235"/>
      <c r="G3" s="235"/>
    </row>
    <row r="4" spans="1:7" x14ac:dyDescent="0.2">
      <c r="A4" s="235"/>
      <c r="B4" s="235"/>
      <c r="C4" s="235"/>
      <c r="D4" s="235"/>
      <c r="E4" s="235"/>
      <c r="F4" s="235"/>
      <c r="G4" s="235"/>
    </row>
    <row r="5" spans="1:7" x14ac:dyDescent="0.2">
      <c r="A5" s="235"/>
      <c r="B5" s="235"/>
      <c r="C5" s="235"/>
      <c r="D5" s="235"/>
      <c r="E5" s="508" t="s">
        <v>114</v>
      </c>
      <c r="F5" s="508"/>
      <c r="G5" s="235"/>
    </row>
    <row r="6" spans="1:7" x14ac:dyDescent="0.2">
      <c r="A6" s="235"/>
      <c r="B6" s="237" t="s">
        <v>53</v>
      </c>
      <c r="C6" s="235"/>
      <c r="D6" s="238" t="s">
        <v>165</v>
      </c>
      <c r="E6" s="239" t="s">
        <v>55</v>
      </c>
      <c r="F6" s="239" t="s">
        <v>57</v>
      </c>
      <c r="G6" s="235"/>
    </row>
    <row r="7" spans="1:7" x14ac:dyDescent="0.2">
      <c r="A7" s="235"/>
      <c r="B7" s="240" t="s">
        <v>152</v>
      </c>
      <c r="C7" s="235"/>
      <c r="D7" s="277">
        <v>1</v>
      </c>
      <c r="E7" s="235"/>
      <c r="F7" s="235"/>
      <c r="G7" s="235"/>
    </row>
    <row r="8" spans="1:7" x14ac:dyDescent="0.2">
      <c r="A8" s="235"/>
      <c r="B8" s="240"/>
      <c r="C8" s="242" t="s">
        <v>136</v>
      </c>
      <c r="D8" s="242"/>
      <c r="E8" s="266">
        <f>'Present and Proposed Rates'!F10</f>
        <v>18.2</v>
      </c>
      <c r="F8" s="266">
        <f>'Present and Proposed Rates'!G10</f>
        <v>20.6</v>
      </c>
      <c r="G8" s="235"/>
    </row>
    <row r="9" spans="1:7" x14ac:dyDescent="0.2">
      <c r="A9" s="235"/>
      <c r="B9" s="243"/>
      <c r="C9" s="242" t="s">
        <v>128</v>
      </c>
      <c r="D9" s="242"/>
      <c r="E9" s="287">
        <f>'Present and Proposed Rates'!F11</f>
        <v>0.102038</v>
      </c>
      <c r="F9" s="287">
        <f>'Present and Proposed Rates'!G11</f>
        <v>0.10535700000000001</v>
      </c>
      <c r="G9" s="235"/>
    </row>
    <row r="10" spans="1:7" x14ac:dyDescent="0.2">
      <c r="B10" s="240" t="s">
        <v>153</v>
      </c>
      <c r="D10" s="285">
        <v>2</v>
      </c>
    </row>
    <row r="11" spans="1:7" x14ac:dyDescent="0.2">
      <c r="C11" s="242" t="s">
        <v>136</v>
      </c>
      <c r="E11" s="266">
        <f>'Present and Proposed Rates'!F13</f>
        <v>22.1</v>
      </c>
      <c r="F11" s="266">
        <f>'Present and Proposed Rates'!G13</f>
        <v>22.1</v>
      </c>
    </row>
    <row r="12" spans="1:7" x14ac:dyDescent="0.2">
      <c r="C12" s="242" t="s">
        <v>128</v>
      </c>
      <c r="E12" s="287">
        <f>'Present and Proposed Rates'!F14</f>
        <v>0.100744</v>
      </c>
      <c r="F12" s="287">
        <f>'Present and Proposed Rates'!G14</f>
        <v>0.100744</v>
      </c>
    </row>
    <row r="13" spans="1:7" x14ac:dyDescent="0.2">
      <c r="B13" s="240" t="s">
        <v>154</v>
      </c>
      <c r="D13" s="285">
        <v>3</v>
      </c>
    </row>
    <row r="14" spans="1:7" x14ac:dyDescent="0.2">
      <c r="C14" s="246" t="str">
        <f>'Present and Proposed Rates'!C16</f>
        <v>Customer Charge (per month)</v>
      </c>
      <c r="E14" s="266">
        <f>'Present and Proposed Rates'!F16</f>
        <v>45.52</v>
      </c>
      <c r="F14" s="266">
        <f>'Present and Proposed Rates'!G16</f>
        <v>45.52</v>
      </c>
    </row>
    <row r="15" spans="1:7" x14ac:dyDescent="0.2">
      <c r="C15" s="246" t="str">
        <f>'Present and Proposed Rates'!C17</f>
        <v>Energy Charge (1st 200 kWh per kW)</v>
      </c>
      <c r="E15" s="266">
        <f>'Present and Proposed Rates'!F17</f>
        <v>8.7489999999999998E-2</v>
      </c>
      <c r="F15" s="266">
        <f>'Present and Proposed Rates'!G17</f>
        <v>8.7489999999999998E-2</v>
      </c>
    </row>
    <row r="16" spans="1:7" x14ac:dyDescent="0.2">
      <c r="C16" s="246" t="str">
        <f>'Present and Proposed Rates'!C18</f>
        <v>Energy Charge (Next 200 kWh per kW)</v>
      </c>
      <c r="E16" s="266">
        <f>'Present and Proposed Rates'!F18</f>
        <v>6.7100000000000007E-2</v>
      </c>
      <c r="F16" s="266">
        <f>'Present and Proposed Rates'!G18</f>
        <v>6.7100000000000007E-2</v>
      </c>
    </row>
    <row r="17" spans="2:6" x14ac:dyDescent="0.2">
      <c r="C17" s="246" t="str">
        <f>'Present and Proposed Rates'!C19</f>
        <v>Energy Charge (Over 400 kWh per kW)</v>
      </c>
      <c r="E17" s="287">
        <f>'Present and Proposed Rates'!F19</f>
        <v>5.9400000000000001E-2</v>
      </c>
      <c r="F17" s="287">
        <f>'Present and Proposed Rates'!G19</f>
        <v>5.9400000000000001E-2</v>
      </c>
    </row>
    <row r="18" spans="2:6" x14ac:dyDescent="0.2">
      <c r="C18" s="246" t="str">
        <f>'Present and Proposed Rates'!C20</f>
        <v>Demand Charge (per kW)</v>
      </c>
      <c r="E18" s="286">
        <f>'Present and Proposed Rates'!F20</f>
        <v>5.78</v>
      </c>
      <c r="F18" s="286">
        <f>'Present and Proposed Rates'!G20</f>
        <v>5.78</v>
      </c>
    </row>
    <row r="19" spans="2:6" x14ac:dyDescent="0.2">
      <c r="B19" s="240" t="s">
        <v>155</v>
      </c>
      <c r="D19" s="285" t="s">
        <v>100</v>
      </c>
    </row>
    <row r="20" spans="2:6" x14ac:dyDescent="0.2">
      <c r="C20" s="246" t="str">
        <f>'Present and Proposed Rates'!C22</f>
        <v>Customer Charge (per month)</v>
      </c>
      <c r="E20" s="266">
        <f>'Present and Proposed Rates'!F22</f>
        <v>975.27</v>
      </c>
      <c r="F20" s="266">
        <f>'Present and Proposed Rates'!G22</f>
        <v>975.27</v>
      </c>
    </row>
    <row r="21" spans="2:6" x14ac:dyDescent="0.2">
      <c r="C21" s="246" t="str">
        <f>'Present and Proposed Rates'!C25</f>
        <v>Energy Charge (Over 400 kWh per kW)</v>
      </c>
      <c r="E21" s="287">
        <f>'Present and Proposed Rates'!F25</f>
        <v>4.7012999999999999E-2</v>
      </c>
      <c r="F21" s="287">
        <f>'Present and Proposed Rates'!G25</f>
        <v>4.7012999999999999E-2</v>
      </c>
    </row>
    <row r="22" spans="2:6" x14ac:dyDescent="0.2">
      <c r="C22" s="246" t="str">
        <f>'Present and Proposed Rates'!C26</f>
        <v>Demand Charge (per kW)</v>
      </c>
      <c r="E22" s="286">
        <f>'Present and Proposed Rates'!F26</f>
        <v>12.75</v>
      </c>
      <c r="F22" s="286">
        <f>'Present and Proposed Rates'!G26</f>
        <v>12.75</v>
      </c>
    </row>
    <row r="23" spans="2:6" x14ac:dyDescent="0.2">
      <c r="B23" s="240" t="s">
        <v>156</v>
      </c>
      <c r="D23" s="285">
        <v>4</v>
      </c>
    </row>
    <row r="24" spans="2:6" x14ac:dyDescent="0.2">
      <c r="C24" s="246" t="e">
        <f>'Present and Proposed Rates'!#REF!</f>
        <v>#REF!</v>
      </c>
      <c r="E24" s="286" t="e">
        <f>'Present and Proposed Rates'!#REF!</f>
        <v>#REF!</v>
      </c>
      <c r="F24" s="286" t="e">
        <f>'Present and Proposed Rates'!#REF!</f>
        <v>#REF!</v>
      </c>
    </row>
    <row r="25" spans="2:6" x14ac:dyDescent="0.2">
      <c r="C25" s="246" t="e">
        <f>'Present and Proposed Rates'!#REF!</f>
        <v>#REF!</v>
      </c>
      <c r="E25" s="286" t="e">
        <f>'Present and Proposed Rates'!#REF!</f>
        <v>#REF!</v>
      </c>
      <c r="F25" s="286" t="e">
        <f>'Present and Proposed Rates'!#REF!</f>
        <v>#REF!</v>
      </c>
    </row>
    <row r="26" spans="2:6" x14ac:dyDescent="0.2">
      <c r="C26" s="246" t="e">
        <f>'Present and Proposed Rates'!#REF!</f>
        <v>#REF!</v>
      </c>
      <c r="E26" s="287" t="e">
        <f>'Present and Proposed Rates'!#REF!</f>
        <v>#REF!</v>
      </c>
      <c r="F26" s="287" t="e">
        <f>'Present and Proposed Rates'!#REF!</f>
        <v>#REF!</v>
      </c>
    </row>
    <row r="27" spans="2:6" x14ac:dyDescent="0.2">
      <c r="C27" s="246" t="e">
        <f>'Present and Proposed Rates'!#REF!</f>
        <v>#REF!</v>
      </c>
      <c r="E27" s="287" t="e">
        <f>'Present and Proposed Rates'!#REF!</f>
        <v>#REF!</v>
      </c>
      <c r="F27" s="287" t="e">
        <f>'Present and Proposed Rates'!#REF!</f>
        <v>#REF!</v>
      </c>
    </row>
    <row r="28" spans="2:6" x14ac:dyDescent="0.2">
      <c r="C28" s="246" t="e">
        <f>'Present and Proposed Rates'!#REF!</f>
        <v>#REF!</v>
      </c>
      <c r="E28" s="286" t="e">
        <f>'Present and Proposed Rates'!#REF!</f>
        <v>#REF!</v>
      </c>
      <c r="F28" s="286" t="e">
        <f>'Present and Proposed Rates'!#REF!</f>
        <v>#REF!</v>
      </c>
    </row>
    <row r="29" spans="2:6" x14ac:dyDescent="0.2">
      <c r="B29" s="240" t="s">
        <v>157</v>
      </c>
      <c r="D29" s="285">
        <v>5</v>
      </c>
      <c r="E29" s="288"/>
      <c r="F29" s="288"/>
    </row>
    <row r="30" spans="2:6" x14ac:dyDescent="0.2">
      <c r="C30" s="246" t="s">
        <v>158</v>
      </c>
      <c r="D30" s="285"/>
      <c r="E30" s="286">
        <f>Lighting!F103</f>
        <v>4.2023800000000004E-3</v>
      </c>
      <c r="F30" s="286">
        <f>Lighting!M103</f>
        <v>4.2023800000000004E-3</v>
      </c>
    </row>
    <row r="31" spans="2:6" x14ac:dyDescent="0.2">
      <c r="C31" s="246" t="s">
        <v>159</v>
      </c>
      <c r="D31" s="285"/>
      <c r="E31" s="286">
        <f>Lighting!F104</f>
        <v>0</v>
      </c>
      <c r="F31" s="286">
        <f>Lighting!M104</f>
        <v>0</v>
      </c>
    </row>
    <row r="32" spans="2:6" x14ac:dyDescent="0.2">
      <c r="C32" s="246" t="s">
        <v>160</v>
      </c>
      <c r="D32" s="285"/>
      <c r="E32" s="286">
        <f>Lighting!F105</f>
        <v>0</v>
      </c>
      <c r="F32" s="286">
        <f>Lighting!M105</f>
        <v>0</v>
      </c>
    </row>
    <row r="33" spans="1:7" x14ac:dyDescent="0.2">
      <c r="C33" s="246" t="s">
        <v>161</v>
      </c>
      <c r="D33" s="285"/>
      <c r="E33" s="286">
        <f>Lighting!F106</f>
        <v>0</v>
      </c>
      <c r="F33" s="286">
        <f>Lighting!M106</f>
        <v>0</v>
      </c>
    </row>
    <row r="34" spans="1:7" x14ac:dyDescent="0.2">
      <c r="B34" s="240" t="s">
        <v>162</v>
      </c>
      <c r="D34" s="285">
        <v>6</v>
      </c>
    </row>
    <row r="35" spans="1:7" x14ac:dyDescent="0.2">
      <c r="C35" s="246" t="s">
        <v>163</v>
      </c>
      <c r="E35" s="286" t="e">
        <f>#REF!</f>
        <v>#REF!</v>
      </c>
      <c r="F35" s="286" t="e">
        <f>#REF!</f>
        <v>#REF!</v>
      </c>
    </row>
    <row r="36" spans="1:7" x14ac:dyDescent="0.2">
      <c r="C36" s="246" t="s">
        <v>164</v>
      </c>
      <c r="E36" s="286" t="e">
        <f>#REF!</f>
        <v>#REF!</v>
      </c>
      <c r="F36" s="286" t="e">
        <f>#REF!</f>
        <v>#REF!</v>
      </c>
    </row>
    <row r="37" spans="1:7" x14ac:dyDescent="0.2">
      <c r="A37" s="235"/>
      <c r="C37" s="272"/>
      <c r="D37" s="272"/>
      <c r="E37" s="272"/>
      <c r="G37" s="235"/>
    </row>
    <row r="38" spans="1:7" ht="30" customHeight="1" x14ac:dyDescent="0.2">
      <c r="A38" s="235"/>
      <c r="C38" s="509" t="s">
        <v>129</v>
      </c>
      <c r="D38" s="509"/>
      <c r="E38" s="509"/>
      <c r="G38" s="235"/>
    </row>
    <row r="39" spans="1:7" x14ac:dyDescent="0.2">
      <c r="D39" s="510" t="s">
        <v>58</v>
      </c>
      <c r="E39" s="510"/>
    </row>
    <row r="40" spans="1:7" x14ac:dyDescent="0.2">
      <c r="C40" s="237" t="s">
        <v>53</v>
      </c>
      <c r="D40" s="248" t="s">
        <v>130</v>
      </c>
      <c r="E40" s="248" t="s">
        <v>131</v>
      </c>
    </row>
    <row r="41" spans="1:7" x14ac:dyDescent="0.2">
      <c r="C41" s="188" t="str">
        <f>List!B5</f>
        <v>Residential (Single and Three Phase)</v>
      </c>
      <c r="D41" s="249">
        <f>'Present and Proposed Rates'!N10</f>
        <v>3634223.9490160048</v>
      </c>
      <c r="E41" s="269">
        <f>'Present and Proposed Rates'!O10</f>
        <v>4.3093404296003363E-2</v>
      </c>
    </row>
    <row r="42" spans="1:7" x14ac:dyDescent="0.2">
      <c r="C42" s="188" t="str">
        <f>List!B6</f>
        <v>Commercial &amp; All Other Single Phase</v>
      </c>
      <c r="D42" s="249">
        <f>'Present and Proposed Rates'!N13</f>
        <v>0</v>
      </c>
      <c r="E42" s="275">
        <f>'Present and Proposed Rates'!O13</f>
        <v>0</v>
      </c>
    </row>
    <row r="43" spans="1:7" x14ac:dyDescent="0.2">
      <c r="C43" s="188" t="str">
        <f>List!B7</f>
        <v>Commercial &amp; Public Bldgs Three Phase (&lt; 1000 kW)</v>
      </c>
      <c r="D43" s="249">
        <f>'Present and Proposed Rates'!N16</f>
        <v>0</v>
      </c>
      <c r="E43" s="275">
        <f>'Present and Proposed Rates'!O16</f>
        <v>0</v>
      </c>
    </row>
    <row r="44" spans="1:7" x14ac:dyDescent="0.2">
      <c r="C44" s="188" t="str">
        <f>List!B8</f>
        <v>Commercial Three Phase (1001 kW +)</v>
      </c>
      <c r="D44" s="249">
        <f>'Present and Proposed Rates'!N22</f>
        <v>0</v>
      </c>
      <c r="E44" s="275">
        <f>'Present and Proposed Rates'!O22</f>
        <v>0</v>
      </c>
    </row>
    <row r="45" spans="1:7" x14ac:dyDescent="0.2">
      <c r="C45" s="188" t="str">
        <f>List!B9</f>
        <v>Unmetered Lighting</v>
      </c>
      <c r="D45" s="249" t="e">
        <f>'Present and Proposed Rates'!#REF!</f>
        <v>#REF!</v>
      </c>
      <c r="E45" s="275" t="e">
        <f>'Present and Proposed Rates'!#REF!</f>
        <v>#REF!</v>
      </c>
    </row>
    <row r="46" spans="1:7" x14ac:dyDescent="0.2">
      <c r="C46" s="188">
        <f>List!B10</f>
        <v>0</v>
      </c>
      <c r="D46" s="249">
        <f>'Present and Proposed Rates'!N32</f>
        <v>0</v>
      </c>
      <c r="E46" s="275">
        <f>'Present and Proposed Rates'!O32</f>
        <v>0</v>
      </c>
    </row>
    <row r="47" spans="1:7" x14ac:dyDescent="0.2">
      <c r="C47" s="188">
        <f>List!B11</f>
        <v>0</v>
      </c>
      <c r="D47" s="249" t="e">
        <f>'Present and Proposed Rates'!#REF!</f>
        <v>#REF!</v>
      </c>
      <c r="E47" s="275" t="e">
        <f>'Present and Proposed Rates'!#REF!</f>
        <v>#REF!</v>
      </c>
    </row>
    <row r="48" spans="1:7" x14ac:dyDescent="0.2">
      <c r="C48" s="251" t="s">
        <v>84</v>
      </c>
      <c r="D48" s="252">
        <f>'Present and Proposed Rates'!N34</f>
        <v>3634223.9490160048</v>
      </c>
      <c r="E48" s="270">
        <f>'Present and Proposed Rates'!O34</f>
        <v>2.8192894851902236E-2</v>
      </c>
      <c r="G48" s="250"/>
    </row>
    <row r="49" spans="3:7" x14ac:dyDescent="0.2">
      <c r="G49" s="250"/>
    </row>
    <row r="50" spans="3:7" ht="27" customHeight="1" x14ac:dyDescent="0.2">
      <c r="C50" s="509" t="s">
        <v>132</v>
      </c>
      <c r="D50" s="509"/>
      <c r="E50" s="509"/>
      <c r="F50" s="509"/>
      <c r="G50" s="250"/>
    </row>
    <row r="51" spans="3:7" x14ac:dyDescent="0.2">
      <c r="D51" s="253" t="s">
        <v>133</v>
      </c>
      <c r="E51" s="510" t="s">
        <v>58</v>
      </c>
      <c r="F51" s="510"/>
      <c r="G51" s="250"/>
    </row>
    <row r="52" spans="3:7" x14ac:dyDescent="0.2">
      <c r="C52" s="237" t="s">
        <v>53</v>
      </c>
      <c r="D52" s="254" t="s">
        <v>134</v>
      </c>
      <c r="E52" s="248" t="s">
        <v>130</v>
      </c>
      <c r="F52" s="248" t="s">
        <v>131</v>
      </c>
      <c r="G52" s="250"/>
    </row>
    <row r="53" spans="3:7" x14ac:dyDescent="0.2">
      <c r="C53" s="188" t="str">
        <f>List!B5</f>
        <v>Residential (Single and Three Phase)</v>
      </c>
      <c r="D53" s="255">
        <f>'Res-1'!D34</f>
        <v>1248.1528710011503</v>
      </c>
      <c r="E53" s="250">
        <f>'Present and Proposed Rates'!P10</f>
        <v>6.5426342273830445</v>
      </c>
      <c r="F53" s="271">
        <f>'Present and Proposed Rates'!O10</f>
        <v>4.3093404296003363E-2</v>
      </c>
    </row>
    <row r="54" spans="3:7" x14ac:dyDescent="0.2">
      <c r="C54" s="188" t="str">
        <f>List!B6</f>
        <v>Commercial &amp; All Other Single Phase</v>
      </c>
      <c r="D54" s="255">
        <f>'Com1Ph-3'!D34</f>
        <v>1004.0652168396477</v>
      </c>
      <c r="E54" s="249">
        <f>'Present and Proposed Rates'!P13</f>
        <v>0</v>
      </c>
      <c r="F54" s="276">
        <f>'Present and Proposed Rates'!O13</f>
        <v>0</v>
      </c>
    </row>
    <row r="55" spans="3:7" x14ac:dyDescent="0.2">
      <c r="C55" s="188" t="str">
        <f>List!B7</f>
        <v>Commercial &amp; Public Bldgs Three Phase (&lt; 1000 kW)</v>
      </c>
      <c r="D55" s="255">
        <f>'Com3Ph&lt;1000-5'!D39</f>
        <v>12807.281377899046</v>
      </c>
      <c r="E55" s="249">
        <f>'Present and Proposed Rates'!P16</f>
        <v>0</v>
      </c>
      <c r="F55" s="276">
        <f>'Present and Proposed Rates'!O16</f>
        <v>0</v>
      </c>
    </row>
    <row r="56" spans="3:7" x14ac:dyDescent="0.2">
      <c r="C56" s="188" t="str">
        <f>List!B8</f>
        <v>Commercial Three Phase (1001 kW +)</v>
      </c>
      <c r="D56" s="255" t="e">
        <f>#REF!</f>
        <v>#REF!</v>
      </c>
      <c r="E56" s="249">
        <f>'Present and Proposed Rates'!P22</f>
        <v>0</v>
      </c>
      <c r="F56" s="276">
        <f>'Present and Proposed Rates'!O22</f>
        <v>0</v>
      </c>
    </row>
    <row r="57" spans="3:7" x14ac:dyDescent="0.2">
      <c r="C57" s="188" t="str">
        <f>List!B9</f>
        <v>Unmetered Lighting</v>
      </c>
      <c r="D57" s="255" t="e">
        <f>#REF!</f>
        <v>#REF!</v>
      </c>
      <c r="E57" s="249" t="e">
        <f>'Present and Proposed Rates'!#REF!</f>
        <v>#REF!</v>
      </c>
      <c r="F57" s="276" t="e">
        <f>'Present and Proposed Rates'!#REF!</f>
        <v>#REF!</v>
      </c>
    </row>
    <row r="58" spans="3:7" x14ac:dyDescent="0.2">
      <c r="C58" s="188">
        <f>List!B10</f>
        <v>0</v>
      </c>
      <c r="D58" s="260" t="s">
        <v>135</v>
      </c>
      <c r="E58" s="249">
        <f>'Present and Proposed Rates'!P32</f>
        <v>0</v>
      </c>
      <c r="F58" s="276">
        <f>'Present and Proposed Rates'!O32</f>
        <v>0</v>
      </c>
    </row>
    <row r="59" spans="3:7" x14ac:dyDescent="0.2">
      <c r="C59" s="188">
        <f>List!B11</f>
        <v>0</v>
      </c>
      <c r="D59" s="260" t="s">
        <v>135</v>
      </c>
      <c r="E59" s="249" t="e">
        <f>'Present and Proposed Rates'!#REF!</f>
        <v>#REF!</v>
      </c>
      <c r="F59" s="276" t="e">
        <f>'Present and Proposed Rates'!#REF!</f>
        <v>#REF!</v>
      </c>
    </row>
    <row r="60" spans="3:7" x14ac:dyDescent="0.2">
      <c r="C60" s="251" t="s">
        <v>84</v>
      </c>
      <c r="D60" s="261" t="s">
        <v>135</v>
      </c>
      <c r="E60" s="261" t="s">
        <v>135</v>
      </c>
      <c r="F60" s="270">
        <f>'Present and Proposed Rates'!O34</f>
        <v>2.8192894851902236E-2</v>
      </c>
    </row>
  </sheetData>
  <mergeCells count="5">
    <mergeCell ref="E5:F5"/>
    <mergeCell ref="C38:E38"/>
    <mergeCell ref="D39:E39"/>
    <mergeCell ref="C50:F50"/>
    <mergeCell ref="E51:F51"/>
  </mergeCells>
  <pageMargins left="0.7" right="0.7" top="0.75" bottom="0.75" header="0.3" footer="0.3"/>
  <pageSetup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rgb="FFFF0000"/>
  </sheetPr>
  <dimension ref="A1:R83"/>
  <sheetViews>
    <sheetView topLeftCell="A52" zoomScale="75" zoomScaleNormal="75" workbookViewId="0">
      <selection activeCell="Q9" sqref="Q9"/>
    </sheetView>
  </sheetViews>
  <sheetFormatPr defaultColWidth="9.140625" defaultRowHeight="12.75" x14ac:dyDescent="0.2"/>
  <cols>
    <col min="1" max="1" width="4.85546875" style="246" customWidth="1"/>
    <col min="2" max="2" width="8.140625" style="246" customWidth="1"/>
    <col min="3" max="3" width="52" style="246" bestFit="1" customWidth="1"/>
    <col min="4" max="4" width="9.140625" style="246"/>
    <col min="5" max="5" width="16.140625" style="246" customWidth="1"/>
    <col min="6" max="8" width="14" style="246" customWidth="1"/>
    <col min="9" max="9" width="17.85546875" style="246" customWidth="1"/>
    <col min="10" max="10" width="14" style="246" customWidth="1"/>
    <col min="11" max="11" width="16.42578125" style="246" customWidth="1"/>
    <col min="12" max="12" width="15.5703125" style="246" customWidth="1"/>
    <col min="13" max="15" width="14" style="246" customWidth="1"/>
    <col min="16" max="16" width="15.140625" style="246" customWidth="1"/>
    <col min="17" max="17" width="17.28515625" style="246" customWidth="1"/>
    <col min="18" max="18" width="14" style="298" bestFit="1" customWidth="1"/>
    <col min="19" max="16384" width="9.140625" style="299"/>
  </cols>
  <sheetData>
    <row r="1" spans="1:18" x14ac:dyDescent="0.2">
      <c r="A1" s="297" t="s">
        <v>166</v>
      </c>
    </row>
    <row r="2" spans="1:18" x14ac:dyDescent="0.2">
      <c r="A2" s="300" t="s">
        <v>174</v>
      </c>
    </row>
    <row r="4" spans="1:18" x14ac:dyDescent="0.2">
      <c r="B4" s="300" t="s">
        <v>175</v>
      </c>
    </row>
    <row r="5" spans="1:18" x14ac:dyDescent="0.2">
      <c r="E5" s="301" t="s">
        <v>176</v>
      </c>
      <c r="F5" s="301" t="s">
        <v>177</v>
      </c>
      <c r="G5" s="301" t="s">
        <v>178</v>
      </c>
      <c r="H5" s="301" t="s">
        <v>179</v>
      </c>
      <c r="I5" s="301" t="s">
        <v>139</v>
      </c>
      <c r="J5" s="301" t="s">
        <v>180</v>
      </c>
      <c r="K5" s="301" t="s">
        <v>181</v>
      </c>
      <c r="L5" s="301" t="s">
        <v>182</v>
      </c>
      <c r="M5" s="301" t="s">
        <v>183</v>
      </c>
      <c r="N5" s="301" t="s">
        <v>184</v>
      </c>
      <c r="O5" s="301" t="s">
        <v>185</v>
      </c>
      <c r="P5" s="301" t="s">
        <v>186</v>
      </c>
      <c r="Q5" s="301" t="s">
        <v>65</v>
      </c>
      <c r="R5" s="302" t="s">
        <v>140</v>
      </c>
    </row>
    <row r="6" spans="1:18" x14ac:dyDescent="0.2">
      <c r="B6" s="303">
        <v>1</v>
      </c>
      <c r="C6" s="289" t="s">
        <v>172</v>
      </c>
      <c r="D6" s="303">
        <v>1</v>
      </c>
      <c r="E6" s="304">
        <v>46535</v>
      </c>
      <c r="F6" s="304">
        <v>46551</v>
      </c>
      <c r="G6" s="304">
        <v>46546</v>
      </c>
      <c r="H6" s="304">
        <v>46571</v>
      </c>
      <c r="I6" s="304">
        <v>46529</v>
      </c>
      <c r="J6" s="304">
        <v>46538</v>
      </c>
      <c r="K6" s="304">
        <v>46578</v>
      </c>
      <c r="L6" s="304">
        <v>46619</v>
      </c>
      <c r="M6" s="304">
        <v>46633</v>
      </c>
      <c r="N6" s="304">
        <v>46426</v>
      </c>
      <c r="O6" s="304">
        <v>46283</v>
      </c>
      <c r="P6" s="304">
        <v>46289</v>
      </c>
      <c r="Q6" s="298">
        <f>SUM(E6:P6)</f>
        <v>558098</v>
      </c>
      <c r="R6" s="298">
        <f>Q6/12</f>
        <v>46508.166666666664</v>
      </c>
    </row>
    <row r="7" spans="1:18" x14ac:dyDescent="0.2">
      <c r="B7" s="303">
        <v>2</v>
      </c>
      <c r="C7" s="289" t="s">
        <v>173</v>
      </c>
      <c r="D7" s="303">
        <v>3</v>
      </c>
      <c r="E7" s="304">
        <v>9724</v>
      </c>
      <c r="F7" s="304">
        <v>9721</v>
      </c>
      <c r="G7" s="304">
        <v>9678</v>
      </c>
      <c r="H7" s="304">
        <v>9722</v>
      </c>
      <c r="I7" s="304">
        <v>9739</v>
      </c>
      <c r="J7" s="304">
        <v>9753</v>
      </c>
      <c r="K7" s="304">
        <v>9772</v>
      </c>
      <c r="L7" s="304">
        <v>9773</v>
      </c>
      <c r="M7" s="304">
        <v>9816</v>
      </c>
      <c r="N7" s="304">
        <v>10056</v>
      </c>
      <c r="O7" s="304">
        <v>10228</v>
      </c>
      <c r="P7" s="304">
        <v>10239</v>
      </c>
      <c r="Q7" s="298">
        <f t="shared" ref="Q7:Q11" si="0">SUM(E7:P7)</f>
        <v>118221</v>
      </c>
      <c r="R7" s="298">
        <f t="shared" ref="R7:R12" si="1">Q7/12</f>
        <v>9851.75</v>
      </c>
    </row>
    <row r="8" spans="1:18" x14ac:dyDescent="0.2">
      <c r="B8" s="303">
        <v>3</v>
      </c>
      <c r="C8" s="289" t="s">
        <v>205</v>
      </c>
      <c r="D8" s="303">
        <v>5</v>
      </c>
      <c r="E8" s="304">
        <v>1224</v>
      </c>
      <c r="F8" s="304">
        <v>1220</v>
      </c>
      <c r="G8" s="304">
        <v>1219</v>
      </c>
      <c r="H8" s="304">
        <v>1217</v>
      </c>
      <c r="I8" s="304">
        <v>1217</v>
      </c>
      <c r="J8" s="304">
        <v>1219</v>
      </c>
      <c r="K8" s="304">
        <v>1219</v>
      </c>
      <c r="L8" s="304">
        <v>1220</v>
      </c>
      <c r="M8" s="304">
        <v>1222</v>
      </c>
      <c r="N8" s="304">
        <v>1223</v>
      </c>
      <c r="O8" s="304">
        <v>1227</v>
      </c>
      <c r="P8" s="304">
        <v>1233</v>
      </c>
      <c r="Q8" s="298">
        <f t="shared" si="0"/>
        <v>14660</v>
      </c>
      <c r="R8" s="298">
        <f t="shared" si="1"/>
        <v>1221.6666666666667</v>
      </c>
    </row>
    <row r="9" spans="1:18" x14ac:dyDescent="0.2">
      <c r="B9" s="303">
        <v>4</v>
      </c>
      <c r="C9" s="289" t="s">
        <v>203</v>
      </c>
      <c r="D9" s="303">
        <v>7</v>
      </c>
      <c r="E9" s="304">
        <v>12</v>
      </c>
      <c r="F9" s="304">
        <v>12</v>
      </c>
      <c r="G9" s="304">
        <v>12</v>
      </c>
      <c r="H9" s="304">
        <v>11</v>
      </c>
      <c r="I9" s="304">
        <v>11</v>
      </c>
      <c r="J9" s="304">
        <v>11</v>
      </c>
      <c r="K9" s="304">
        <v>11</v>
      </c>
      <c r="L9" s="304">
        <v>11</v>
      </c>
      <c r="M9" s="304">
        <v>11</v>
      </c>
      <c r="N9" s="304">
        <v>11</v>
      </c>
      <c r="O9" s="304">
        <v>11</v>
      </c>
      <c r="P9" s="304">
        <v>11</v>
      </c>
      <c r="Q9" s="298">
        <f t="shared" si="0"/>
        <v>135</v>
      </c>
      <c r="R9" s="298">
        <f t="shared" si="1"/>
        <v>11.25</v>
      </c>
    </row>
    <row r="10" spans="1:18" x14ac:dyDescent="0.2">
      <c r="B10" s="303">
        <v>5</v>
      </c>
      <c r="C10" s="289" t="s">
        <v>204</v>
      </c>
      <c r="D10" s="303">
        <v>7</v>
      </c>
      <c r="E10" s="304">
        <v>1</v>
      </c>
      <c r="F10" s="304">
        <v>1</v>
      </c>
      <c r="G10" s="304">
        <v>1</v>
      </c>
      <c r="H10" s="304">
        <v>1</v>
      </c>
      <c r="I10" s="304">
        <v>1</v>
      </c>
      <c r="J10" s="304">
        <v>1</v>
      </c>
      <c r="K10" s="304">
        <v>1</v>
      </c>
      <c r="L10" s="304">
        <v>1</v>
      </c>
      <c r="M10" s="304">
        <v>1</v>
      </c>
      <c r="N10" s="304">
        <v>1</v>
      </c>
      <c r="O10" s="304">
        <v>1</v>
      </c>
      <c r="P10" s="304">
        <v>1</v>
      </c>
      <c r="Q10" s="298">
        <f t="shared" si="0"/>
        <v>12</v>
      </c>
      <c r="R10" s="298">
        <f t="shared" si="1"/>
        <v>1</v>
      </c>
    </row>
    <row r="11" spans="1:18" x14ac:dyDescent="0.2">
      <c r="B11" s="303">
        <v>6</v>
      </c>
      <c r="C11" s="289" t="s">
        <v>167</v>
      </c>
      <c r="D11" s="303">
        <v>15</v>
      </c>
      <c r="E11" s="304">
        <v>0</v>
      </c>
      <c r="F11" s="304">
        <v>0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304">
        <v>0</v>
      </c>
      <c r="N11" s="304">
        <v>0</v>
      </c>
      <c r="O11" s="304">
        <v>0</v>
      </c>
      <c r="P11" s="304">
        <v>0</v>
      </c>
      <c r="Q11" s="298">
        <f t="shared" si="0"/>
        <v>0</v>
      </c>
      <c r="R11" s="298">
        <f t="shared" si="1"/>
        <v>0</v>
      </c>
    </row>
    <row r="12" spans="1:18" x14ac:dyDescent="0.2">
      <c r="B12" s="305"/>
      <c r="C12" s="306" t="s">
        <v>65</v>
      </c>
      <c r="D12" s="305"/>
      <c r="E12" s="307">
        <f t="shared" ref="E12:Q12" si="2">SUM(E6:E11)</f>
        <v>57496</v>
      </c>
      <c r="F12" s="307">
        <f t="shared" si="2"/>
        <v>57505</v>
      </c>
      <c r="G12" s="307">
        <f t="shared" si="2"/>
        <v>57456</v>
      </c>
      <c r="H12" s="307">
        <f t="shared" si="2"/>
        <v>57522</v>
      </c>
      <c r="I12" s="307">
        <f t="shared" si="2"/>
        <v>57497</v>
      </c>
      <c r="J12" s="307">
        <f t="shared" si="2"/>
        <v>57522</v>
      </c>
      <c r="K12" s="307">
        <f t="shared" si="2"/>
        <v>57581</v>
      </c>
      <c r="L12" s="307">
        <f t="shared" si="2"/>
        <v>57624</v>
      </c>
      <c r="M12" s="307">
        <f t="shared" si="2"/>
        <v>57683</v>
      </c>
      <c r="N12" s="307">
        <f t="shared" si="2"/>
        <v>57717</v>
      </c>
      <c r="O12" s="307">
        <f t="shared" si="2"/>
        <v>57750</v>
      </c>
      <c r="P12" s="307">
        <f t="shared" si="2"/>
        <v>57773</v>
      </c>
      <c r="Q12" s="307">
        <f t="shared" si="2"/>
        <v>691126</v>
      </c>
      <c r="R12" s="307">
        <f t="shared" si="1"/>
        <v>57593.833333333336</v>
      </c>
    </row>
    <row r="14" spans="1:18" x14ac:dyDescent="0.2">
      <c r="B14" s="300" t="s">
        <v>187</v>
      </c>
    </row>
    <row r="15" spans="1:18" x14ac:dyDescent="0.2">
      <c r="E15" s="301" t="s">
        <v>176</v>
      </c>
      <c r="F15" s="301" t="s">
        <v>177</v>
      </c>
      <c r="G15" s="301" t="s">
        <v>178</v>
      </c>
      <c r="H15" s="301" t="s">
        <v>179</v>
      </c>
      <c r="I15" s="301" t="s">
        <v>139</v>
      </c>
      <c r="J15" s="301" t="s">
        <v>180</v>
      </c>
      <c r="K15" s="301" t="s">
        <v>181</v>
      </c>
      <c r="L15" s="301" t="s">
        <v>182</v>
      </c>
      <c r="M15" s="301" t="s">
        <v>183</v>
      </c>
      <c r="N15" s="301" t="s">
        <v>184</v>
      </c>
      <c r="O15" s="301" t="s">
        <v>185</v>
      </c>
      <c r="P15" s="301" t="s">
        <v>186</v>
      </c>
      <c r="Q15" s="301" t="s">
        <v>65</v>
      </c>
      <c r="R15" s="302" t="s">
        <v>140</v>
      </c>
    </row>
    <row r="16" spans="1:18" x14ac:dyDescent="0.2">
      <c r="B16" s="303">
        <v>1</v>
      </c>
      <c r="C16" s="289" t="s">
        <v>172</v>
      </c>
      <c r="D16" s="303">
        <v>1</v>
      </c>
      <c r="E16" s="304">
        <v>64571281</v>
      </c>
      <c r="F16" s="304">
        <v>72820276</v>
      </c>
      <c r="G16" s="304">
        <v>60560982</v>
      </c>
      <c r="H16" s="304">
        <v>48669131</v>
      </c>
      <c r="I16" s="304">
        <v>37980140</v>
      </c>
      <c r="J16" s="304">
        <v>51577791</v>
      </c>
      <c r="K16" s="304">
        <v>61860043</v>
      </c>
      <c r="L16" s="304">
        <v>70606698</v>
      </c>
      <c r="M16" s="304">
        <v>65065359</v>
      </c>
      <c r="N16" s="304">
        <v>56978534</v>
      </c>
      <c r="O16" s="304">
        <v>46650683</v>
      </c>
      <c r="P16" s="304">
        <v>59250703</v>
      </c>
      <c r="Q16" s="298">
        <f>SUM(E16:P16)</f>
        <v>696591621</v>
      </c>
      <c r="R16" s="298">
        <f>Q16/12</f>
        <v>58049301.75</v>
      </c>
    </row>
    <row r="17" spans="2:18" x14ac:dyDescent="0.2">
      <c r="B17" s="303">
        <v>2</v>
      </c>
      <c r="C17" s="289" t="s">
        <v>173</v>
      </c>
      <c r="D17" s="303">
        <v>3</v>
      </c>
      <c r="E17" s="304">
        <v>9021669</v>
      </c>
      <c r="F17" s="304">
        <v>9882876</v>
      </c>
      <c r="G17" s="304">
        <v>8318569</v>
      </c>
      <c r="H17" s="304">
        <v>8076442</v>
      </c>
      <c r="I17" s="304">
        <v>7823132</v>
      </c>
      <c r="J17" s="304">
        <v>9970781</v>
      </c>
      <c r="K17" s="304">
        <v>11341891</v>
      </c>
      <c r="L17" s="304">
        <v>12242544</v>
      </c>
      <c r="M17" s="304">
        <v>11970444</v>
      </c>
      <c r="N17" s="304">
        <v>12098804</v>
      </c>
      <c r="O17" s="304">
        <v>9047375</v>
      </c>
      <c r="P17" s="304">
        <v>8907067</v>
      </c>
      <c r="Q17" s="298">
        <f t="shared" ref="Q17:Q21" si="3">SUM(E17:P17)</f>
        <v>118701594</v>
      </c>
      <c r="R17" s="298">
        <f t="shared" ref="R17:R22" si="4">Q17/12</f>
        <v>9891799.5</v>
      </c>
    </row>
    <row r="18" spans="2:18" x14ac:dyDescent="0.2">
      <c r="B18" s="303">
        <v>3</v>
      </c>
      <c r="C18" s="289" t="s">
        <v>205</v>
      </c>
      <c r="D18" s="303">
        <v>5</v>
      </c>
      <c r="E18" s="304">
        <v>14647811</v>
      </c>
      <c r="F18" s="304">
        <v>15677617</v>
      </c>
      <c r="G18" s="304">
        <v>14023368</v>
      </c>
      <c r="H18" s="304">
        <v>13982736</v>
      </c>
      <c r="I18" s="304">
        <v>14043995</v>
      </c>
      <c r="J18" s="304">
        <v>15644386</v>
      </c>
      <c r="K18" s="304">
        <v>16272403</v>
      </c>
      <c r="L18" s="304">
        <v>17680058</v>
      </c>
      <c r="M18" s="304">
        <v>18075316</v>
      </c>
      <c r="N18" s="304">
        <v>18357874</v>
      </c>
      <c r="O18" s="304">
        <v>14828917</v>
      </c>
      <c r="P18" s="304">
        <v>14526864</v>
      </c>
      <c r="Q18" s="298">
        <f t="shared" si="3"/>
        <v>187761345</v>
      </c>
      <c r="R18" s="298">
        <f t="shared" si="4"/>
        <v>15646778.75</v>
      </c>
    </row>
    <row r="19" spans="2:18" x14ac:dyDescent="0.2">
      <c r="B19" s="303">
        <v>4</v>
      </c>
      <c r="C19" s="289" t="s">
        <v>203</v>
      </c>
      <c r="D19" s="303">
        <v>7</v>
      </c>
      <c r="E19" s="304">
        <v>7423520</v>
      </c>
      <c r="F19" s="304">
        <v>7751280</v>
      </c>
      <c r="G19" s="304">
        <v>7228960</v>
      </c>
      <c r="H19" s="304">
        <v>6938040</v>
      </c>
      <c r="I19" s="304">
        <v>7417080</v>
      </c>
      <c r="J19" s="304">
        <v>7676040</v>
      </c>
      <c r="K19" s="304">
        <v>8111280</v>
      </c>
      <c r="L19" s="304">
        <v>8587921</v>
      </c>
      <c r="M19" s="304">
        <v>8687640</v>
      </c>
      <c r="N19" s="304">
        <v>8277360</v>
      </c>
      <c r="O19" s="304">
        <v>7754040</v>
      </c>
      <c r="P19" s="304">
        <v>6900120</v>
      </c>
      <c r="Q19" s="298">
        <f t="shared" si="3"/>
        <v>92753281</v>
      </c>
      <c r="R19" s="298">
        <f t="shared" si="4"/>
        <v>7729440.083333333</v>
      </c>
    </row>
    <row r="20" spans="2:18" x14ac:dyDescent="0.2">
      <c r="B20" s="303">
        <v>5</v>
      </c>
      <c r="C20" s="289" t="s">
        <v>204</v>
      </c>
      <c r="D20" s="303">
        <v>15</v>
      </c>
      <c r="E20" s="304">
        <v>158400</v>
      </c>
      <c r="F20" s="304">
        <v>205200</v>
      </c>
      <c r="G20" s="304">
        <v>180000</v>
      </c>
      <c r="H20" s="304">
        <v>134400</v>
      </c>
      <c r="I20" s="304">
        <v>146400</v>
      </c>
      <c r="J20" s="304">
        <v>104400</v>
      </c>
      <c r="K20" s="304">
        <v>99600</v>
      </c>
      <c r="L20" s="304">
        <v>139200</v>
      </c>
      <c r="M20" s="304">
        <v>182400</v>
      </c>
      <c r="N20" s="304">
        <v>189600</v>
      </c>
      <c r="O20" s="304">
        <v>146400</v>
      </c>
      <c r="P20" s="304">
        <v>160800</v>
      </c>
      <c r="Q20" s="298">
        <f t="shared" si="3"/>
        <v>1846800</v>
      </c>
      <c r="R20" s="298">
        <f t="shared" si="4"/>
        <v>153900</v>
      </c>
    </row>
    <row r="21" spans="2:18" x14ac:dyDescent="0.2">
      <c r="B21" s="303">
        <v>6</v>
      </c>
      <c r="C21" s="289" t="s">
        <v>167</v>
      </c>
      <c r="D21" s="303">
        <v>33</v>
      </c>
      <c r="E21" s="304">
        <v>790406.25</v>
      </c>
      <c r="F21" s="304">
        <f>E21</f>
        <v>790406.25</v>
      </c>
      <c r="G21" s="304">
        <f t="shared" ref="G21:P21" si="5">F21</f>
        <v>790406.25</v>
      </c>
      <c r="H21" s="304">
        <f t="shared" si="5"/>
        <v>790406.25</v>
      </c>
      <c r="I21" s="304">
        <f t="shared" si="5"/>
        <v>790406.25</v>
      </c>
      <c r="J21" s="304">
        <f t="shared" si="5"/>
        <v>790406.25</v>
      </c>
      <c r="K21" s="304">
        <f t="shared" si="5"/>
        <v>790406.25</v>
      </c>
      <c r="L21" s="304">
        <f t="shared" si="5"/>
        <v>790406.25</v>
      </c>
      <c r="M21" s="304">
        <f t="shared" si="5"/>
        <v>790406.25</v>
      </c>
      <c r="N21" s="304">
        <f t="shared" si="5"/>
        <v>790406.25</v>
      </c>
      <c r="O21" s="304">
        <f t="shared" si="5"/>
        <v>790406.25</v>
      </c>
      <c r="P21" s="304">
        <f t="shared" si="5"/>
        <v>790406.25</v>
      </c>
      <c r="Q21" s="298">
        <f t="shared" si="3"/>
        <v>9484875</v>
      </c>
      <c r="R21" s="298">
        <f t="shared" si="4"/>
        <v>790406.25</v>
      </c>
    </row>
    <row r="22" spans="2:18" x14ac:dyDescent="0.2">
      <c r="B22" s="305"/>
      <c r="C22" s="306" t="s">
        <v>65</v>
      </c>
      <c r="D22" s="305"/>
      <c r="E22" s="307">
        <f t="shared" ref="E22:Q22" si="6">SUM(E16:E21)</f>
        <v>96613087.25</v>
      </c>
      <c r="F22" s="307">
        <f t="shared" si="6"/>
        <v>107127655.25</v>
      </c>
      <c r="G22" s="307">
        <f t="shared" si="6"/>
        <v>91102285.25</v>
      </c>
      <c r="H22" s="307">
        <f t="shared" si="6"/>
        <v>78591155.25</v>
      </c>
      <c r="I22" s="307">
        <f t="shared" si="6"/>
        <v>68201153.25</v>
      </c>
      <c r="J22" s="307">
        <f t="shared" si="6"/>
        <v>85763804.25</v>
      </c>
      <c r="K22" s="307">
        <f t="shared" si="6"/>
        <v>98475623.25</v>
      </c>
      <c r="L22" s="307">
        <f t="shared" si="6"/>
        <v>110046827.25</v>
      </c>
      <c r="M22" s="307">
        <f t="shared" si="6"/>
        <v>104771565.25</v>
      </c>
      <c r="N22" s="307">
        <f t="shared" si="6"/>
        <v>96692578.25</v>
      </c>
      <c r="O22" s="307">
        <f t="shared" si="6"/>
        <v>79217821.25</v>
      </c>
      <c r="P22" s="307">
        <f t="shared" si="6"/>
        <v>90535960.25</v>
      </c>
      <c r="Q22" s="307">
        <f t="shared" si="6"/>
        <v>1107139516</v>
      </c>
      <c r="R22" s="307">
        <f t="shared" si="4"/>
        <v>92261626.333333328</v>
      </c>
    </row>
    <row r="24" spans="2:18" x14ac:dyDescent="0.2">
      <c r="B24" s="300" t="s">
        <v>188</v>
      </c>
    </row>
    <row r="25" spans="2:18" x14ac:dyDescent="0.2">
      <c r="E25" s="301" t="s">
        <v>176</v>
      </c>
      <c r="F25" s="301" t="s">
        <v>177</v>
      </c>
      <c r="G25" s="301" t="s">
        <v>178</v>
      </c>
      <c r="H25" s="301" t="s">
        <v>179</v>
      </c>
      <c r="I25" s="301" t="s">
        <v>139</v>
      </c>
      <c r="J25" s="301" t="s">
        <v>180</v>
      </c>
      <c r="K25" s="301" t="s">
        <v>181</v>
      </c>
      <c r="L25" s="301" t="s">
        <v>182</v>
      </c>
      <c r="M25" s="301" t="s">
        <v>183</v>
      </c>
      <c r="N25" s="301" t="s">
        <v>184</v>
      </c>
      <c r="O25" s="301" t="s">
        <v>185</v>
      </c>
      <c r="P25" s="301" t="s">
        <v>186</v>
      </c>
      <c r="Q25" s="301" t="s">
        <v>65</v>
      </c>
      <c r="R25" s="302" t="s">
        <v>140</v>
      </c>
    </row>
    <row r="26" spans="2:18" x14ac:dyDescent="0.2">
      <c r="B26" s="303">
        <v>1</v>
      </c>
      <c r="C26" s="289" t="s">
        <v>172</v>
      </c>
      <c r="D26" s="303">
        <v>1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298">
        <f>SUM(E26:P26)</f>
        <v>0</v>
      </c>
      <c r="R26" s="298">
        <f>Q26/12</f>
        <v>0</v>
      </c>
    </row>
    <row r="27" spans="2:18" x14ac:dyDescent="0.2">
      <c r="B27" s="303">
        <v>2</v>
      </c>
      <c r="C27" s="289" t="s">
        <v>173</v>
      </c>
      <c r="D27" s="303">
        <v>3</v>
      </c>
      <c r="E27" s="304">
        <v>0</v>
      </c>
      <c r="F27" s="304">
        <v>0</v>
      </c>
      <c r="G27" s="304">
        <v>0</v>
      </c>
      <c r="H27" s="304">
        <v>0</v>
      </c>
      <c r="I27" s="304">
        <v>0</v>
      </c>
      <c r="J27" s="304">
        <v>0</v>
      </c>
      <c r="K27" s="304">
        <v>0</v>
      </c>
      <c r="L27" s="304">
        <v>0</v>
      </c>
      <c r="M27" s="304">
        <v>0</v>
      </c>
      <c r="N27" s="304">
        <v>0</v>
      </c>
      <c r="O27" s="304">
        <v>0</v>
      </c>
      <c r="P27" s="304">
        <v>0</v>
      </c>
      <c r="Q27" s="298">
        <f t="shared" ref="Q27:Q31" si="7">SUM(E27:P27)</f>
        <v>0</v>
      </c>
      <c r="R27" s="298">
        <f t="shared" ref="R27:R32" si="8">Q27/12</f>
        <v>0</v>
      </c>
    </row>
    <row r="28" spans="2:18" x14ac:dyDescent="0.2">
      <c r="B28" s="303">
        <v>3</v>
      </c>
      <c r="C28" s="289" t="s">
        <v>205</v>
      </c>
      <c r="D28" s="303">
        <v>5</v>
      </c>
      <c r="E28" s="304">
        <v>52355.26</v>
      </c>
      <c r="F28" s="304">
        <v>52647.329999999994</v>
      </c>
      <c r="G28" s="304">
        <v>50767.58</v>
      </c>
      <c r="H28" s="304">
        <v>51377</v>
      </c>
      <c r="I28" s="304">
        <v>52719.16</v>
      </c>
      <c r="J28" s="304">
        <v>55607.68</v>
      </c>
      <c r="K28" s="304">
        <v>56252.76</v>
      </c>
      <c r="L28" s="304">
        <v>58843.86</v>
      </c>
      <c r="M28" s="304">
        <v>59941.08</v>
      </c>
      <c r="N28" s="304">
        <v>65682.67</v>
      </c>
      <c r="O28" s="304">
        <v>58692.478999999999</v>
      </c>
      <c r="P28" s="304">
        <v>55158.946000000004</v>
      </c>
      <c r="Q28" s="298">
        <f t="shared" si="7"/>
        <v>670045.80500000005</v>
      </c>
      <c r="R28" s="298">
        <f t="shared" si="8"/>
        <v>55837.150416666671</v>
      </c>
    </row>
    <row r="29" spans="2:18" x14ac:dyDescent="0.2">
      <c r="B29" s="303">
        <v>4</v>
      </c>
      <c r="C29" s="289" t="s">
        <v>203</v>
      </c>
      <c r="D29" s="303">
        <v>7</v>
      </c>
      <c r="E29" s="304">
        <v>16953</v>
      </c>
      <c r="F29" s="304">
        <v>17029.8</v>
      </c>
      <c r="G29" s="304">
        <v>16299</v>
      </c>
      <c r="H29" s="304">
        <v>15497.8</v>
      </c>
      <c r="I29" s="304">
        <v>15853.4</v>
      </c>
      <c r="J29" s="304">
        <v>16175.6</v>
      </c>
      <c r="K29" s="304">
        <v>16329.8</v>
      </c>
      <c r="L29" s="304">
        <v>17242.8</v>
      </c>
      <c r="M29" s="304">
        <v>17257.400000000001</v>
      </c>
      <c r="N29" s="304">
        <v>16760.599999999999</v>
      </c>
      <c r="O29" s="304">
        <v>16353.8</v>
      </c>
      <c r="P29" s="304">
        <v>15215.8</v>
      </c>
      <c r="Q29" s="298">
        <f t="shared" si="7"/>
        <v>196968.8</v>
      </c>
      <c r="R29" s="298">
        <f t="shared" si="8"/>
        <v>16414.066666666666</v>
      </c>
    </row>
    <row r="30" spans="2:18" x14ac:dyDescent="0.2">
      <c r="B30" s="303">
        <v>5</v>
      </c>
      <c r="C30" s="289" t="s">
        <v>204</v>
      </c>
      <c r="D30" s="303">
        <v>15</v>
      </c>
      <c r="E30" s="304">
        <v>1001</v>
      </c>
      <c r="F30" s="304">
        <v>1001</v>
      </c>
      <c r="G30" s="304">
        <v>1001</v>
      </c>
      <c r="H30" s="304">
        <v>1001</v>
      </c>
      <c r="I30" s="304">
        <v>1001</v>
      </c>
      <c r="J30" s="304">
        <v>1001</v>
      </c>
      <c r="K30" s="304">
        <v>1001</v>
      </c>
      <c r="L30" s="304">
        <v>1001</v>
      </c>
      <c r="M30" s="304">
        <v>1001</v>
      </c>
      <c r="N30" s="304">
        <v>1001</v>
      </c>
      <c r="O30" s="304">
        <v>1001</v>
      </c>
      <c r="P30" s="304">
        <v>1001</v>
      </c>
      <c r="Q30" s="298">
        <f t="shared" si="7"/>
        <v>12012</v>
      </c>
      <c r="R30" s="298">
        <f t="shared" si="8"/>
        <v>1001</v>
      </c>
    </row>
    <row r="31" spans="2:18" x14ac:dyDescent="0.2">
      <c r="B31" s="303">
        <v>6</v>
      </c>
      <c r="C31" s="289" t="s">
        <v>167</v>
      </c>
      <c r="D31" s="303">
        <v>33</v>
      </c>
      <c r="E31" s="304">
        <v>791885</v>
      </c>
      <c r="F31" s="304">
        <v>792115</v>
      </c>
      <c r="G31" s="304">
        <v>755684</v>
      </c>
      <c r="H31" s="304">
        <v>751047</v>
      </c>
      <c r="I31" s="304">
        <v>740707</v>
      </c>
      <c r="J31" s="304">
        <v>720317</v>
      </c>
      <c r="K31" s="304">
        <v>688147</v>
      </c>
      <c r="L31" s="304">
        <v>702489</v>
      </c>
      <c r="M31" s="304">
        <v>701798</v>
      </c>
      <c r="N31" s="304">
        <v>689904</v>
      </c>
      <c r="O31" s="304">
        <v>691459</v>
      </c>
      <c r="P31" s="304">
        <v>685037</v>
      </c>
      <c r="Q31" s="298">
        <f t="shared" si="7"/>
        <v>8710589</v>
      </c>
      <c r="R31" s="298">
        <f t="shared" si="8"/>
        <v>725882.41666666663</v>
      </c>
    </row>
    <row r="32" spans="2:18" x14ac:dyDescent="0.2">
      <c r="B32" s="305"/>
      <c r="C32" s="306" t="s">
        <v>65</v>
      </c>
      <c r="D32" s="305"/>
      <c r="E32" s="307">
        <f t="shared" ref="E32:Q32" si="9">SUM(E26:E31)</f>
        <v>862194.26</v>
      </c>
      <c r="F32" s="307">
        <f t="shared" si="9"/>
        <v>862793.13</v>
      </c>
      <c r="G32" s="307">
        <f t="shared" si="9"/>
        <v>823751.58</v>
      </c>
      <c r="H32" s="307">
        <f t="shared" si="9"/>
        <v>818922.8</v>
      </c>
      <c r="I32" s="307">
        <f t="shared" si="9"/>
        <v>810280.56</v>
      </c>
      <c r="J32" s="307">
        <f t="shared" si="9"/>
        <v>793101.28</v>
      </c>
      <c r="K32" s="307">
        <f t="shared" si="9"/>
        <v>761730.56000000006</v>
      </c>
      <c r="L32" s="307">
        <f t="shared" si="9"/>
        <v>779576.66</v>
      </c>
      <c r="M32" s="307">
        <f t="shared" si="9"/>
        <v>779997.48</v>
      </c>
      <c r="N32" s="307">
        <f t="shared" si="9"/>
        <v>773348.27</v>
      </c>
      <c r="O32" s="307">
        <f t="shared" si="9"/>
        <v>767506.27899999998</v>
      </c>
      <c r="P32" s="307">
        <f t="shared" si="9"/>
        <v>756412.74600000004</v>
      </c>
      <c r="Q32" s="307">
        <f t="shared" si="9"/>
        <v>9589615.6050000004</v>
      </c>
      <c r="R32" s="307">
        <f t="shared" si="8"/>
        <v>799134.63375000004</v>
      </c>
    </row>
    <row r="33" spans="2:18" x14ac:dyDescent="0.2">
      <c r="C33" s="289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R33" s="308"/>
    </row>
    <row r="35" spans="2:18" x14ac:dyDescent="0.2">
      <c r="B35" s="300" t="s">
        <v>189</v>
      </c>
    </row>
    <row r="36" spans="2:18" x14ac:dyDescent="0.2">
      <c r="E36" s="301" t="s">
        <v>176</v>
      </c>
      <c r="F36" s="301" t="s">
        <v>177</v>
      </c>
      <c r="G36" s="301" t="s">
        <v>178</v>
      </c>
      <c r="H36" s="301" t="s">
        <v>179</v>
      </c>
      <c r="I36" s="301" t="s">
        <v>139</v>
      </c>
      <c r="J36" s="301" t="s">
        <v>180</v>
      </c>
      <c r="K36" s="301" t="s">
        <v>181</v>
      </c>
      <c r="L36" s="301" t="s">
        <v>182</v>
      </c>
      <c r="M36" s="301" t="s">
        <v>183</v>
      </c>
      <c r="N36" s="301" t="s">
        <v>184</v>
      </c>
      <c r="O36" s="301" t="s">
        <v>185</v>
      </c>
      <c r="P36" s="301" t="s">
        <v>186</v>
      </c>
      <c r="Q36" s="301" t="s">
        <v>65</v>
      </c>
      <c r="R36" s="302" t="s">
        <v>140</v>
      </c>
    </row>
    <row r="37" spans="2:18" x14ac:dyDescent="0.2">
      <c r="B37" s="303">
        <v>1</v>
      </c>
      <c r="C37" s="289" t="s">
        <v>172</v>
      </c>
      <c r="D37" s="303">
        <v>1</v>
      </c>
      <c r="E37" s="304">
        <v>212416.46</v>
      </c>
      <c r="F37" s="304">
        <v>2314</v>
      </c>
      <c r="G37" s="304">
        <v>87112.21</v>
      </c>
      <c r="H37" s="304">
        <v>16535.88</v>
      </c>
      <c r="I37" s="304">
        <v>32100.87</v>
      </c>
      <c r="J37" s="304">
        <v>-1419.55</v>
      </c>
      <c r="K37" s="304">
        <v>111398.39</v>
      </c>
      <c r="L37" s="304">
        <v>9406.5700000000015</v>
      </c>
      <c r="M37" s="304">
        <v>-69217.829999999987</v>
      </c>
      <c r="N37" s="304">
        <v>28929.02</v>
      </c>
      <c r="O37" s="304">
        <v>48525.83</v>
      </c>
      <c r="P37" s="304">
        <v>84331.62</v>
      </c>
      <c r="Q37" s="298">
        <f>SUM(E37:P37)</f>
        <v>562433.47</v>
      </c>
      <c r="R37" s="298">
        <f>Q37/12</f>
        <v>46869.455833333333</v>
      </c>
    </row>
    <row r="38" spans="2:18" x14ac:dyDescent="0.2">
      <c r="B38" s="303">
        <v>2</v>
      </c>
      <c r="C38" s="289" t="s">
        <v>173</v>
      </c>
      <c r="D38" s="303">
        <v>3</v>
      </c>
      <c r="E38" s="304">
        <v>29679.200000000001</v>
      </c>
      <c r="F38" s="304">
        <v>308.17</v>
      </c>
      <c r="G38" s="304">
        <v>12248.69</v>
      </c>
      <c r="H38" s="304">
        <v>2742.67</v>
      </c>
      <c r="I38" s="304">
        <v>6611.43</v>
      </c>
      <c r="J38" s="304">
        <v>-266.64</v>
      </c>
      <c r="K38" s="304">
        <v>20424.309999999998</v>
      </c>
      <c r="L38" s="304">
        <v>1629.45</v>
      </c>
      <c r="M38" s="304">
        <v>-12732.62</v>
      </c>
      <c r="N38" s="304">
        <v>6141.8499999999995</v>
      </c>
      <c r="O38" s="304">
        <v>9409.92</v>
      </c>
      <c r="P38" s="304">
        <v>12678.83</v>
      </c>
      <c r="Q38" s="298">
        <f t="shared" ref="Q38:Q42" si="10">SUM(E38:P38)</f>
        <v>88875.25999999998</v>
      </c>
      <c r="R38" s="298">
        <f t="shared" ref="R38:R43" si="11">Q38/12</f>
        <v>7406.2716666666647</v>
      </c>
    </row>
    <row r="39" spans="2:18" x14ac:dyDescent="0.2">
      <c r="B39" s="303">
        <v>3</v>
      </c>
      <c r="C39" s="289" t="s">
        <v>205</v>
      </c>
      <c r="D39" s="303">
        <v>5</v>
      </c>
      <c r="E39" s="304">
        <v>48186.91</v>
      </c>
      <c r="F39" s="304">
        <v>472.28000000000003</v>
      </c>
      <c r="G39" s="304">
        <v>20228.89</v>
      </c>
      <c r="H39" s="304">
        <v>4751.2299999999996</v>
      </c>
      <c r="I39" s="304">
        <v>11869.84</v>
      </c>
      <c r="J39" s="304">
        <v>-431.71</v>
      </c>
      <c r="K39" s="304">
        <v>29290.03</v>
      </c>
      <c r="L39" s="304">
        <v>2354.94</v>
      </c>
      <c r="M39" s="304">
        <v>-19228.599999999999</v>
      </c>
      <c r="N39" s="304">
        <v>9321.75</v>
      </c>
      <c r="O39" s="304">
        <v>15424.949999999999</v>
      </c>
      <c r="P39" s="304">
        <v>20676.22</v>
      </c>
      <c r="Q39" s="298">
        <f t="shared" si="10"/>
        <v>142916.72999999998</v>
      </c>
      <c r="R39" s="298">
        <f t="shared" si="11"/>
        <v>11909.727499999999</v>
      </c>
    </row>
    <row r="40" spans="2:18" x14ac:dyDescent="0.2">
      <c r="B40" s="303">
        <v>4</v>
      </c>
      <c r="C40" s="289" t="s">
        <v>203</v>
      </c>
      <c r="D40" s="303">
        <v>7</v>
      </c>
      <c r="E40" s="304">
        <v>24421.15</v>
      </c>
      <c r="F40" s="304">
        <v>244.17</v>
      </c>
      <c r="G40" s="304">
        <v>10427.77</v>
      </c>
      <c r="H40" s="304">
        <v>2357.5499999999997</v>
      </c>
      <c r="I40" s="304">
        <v>6268.91</v>
      </c>
      <c r="J40" s="304">
        <v>-211.87</v>
      </c>
      <c r="K40" s="304">
        <v>14606.789999999999</v>
      </c>
      <c r="L40" s="304">
        <v>1143.8600000000001</v>
      </c>
      <c r="M40" s="304">
        <v>-9241.9</v>
      </c>
      <c r="N40" s="304">
        <v>4202.4299999999994</v>
      </c>
      <c r="O40" s="304">
        <v>8065.7599999999993</v>
      </c>
      <c r="P40" s="304">
        <v>9820.9399999999987</v>
      </c>
      <c r="Q40" s="298">
        <f t="shared" si="10"/>
        <v>72105.56</v>
      </c>
      <c r="R40" s="298">
        <f t="shared" si="11"/>
        <v>6008.7966666666662</v>
      </c>
    </row>
    <row r="41" spans="2:18" x14ac:dyDescent="0.2">
      <c r="B41" s="303">
        <v>5</v>
      </c>
      <c r="C41" s="289" t="s">
        <v>204</v>
      </c>
      <c r="D41" s="303">
        <v>15</v>
      </c>
      <c r="E41" s="304">
        <v>521.09</v>
      </c>
      <c r="F41" s="304">
        <v>6.46</v>
      </c>
      <c r="G41" s="304">
        <v>259.64999999999998</v>
      </c>
      <c r="H41" s="304">
        <v>45.67</v>
      </c>
      <c r="I41" s="304">
        <v>123.74</v>
      </c>
      <c r="J41" s="304">
        <v>-2.88</v>
      </c>
      <c r="K41" s="304">
        <v>179.36</v>
      </c>
      <c r="L41" s="304">
        <v>18.54</v>
      </c>
      <c r="M41" s="304">
        <v>-194.04</v>
      </c>
      <c r="N41" s="304">
        <v>96.26</v>
      </c>
      <c r="O41" s="304">
        <v>152.29</v>
      </c>
      <c r="P41" s="304">
        <v>228.87</v>
      </c>
      <c r="Q41" s="298">
        <f t="shared" si="10"/>
        <v>1435.0100000000002</v>
      </c>
      <c r="R41" s="298">
        <f t="shared" si="11"/>
        <v>119.58416666666669</v>
      </c>
    </row>
    <row r="42" spans="2:18" x14ac:dyDescent="0.2">
      <c r="B42" s="303">
        <v>6</v>
      </c>
      <c r="C42" s="289" t="s">
        <v>167</v>
      </c>
      <c r="D42" s="303">
        <v>33</v>
      </c>
      <c r="E42" s="304">
        <v>2679.02</v>
      </c>
      <c r="F42" s="304">
        <v>0.05</v>
      </c>
      <c r="G42" s="304">
        <v>1143.21</v>
      </c>
      <c r="H42" s="304">
        <v>245.56</v>
      </c>
      <c r="I42" s="304">
        <v>697.61</v>
      </c>
      <c r="J42" s="304">
        <v>-2.61</v>
      </c>
      <c r="K42" s="304">
        <v>1459.84</v>
      </c>
      <c r="L42" s="304">
        <v>91.34</v>
      </c>
      <c r="M42" s="304">
        <v>-794.62</v>
      </c>
      <c r="N42" s="304">
        <v>417.98</v>
      </c>
      <c r="O42" s="304">
        <v>780.95</v>
      </c>
      <c r="P42" s="304">
        <v>1101.0999999999999</v>
      </c>
      <c r="Q42" s="298">
        <f t="shared" si="10"/>
        <v>7819.43</v>
      </c>
      <c r="R42" s="298">
        <f t="shared" si="11"/>
        <v>651.61916666666673</v>
      </c>
    </row>
    <row r="43" spans="2:18" x14ac:dyDescent="0.2">
      <c r="B43" s="305"/>
      <c r="C43" s="306" t="s">
        <v>65</v>
      </c>
      <c r="D43" s="305"/>
      <c r="E43" s="307">
        <f t="shared" ref="E43:Q43" si="12">SUM(E37:E42)</f>
        <v>317903.83000000007</v>
      </c>
      <c r="F43" s="307">
        <f t="shared" si="12"/>
        <v>3345.1300000000006</v>
      </c>
      <c r="G43" s="307">
        <f t="shared" si="12"/>
        <v>131420.42000000001</v>
      </c>
      <c r="H43" s="307">
        <f t="shared" si="12"/>
        <v>26678.560000000001</v>
      </c>
      <c r="I43" s="307">
        <f t="shared" si="12"/>
        <v>57672.4</v>
      </c>
      <c r="J43" s="307">
        <f t="shared" si="12"/>
        <v>-2335.2600000000002</v>
      </c>
      <c r="K43" s="307">
        <f t="shared" si="12"/>
        <v>177358.72</v>
      </c>
      <c r="L43" s="307">
        <f t="shared" si="12"/>
        <v>14644.700000000004</v>
      </c>
      <c r="M43" s="307">
        <f t="shared" si="12"/>
        <v>-111409.60999999997</v>
      </c>
      <c r="N43" s="307">
        <f t="shared" si="12"/>
        <v>49109.290000000008</v>
      </c>
      <c r="O43" s="307">
        <f t="shared" si="12"/>
        <v>82359.699999999983</v>
      </c>
      <c r="P43" s="307">
        <f t="shared" si="12"/>
        <v>128837.58</v>
      </c>
      <c r="Q43" s="307">
        <f t="shared" si="12"/>
        <v>875585.46000000008</v>
      </c>
      <c r="R43" s="307">
        <f t="shared" si="11"/>
        <v>72965.455000000002</v>
      </c>
    </row>
    <row r="44" spans="2:18" x14ac:dyDescent="0.2"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</row>
    <row r="45" spans="2:18" x14ac:dyDescent="0.2">
      <c r="B45" s="300" t="s">
        <v>190</v>
      </c>
    </row>
    <row r="46" spans="2:18" x14ac:dyDescent="0.2">
      <c r="E46" s="301" t="s">
        <v>176</v>
      </c>
      <c r="F46" s="301" t="s">
        <v>177</v>
      </c>
      <c r="G46" s="301" t="s">
        <v>178</v>
      </c>
      <c r="H46" s="301" t="s">
        <v>179</v>
      </c>
      <c r="I46" s="301" t="s">
        <v>139</v>
      </c>
      <c r="J46" s="301" t="s">
        <v>180</v>
      </c>
      <c r="K46" s="301" t="s">
        <v>181</v>
      </c>
      <c r="L46" s="301" t="s">
        <v>182</v>
      </c>
      <c r="M46" s="301" t="s">
        <v>183</v>
      </c>
      <c r="N46" s="301" t="s">
        <v>184</v>
      </c>
      <c r="O46" s="301" t="s">
        <v>185</v>
      </c>
      <c r="P46" s="301" t="s">
        <v>186</v>
      </c>
      <c r="Q46" s="301" t="s">
        <v>65</v>
      </c>
      <c r="R46" s="302" t="s">
        <v>140</v>
      </c>
    </row>
    <row r="47" spans="2:18" x14ac:dyDescent="0.2">
      <c r="B47" s="303">
        <v>1</v>
      </c>
      <c r="C47" s="289" t="s">
        <v>172</v>
      </c>
      <c r="D47" s="303">
        <v>1</v>
      </c>
      <c r="E47" s="304">
        <v>579123.51</v>
      </c>
      <c r="F47" s="304">
        <v>536469</v>
      </c>
      <c r="G47" s="304">
        <v>504237.51</v>
      </c>
      <c r="H47" s="304">
        <v>342091.85</v>
      </c>
      <c r="I47" s="304">
        <v>314413.27999999997</v>
      </c>
      <c r="J47" s="304">
        <v>403096.35</v>
      </c>
      <c r="K47" s="304">
        <v>523694.32999999996</v>
      </c>
      <c r="L47" s="304">
        <v>480249.16</v>
      </c>
      <c r="M47" s="304">
        <v>372131.99</v>
      </c>
      <c r="N47" s="304">
        <v>368792.56</v>
      </c>
      <c r="O47" s="304">
        <v>271566.17</v>
      </c>
      <c r="P47" s="304">
        <v>392071.48000000004</v>
      </c>
      <c r="Q47" s="298">
        <f>SUM(E47:P47)</f>
        <v>5087937.1900000004</v>
      </c>
      <c r="R47" s="298">
        <f>Q47/12</f>
        <v>423994.76583333337</v>
      </c>
    </row>
    <row r="48" spans="2:18" x14ac:dyDescent="0.2">
      <c r="B48" s="303">
        <v>2</v>
      </c>
      <c r="C48" s="289" t="s">
        <v>173</v>
      </c>
      <c r="D48" s="303">
        <v>3</v>
      </c>
      <c r="E48" s="304">
        <v>80913.39</v>
      </c>
      <c r="F48" s="304">
        <v>72799.47</v>
      </c>
      <c r="G48" s="304">
        <v>70078.16</v>
      </c>
      <c r="H48" s="304">
        <v>56768.929999999993</v>
      </c>
      <c r="I48" s="304">
        <v>64762.36</v>
      </c>
      <c r="J48" s="304">
        <v>77935.990000000005</v>
      </c>
      <c r="K48" s="304">
        <v>96017.040000000008</v>
      </c>
      <c r="L48" s="304">
        <v>83269.37</v>
      </c>
      <c r="M48" s="304">
        <v>68467.240000000005</v>
      </c>
      <c r="N48" s="304">
        <v>78310.11</v>
      </c>
      <c r="O48" s="304">
        <v>52668.350000000006</v>
      </c>
      <c r="P48" s="304">
        <v>58943.43</v>
      </c>
      <c r="Q48" s="298">
        <f t="shared" ref="Q48:Q52" si="13">SUM(E48:P48)</f>
        <v>860933.84</v>
      </c>
      <c r="R48" s="298">
        <f t="shared" ref="R48:R53" si="14">Q48/12</f>
        <v>71744.486666666664</v>
      </c>
    </row>
    <row r="49" spans="2:18" x14ac:dyDescent="0.2">
      <c r="B49" s="303">
        <v>3</v>
      </c>
      <c r="C49" s="289" t="s">
        <v>205</v>
      </c>
      <c r="D49" s="303">
        <v>5</v>
      </c>
      <c r="E49" s="304">
        <v>131373.42000000001</v>
      </c>
      <c r="F49" s="304">
        <v>115425.31999999999</v>
      </c>
      <c r="G49" s="304">
        <v>116932.6</v>
      </c>
      <c r="H49" s="304">
        <v>98283.22</v>
      </c>
      <c r="I49" s="304">
        <v>116261.77</v>
      </c>
      <c r="J49" s="304">
        <v>122268.58</v>
      </c>
      <c r="K49" s="304">
        <v>137750.51999999999</v>
      </c>
      <c r="L49" s="304">
        <v>120254.5</v>
      </c>
      <c r="M49" s="304">
        <v>103379.97</v>
      </c>
      <c r="N49" s="304">
        <v>118822.08</v>
      </c>
      <c r="O49" s="304">
        <v>86323.51</v>
      </c>
      <c r="P49" s="304">
        <v>96127.12</v>
      </c>
      <c r="Q49" s="298">
        <f t="shared" si="13"/>
        <v>1363202.6099999999</v>
      </c>
      <c r="R49" s="298">
        <f t="shared" si="14"/>
        <v>113600.21749999998</v>
      </c>
    </row>
    <row r="50" spans="2:18" x14ac:dyDescent="0.2">
      <c r="B50" s="303">
        <v>4</v>
      </c>
      <c r="C50" s="289" t="s">
        <v>203</v>
      </c>
      <c r="D50" s="303">
        <v>7</v>
      </c>
      <c r="E50" s="304">
        <v>66580.039999999994</v>
      </c>
      <c r="F50" s="304">
        <v>57097.49</v>
      </c>
      <c r="G50" s="304">
        <v>60277.96</v>
      </c>
      <c r="H50" s="304">
        <v>48766.78</v>
      </c>
      <c r="I50" s="304">
        <v>61401.55</v>
      </c>
      <c r="J50" s="304">
        <v>59992.09</v>
      </c>
      <c r="K50" s="304">
        <v>68667.66</v>
      </c>
      <c r="L50" s="304">
        <v>58412.469999999994</v>
      </c>
      <c r="M50" s="304">
        <v>49688.1</v>
      </c>
      <c r="N50" s="304">
        <v>53575.22</v>
      </c>
      <c r="O50" s="304">
        <v>45138.6</v>
      </c>
      <c r="P50" s="304">
        <v>45659.479999999996</v>
      </c>
      <c r="Q50" s="298">
        <f t="shared" si="13"/>
        <v>675257.44</v>
      </c>
      <c r="R50" s="298">
        <f t="shared" si="14"/>
        <v>56271.453333333331</v>
      </c>
    </row>
    <row r="51" spans="2:18" x14ac:dyDescent="0.2">
      <c r="B51" s="303">
        <v>5</v>
      </c>
      <c r="C51" s="289" t="s">
        <v>204</v>
      </c>
      <c r="D51" s="303">
        <v>15</v>
      </c>
      <c r="E51" s="304">
        <v>1420.66</v>
      </c>
      <c r="F51" s="304">
        <v>1511.54</v>
      </c>
      <c r="G51" s="304">
        <v>1500.91</v>
      </c>
      <c r="H51" s="304">
        <v>944.68</v>
      </c>
      <c r="I51" s="304">
        <v>1211.96</v>
      </c>
      <c r="J51" s="304">
        <v>815.94</v>
      </c>
      <c r="K51" s="304">
        <v>843.18</v>
      </c>
      <c r="L51" s="304">
        <v>946.8</v>
      </c>
      <c r="M51" s="304">
        <v>1043.22</v>
      </c>
      <c r="N51" s="304">
        <v>1227.19</v>
      </c>
      <c r="O51" s="304">
        <v>852.24</v>
      </c>
      <c r="P51" s="304">
        <v>1064.05</v>
      </c>
      <c r="Q51" s="298">
        <f t="shared" si="13"/>
        <v>13382.369999999999</v>
      </c>
      <c r="R51" s="298">
        <f t="shared" si="14"/>
        <v>1115.1975</v>
      </c>
    </row>
    <row r="52" spans="2:18" x14ac:dyDescent="0.2">
      <c r="B52" s="303">
        <v>6</v>
      </c>
      <c r="C52" s="289" t="s">
        <v>167</v>
      </c>
      <c r="D52" s="303">
        <v>33</v>
      </c>
      <c r="E52" s="304">
        <v>7300.89</v>
      </c>
      <c r="F52" s="304">
        <v>5950.41</v>
      </c>
      <c r="G52" s="304">
        <v>6673.87</v>
      </c>
      <c r="H52" s="304">
        <v>5645.5199999999995</v>
      </c>
      <c r="I52" s="304">
        <v>6587.47</v>
      </c>
      <c r="J52" s="304">
        <v>6176.78</v>
      </c>
      <c r="K52" s="304">
        <v>6671.57</v>
      </c>
      <c r="L52" s="304">
        <v>5356.37</v>
      </c>
      <c r="M52" s="304">
        <v>4490.18</v>
      </c>
      <c r="N52" s="304">
        <v>5064.41</v>
      </c>
      <c r="O52" s="304">
        <v>4527.55</v>
      </c>
      <c r="P52" s="304">
        <v>5109.8900000000003</v>
      </c>
      <c r="Q52" s="298">
        <f t="shared" si="13"/>
        <v>69554.91</v>
      </c>
      <c r="R52" s="298">
        <f t="shared" si="14"/>
        <v>5796.2425000000003</v>
      </c>
    </row>
    <row r="53" spans="2:18" x14ac:dyDescent="0.2">
      <c r="B53" s="305"/>
      <c r="C53" s="306" t="s">
        <v>65</v>
      </c>
      <c r="D53" s="305"/>
      <c r="E53" s="307">
        <f t="shared" ref="E53:Q53" si="15">SUM(E47:E52)</f>
        <v>866711.91000000015</v>
      </c>
      <c r="F53" s="307">
        <f t="shared" si="15"/>
        <v>789253.23</v>
      </c>
      <c r="G53" s="307">
        <f t="shared" si="15"/>
        <v>759701.01</v>
      </c>
      <c r="H53" s="307">
        <f t="shared" si="15"/>
        <v>552500.9800000001</v>
      </c>
      <c r="I53" s="307">
        <f t="shared" si="15"/>
        <v>564638.3899999999</v>
      </c>
      <c r="J53" s="307">
        <f t="shared" si="15"/>
        <v>670285.72999999986</v>
      </c>
      <c r="K53" s="307">
        <f t="shared" si="15"/>
        <v>833644.3</v>
      </c>
      <c r="L53" s="307">
        <f t="shared" si="15"/>
        <v>748488.67</v>
      </c>
      <c r="M53" s="307">
        <f t="shared" si="15"/>
        <v>599200.69999999995</v>
      </c>
      <c r="N53" s="307">
        <f t="shared" si="15"/>
        <v>625791.56999999995</v>
      </c>
      <c r="O53" s="307">
        <f t="shared" si="15"/>
        <v>461076.42</v>
      </c>
      <c r="P53" s="307">
        <f t="shared" si="15"/>
        <v>598975.45000000007</v>
      </c>
      <c r="Q53" s="307">
        <f t="shared" si="15"/>
        <v>8070268.3600000003</v>
      </c>
      <c r="R53" s="307">
        <f t="shared" si="14"/>
        <v>672522.3633333334</v>
      </c>
    </row>
    <row r="54" spans="2:18" x14ac:dyDescent="0.2"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</row>
    <row r="55" spans="2:18" x14ac:dyDescent="0.2">
      <c r="B55" s="300" t="s">
        <v>191</v>
      </c>
    </row>
    <row r="56" spans="2:18" x14ac:dyDescent="0.2">
      <c r="E56" s="301" t="s">
        <v>176</v>
      </c>
      <c r="F56" s="301" t="s">
        <v>177</v>
      </c>
      <c r="G56" s="301" t="s">
        <v>178</v>
      </c>
      <c r="H56" s="301" t="s">
        <v>179</v>
      </c>
      <c r="I56" s="301" t="s">
        <v>139</v>
      </c>
      <c r="J56" s="301" t="s">
        <v>180</v>
      </c>
      <c r="K56" s="301" t="s">
        <v>181</v>
      </c>
      <c r="L56" s="301" t="s">
        <v>182</v>
      </c>
      <c r="M56" s="301" t="s">
        <v>183</v>
      </c>
      <c r="N56" s="301" t="s">
        <v>184</v>
      </c>
      <c r="O56" s="301" t="s">
        <v>185</v>
      </c>
      <c r="P56" s="301" t="s">
        <v>186</v>
      </c>
      <c r="Q56" s="301" t="s">
        <v>65</v>
      </c>
      <c r="R56" s="302" t="s">
        <v>140</v>
      </c>
    </row>
    <row r="57" spans="2:18" x14ac:dyDescent="0.2">
      <c r="B57" s="303">
        <v>1</v>
      </c>
      <c r="C57" s="289" t="s">
        <v>172</v>
      </c>
      <c r="D57" s="303">
        <v>1</v>
      </c>
      <c r="E57" s="304">
        <v>-173702.11</v>
      </c>
      <c r="F57" s="304">
        <v>-179395</v>
      </c>
      <c r="G57" s="304">
        <v>-144065.31</v>
      </c>
      <c r="H57" s="304">
        <v>-189727.64</v>
      </c>
      <c r="I57" s="304">
        <v>-240078.4</v>
      </c>
      <c r="J57" s="304">
        <v>-401876.85</v>
      </c>
      <c r="K57" s="304">
        <v>-497262.92</v>
      </c>
      <c r="L57" s="304">
        <v>-331326.80000000005</v>
      </c>
      <c r="M57" s="304">
        <v>-249003.24</v>
      </c>
      <c r="N57" s="304">
        <v>-255782.01</v>
      </c>
      <c r="O57" s="304">
        <v>-271700.92</v>
      </c>
      <c r="P57" s="304">
        <v>-461087.62</v>
      </c>
      <c r="Q57" s="298">
        <f>SUM(E57:P57)</f>
        <v>-3395008.8200000003</v>
      </c>
      <c r="R57" s="298">
        <f>Q57/12</f>
        <v>-282917.40166666667</v>
      </c>
    </row>
    <row r="58" spans="2:18" x14ac:dyDescent="0.2">
      <c r="B58" s="303">
        <v>2</v>
      </c>
      <c r="C58" s="289" t="s">
        <v>173</v>
      </c>
      <c r="D58" s="303">
        <v>3</v>
      </c>
      <c r="E58" s="304">
        <v>-24269.37</v>
      </c>
      <c r="F58" s="304">
        <v>-24343.599999999999</v>
      </c>
      <c r="G58" s="304">
        <v>-20258.080000000002</v>
      </c>
      <c r="H58" s="304">
        <v>-31484.129999999997</v>
      </c>
      <c r="I58" s="304">
        <v>-49453.15</v>
      </c>
      <c r="J58" s="304">
        <v>-77688.87</v>
      </c>
      <c r="K58" s="304">
        <v>-91170.505000000005</v>
      </c>
      <c r="L58" s="304">
        <v>-57447.15</v>
      </c>
      <c r="M58" s="304">
        <v>-45813.53</v>
      </c>
      <c r="N58" s="304">
        <v>-54312.57</v>
      </c>
      <c r="O58" s="304">
        <v>-52693.48</v>
      </c>
      <c r="P58" s="304">
        <v>-69316.87999999999</v>
      </c>
      <c r="Q58" s="298">
        <f t="shared" ref="Q58:Q62" si="16">SUM(E58:P58)</f>
        <v>-598251.31500000006</v>
      </c>
      <c r="R58" s="298">
        <f t="shared" ref="R58:R63" si="17">Q58/12</f>
        <v>-49854.276250000003</v>
      </c>
    </row>
    <row r="59" spans="2:18" x14ac:dyDescent="0.2">
      <c r="B59" s="303">
        <v>3</v>
      </c>
      <c r="C59" s="289" t="s">
        <v>205</v>
      </c>
      <c r="D59" s="303">
        <v>5</v>
      </c>
      <c r="E59" s="304">
        <v>-39404.18</v>
      </c>
      <c r="F59" s="304">
        <v>-38600.94</v>
      </c>
      <c r="G59" s="304">
        <v>-33454.199999999997</v>
      </c>
      <c r="H59" s="304">
        <v>-54508.9</v>
      </c>
      <c r="I59" s="304">
        <v>-88774.96</v>
      </c>
      <c r="J59" s="304">
        <v>-121899.54</v>
      </c>
      <c r="K59" s="304">
        <v>-130772.53</v>
      </c>
      <c r="L59" s="304">
        <v>-82963.899999999994</v>
      </c>
      <c r="M59" s="304">
        <v>-69174.23</v>
      </c>
      <c r="N59" s="304">
        <v>-82410.95</v>
      </c>
      <c r="O59" s="304">
        <v>-86365.069999999992</v>
      </c>
      <c r="P59" s="304">
        <v>-113048.1</v>
      </c>
      <c r="Q59" s="298">
        <f t="shared" si="16"/>
        <v>-941377.49999999988</v>
      </c>
      <c r="R59" s="298">
        <f t="shared" si="17"/>
        <v>-78448.124999999985</v>
      </c>
    </row>
    <row r="60" spans="2:18" x14ac:dyDescent="0.2">
      <c r="B60" s="303">
        <v>4</v>
      </c>
      <c r="C60" s="289" t="s">
        <v>203</v>
      </c>
      <c r="D60" s="303">
        <v>7</v>
      </c>
      <c r="E60" s="304">
        <v>-19970.009999999998</v>
      </c>
      <c r="F60" s="304">
        <v>-19093.739999999998</v>
      </c>
      <c r="G60" s="304">
        <v>-17245.39</v>
      </c>
      <c r="H60" s="304">
        <v>-27046.57</v>
      </c>
      <c r="I60" s="304">
        <v>-46884.840000000004</v>
      </c>
      <c r="J60" s="304">
        <v>-59810.92</v>
      </c>
      <c r="K60" s="304">
        <v>-65201.779999999992</v>
      </c>
      <c r="L60" s="304">
        <v>-40298.810000000005</v>
      </c>
      <c r="M60" s="304">
        <v>-33247.56</v>
      </c>
      <c r="N60" s="304">
        <v>-37157.89</v>
      </c>
      <c r="O60" s="304">
        <v>-45160.31</v>
      </c>
      <c r="P60" s="304">
        <v>-53696.75</v>
      </c>
      <c r="Q60" s="298">
        <f t="shared" si="16"/>
        <v>-464814.57</v>
      </c>
      <c r="R60" s="298">
        <f t="shared" si="17"/>
        <v>-38734.547500000001</v>
      </c>
    </row>
    <row r="61" spans="2:18" x14ac:dyDescent="0.2">
      <c r="B61" s="303">
        <v>5</v>
      </c>
      <c r="C61" s="289" t="s">
        <v>204</v>
      </c>
      <c r="D61" s="303">
        <v>15</v>
      </c>
      <c r="E61" s="304">
        <v>-426.11</v>
      </c>
      <c r="F61" s="304">
        <v>-505.47</v>
      </c>
      <c r="G61" s="304">
        <v>-429.41</v>
      </c>
      <c r="H61" s="304">
        <v>-523.92999999999995</v>
      </c>
      <c r="I61" s="304">
        <v>-925.42</v>
      </c>
      <c r="J61" s="304">
        <v>-813.47</v>
      </c>
      <c r="K61" s="304">
        <v>-800.62</v>
      </c>
      <c r="L61" s="304">
        <v>-653.20000000000005</v>
      </c>
      <c r="M61" s="304">
        <v>-698.04</v>
      </c>
      <c r="N61" s="304">
        <v>-851.13</v>
      </c>
      <c r="O61" s="304">
        <v>-852.65</v>
      </c>
      <c r="P61" s="304">
        <v>-1251.3499999999999</v>
      </c>
      <c r="Q61" s="298">
        <f t="shared" si="16"/>
        <v>-8730.7999999999993</v>
      </c>
      <c r="R61" s="298">
        <f t="shared" si="17"/>
        <v>-727.56666666666661</v>
      </c>
    </row>
    <row r="62" spans="2:18" x14ac:dyDescent="0.2">
      <c r="B62" s="303">
        <v>6</v>
      </c>
      <c r="C62" s="289" t="s">
        <v>167</v>
      </c>
      <c r="D62" s="303">
        <v>33</v>
      </c>
      <c r="E62" s="304">
        <v>-2210.3199999999997</v>
      </c>
      <c r="F62" s="304">
        <v>-1963.61</v>
      </c>
      <c r="G62" s="304">
        <v>-1924.6</v>
      </c>
      <c r="H62" s="304">
        <v>-3072.41</v>
      </c>
      <c r="I62" s="304">
        <v>-5009.3100000000004</v>
      </c>
      <c r="J62" s="304">
        <v>-6181.43</v>
      </c>
      <c r="K62" s="304">
        <v>-6336.7300000000005</v>
      </c>
      <c r="L62" s="304">
        <v>-3710.71</v>
      </c>
      <c r="M62" s="304">
        <v>-3010.48</v>
      </c>
      <c r="N62" s="304">
        <v>-3463.79</v>
      </c>
      <c r="O62" s="304">
        <v>-4528</v>
      </c>
      <c r="P62" s="304">
        <v>-5983.67</v>
      </c>
      <c r="Q62" s="298">
        <f t="shared" si="16"/>
        <v>-47395.06</v>
      </c>
      <c r="R62" s="298">
        <f t="shared" si="17"/>
        <v>-3949.5883333333331</v>
      </c>
    </row>
    <row r="63" spans="2:18" x14ac:dyDescent="0.2">
      <c r="B63" s="305"/>
      <c r="C63" s="306" t="s">
        <v>65</v>
      </c>
      <c r="D63" s="305"/>
      <c r="E63" s="307">
        <f t="shared" ref="E63:Q63" si="18">SUM(E57:E62)</f>
        <v>-259982.09999999998</v>
      </c>
      <c r="F63" s="307">
        <f t="shared" si="18"/>
        <v>-263902.36</v>
      </c>
      <c r="G63" s="307">
        <f t="shared" si="18"/>
        <v>-217376.99000000005</v>
      </c>
      <c r="H63" s="307">
        <f t="shared" si="18"/>
        <v>-306363.58</v>
      </c>
      <c r="I63" s="307">
        <f t="shared" si="18"/>
        <v>-431126.08</v>
      </c>
      <c r="J63" s="307">
        <f t="shared" si="18"/>
        <v>-668271.08000000007</v>
      </c>
      <c r="K63" s="307">
        <f t="shared" si="18"/>
        <v>-791545.08500000008</v>
      </c>
      <c r="L63" s="307">
        <f t="shared" si="18"/>
        <v>-516400.57000000012</v>
      </c>
      <c r="M63" s="307">
        <f t="shared" si="18"/>
        <v>-400947.07999999996</v>
      </c>
      <c r="N63" s="307">
        <f t="shared" si="18"/>
        <v>-433978.34</v>
      </c>
      <c r="O63" s="307">
        <f t="shared" si="18"/>
        <v>-461300.43</v>
      </c>
      <c r="P63" s="307">
        <f t="shared" si="18"/>
        <v>-704384.37</v>
      </c>
      <c r="Q63" s="307">
        <f t="shared" si="18"/>
        <v>-5455578.0649999995</v>
      </c>
      <c r="R63" s="307">
        <f t="shared" si="17"/>
        <v>-454631.50541666662</v>
      </c>
    </row>
    <row r="64" spans="2:18" x14ac:dyDescent="0.2"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</row>
    <row r="65" spans="2:18" x14ac:dyDescent="0.2">
      <c r="B65" s="300" t="s">
        <v>192</v>
      </c>
    </row>
    <row r="66" spans="2:18" x14ac:dyDescent="0.2">
      <c r="E66" s="301" t="s">
        <v>176</v>
      </c>
      <c r="F66" s="301" t="s">
        <v>177</v>
      </c>
      <c r="G66" s="301" t="s">
        <v>178</v>
      </c>
      <c r="H66" s="301" t="s">
        <v>179</v>
      </c>
      <c r="I66" s="301" t="s">
        <v>139</v>
      </c>
      <c r="J66" s="301" t="s">
        <v>180</v>
      </c>
      <c r="K66" s="301" t="s">
        <v>181</v>
      </c>
      <c r="L66" s="301" t="s">
        <v>182</v>
      </c>
      <c r="M66" s="301" t="s">
        <v>183</v>
      </c>
      <c r="N66" s="301" t="s">
        <v>184</v>
      </c>
      <c r="O66" s="301" t="s">
        <v>185</v>
      </c>
      <c r="P66" s="301" t="s">
        <v>186</v>
      </c>
      <c r="Q66" s="301" t="s">
        <v>65</v>
      </c>
      <c r="R66" s="302" t="s">
        <v>140</v>
      </c>
    </row>
    <row r="67" spans="2:18" x14ac:dyDescent="0.2">
      <c r="B67" s="303">
        <v>1</v>
      </c>
      <c r="C67" s="289" t="s">
        <v>172</v>
      </c>
      <c r="D67" s="303">
        <v>1</v>
      </c>
      <c r="E67" s="304">
        <v>123641.61</v>
      </c>
      <c r="F67" s="304">
        <v>105310</v>
      </c>
      <c r="G67" s="304">
        <v>93839.55</v>
      </c>
      <c r="H67" s="304">
        <v>73680.36</v>
      </c>
      <c r="I67" s="304">
        <v>74956.44</v>
      </c>
      <c r="J67" s="304">
        <v>94755.32</v>
      </c>
      <c r="K67" s="304">
        <v>134219.07</v>
      </c>
      <c r="L67" s="304">
        <v>91211.83</v>
      </c>
      <c r="M67" s="304">
        <v>87992.17</v>
      </c>
      <c r="N67" s="304">
        <v>81974.569999999992</v>
      </c>
      <c r="O67" s="304">
        <v>121554.42</v>
      </c>
      <c r="P67" s="304">
        <v>157981.57999999999</v>
      </c>
      <c r="Q67" s="298">
        <f>SUM(E67:P67)</f>
        <v>1241116.9200000002</v>
      </c>
      <c r="R67" s="298">
        <f>Q67/12</f>
        <v>103426.41000000002</v>
      </c>
    </row>
    <row r="68" spans="2:18" x14ac:dyDescent="0.2">
      <c r="B68" s="303">
        <v>2</v>
      </c>
      <c r="C68" s="289" t="s">
        <v>173</v>
      </c>
      <c r="D68" s="303">
        <v>3</v>
      </c>
      <c r="E68" s="304">
        <v>17274.080000000002</v>
      </c>
      <c r="F68" s="304">
        <v>14289.64</v>
      </c>
      <c r="G68" s="304">
        <v>13195.65</v>
      </c>
      <c r="H68" s="304">
        <v>12225.69</v>
      </c>
      <c r="I68" s="304">
        <v>15439.17</v>
      </c>
      <c r="J68" s="304">
        <v>18319.669999999998</v>
      </c>
      <c r="K68" s="304">
        <v>24607.74</v>
      </c>
      <c r="L68" s="304">
        <v>15814.93</v>
      </c>
      <c r="M68" s="304">
        <v>16189.07</v>
      </c>
      <c r="N68" s="304">
        <v>17406.170000000002</v>
      </c>
      <c r="O68" s="304">
        <v>23573.73</v>
      </c>
      <c r="P68" s="304">
        <v>23750.440000000002</v>
      </c>
      <c r="Q68" s="298">
        <f t="shared" ref="Q68:Q72" si="19">SUM(E68:P68)</f>
        <v>212085.98000000004</v>
      </c>
      <c r="R68" s="298">
        <f t="shared" ref="R68:R73" si="20">Q68/12</f>
        <v>17673.831666666669</v>
      </c>
    </row>
    <row r="69" spans="2:18" x14ac:dyDescent="0.2">
      <c r="B69" s="303">
        <v>3</v>
      </c>
      <c r="C69" s="289" t="s">
        <v>205</v>
      </c>
      <c r="D69" s="303">
        <v>5</v>
      </c>
      <c r="E69" s="304">
        <v>28048</v>
      </c>
      <c r="F69" s="304">
        <v>22657.16</v>
      </c>
      <c r="G69" s="304">
        <v>21790.75</v>
      </c>
      <c r="H69" s="304">
        <v>21168.6</v>
      </c>
      <c r="I69" s="304">
        <v>27717.3</v>
      </c>
      <c r="J69" s="304">
        <v>28741.89</v>
      </c>
      <c r="K69" s="304">
        <v>35301.310000000005</v>
      </c>
      <c r="L69" s="304">
        <v>22839.21</v>
      </c>
      <c r="M69" s="304">
        <v>24444.83</v>
      </c>
      <c r="N69" s="304">
        <v>26411.54</v>
      </c>
      <c r="O69" s="304">
        <v>38638.199999999997</v>
      </c>
      <c r="P69" s="304">
        <v>38733.06</v>
      </c>
      <c r="Q69" s="298">
        <f t="shared" si="19"/>
        <v>336491.85</v>
      </c>
      <c r="R69" s="298">
        <f t="shared" si="20"/>
        <v>28040.987499999999</v>
      </c>
    </row>
    <row r="70" spans="2:18" x14ac:dyDescent="0.2">
      <c r="B70" s="303">
        <v>4</v>
      </c>
      <c r="C70" s="289" t="s">
        <v>203</v>
      </c>
      <c r="D70" s="303">
        <v>7</v>
      </c>
      <c r="E70" s="304">
        <v>14214.560000000001</v>
      </c>
      <c r="F70" s="304">
        <v>11208.34</v>
      </c>
      <c r="G70" s="304">
        <v>11233.07</v>
      </c>
      <c r="H70" s="304">
        <v>10503.49</v>
      </c>
      <c r="I70" s="304">
        <v>14638.34</v>
      </c>
      <c r="J70" s="304">
        <v>14102.42</v>
      </c>
      <c r="K70" s="304">
        <v>17599.050000000003</v>
      </c>
      <c r="L70" s="304">
        <v>11093.880000000001</v>
      </c>
      <c r="M70" s="304">
        <v>11749.17</v>
      </c>
      <c r="N70" s="304">
        <v>11908.65</v>
      </c>
      <c r="O70" s="304">
        <v>20203.920000000002</v>
      </c>
      <c r="P70" s="304">
        <v>18397.78</v>
      </c>
      <c r="Q70" s="298">
        <f t="shared" si="19"/>
        <v>166852.67000000001</v>
      </c>
      <c r="R70" s="298">
        <f t="shared" si="20"/>
        <v>13904.389166666668</v>
      </c>
    </row>
    <row r="71" spans="2:18" x14ac:dyDescent="0.2">
      <c r="B71" s="303">
        <v>5</v>
      </c>
      <c r="C71" s="289" t="s">
        <v>204</v>
      </c>
      <c r="D71" s="303">
        <v>15</v>
      </c>
      <c r="E71" s="304">
        <v>303.3</v>
      </c>
      <c r="F71" s="304">
        <v>296.72000000000003</v>
      </c>
      <c r="G71" s="304">
        <v>279.7</v>
      </c>
      <c r="H71" s="304">
        <v>203.47</v>
      </c>
      <c r="I71" s="304">
        <v>288.94</v>
      </c>
      <c r="J71" s="304">
        <v>191.8</v>
      </c>
      <c r="K71" s="304">
        <v>216.1</v>
      </c>
      <c r="L71" s="304">
        <v>179.82</v>
      </c>
      <c r="M71" s="304">
        <v>246.68</v>
      </c>
      <c r="N71" s="304">
        <v>272.77999999999997</v>
      </c>
      <c r="O71" s="304">
        <v>381.46</v>
      </c>
      <c r="P71" s="304">
        <v>428.74</v>
      </c>
      <c r="Q71" s="298">
        <f t="shared" si="19"/>
        <v>3289.5099999999993</v>
      </c>
      <c r="R71" s="298">
        <f t="shared" si="20"/>
        <v>274.12583333333328</v>
      </c>
    </row>
    <row r="72" spans="2:18" x14ac:dyDescent="0.2">
      <c r="B72" s="303">
        <v>6</v>
      </c>
      <c r="C72" s="289" t="s">
        <v>167</v>
      </c>
      <c r="D72" s="303">
        <v>33</v>
      </c>
      <c r="E72" s="304">
        <v>1532.34</v>
      </c>
      <c r="F72" s="304">
        <v>1153.8</v>
      </c>
      <c r="G72" s="304">
        <v>1241.43</v>
      </c>
      <c r="H72" s="304">
        <v>1227.06</v>
      </c>
      <c r="I72" s="304">
        <v>1574.05</v>
      </c>
      <c r="J72" s="304">
        <v>1472.04</v>
      </c>
      <c r="K72" s="304">
        <v>1725.8700000000001</v>
      </c>
      <c r="L72" s="304">
        <v>1036.8</v>
      </c>
      <c r="M72" s="304">
        <v>1045.95</v>
      </c>
      <c r="N72" s="304">
        <v>1113.06</v>
      </c>
      <c r="O72" s="304">
        <v>1986.65</v>
      </c>
      <c r="P72" s="304">
        <v>2107.2600000000002</v>
      </c>
      <c r="Q72" s="298">
        <f t="shared" si="19"/>
        <v>17216.309999999998</v>
      </c>
      <c r="R72" s="298">
        <f t="shared" si="20"/>
        <v>1434.6924999999999</v>
      </c>
    </row>
    <row r="73" spans="2:18" x14ac:dyDescent="0.2">
      <c r="B73" s="305"/>
      <c r="C73" s="306" t="s">
        <v>65</v>
      </c>
      <c r="D73" s="305"/>
      <c r="E73" s="307">
        <f t="shared" ref="E73:Q73" si="21">SUM(E67:E72)</f>
        <v>185013.88999999998</v>
      </c>
      <c r="F73" s="307">
        <f t="shared" si="21"/>
        <v>154915.65999999997</v>
      </c>
      <c r="G73" s="307">
        <f t="shared" si="21"/>
        <v>141580.15</v>
      </c>
      <c r="H73" s="307">
        <f t="shared" si="21"/>
        <v>119008.67</v>
      </c>
      <c r="I73" s="307">
        <f t="shared" si="21"/>
        <v>134614.24</v>
      </c>
      <c r="J73" s="307">
        <f t="shared" si="21"/>
        <v>157583.14000000001</v>
      </c>
      <c r="K73" s="307">
        <f t="shared" si="21"/>
        <v>213669.13999999998</v>
      </c>
      <c r="L73" s="307">
        <f t="shared" si="21"/>
        <v>142176.47</v>
      </c>
      <c r="M73" s="307">
        <f t="shared" si="21"/>
        <v>141667.87</v>
      </c>
      <c r="N73" s="307">
        <f t="shared" si="21"/>
        <v>139086.76999999999</v>
      </c>
      <c r="O73" s="307">
        <f t="shared" si="21"/>
        <v>206338.37999999998</v>
      </c>
      <c r="P73" s="307">
        <f t="shared" si="21"/>
        <v>241398.86</v>
      </c>
      <c r="Q73" s="307">
        <f t="shared" si="21"/>
        <v>1977053.24</v>
      </c>
      <c r="R73" s="307">
        <f t="shared" si="20"/>
        <v>164754.43666666668</v>
      </c>
    </row>
    <row r="74" spans="2:18" x14ac:dyDescent="0.2">
      <c r="C74" s="289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</row>
    <row r="76" spans="2:18" x14ac:dyDescent="0.2">
      <c r="F76" s="310"/>
    </row>
    <row r="77" spans="2:18" x14ac:dyDescent="0.2">
      <c r="F77" s="310"/>
    </row>
    <row r="78" spans="2:18" x14ac:dyDescent="0.2">
      <c r="F78" s="310"/>
    </row>
    <row r="79" spans="2:18" x14ac:dyDescent="0.2">
      <c r="F79" s="310"/>
    </row>
    <row r="80" spans="2:18" x14ac:dyDescent="0.2">
      <c r="F80" s="310"/>
    </row>
    <row r="81" spans="6:6" x14ac:dyDescent="0.2">
      <c r="F81" s="310"/>
    </row>
    <row r="82" spans="6:6" x14ac:dyDescent="0.2">
      <c r="F82" s="310"/>
    </row>
    <row r="83" spans="6:6" x14ac:dyDescent="0.2">
      <c r="F83" s="310"/>
    </row>
  </sheetData>
  <pageMargins left="0.7" right="0.7" top="0.75" bottom="0.75" header="0.3" footer="0.3"/>
  <pageSetup orientation="portrait" r:id="rId1"/>
  <ignoredErrors>
    <ignoredError sqref="Q6:R11 Q13:R21 Q23:R31 Q33:R42 Q44:R52 Q54:R62 Q64:R7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rgb="FFFF0000"/>
  </sheetPr>
  <dimension ref="A1:AD546"/>
  <sheetViews>
    <sheetView topLeftCell="A80" workbookViewId="0">
      <selection activeCell="E96" sqref="E96"/>
    </sheetView>
  </sheetViews>
  <sheetFormatPr defaultRowHeight="12.75" x14ac:dyDescent="0.2"/>
  <cols>
    <col min="1" max="1" width="4.7109375" customWidth="1"/>
    <col min="2" max="2" width="39.85546875" customWidth="1"/>
    <col min="3" max="3" width="14" bestFit="1" customWidth="1"/>
    <col min="4" max="4" width="11.85546875" bestFit="1" customWidth="1"/>
    <col min="5" max="5" width="12.85546875" customWidth="1"/>
    <col min="6" max="6" width="12.7109375" bestFit="1" customWidth="1"/>
    <col min="7" max="7" width="14.5703125" bestFit="1" customWidth="1"/>
    <col min="8" max="8" width="14" customWidth="1"/>
    <col min="9" max="9" width="10.140625" customWidth="1"/>
    <col min="10" max="10" width="14.42578125" customWidth="1"/>
    <col min="11" max="11" width="12.85546875" customWidth="1"/>
    <col min="12" max="12" width="12.5703125" customWidth="1"/>
    <col min="13" max="13" width="12.42578125" customWidth="1"/>
    <col min="14" max="14" width="13.7109375" customWidth="1"/>
    <col min="15" max="15" width="13.28515625" customWidth="1"/>
    <col min="16" max="16" width="14.140625" customWidth="1"/>
    <col min="17" max="17" width="11.28515625" bestFit="1" customWidth="1"/>
    <col min="18" max="18" width="12.28515625" bestFit="1" customWidth="1"/>
    <col min="19" max="19" width="14.28515625" bestFit="1" customWidth="1"/>
    <col min="20" max="20" width="12.5703125" bestFit="1" customWidth="1"/>
    <col min="21" max="21" width="14.28515625" bestFit="1" customWidth="1"/>
    <col min="22" max="27" width="12.28515625" bestFit="1" customWidth="1"/>
    <col min="28" max="28" width="12.42578125" bestFit="1" customWidth="1"/>
  </cols>
  <sheetData>
    <row r="1" spans="1:21" ht="13.9" customHeight="1" x14ac:dyDescent="0.25">
      <c r="A1" s="289"/>
      <c r="B1" s="511" t="s">
        <v>166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</row>
    <row r="2" spans="1:21" ht="13.9" customHeight="1" x14ac:dyDescent="0.25">
      <c r="A2" s="289"/>
      <c r="B2" s="511" t="s">
        <v>297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</row>
    <row r="3" spans="1:21" ht="13.9" customHeight="1" x14ac:dyDescent="0.25">
      <c r="A3" s="289"/>
      <c r="B3" s="511" t="s">
        <v>298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</row>
    <row r="4" spans="1:21" ht="15" x14ac:dyDescent="0.25">
      <c r="A4" s="289"/>
      <c r="B4" s="297"/>
      <c r="C4" s="297"/>
      <c r="D4" s="297"/>
      <c r="E4" s="297"/>
      <c r="F4" s="297"/>
      <c r="G4" s="297"/>
      <c r="H4" s="336"/>
      <c r="I4" s="336"/>
      <c r="J4" s="336"/>
      <c r="K4" s="336"/>
      <c r="L4" s="336"/>
      <c r="M4" s="336"/>
      <c r="N4" s="336"/>
    </row>
    <row r="5" spans="1:21" x14ac:dyDescent="0.2">
      <c r="A5" s="337" t="s">
        <v>299</v>
      </c>
      <c r="B5" s="338" t="s">
        <v>300</v>
      </c>
      <c r="C5" s="338" t="s">
        <v>301</v>
      </c>
      <c r="D5" s="338" t="s">
        <v>302</v>
      </c>
      <c r="E5" s="338" t="s">
        <v>303</v>
      </c>
      <c r="F5" s="338" t="s">
        <v>304</v>
      </c>
      <c r="G5" s="338" t="s">
        <v>305</v>
      </c>
      <c r="H5" s="338" t="s">
        <v>306</v>
      </c>
      <c r="I5" s="338" t="s">
        <v>307</v>
      </c>
    </row>
    <row r="6" spans="1:21" x14ac:dyDescent="0.2">
      <c r="A6" s="337" t="s">
        <v>308</v>
      </c>
      <c r="B6" s="338"/>
      <c r="C6" s="338"/>
      <c r="D6" s="338"/>
      <c r="E6" s="338"/>
      <c r="F6" s="338"/>
      <c r="G6" s="338"/>
      <c r="H6" s="512" t="s">
        <v>309</v>
      </c>
      <c r="I6" s="512"/>
      <c r="J6" s="512"/>
      <c r="K6" s="512"/>
      <c r="L6" s="512"/>
      <c r="M6" s="338"/>
      <c r="N6" s="338"/>
    </row>
    <row r="7" spans="1:21" ht="15" x14ac:dyDescent="0.25">
      <c r="B7" s="334"/>
      <c r="C7" s="513" t="s">
        <v>310</v>
      </c>
      <c r="D7" s="513"/>
      <c r="E7" s="513"/>
      <c r="F7" s="513"/>
      <c r="G7" s="513"/>
      <c r="H7" s="334"/>
      <c r="I7" s="334" t="s">
        <v>112</v>
      </c>
      <c r="J7" s="334"/>
      <c r="K7" s="334"/>
      <c r="L7" s="334"/>
      <c r="M7" s="334" t="s">
        <v>311</v>
      </c>
      <c r="N7" s="334" t="s">
        <v>311</v>
      </c>
    </row>
    <row r="8" spans="1:21" ht="15" x14ac:dyDescent="0.25">
      <c r="A8" s="289"/>
      <c r="B8" s="335"/>
      <c r="C8" s="333" t="s">
        <v>312</v>
      </c>
      <c r="D8" s="333" t="s">
        <v>313</v>
      </c>
      <c r="E8" s="333" t="s">
        <v>8</v>
      </c>
      <c r="F8" s="333" t="s">
        <v>5</v>
      </c>
      <c r="G8" s="333" t="s">
        <v>41</v>
      </c>
      <c r="H8" s="333" t="s">
        <v>312</v>
      </c>
      <c r="I8" s="333" t="s">
        <v>314</v>
      </c>
      <c r="J8" s="333" t="s">
        <v>315</v>
      </c>
      <c r="K8" s="333" t="s">
        <v>55</v>
      </c>
      <c r="L8" s="333" t="s">
        <v>55</v>
      </c>
      <c r="M8" s="333" t="s">
        <v>57</v>
      </c>
      <c r="N8" s="333" t="s">
        <v>57</v>
      </c>
    </row>
    <row r="9" spans="1:21" ht="15.75" thickBot="1" x14ac:dyDescent="0.3">
      <c r="A9" s="289"/>
      <c r="B9" s="339" t="s">
        <v>316</v>
      </c>
      <c r="C9" s="340" t="s">
        <v>317</v>
      </c>
      <c r="D9" s="339" t="s">
        <v>318</v>
      </c>
      <c r="E9" s="339" t="s">
        <v>313</v>
      </c>
      <c r="F9" s="339" t="s">
        <v>313</v>
      </c>
      <c r="G9" s="339" t="s">
        <v>313</v>
      </c>
      <c r="H9" s="340" t="s">
        <v>317</v>
      </c>
      <c r="I9" s="340" t="s">
        <v>319</v>
      </c>
      <c r="J9" s="340"/>
      <c r="K9" s="339" t="s">
        <v>320</v>
      </c>
      <c r="L9" s="339" t="s">
        <v>41</v>
      </c>
      <c r="M9" s="339" t="s">
        <v>5</v>
      </c>
      <c r="N9" s="339" t="s">
        <v>41</v>
      </c>
    </row>
    <row r="10" spans="1:21" ht="15" x14ac:dyDescent="0.25">
      <c r="A10" s="303">
        <v>1</v>
      </c>
      <c r="B10" s="333" t="s">
        <v>224</v>
      </c>
      <c r="C10" s="333"/>
      <c r="D10" s="333"/>
      <c r="E10" s="333"/>
      <c r="F10" s="333"/>
      <c r="G10" s="333"/>
      <c r="H10" s="341"/>
      <c r="I10" s="341"/>
      <c r="J10" s="341"/>
      <c r="K10" s="333"/>
      <c r="L10" s="333"/>
      <c r="M10" s="289"/>
      <c r="N10" s="289"/>
    </row>
    <row r="11" spans="1:21" ht="15" x14ac:dyDescent="0.25">
      <c r="A11" s="303">
        <v>2</v>
      </c>
      <c r="B11" s="333" t="s">
        <v>225</v>
      </c>
      <c r="C11" s="342"/>
      <c r="D11" s="342"/>
      <c r="E11" s="343"/>
      <c r="F11" s="342"/>
      <c r="G11" s="342"/>
      <c r="H11" s="341"/>
      <c r="I11" s="341"/>
      <c r="J11" s="341"/>
      <c r="K11" s="333"/>
      <c r="L11" s="333"/>
      <c r="M11" s="289"/>
      <c r="N11" s="289"/>
    </row>
    <row r="12" spans="1:21" ht="15" x14ac:dyDescent="0.25">
      <c r="A12" s="303">
        <v>3</v>
      </c>
      <c r="B12" s="334" t="s">
        <v>226</v>
      </c>
      <c r="C12" s="344"/>
      <c r="D12" s="344"/>
      <c r="E12" s="345"/>
      <c r="F12" s="344"/>
      <c r="G12" s="344"/>
      <c r="H12" s="346"/>
      <c r="I12" s="346"/>
      <c r="J12" s="346"/>
      <c r="K12" s="334"/>
      <c r="L12" s="334"/>
      <c r="M12" s="289"/>
      <c r="N12" s="289"/>
    </row>
    <row r="13" spans="1:21" ht="15" x14ac:dyDescent="0.25">
      <c r="A13" s="303">
        <v>4</v>
      </c>
      <c r="B13" s="334" t="s">
        <v>227</v>
      </c>
      <c r="C13" s="344"/>
      <c r="D13" s="344"/>
      <c r="E13" s="345"/>
      <c r="F13" s="344"/>
      <c r="G13" s="344"/>
      <c r="H13" s="346"/>
      <c r="I13" s="346"/>
      <c r="J13" s="346"/>
      <c r="K13" s="334"/>
      <c r="L13" s="334"/>
      <c r="M13" s="289"/>
      <c r="N13" s="289"/>
    </row>
    <row r="14" spans="1:21" ht="14.25" x14ac:dyDescent="0.2">
      <c r="A14" s="303">
        <v>5</v>
      </c>
      <c r="B14" s="335" t="s">
        <v>228</v>
      </c>
      <c r="C14" s="347">
        <v>67665.899999999994</v>
      </c>
      <c r="D14" s="348">
        <v>70</v>
      </c>
      <c r="E14" s="349">
        <v>4736613</v>
      </c>
      <c r="F14" s="350">
        <v>11.28</v>
      </c>
      <c r="G14" s="350">
        <v>763271.35199999984</v>
      </c>
      <c r="H14" s="351">
        <v>67665.899999999994</v>
      </c>
      <c r="I14" s="351">
        <v>70</v>
      </c>
      <c r="J14" s="351">
        <v>4736613</v>
      </c>
      <c r="K14" s="352">
        <v>11.28</v>
      </c>
      <c r="L14" s="353">
        <v>763271.35199999984</v>
      </c>
      <c r="M14" s="354">
        <v>11.28</v>
      </c>
      <c r="N14" s="355">
        <v>763271.35199999984</v>
      </c>
      <c r="O14" s="356"/>
      <c r="Q14" s="357"/>
      <c r="R14" s="358"/>
      <c r="S14" s="359"/>
      <c r="T14" s="360"/>
      <c r="U14" s="359"/>
    </row>
    <row r="15" spans="1:21" ht="14.25" x14ac:dyDescent="0.2">
      <c r="A15" s="303">
        <v>6</v>
      </c>
      <c r="B15" s="335" t="s">
        <v>229</v>
      </c>
      <c r="C15" s="347">
        <v>1137</v>
      </c>
      <c r="D15" s="348">
        <v>97</v>
      </c>
      <c r="E15" s="349">
        <v>110289</v>
      </c>
      <c r="F15" s="352">
        <v>13.74</v>
      </c>
      <c r="G15" s="350">
        <v>15622.380000000001</v>
      </c>
      <c r="H15" s="351">
        <v>1137</v>
      </c>
      <c r="I15" s="351">
        <v>97</v>
      </c>
      <c r="J15" s="351">
        <v>110289</v>
      </c>
      <c r="K15" s="352">
        <v>13.74</v>
      </c>
      <c r="L15" s="353">
        <v>15622.380000000001</v>
      </c>
      <c r="M15" s="354">
        <v>13.74</v>
      </c>
      <c r="N15" s="355">
        <v>15622.380000000001</v>
      </c>
      <c r="Q15" s="357"/>
      <c r="R15" s="358"/>
      <c r="S15" s="359"/>
      <c r="T15" s="360"/>
      <c r="U15" s="359"/>
    </row>
    <row r="16" spans="1:21" ht="14.25" x14ac:dyDescent="0.2">
      <c r="A16" s="303">
        <v>7</v>
      </c>
      <c r="B16" s="335" t="s">
        <v>230</v>
      </c>
      <c r="C16" s="347">
        <v>2499</v>
      </c>
      <c r="D16" s="348">
        <v>155</v>
      </c>
      <c r="E16" s="349">
        <v>387345</v>
      </c>
      <c r="F16" s="352">
        <v>16.809999999999999</v>
      </c>
      <c r="G16" s="350">
        <v>42008.189999999995</v>
      </c>
      <c r="H16" s="351">
        <v>2499</v>
      </c>
      <c r="I16" s="351">
        <v>155</v>
      </c>
      <c r="J16" s="351">
        <v>387345</v>
      </c>
      <c r="K16" s="352">
        <v>16.809999999999999</v>
      </c>
      <c r="L16" s="353">
        <v>42008.189999999995</v>
      </c>
      <c r="M16" s="354">
        <v>16.809999999999999</v>
      </c>
      <c r="N16" s="355">
        <v>42008.189999999995</v>
      </c>
      <c r="O16">
        <v>42008.19</v>
      </c>
      <c r="P16">
        <v>387345</v>
      </c>
      <c r="Q16" s="361"/>
      <c r="R16" s="362"/>
      <c r="S16" s="363">
        <v>42008.19</v>
      </c>
      <c r="T16" s="360"/>
      <c r="U16" s="359"/>
    </row>
    <row r="17" spans="1:21" ht="14.25" x14ac:dyDescent="0.2">
      <c r="A17" s="303">
        <v>8</v>
      </c>
      <c r="B17" s="335" t="s">
        <v>231</v>
      </c>
      <c r="C17" s="347">
        <v>2037</v>
      </c>
      <c r="D17" s="348">
        <v>44</v>
      </c>
      <c r="E17" s="349">
        <v>89628</v>
      </c>
      <c r="F17" s="352">
        <v>10.02</v>
      </c>
      <c r="G17" s="350">
        <v>20410.739999999998</v>
      </c>
      <c r="H17" s="351">
        <v>2037</v>
      </c>
      <c r="I17" s="351">
        <v>44</v>
      </c>
      <c r="J17" s="351">
        <v>89628</v>
      </c>
      <c r="K17" s="352">
        <v>10.02</v>
      </c>
      <c r="L17" s="353">
        <v>20410.739999999998</v>
      </c>
      <c r="M17" s="354">
        <v>10.02</v>
      </c>
      <c r="N17" s="355">
        <v>20410.739999999998</v>
      </c>
      <c r="Q17" s="357"/>
      <c r="R17" s="358"/>
      <c r="S17" s="359"/>
      <c r="T17" s="360"/>
      <c r="U17" s="359"/>
    </row>
    <row r="18" spans="1:21" ht="14.25" x14ac:dyDescent="0.2">
      <c r="A18" s="303">
        <v>9</v>
      </c>
      <c r="B18" s="335" t="s">
        <v>232</v>
      </c>
      <c r="C18" s="347">
        <v>3244</v>
      </c>
      <c r="D18" s="348">
        <v>42</v>
      </c>
      <c r="E18" s="349">
        <v>136248</v>
      </c>
      <c r="F18" s="352">
        <v>9.4499999999999993</v>
      </c>
      <c r="G18" s="350">
        <v>30655.8</v>
      </c>
      <c r="H18" s="351">
        <v>3244</v>
      </c>
      <c r="I18" s="351">
        <v>42</v>
      </c>
      <c r="J18" s="351">
        <v>136248</v>
      </c>
      <c r="K18" s="352">
        <v>9.4499999999999993</v>
      </c>
      <c r="L18" s="353">
        <v>30655.8</v>
      </c>
      <c r="M18" s="354">
        <v>9.4499999999999993</v>
      </c>
      <c r="N18" s="355">
        <v>30655.8</v>
      </c>
      <c r="Q18" s="357"/>
      <c r="R18" s="358"/>
      <c r="S18" s="359"/>
      <c r="T18" s="360"/>
      <c r="U18" s="359"/>
    </row>
    <row r="19" spans="1:21" ht="14.25" x14ac:dyDescent="0.2">
      <c r="A19" s="303">
        <v>10</v>
      </c>
      <c r="B19" s="335" t="s">
        <v>233</v>
      </c>
      <c r="C19" s="347">
        <v>276</v>
      </c>
      <c r="D19" s="348">
        <v>156</v>
      </c>
      <c r="E19" s="349">
        <v>43056</v>
      </c>
      <c r="F19" s="352">
        <v>20.32</v>
      </c>
      <c r="G19" s="350">
        <v>5608.32</v>
      </c>
      <c r="H19" s="351">
        <v>276</v>
      </c>
      <c r="I19" s="351">
        <v>156</v>
      </c>
      <c r="J19" s="351">
        <v>43056</v>
      </c>
      <c r="K19" s="352">
        <v>20.32</v>
      </c>
      <c r="L19" s="353">
        <v>5608.32</v>
      </c>
      <c r="M19" s="354">
        <v>20.32</v>
      </c>
      <c r="N19" s="355">
        <v>5608.32</v>
      </c>
      <c r="Q19" s="357"/>
      <c r="R19" s="358"/>
      <c r="S19" s="359"/>
      <c r="T19" s="360"/>
      <c r="U19" s="359"/>
    </row>
    <row r="20" spans="1:21" ht="15" x14ac:dyDescent="0.25">
      <c r="A20" s="303">
        <v>11</v>
      </c>
      <c r="B20" s="334" t="s">
        <v>234</v>
      </c>
      <c r="C20" s="347"/>
      <c r="D20" s="348"/>
      <c r="E20" s="348"/>
      <c r="F20" s="350"/>
      <c r="G20" s="350"/>
      <c r="H20" s="351"/>
      <c r="I20" s="351"/>
      <c r="J20" s="351"/>
      <c r="K20" s="352"/>
      <c r="L20" s="353"/>
      <c r="M20" s="354"/>
      <c r="N20" s="355"/>
      <c r="Q20" s="357"/>
      <c r="R20" s="358"/>
      <c r="S20" s="359"/>
      <c r="T20" s="360"/>
      <c r="U20" s="359"/>
    </row>
    <row r="21" spans="1:21" ht="14.25" x14ac:dyDescent="0.2">
      <c r="A21" s="303">
        <v>12</v>
      </c>
      <c r="B21" s="335" t="s">
        <v>235</v>
      </c>
      <c r="C21" s="347">
        <v>2007</v>
      </c>
      <c r="D21" s="348">
        <v>101</v>
      </c>
      <c r="E21" s="349">
        <v>202707</v>
      </c>
      <c r="F21" s="352">
        <v>15.06</v>
      </c>
      <c r="G21" s="350">
        <v>30225.420000000002</v>
      </c>
      <c r="H21" s="351">
        <v>2007</v>
      </c>
      <c r="I21" s="351">
        <v>101</v>
      </c>
      <c r="J21" s="351">
        <v>202707</v>
      </c>
      <c r="K21" s="352">
        <v>15.06</v>
      </c>
      <c r="L21" s="353">
        <v>30225.420000000002</v>
      </c>
      <c r="M21" s="354">
        <v>15.06</v>
      </c>
      <c r="N21" s="355">
        <v>30225.420000000002</v>
      </c>
      <c r="Q21" s="357"/>
      <c r="R21" s="358"/>
      <c r="S21" s="359"/>
      <c r="T21" s="360"/>
      <c r="U21" s="359"/>
    </row>
    <row r="22" spans="1:21" ht="14.25" x14ac:dyDescent="0.2">
      <c r="A22" s="303">
        <v>13</v>
      </c>
      <c r="B22" s="335" t="s">
        <v>236</v>
      </c>
      <c r="C22" s="347">
        <v>530</v>
      </c>
      <c r="D22" s="348">
        <v>159</v>
      </c>
      <c r="E22" s="349">
        <v>84270</v>
      </c>
      <c r="F22" s="352">
        <v>18.88</v>
      </c>
      <c r="G22" s="350">
        <v>10006.4</v>
      </c>
      <c r="H22" s="351">
        <v>530</v>
      </c>
      <c r="I22" s="351">
        <v>159</v>
      </c>
      <c r="J22" s="351">
        <v>84270</v>
      </c>
      <c r="K22" s="352">
        <v>18.88</v>
      </c>
      <c r="L22" s="353">
        <v>10006.4</v>
      </c>
      <c r="M22" s="354">
        <v>18.88</v>
      </c>
      <c r="N22" s="355">
        <v>10006.4</v>
      </c>
      <c r="Q22" s="357"/>
      <c r="R22" s="358"/>
      <c r="S22" s="359"/>
      <c r="T22" s="360"/>
      <c r="U22" s="359"/>
    </row>
    <row r="23" spans="1:21" ht="15" x14ac:dyDescent="0.25">
      <c r="A23" s="303">
        <v>14</v>
      </c>
      <c r="B23" s="334" t="s">
        <v>237</v>
      </c>
      <c r="C23" s="347"/>
      <c r="D23" s="348"/>
      <c r="E23" s="348"/>
      <c r="F23" s="350"/>
      <c r="G23" s="350"/>
      <c r="H23" s="351"/>
      <c r="I23" s="351"/>
      <c r="J23" s="351"/>
      <c r="K23" s="352"/>
      <c r="L23" s="353"/>
      <c r="M23" s="354"/>
      <c r="N23" s="355"/>
      <c r="Q23" s="357"/>
      <c r="R23" s="358"/>
      <c r="S23" s="359"/>
      <c r="T23" s="360"/>
      <c r="U23" s="359"/>
    </row>
    <row r="24" spans="1:21" ht="14.25" x14ac:dyDescent="0.2">
      <c r="A24" s="303">
        <v>15</v>
      </c>
      <c r="B24" s="335" t="s">
        <v>238</v>
      </c>
      <c r="C24" s="347">
        <v>65705</v>
      </c>
      <c r="D24" s="348">
        <v>21</v>
      </c>
      <c r="E24" s="349">
        <v>1379805</v>
      </c>
      <c r="F24" s="352">
        <v>8.56</v>
      </c>
      <c r="G24" s="350">
        <v>562434.80000000005</v>
      </c>
      <c r="H24" s="351">
        <v>65705</v>
      </c>
      <c r="I24" s="351">
        <v>21</v>
      </c>
      <c r="J24" s="351">
        <v>1379805</v>
      </c>
      <c r="K24" s="352">
        <v>8.56</v>
      </c>
      <c r="L24" s="353">
        <v>562434.80000000005</v>
      </c>
      <c r="M24" s="354">
        <v>8.56</v>
      </c>
      <c r="N24" s="355">
        <v>562434.80000000005</v>
      </c>
      <c r="Q24" s="357"/>
      <c r="R24" s="358"/>
      <c r="S24" s="359"/>
      <c r="T24" s="360"/>
      <c r="U24" s="359"/>
    </row>
    <row r="25" spans="1:21" ht="14.25" x14ac:dyDescent="0.2">
      <c r="A25" s="303">
        <v>16</v>
      </c>
      <c r="B25" s="335" t="s">
        <v>239</v>
      </c>
      <c r="C25" s="347">
        <v>9242.1669999999995</v>
      </c>
      <c r="D25" s="348">
        <v>37</v>
      </c>
      <c r="E25" s="349">
        <v>341960.179</v>
      </c>
      <c r="F25" s="352">
        <v>10.86</v>
      </c>
      <c r="G25" s="350">
        <v>100369.93362</v>
      </c>
      <c r="H25" s="351">
        <v>9242.1669999999995</v>
      </c>
      <c r="I25" s="351">
        <v>37</v>
      </c>
      <c r="J25" s="351">
        <v>341960.179</v>
      </c>
      <c r="K25" s="352">
        <v>10.86</v>
      </c>
      <c r="L25" s="353">
        <v>100369.93362</v>
      </c>
      <c r="M25" s="354">
        <v>10.86</v>
      </c>
      <c r="N25" s="355">
        <v>100369.93362</v>
      </c>
      <c r="Q25" s="357"/>
      <c r="R25" s="358"/>
      <c r="S25" s="359"/>
      <c r="T25" s="360"/>
      <c r="U25" s="359"/>
    </row>
    <row r="26" spans="1:21" ht="14.25" x14ac:dyDescent="0.2">
      <c r="A26" s="303">
        <v>17</v>
      </c>
      <c r="B26" s="335" t="s">
        <v>240</v>
      </c>
      <c r="C26" s="347">
        <v>5275</v>
      </c>
      <c r="D26" s="348">
        <v>46</v>
      </c>
      <c r="E26" s="349">
        <v>242650</v>
      </c>
      <c r="F26" s="352">
        <v>13.28</v>
      </c>
      <c r="G26" s="350">
        <v>70052</v>
      </c>
      <c r="H26" s="351">
        <v>5275</v>
      </c>
      <c r="I26" s="351">
        <v>46</v>
      </c>
      <c r="J26" s="351">
        <v>242650</v>
      </c>
      <c r="K26" s="352">
        <v>13.28</v>
      </c>
      <c r="L26" s="353">
        <v>70052</v>
      </c>
      <c r="M26" s="354">
        <v>13.28</v>
      </c>
      <c r="N26" s="355">
        <v>70052</v>
      </c>
      <c r="Q26" s="357"/>
      <c r="R26" s="358"/>
      <c r="S26" s="359"/>
      <c r="T26" s="360"/>
      <c r="U26" s="359"/>
    </row>
    <row r="27" spans="1:21" ht="15" x14ac:dyDescent="0.25">
      <c r="A27" s="303">
        <v>18</v>
      </c>
      <c r="B27" s="333" t="s">
        <v>241</v>
      </c>
      <c r="C27" s="364"/>
      <c r="D27" s="365"/>
      <c r="E27" s="365"/>
      <c r="F27" s="366"/>
      <c r="G27" s="366"/>
      <c r="H27" s="289"/>
      <c r="I27" s="289"/>
      <c r="J27" s="289"/>
      <c r="K27" s="367"/>
      <c r="L27" s="289"/>
      <c r="M27" s="289"/>
      <c r="N27" s="289"/>
      <c r="R27" s="368"/>
      <c r="T27" s="368"/>
    </row>
    <row r="28" spans="1:21" ht="15" x14ac:dyDescent="0.25">
      <c r="A28" s="303">
        <v>19</v>
      </c>
      <c r="B28" s="334" t="s">
        <v>242</v>
      </c>
      <c r="C28" s="369"/>
      <c r="D28" s="370"/>
      <c r="E28" s="370"/>
      <c r="F28" s="371"/>
      <c r="G28" s="371"/>
      <c r="H28" s="289"/>
      <c r="I28" s="289"/>
      <c r="J28" s="289"/>
      <c r="K28" s="367"/>
      <c r="L28" s="289"/>
      <c r="M28" s="289"/>
      <c r="N28" s="289"/>
      <c r="R28" s="368"/>
      <c r="T28" s="368"/>
    </row>
    <row r="29" spans="1:21" ht="15" x14ac:dyDescent="0.25">
      <c r="A29" s="303">
        <v>20</v>
      </c>
      <c r="B29" s="334" t="s">
        <v>237</v>
      </c>
      <c r="C29" s="369"/>
      <c r="D29" s="370"/>
      <c r="E29" s="370"/>
      <c r="F29" s="371"/>
      <c r="G29" s="371"/>
      <c r="H29" s="289"/>
      <c r="I29" s="289"/>
      <c r="J29" s="289"/>
      <c r="K29" s="367"/>
      <c r="L29" s="289"/>
      <c r="M29" s="289"/>
      <c r="N29" s="289"/>
      <c r="R29" s="368"/>
      <c r="T29" s="368"/>
    </row>
    <row r="30" spans="1:21" ht="15" x14ac:dyDescent="0.25">
      <c r="A30" s="303">
        <v>21</v>
      </c>
      <c r="B30" s="334" t="s">
        <v>243</v>
      </c>
      <c r="C30" s="369"/>
      <c r="D30" s="370"/>
      <c r="E30" s="370"/>
      <c r="F30" s="371"/>
      <c r="G30" s="371"/>
      <c r="H30" s="289"/>
      <c r="I30" s="289"/>
      <c r="J30" s="289"/>
      <c r="K30" s="367"/>
      <c r="L30" s="289"/>
      <c r="M30" s="289"/>
      <c r="N30" s="289"/>
      <c r="R30" s="368"/>
      <c r="T30" s="368"/>
    </row>
    <row r="31" spans="1:21" ht="14.25" x14ac:dyDescent="0.2">
      <c r="A31" s="303">
        <v>22</v>
      </c>
      <c r="B31" s="335" t="s">
        <v>244</v>
      </c>
      <c r="C31" s="347">
        <v>4431</v>
      </c>
      <c r="D31" s="348">
        <v>66</v>
      </c>
      <c r="E31" s="349">
        <v>292446</v>
      </c>
      <c r="F31" s="352">
        <v>17.260000000000002</v>
      </c>
      <c r="G31" s="350">
        <v>76479.060000000012</v>
      </c>
      <c r="H31" s="351">
        <v>4431</v>
      </c>
      <c r="I31" s="351">
        <v>66</v>
      </c>
      <c r="J31" s="351">
        <v>292446</v>
      </c>
      <c r="K31" s="352">
        <v>17.260000000000002</v>
      </c>
      <c r="L31" s="353">
        <v>76479.060000000012</v>
      </c>
      <c r="M31" s="354">
        <v>17.260000000000002</v>
      </c>
      <c r="N31" s="355">
        <v>76479.060000000012</v>
      </c>
      <c r="Q31" s="357"/>
      <c r="R31" s="358"/>
      <c r="S31" s="359"/>
      <c r="T31" s="360"/>
      <c r="U31" s="359"/>
    </row>
    <row r="32" spans="1:21" ht="15" x14ac:dyDescent="0.25">
      <c r="A32" s="303">
        <v>23</v>
      </c>
      <c r="B32" s="334" t="s">
        <v>227</v>
      </c>
      <c r="C32" s="347"/>
      <c r="D32" s="348"/>
      <c r="E32" s="348"/>
      <c r="F32" s="352"/>
      <c r="G32" s="350"/>
      <c r="H32" s="351"/>
      <c r="I32" s="351"/>
      <c r="J32" s="351"/>
      <c r="K32" s="352"/>
      <c r="L32" s="353"/>
      <c r="M32" s="354"/>
      <c r="N32" s="355"/>
      <c r="Q32" s="357"/>
      <c r="R32" s="358"/>
      <c r="S32" s="359"/>
      <c r="T32" s="360"/>
      <c r="U32" s="359"/>
    </row>
    <row r="33" spans="1:21" ht="14.25" x14ac:dyDescent="0.2">
      <c r="A33" s="303">
        <v>24</v>
      </c>
      <c r="B33" s="335" t="s">
        <v>245</v>
      </c>
      <c r="C33" s="347">
        <v>829</v>
      </c>
      <c r="D33" s="348">
        <v>103</v>
      </c>
      <c r="E33" s="349">
        <v>85387</v>
      </c>
      <c r="F33" s="352">
        <v>14.6</v>
      </c>
      <c r="G33" s="350">
        <v>12103.4</v>
      </c>
      <c r="H33" s="351">
        <v>829</v>
      </c>
      <c r="I33" s="351">
        <v>103</v>
      </c>
      <c r="J33" s="351">
        <v>85387</v>
      </c>
      <c r="K33" s="352">
        <v>14.6</v>
      </c>
      <c r="L33" s="353">
        <v>12103.4</v>
      </c>
      <c r="M33" s="354">
        <v>14.6</v>
      </c>
      <c r="N33" s="355">
        <v>12103.4</v>
      </c>
      <c r="Q33" s="357"/>
      <c r="R33" s="358"/>
      <c r="S33" s="359"/>
      <c r="T33" s="360"/>
      <c r="U33" s="359"/>
    </row>
    <row r="34" spans="1:21" ht="14.25" x14ac:dyDescent="0.2">
      <c r="A34" s="303">
        <v>25</v>
      </c>
      <c r="B34" s="335" t="s">
        <v>236</v>
      </c>
      <c r="C34" s="347">
        <v>612</v>
      </c>
      <c r="D34" s="348">
        <v>160</v>
      </c>
      <c r="E34" s="349">
        <v>97920</v>
      </c>
      <c r="F34" s="352">
        <v>18.88</v>
      </c>
      <c r="G34" s="350">
        <v>11554.56</v>
      </c>
      <c r="H34" s="351">
        <v>612</v>
      </c>
      <c r="I34" s="351">
        <v>160</v>
      </c>
      <c r="J34" s="351">
        <v>97920</v>
      </c>
      <c r="K34" s="352">
        <v>18.88</v>
      </c>
      <c r="L34" s="353">
        <v>11554.56</v>
      </c>
      <c r="M34" s="354">
        <v>18.88</v>
      </c>
      <c r="N34" s="355">
        <v>11554.56</v>
      </c>
      <c r="Q34" s="357"/>
      <c r="R34" s="358"/>
      <c r="S34" s="359"/>
      <c r="T34" s="360"/>
      <c r="U34" s="359"/>
    </row>
    <row r="35" spans="1:21" ht="14.25" x14ac:dyDescent="0.2">
      <c r="A35" s="303">
        <v>26</v>
      </c>
      <c r="B35" s="335" t="s">
        <v>246</v>
      </c>
      <c r="C35" s="347">
        <v>12</v>
      </c>
      <c r="D35" s="348">
        <v>377</v>
      </c>
      <c r="E35" s="349">
        <v>4524</v>
      </c>
      <c r="F35" s="352">
        <v>41.78</v>
      </c>
      <c r="G35" s="350">
        <v>501.36</v>
      </c>
      <c r="H35" s="351">
        <v>12</v>
      </c>
      <c r="I35" s="351">
        <v>377</v>
      </c>
      <c r="J35" s="351">
        <v>4524</v>
      </c>
      <c r="K35" s="352">
        <v>41.78</v>
      </c>
      <c r="L35" s="353">
        <v>501.36</v>
      </c>
      <c r="M35" s="354">
        <v>41.78</v>
      </c>
      <c r="N35" s="355">
        <v>501.36</v>
      </c>
      <c r="Q35" s="357"/>
      <c r="R35" s="358"/>
      <c r="S35" s="359"/>
      <c r="T35" s="360"/>
      <c r="U35" s="359"/>
    </row>
    <row r="36" spans="1:21" ht="14.25" x14ac:dyDescent="0.2">
      <c r="A36" s="303">
        <v>27</v>
      </c>
      <c r="B36" s="335" t="s">
        <v>247</v>
      </c>
      <c r="C36" s="347">
        <v>195</v>
      </c>
      <c r="D36" s="348">
        <v>98</v>
      </c>
      <c r="E36" s="349">
        <v>19110</v>
      </c>
      <c r="F36" s="352">
        <v>13.97</v>
      </c>
      <c r="G36" s="350">
        <v>2724.15</v>
      </c>
      <c r="H36" s="351">
        <v>195</v>
      </c>
      <c r="I36" s="351">
        <v>98</v>
      </c>
      <c r="J36" s="351">
        <v>19110</v>
      </c>
      <c r="K36" s="352">
        <v>13.97</v>
      </c>
      <c r="L36" s="353">
        <v>2724.15</v>
      </c>
      <c r="M36" s="354">
        <v>13.97</v>
      </c>
      <c r="N36" s="355">
        <v>2724.15</v>
      </c>
      <c r="Q36" s="357"/>
      <c r="R36" s="358"/>
      <c r="S36" s="359"/>
      <c r="T36" s="360"/>
      <c r="U36" s="359"/>
    </row>
    <row r="37" spans="1:21" ht="14.25" x14ac:dyDescent="0.2">
      <c r="A37" s="303">
        <v>28</v>
      </c>
      <c r="B37" s="335" t="s">
        <v>248</v>
      </c>
      <c r="C37" s="347">
        <v>672</v>
      </c>
      <c r="D37" s="348">
        <v>156</v>
      </c>
      <c r="E37" s="349">
        <v>104832</v>
      </c>
      <c r="F37" s="352">
        <v>18.8</v>
      </c>
      <c r="G37" s="350">
        <v>12633.6</v>
      </c>
      <c r="H37" s="351">
        <v>672</v>
      </c>
      <c r="I37" s="351">
        <v>156</v>
      </c>
      <c r="J37" s="351">
        <v>104832</v>
      </c>
      <c r="K37" s="352">
        <v>18.8</v>
      </c>
      <c r="L37" s="353">
        <v>12633.6</v>
      </c>
      <c r="M37" s="354">
        <v>18.8</v>
      </c>
      <c r="N37" s="355">
        <v>12633.6</v>
      </c>
      <c r="Q37" s="357"/>
      <c r="R37" s="358"/>
      <c r="S37" s="359"/>
      <c r="T37" s="360"/>
      <c r="U37" s="359"/>
    </row>
    <row r="38" spans="1:21" ht="14.25" x14ac:dyDescent="0.2">
      <c r="A38" s="303">
        <v>29</v>
      </c>
      <c r="B38" s="335" t="s">
        <v>249</v>
      </c>
      <c r="C38" s="347">
        <v>248</v>
      </c>
      <c r="D38" s="348">
        <v>373</v>
      </c>
      <c r="E38" s="349">
        <v>92504</v>
      </c>
      <c r="F38" s="352">
        <v>41.16</v>
      </c>
      <c r="G38" s="350">
        <v>10207.679999999998</v>
      </c>
      <c r="H38" s="351">
        <v>248</v>
      </c>
      <c r="I38" s="351">
        <v>373</v>
      </c>
      <c r="J38" s="351">
        <v>92504</v>
      </c>
      <c r="K38" s="352">
        <v>41.16</v>
      </c>
      <c r="L38" s="353">
        <v>10207.679999999998</v>
      </c>
      <c r="M38" s="354">
        <v>41.16</v>
      </c>
      <c r="N38" s="355">
        <v>10207.679999999998</v>
      </c>
      <c r="Q38" s="357"/>
      <c r="R38" s="358"/>
      <c r="S38" s="359"/>
      <c r="T38" s="360"/>
      <c r="U38" s="359"/>
    </row>
    <row r="39" spans="1:21" ht="15" x14ac:dyDescent="0.25">
      <c r="A39" s="303">
        <v>30</v>
      </c>
      <c r="B39" s="334" t="s">
        <v>250</v>
      </c>
      <c r="C39" s="347"/>
      <c r="D39" s="348"/>
      <c r="E39" s="348"/>
      <c r="F39" s="352"/>
      <c r="G39" s="350"/>
      <c r="H39" s="351"/>
      <c r="I39" s="351"/>
      <c r="J39" s="351"/>
      <c r="K39" s="352"/>
      <c r="L39" s="353"/>
      <c r="M39" s="354"/>
      <c r="N39" s="355"/>
      <c r="Q39" s="357"/>
      <c r="R39" s="358"/>
      <c r="S39" s="359"/>
      <c r="T39" s="360"/>
      <c r="U39" s="359"/>
    </row>
    <row r="40" spans="1:21" ht="15" x14ac:dyDescent="0.25">
      <c r="A40" s="303">
        <v>31</v>
      </c>
      <c r="B40" s="334" t="s">
        <v>251</v>
      </c>
      <c r="C40" s="369"/>
      <c r="D40" s="370"/>
      <c r="E40" s="370"/>
      <c r="F40" s="367"/>
      <c r="G40" s="371"/>
      <c r="H40" s="289"/>
      <c r="I40" s="289"/>
      <c r="J40" s="289"/>
      <c r="K40" s="367"/>
      <c r="L40" s="289"/>
      <c r="M40" s="289"/>
      <c r="N40" s="289"/>
      <c r="Q40" s="357"/>
      <c r="R40" s="368"/>
      <c r="S40" s="359"/>
      <c r="T40" s="368"/>
      <c r="U40" s="359"/>
    </row>
    <row r="41" spans="1:21" ht="14.25" x14ac:dyDescent="0.2">
      <c r="A41" s="303">
        <v>32</v>
      </c>
      <c r="B41" s="335" t="s">
        <v>252</v>
      </c>
      <c r="C41" s="347">
        <v>36</v>
      </c>
      <c r="D41" s="348">
        <v>103</v>
      </c>
      <c r="E41" s="349">
        <v>3708</v>
      </c>
      <c r="F41" s="352">
        <v>15.96</v>
      </c>
      <c r="G41" s="350">
        <v>574.56000000000006</v>
      </c>
      <c r="H41" s="351">
        <v>36</v>
      </c>
      <c r="I41" s="351">
        <v>103</v>
      </c>
      <c r="J41" s="351">
        <v>3708</v>
      </c>
      <c r="K41" s="352">
        <v>15.96</v>
      </c>
      <c r="L41" s="353">
        <v>574.56000000000006</v>
      </c>
      <c r="M41" s="354">
        <v>15.96</v>
      </c>
      <c r="N41" s="355">
        <v>574.56000000000006</v>
      </c>
      <c r="Q41" s="357"/>
      <c r="R41" s="358"/>
      <c r="S41" s="359"/>
      <c r="T41" s="372"/>
      <c r="U41" s="359"/>
    </row>
    <row r="42" spans="1:21" ht="14.25" x14ac:dyDescent="0.2">
      <c r="A42" s="303">
        <v>33</v>
      </c>
      <c r="B42" s="335" t="s">
        <v>253</v>
      </c>
      <c r="C42" s="347">
        <v>24</v>
      </c>
      <c r="D42" s="348">
        <v>160</v>
      </c>
      <c r="E42" s="349">
        <v>3840</v>
      </c>
      <c r="F42" s="352">
        <v>20.9</v>
      </c>
      <c r="G42" s="350">
        <v>501.59999999999997</v>
      </c>
      <c r="H42" s="351">
        <v>24</v>
      </c>
      <c r="I42" s="351">
        <v>160</v>
      </c>
      <c r="J42" s="351">
        <v>3840</v>
      </c>
      <c r="K42" s="352">
        <v>20.9</v>
      </c>
      <c r="L42" s="353">
        <v>501.59999999999997</v>
      </c>
      <c r="M42" s="354">
        <v>20.9</v>
      </c>
      <c r="N42" s="355">
        <v>501.59999999999997</v>
      </c>
      <c r="Q42" s="357"/>
      <c r="R42" s="358"/>
      <c r="S42" s="359"/>
      <c r="T42" s="372"/>
      <c r="U42" s="359"/>
    </row>
    <row r="43" spans="1:21" ht="14.25" x14ac:dyDescent="0.2">
      <c r="A43" s="303">
        <v>34</v>
      </c>
      <c r="B43" s="335" t="s">
        <v>254</v>
      </c>
      <c r="C43" s="347">
        <v>0</v>
      </c>
      <c r="D43" s="348">
        <v>377</v>
      </c>
      <c r="E43" s="349">
        <v>0</v>
      </c>
      <c r="F43" s="352">
        <v>41.98</v>
      </c>
      <c r="G43" s="350">
        <v>0</v>
      </c>
      <c r="H43" s="351">
        <v>0</v>
      </c>
      <c r="I43" s="351">
        <v>377</v>
      </c>
      <c r="J43" s="351">
        <v>0</v>
      </c>
      <c r="K43" s="352">
        <v>41.98</v>
      </c>
      <c r="L43" s="353">
        <v>0</v>
      </c>
      <c r="M43" s="354">
        <v>41.98</v>
      </c>
      <c r="N43" s="355">
        <v>0</v>
      </c>
      <c r="Q43" s="357"/>
      <c r="R43" s="358"/>
      <c r="S43" s="359"/>
      <c r="T43" s="372"/>
      <c r="U43" s="359"/>
    </row>
    <row r="44" spans="1:21" ht="14.25" x14ac:dyDescent="0.2">
      <c r="A44" s="303">
        <v>35</v>
      </c>
      <c r="B44" s="335" t="s">
        <v>255</v>
      </c>
      <c r="C44" s="347">
        <v>0</v>
      </c>
      <c r="D44" s="348">
        <v>98</v>
      </c>
      <c r="E44" s="349">
        <v>0</v>
      </c>
      <c r="F44" s="352">
        <v>15.79</v>
      </c>
      <c r="G44" s="350">
        <v>0</v>
      </c>
      <c r="H44" s="351">
        <v>0</v>
      </c>
      <c r="I44" s="351">
        <v>98</v>
      </c>
      <c r="J44" s="351">
        <v>0</v>
      </c>
      <c r="K44" s="352">
        <v>15.79</v>
      </c>
      <c r="L44" s="353">
        <v>0</v>
      </c>
      <c r="M44" s="354">
        <v>15.79</v>
      </c>
      <c r="N44" s="355">
        <v>0</v>
      </c>
      <c r="Q44" s="357"/>
      <c r="R44" s="358"/>
      <c r="S44" s="359"/>
      <c r="T44" s="372"/>
      <c r="U44" s="359"/>
    </row>
    <row r="45" spans="1:21" ht="14.25" x14ac:dyDescent="0.2">
      <c r="A45" s="303">
        <v>36</v>
      </c>
      <c r="B45" s="335" t="s">
        <v>256</v>
      </c>
      <c r="C45" s="347">
        <v>113</v>
      </c>
      <c r="D45" s="348">
        <v>156</v>
      </c>
      <c r="E45" s="349">
        <v>17628</v>
      </c>
      <c r="F45" s="352">
        <v>20.49</v>
      </c>
      <c r="G45" s="350">
        <v>2315.37</v>
      </c>
      <c r="H45" s="351">
        <v>113</v>
      </c>
      <c r="I45" s="351">
        <v>156</v>
      </c>
      <c r="J45" s="351">
        <v>17628</v>
      </c>
      <c r="K45" s="352">
        <v>20.49</v>
      </c>
      <c r="L45" s="353">
        <v>2315.37</v>
      </c>
      <c r="M45" s="354">
        <v>20.49</v>
      </c>
      <c r="N45" s="355">
        <v>2315.37</v>
      </c>
      <c r="Q45" s="357"/>
      <c r="R45" s="358"/>
      <c r="S45" s="359"/>
      <c r="T45" s="372"/>
      <c r="U45" s="359"/>
    </row>
    <row r="46" spans="1:21" ht="14.25" x14ac:dyDescent="0.2">
      <c r="A46" s="303">
        <v>37</v>
      </c>
      <c r="B46" s="335" t="s">
        <v>257</v>
      </c>
      <c r="C46" s="347">
        <v>12</v>
      </c>
      <c r="D46" s="348">
        <v>373</v>
      </c>
      <c r="E46" s="349">
        <v>4476</v>
      </c>
      <c r="F46" s="352">
        <v>43.47</v>
      </c>
      <c r="G46" s="350">
        <v>521.64</v>
      </c>
      <c r="H46" s="351">
        <v>12</v>
      </c>
      <c r="I46" s="351">
        <v>373</v>
      </c>
      <c r="J46" s="351">
        <v>4476</v>
      </c>
      <c r="K46" s="352">
        <v>43.47</v>
      </c>
      <c r="L46" s="353">
        <v>521.64</v>
      </c>
      <c r="M46" s="354">
        <v>43.47</v>
      </c>
      <c r="N46" s="355">
        <v>521.64</v>
      </c>
      <c r="Q46" s="357"/>
      <c r="R46" s="358"/>
      <c r="S46" s="359"/>
      <c r="T46" s="372"/>
      <c r="U46" s="359"/>
    </row>
    <row r="47" spans="1:21" ht="15" x14ac:dyDescent="0.25">
      <c r="A47" s="303">
        <v>38</v>
      </c>
      <c r="B47" s="334" t="s">
        <v>250</v>
      </c>
      <c r="C47" s="347"/>
      <c r="D47" s="348"/>
      <c r="E47" s="348"/>
      <c r="F47" s="352"/>
      <c r="G47" s="350"/>
      <c r="H47" s="351"/>
      <c r="I47" s="351"/>
      <c r="J47" s="351"/>
      <c r="K47" s="352"/>
      <c r="L47" s="353"/>
      <c r="M47" s="354"/>
      <c r="N47" s="355"/>
      <c r="Q47" s="357"/>
      <c r="R47" s="358"/>
      <c r="S47" s="359"/>
      <c r="T47" s="372"/>
      <c r="U47" s="359"/>
    </row>
    <row r="48" spans="1:21" ht="15" x14ac:dyDescent="0.25">
      <c r="A48" s="303">
        <v>39</v>
      </c>
      <c r="B48" s="334" t="s">
        <v>258</v>
      </c>
      <c r="C48" s="369"/>
      <c r="D48" s="370"/>
      <c r="E48" s="370"/>
      <c r="F48" s="367"/>
      <c r="G48" s="371"/>
      <c r="H48" s="289"/>
      <c r="I48" s="289"/>
      <c r="J48" s="289"/>
      <c r="K48" s="367"/>
      <c r="L48" s="289"/>
      <c r="M48" s="289"/>
      <c r="N48" s="289"/>
      <c r="Q48" s="357"/>
      <c r="R48" s="358"/>
      <c r="T48" s="372"/>
      <c r="U48" s="359"/>
    </row>
    <row r="49" spans="1:21" ht="14.25" x14ac:dyDescent="0.2">
      <c r="A49" s="303">
        <v>40</v>
      </c>
      <c r="B49" s="335" t="s">
        <v>259</v>
      </c>
      <c r="C49" s="347">
        <v>120</v>
      </c>
      <c r="D49" s="348">
        <v>42</v>
      </c>
      <c r="E49" s="349">
        <v>5040</v>
      </c>
      <c r="F49" s="352">
        <v>13.73</v>
      </c>
      <c r="G49" s="350">
        <v>1647.6000000000001</v>
      </c>
      <c r="H49" s="351">
        <v>120</v>
      </c>
      <c r="I49" s="351">
        <v>42</v>
      </c>
      <c r="J49" s="351">
        <v>5040</v>
      </c>
      <c r="K49" s="352">
        <v>13.73</v>
      </c>
      <c r="L49" s="353">
        <v>1647.6000000000001</v>
      </c>
      <c r="M49" s="354">
        <v>13.73</v>
      </c>
      <c r="N49" s="355">
        <v>1647.6000000000001</v>
      </c>
      <c r="Q49" s="357"/>
      <c r="R49" s="358"/>
      <c r="S49" s="359"/>
      <c r="T49" s="372"/>
      <c r="U49" s="359"/>
    </row>
    <row r="50" spans="1:21" ht="14.25" x14ac:dyDescent="0.2">
      <c r="A50" s="303">
        <v>41</v>
      </c>
      <c r="B50" s="335" t="s">
        <v>260</v>
      </c>
      <c r="C50" s="347">
        <v>228</v>
      </c>
      <c r="D50" s="348">
        <v>71</v>
      </c>
      <c r="E50" s="349">
        <v>16188</v>
      </c>
      <c r="F50" s="352">
        <v>16.91</v>
      </c>
      <c r="G50" s="350">
        <v>3855.48</v>
      </c>
      <c r="H50" s="351">
        <v>228</v>
      </c>
      <c r="I50" s="351">
        <v>71</v>
      </c>
      <c r="J50" s="351">
        <v>16188</v>
      </c>
      <c r="K50" s="352">
        <v>16.91</v>
      </c>
      <c r="L50" s="353">
        <v>3855.48</v>
      </c>
      <c r="M50" s="354">
        <v>16.91</v>
      </c>
      <c r="N50" s="355">
        <v>3855.48</v>
      </c>
      <c r="Q50" s="357"/>
      <c r="R50" s="358"/>
      <c r="S50" s="359"/>
      <c r="T50" s="372"/>
      <c r="U50" s="359"/>
    </row>
    <row r="51" spans="1:21" ht="14.25" x14ac:dyDescent="0.2">
      <c r="A51" s="303">
        <v>42</v>
      </c>
      <c r="B51" s="335" t="s">
        <v>261</v>
      </c>
      <c r="C51" s="347">
        <v>0</v>
      </c>
      <c r="D51" s="348">
        <v>42</v>
      </c>
      <c r="E51" s="349">
        <v>0</v>
      </c>
      <c r="F51" s="352">
        <v>13.47</v>
      </c>
      <c r="G51" s="350">
        <v>0</v>
      </c>
      <c r="H51" s="351">
        <v>0</v>
      </c>
      <c r="I51" s="351">
        <v>42</v>
      </c>
      <c r="J51" s="351">
        <v>0</v>
      </c>
      <c r="K51" s="352">
        <v>13.47</v>
      </c>
      <c r="L51" s="353">
        <v>0</v>
      </c>
      <c r="M51" s="354">
        <v>13.47</v>
      </c>
      <c r="N51" s="355">
        <v>0</v>
      </c>
      <c r="Q51" s="357"/>
      <c r="R51" s="358"/>
      <c r="S51" s="359"/>
      <c r="T51" s="360"/>
      <c r="U51" s="359"/>
    </row>
    <row r="52" spans="1:21" ht="14.25" x14ac:dyDescent="0.2">
      <c r="A52" s="303">
        <v>43</v>
      </c>
      <c r="B52" s="335" t="s">
        <v>262</v>
      </c>
      <c r="C52" s="347">
        <v>60</v>
      </c>
      <c r="D52" s="348">
        <v>71</v>
      </c>
      <c r="E52" s="349">
        <v>4260</v>
      </c>
      <c r="F52" s="352">
        <v>16.440000000000001</v>
      </c>
      <c r="G52" s="350">
        <v>986.40000000000009</v>
      </c>
      <c r="H52" s="351">
        <v>60</v>
      </c>
      <c r="I52" s="351">
        <v>71</v>
      </c>
      <c r="J52" s="351">
        <v>4260</v>
      </c>
      <c r="K52" s="352">
        <v>16.440000000000001</v>
      </c>
      <c r="L52" s="353">
        <v>986.40000000000009</v>
      </c>
      <c r="M52" s="354">
        <v>16.440000000000001</v>
      </c>
      <c r="N52" s="355">
        <v>986.40000000000009</v>
      </c>
      <c r="Q52" s="357"/>
      <c r="R52" s="358"/>
      <c r="S52" s="359"/>
      <c r="T52" s="360"/>
      <c r="U52" s="359"/>
    </row>
    <row r="53" spans="1:21" ht="14.25" x14ac:dyDescent="0.2">
      <c r="A53" s="303">
        <v>44</v>
      </c>
      <c r="B53" s="335" t="s">
        <v>263</v>
      </c>
      <c r="C53" s="347">
        <v>0</v>
      </c>
      <c r="D53" s="348">
        <v>71</v>
      </c>
      <c r="E53" s="349">
        <v>0</v>
      </c>
      <c r="F53" s="352">
        <v>15.85</v>
      </c>
      <c r="G53" s="350">
        <v>0</v>
      </c>
      <c r="H53" s="351">
        <v>0</v>
      </c>
      <c r="I53" s="351">
        <v>71</v>
      </c>
      <c r="J53" s="351">
        <v>0</v>
      </c>
      <c r="K53" s="352">
        <v>15.85</v>
      </c>
      <c r="L53" s="353">
        <v>0</v>
      </c>
      <c r="M53" s="354">
        <v>15.85</v>
      </c>
      <c r="N53" s="355">
        <v>0</v>
      </c>
      <c r="Q53" s="357"/>
      <c r="R53" s="358"/>
      <c r="S53" s="359"/>
      <c r="T53" s="360"/>
      <c r="U53" s="359"/>
    </row>
    <row r="54" spans="1:21" ht="14.25" x14ac:dyDescent="0.2">
      <c r="A54" s="303">
        <v>45</v>
      </c>
      <c r="B54" s="335" t="s">
        <v>264</v>
      </c>
      <c r="C54" s="347">
        <v>2</v>
      </c>
      <c r="D54" s="348">
        <v>42</v>
      </c>
      <c r="E54" s="349">
        <v>84</v>
      </c>
      <c r="F54" s="352">
        <v>15.49</v>
      </c>
      <c r="G54" s="350">
        <v>30.98</v>
      </c>
      <c r="H54" s="351">
        <v>2</v>
      </c>
      <c r="I54" s="373">
        <v>42</v>
      </c>
      <c r="J54" s="351">
        <v>84</v>
      </c>
      <c r="K54" s="352">
        <v>15.49</v>
      </c>
      <c r="L54" s="353">
        <v>30.98</v>
      </c>
      <c r="M54" s="354">
        <v>15.49</v>
      </c>
      <c r="N54" s="355">
        <v>30.98</v>
      </c>
      <c r="Q54" s="357"/>
      <c r="R54" s="358"/>
      <c r="S54" s="359"/>
      <c r="T54" s="360"/>
      <c r="U54" s="359"/>
    </row>
    <row r="55" spans="1:21" ht="15" x14ac:dyDescent="0.25">
      <c r="A55" s="303">
        <v>46</v>
      </c>
      <c r="B55" s="333" t="s">
        <v>265</v>
      </c>
      <c r="C55" s="374"/>
      <c r="D55" s="375"/>
      <c r="E55" s="375"/>
      <c r="F55" s="367"/>
      <c r="G55" s="376"/>
      <c r="H55" s="373"/>
      <c r="I55" s="373"/>
      <c r="J55" s="373"/>
      <c r="K55" s="367"/>
      <c r="L55" s="353"/>
      <c r="M55" s="289"/>
      <c r="N55" s="289"/>
      <c r="Q55" s="357"/>
      <c r="R55" s="368"/>
      <c r="S55" s="359"/>
      <c r="T55" s="368"/>
      <c r="U55" s="359"/>
    </row>
    <row r="56" spans="1:21" ht="15" x14ac:dyDescent="0.25">
      <c r="A56" s="303">
        <v>47</v>
      </c>
      <c r="B56" s="333" t="s">
        <v>266</v>
      </c>
      <c r="C56" s="374"/>
      <c r="D56" s="375"/>
      <c r="E56" s="375"/>
      <c r="F56" s="367"/>
      <c r="G56" s="376"/>
      <c r="H56" s="373"/>
      <c r="I56" s="373"/>
      <c r="J56" s="373"/>
      <c r="K56" s="367"/>
      <c r="L56" s="353"/>
      <c r="M56" s="289"/>
      <c r="N56" s="289"/>
      <c r="Q56" s="357"/>
      <c r="R56" s="368"/>
      <c r="S56" s="359"/>
      <c r="T56" s="368"/>
      <c r="U56" s="359"/>
    </row>
    <row r="57" spans="1:21" ht="15" x14ac:dyDescent="0.25">
      <c r="A57" s="303">
        <v>48</v>
      </c>
      <c r="B57" s="334" t="s">
        <v>250</v>
      </c>
      <c r="C57" s="374"/>
      <c r="D57" s="375"/>
      <c r="E57" s="375"/>
      <c r="F57" s="367"/>
      <c r="G57" s="376"/>
      <c r="H57" s="373"/>
      <c r="I57" s="373"/>
      <c r="J57" s="373"/>
      <c r="K57" s="367"/>
      <c r="L57" s="353"/>
      <c r="M57" s="289"/>
      <c r="N57" s="289"/>
      <c r="Q57" s="357"/>
      <c r="R57" s="368"/>
      <c r="S57" s="359"/>
      <c r="T57" s="368"/>
      <c r="U57" s="359"/>
    </row>
    <row r="58" spans="1:21" ht="14.25" x14ac:dyDescent="0.2">
      <c r="A58" s="303">
        <v>49</v>
      </c>
      <c r="B58" s="335" t="s">
        <v>267</v>
      </c>
      <c r="C58" s="347">
        <v>384</v>
      </c>
      <c r="D58" s="348"/>
      <c r="E58" s="349">
        <v>0</v>
      </c>
      <c r="F58" s="352">
        <v>9.36</v>
      </c>
      <c r="G58" s="350">
        <v>3594.24</v>
      </c>
      <c r="H58" s="351">
        <v>384</v>
      </c>
      <c r="I58" s="351"/>
      <c r="J58" s="351"/>
      <c r="K58" s="352">
        <v>9.36</v>
      </c>
      <c r="L58" s="353">
        <v>3594.24</v>
      </c>
      <c r="M58" s="354">
        <v>9.36</v>
      </c>
      <c r="N58" s="355">
        <v>3594.24</v>
      </c>
      <c r="Q58" s="357"/>
      <c r="R58" s="358"/>
      <c r="S58" s="359"/>
      <c r="T58" s="360"/>
      <c r="U58" s="359"/>
    </row>
    <row r="59" spans="1:21" ht="14.25" x14ac:dyDescent="0.2">
      <c r="A59" s="303">
        <v>50</v>
      </c>
      <c r="B59" s="335" t="s">
        <v>268</v>
      </c>
      <c r="C59" s="347">
        <v>1104</v>
      </c>
      <c r="D59" s="348"/>
      <c r="E59" s="349">
        <v>0</v>
      </c>
      <c r="F59" s="352">
        <v>10.52</v>
      </c>
      <c r="G59" s="350">
        <v>11614.08</v>
      </c>
      <c r="H59" s="351">
        <v>1104</v>
      </c>
      <c r="I59" s="351"/>
      <c r="J59" s="351"/>
      <c r="K59" s="352">
        <v>10.52</v>
      </c>
      <c r="L59" s="353">
        <v>11614.08</v>
      </c>
      <c r="M59" s="354">
        <v>10.52</v>
      </c>
      <c r="N59" s="355">
        <v>11614.08</v>
      </c>
      <c r="Q59" s="357"/>
      <c r="R59" s="358"/>
      <c r="S59" s="359"/>
      <c r="T59" s="360"/>
      <c r="U59" s="359"/>
    </row>
    <row r="60" spans="1:21" ht="14.25" x14ac:dyDescent="0.2">
      <c r="A60" s="303">
        <v>51</v>
      </c>
      <c r="B60" s="335" t="s">
        <v>269</v>
      </c>
      <c r="C60" s="347">
        <v>132</v>
      </c>
      <c r="D60" s="348"/>
      <c r="E60" s="349">
        <v>0</v>
      </c>
      <c r="F60" s="352">
        <v>16.440000000000001</v>
      </c>
      <c r="G60" s="350">
        <v>2170.0800000000004</v>
      </c>
      <c r="H60" s="351">
        <v>132</v>
      </c>
      <c r="I60" s="351"/>
      <c r="J60" s="351"/>
      <c r="K60" s="352">
        <v>16.440000000000001</v>
      </c>
      <c r="L60" s="353">
        <v>2170.0800000000004</v>
      </c>
      <c r="M60" s="354">
        <v>16.440000000000001</v>
      </c>
      <c r="N60" s="355">
        <v>2170.0800000000004</v>
      </c>
      <c r="Q60" s="357"/>
      <c r="R60" s="358"/>
      <c r="S60" s="359"/>
      <c r="T60" s="360"/>
      <c r="U60" s="359"/>
    </row>
    <row r="61" spans="1:21" ht="15" x14ac:dyDescent="0.25">
      <c r="A61" s="303">
        <v>52</v>
      </c>
      <c r="B61" s="334" t="s">
        <v>270</v>
      </c>
      <c r="C61" s="347"/>
      <c r="D61" s="348"/>
      <c r="E61" s="348"/>
      <c r="F61" s="352"/>
      <c r="G61" s="350"/>
      <c r="H61" s="351">
        <v>0</v>
      </c>
      <c r="I61" s="351"/>
      <c r="J61" s="351"/>
      <c r="K61" s="352"/>
      <c r="L61" s="353"/>
      <c r="M61" s="354">
        <v>0</v>
      </c>
      <c r="N61" s="355"/>
      <c r="Q61" s="357"/>
      <c r="R61" s="358"/>
      <c r="S61" s="359"/>
      <c r="T61" s="360"/>
      <c r="U61" s="359"/>
    </row>
    <row r="62" spans="1:21" ht="14.25" x14ac:dyDescent="0.2">
      <c r="A62" s="303">
        <v>53</v>
      </c>
      <c r="B62" s="335" t="s">
        <v>271</v>
      </c>
      <c r="C62" s="347">
        <v>899</v>
      </c>
      <c r="D62" s="348"/>
      <c r="E62" s="349">
        <v>0</v>
      </c>
      <c r="F62" s="352">
        <v>5.44</v>
      </c>
      <c r="G62" s="350">
        <v>4890.5600000000004</v>
      </c>
      <c r="H62" s="351">
        <v>899</v>
      </c>
      <c r="I62" s="351"/>
      <c r="J62" s="351"/>
      <c r="K62" s="352">
        <v>5.44</v>
      </c>
      <c r="L62" s="353">
        <v>4890.5600000000004</v>
      </c>
      <c r="M62" s="354">
        <v>5.44</v>
      </c>
      <c r="N62" s="355">
        <v>4890.5600000000004</v>
      </c>
      <c r="Q62" s="357"/>
      <c r="R62" s="358"/>
      <c r="S62" s="359"/>
      <c r="T62" s="360"/>
      <c r="U62" s="359"/>
    </row>
    <row r="63" spans="1:21" ht="14.25" x14ac:dyDescent="0.2">
      <c r="A63" s="303">
        <v>54</v>
      </c>
      <c r="B63" s="335" t="s">
        <v>272</v>
      </c>
      <c r="C63" s="347">
        <v>60</v>
      </c>
      <c r="D63" s="348"/>
      <c r="E63" s="349">
        <v>0</v>
      </c>
      <c r="F63" s="352">
        <v>12.05</v>
      </c>
      <c r="G63" s="350">
        <v>723</v>
      </c>
      <c r="H63" s="351">
        <v>60</v>
      </c>
      <c r="I63" s="351"/>
      <c r="J63" s="351"/>
      <c r="K63" s="352">
        <v>12.05</v>
      </c>
      <c r="L63" s="353">
        <v>723</v>
      </c>
      <c r="M63" s="354">
        <v>12.05</v>
      </c>
      <c r="N63" s="355">
        <v>723</v>
      </c>
      <c r="Q63" s="357"/>
      <c r="R63" s="358"/>
      <c r="S63" s="359"/>
      <c r="T63" s="360"/>
      <c r="U63" s="359"/>
    </row>
    <row r="64" spans="1:21" ht="15" x14ac:dyDescent="0.25">
      <c r="A64" s="303">
        <v>55</v>
      </c>
      <c r="B64" s="334" t="s">
        <v>250</v>
      </c>
      <c r="C64" s="347"/>
      <c r="D64" s="348"/>
      <c r="E64" s="348"/>
      <c r="F64" s="352"/>
      <c r="G64" s="350"/>
      <c r="H64" s="351">
        <v>0</v>
      </c>
      <c r="I64" s="351"/>
      <c r="J64" s="351"/>
      <c r="K64" s="352"/>
      <c r="L64" s="353"/>
      <c r="M64" s="354">
        <v>0</v>
      </c>
      <c r="N64" s="355"/>
      <c r="Q64" s="357"/>
      <c r="R64" s="358"/>
      <c r="S64" s="359"/>
      <c r="T64" s="360"/>
      <c r="U64" s="359"/>
    </row>
    <row r="65" spans="1:22" ht="14.25" x14ac:dyDescent="0.2">
      <c r="A65" s="303">
        <v>56</v>
      </c>
      <c r="B65" s="335" t="s">
        <v>273</v>
      </c>
      <c r="C65" s="347">
        <v>327</v>
      </c>
      <c r="D65" s="348"/>
      <c r="E65" s="349">
        <v>0</v>
      </c>
      <c r="F65" s="352">
        <v>12.88</v>
      </c>
      <c r="G65" s="350">
        <v>4211.76</v>
      </c>
      <c r="H65" s="351">
        <v>327</v>
      </c>
      <c r="I65" s="351"/>
      <c r="J65" s="351"/>
      <c r="K65" s="352">
        <v>12.88</v>
      </c>
      <c r="L65" s="353">
        <v>4211.76</v>
      </c>
      <c r="M65" s="354">
        <v>12.88</v>
      </c>
      <c r="N65" s="355">
        <v>4211.76</v>
      </c>
      <c r="Q65" s="357"/>
      <c r="R65" s="358"/>
      <c r="S65" s="359"/>
      <c r="T65" s="360"/>
      <c r="U65" s="359"/>
    </row>
    <row r="66" spans="1:22" ht="14.25" x14ac:dyDescent="0.2">
      <c r="A66" s="303">
        <v>57</v>
      </c>
      <c r="B66" s="335" t="s">
        <v>274</v>
      </c>
      <c r="C66" s="347">
        <v>120</v>
      </c>
      <c r="D66" s="348"/>
      <c r="E66" s="349">
        <v>0</v>
      </c>
      <c r="F66" s="352">
        <v>14.14</v>
      </c>
      <c r="G66" s="350">
        <v>1696.8000000000002</v>
      </c>
      <c r="H66" s="351">
        <v>120</v>
      </c>
      <c r="I66" s="351"/>
      <c r="J66" s="351"/>
      <c r="K66" s="352">
        <v>14.14</v>
      </c>
      <c r="L66" s="353">
        <v>1696.8000000000002</v>
      </c>
      <c r="M66" s="354">
        <v>14.14</v>
      </c>
      <c r="N66" s="355">
        <v>1696.8000000000002</v>
      </c>
      <c r="O66" s="357"/>
      <c r="Q66" s="357"/>
      <c r="R66" s="358"/>
      <c r="S66" s="359"/>
      <c r="T66" s="360"/>
      <c r="U66" s="359"/>
      <c r="V66" s="357">
        <v>0</v>
      </c>
    </row>
    <row r="67" spans="1:22" ht="15" x14ac:dyDescent="0.25">
      <c r="A67" s="303">
        <v>58</v>
      </c>
      <c r="B67" s="333" t="s">
        <v>275</v>
      </c>
      <c r="C67" s="364"/>
      <c r="D67" s="365"/>
      <c r="E67" s="365"/>
      <c r="F67" s="367"/>
      <c r="G67" s="366"/>
      <c r="H67" s="351"/>
      <c r="I67" s="351"/>
      <c r="J67" s="351"/>
      <c r="K67" s="367"/>
      <c r="L67" s="353"/>
      <c r="M67" s="289"/>
      <c r="N67" s="289"/>
      <c r="Q67" s="357"/>
      <c r="R67" s="358"/>
      <c r="S67" s="359"/>
      <c r="T67" s="368"/>
      <c r="U67" s="359"/>
    </row>
    <row r="68" spans="1:22" ht="15" x14ac:dyDescent="0.25">
      <c r="A68" s="303">
        <v>59</v>
      </c>
      <c r="B68" s="333" t="s">
        <v>276</v>
      </c>
      <c r="C68" s="364"/>
      <c r="D68" s="365"/>
      <c r="E68" s="365"/>
      <c r="F68" s="367"/>
      <c r="G68" s="366"/>
      <c r="H68" s="351"/>
      <c r="I68" s="351"/>
      <c r="J68" s="351"/>
      <c r="K68" s="367"/>
      <c r="L68" s="353"/>
      <c r="M68" s="289"/>
      <c r="N68" s="289"/>
      <c r="Q68" s="357"/>
      <c r="R68" s="358"/>
      <c r="S68" s="359"/>
      <c r="T68" s="368"/>
      <c r="U68" s="359"/>
    </row>
    <row r="69" spans="1:22" ht="15" x14ac:dyDescent="0.25">
      <c r="A69" s="303">
        <v>60</v>
      </c>
      <c r="B69" s="333" t="s">
        <v>277</v>
      </c>
      <c r="C69" s="364"/>
      <c r="D69" s="365"/>
      <c r="E69" s="365"/>
      <c r="F69" s="367"/>
      <c r="G69" s="366"/>
      <c r="H69" s="351"/>
      <c r="I69" s="351"/>
      <c r="J69" s="351"/>
      <c r="K69" s="367"/>
      <c r="L69" s="353"/>
      <c r="M69" s="289"/>
      <c r="N69" s="289"/>
      <c r="Q69" s="357"/>
      <c r="R69" s="358"/>
      <c r="S69" s="359"/>
      <c r="T69" s="368"/>
      <c r="U69" s="359"/>
    </row>
    <row r="70" spans="1:22" ht="14.25" x14ac:dyDescent="0.2">
      <c r="A70" s="303">
        <v>61</v>
      </c>
      <c r="B70" s="335" t="s">
        <v>278</v>
      </c>
      <c r="C70" s="377">
        <v>755</v>
      </c>
      <c r="D70" s="351">
        <v>23</v>
      </c>
      <c r="E70" s="349">
        <v>17365</v>
      </c>
      <c r="F70" s="367">
        <v>3.87</v>
      </c>
      <c r="G70" s="350">
        <v>2921.85</v>
      </c>
      <c r="H70" s="351">
        <v>755</v>
      </c>
      <c r="I70" s="351">
        <v>23</v>
      </c>
      <c r="J70" s="351">
        <v>17365</v>
      </c>
      <c r="K70" s="367">
        <v>3.87</v>
      </c>
      <c r="L70" s="353">
        <v>2921.85</v>
      </c>
      <c r="M70" s="354">
        <v>3.87</v>
      </c>
      <c r="N70" s="355">
        <v>2921.85</v>
      </c>
      <c r="Q70" s="357"/>
      <c r="R70" s="358"/>
      <c r="S70" s="359"/>
      <c r="T70" s="368"/>
      <c r="U70" s="359"/>
    </row>
    <row r="71" spans="1:22" ht="14.25" x14ac:dyDescent="0.2">
      <c r="A71" s="303">
        <v>62</v>
      </c>
      <c r="B71" s="335" t="s">
        <v>279</v>
      </c>
      <c r="C71" s="377">
        <v>359</v>
      </c>
      <c r="D71" s="351">
        <v>23</v>
      </c>
      <c r="E71" s="349">
        <v>8257</v>
      </c>
      <c r="F71" s="367">
        <v>3.52</v>
      </c>
      <c r="G71" s="350">
        <v>1263.68</v>
      </c>
      <c r="H71" s="351">
        <v>359</v>
      </c>
      <c r="I71" s="351">
        <v>23</v>
      </c>
      <c r="J71" s="351">
        <v>8257</v>
      </c>
      <c r="K71" s="367">
        <v>3.52</v>
      </c>
      <c r="L71" s="353">
        <v>1263.68</v>
      </c>
      <c r="M71" s="354">
        <v>3.52</v>
      </c>
      <c r="N71" s="355">
        <v>1263.68</v>
      </c>
      <c r="Q71" s="357"/>
      <c r="R71" s="358"/>
      <c r="S71" s="359"/>
      <c r="T71" s="368"/>
      <c r="U71" s="359"/>
    </row>
    <row r="72" spans="1:22" ht="14.25" x14ac:dyDescent="0.2">
      <c r="A72" s="303">
        <v>63</v>
      </c>
      <c r="B72" s="335" t="s">
        <v>280</v>
      </c>
      <c r="C72" s="377">
        <v>696</v>
      </c>
      <c r="D72" s="351">
        <v>23</v>
      </c>
      <c r="E72" s="349">
        <v>16008</v>
      </c>
      <c r="F72" s="367">
        <v>4.3600000000000003</v>
      </c>
      <c r="G72" s="350">
        <v>3034.5600000000004</v>
      </c>
      <c r="H72" s="351">
        <v>696</v>
      </c>
      <c r="I72" s="351">
        <v>23</v>
      </c>
      <c r="J72" s="351">
        <v>16008</v>
      </c>
      <c r="K72" s="367">
        <v>4.3600000000000003</v>
      </c>
      <c r="L72" s="353">
        <v>3034.5600000000004</v>
      </c>
      <c r="M72" s="354">
        <v>4.3600000000000003</v>
      </c>
      <c r="N72" s="355">
        <v>3034.5600000000004</v>
      </c>
      <c r="Q72" s="357"/>
      <c r="R72" s="358"/>
      <c r="S72" s="359"/>
      <c r="T72" s="368"/>
      <c r="U72" s="359"/>
    </row>
    <row r="73" spans="1:22" ht="15" x14ac:dyDescent="0.25">
      <c r="A73" s="303">
        <v>64</v>
      </c>
      <c r="B73" s="334" t="s">
        <v>250</v>
      </c>
      <c r="C73" s="364"/>
      <c r="D73" s="365"/>
      <c r="E73" s="365"/>
      <c r="F73" s="367"/>
      <c r="G73" s="366"/>
      <c r="H73" s="351">
        <v>0</v>
      </c>
      <c r="I73" s="351"/>
      <c r="J73" s="351"/>
      <c r="K73" s="367"/>
      <c r="L73" s="353"/>
      <c r="M73" s="354">
        <v>0</v>
      </c>
      <c r="N73" s="289"/>
      <c r="Q73" s="357"/>
      <c r="R73" s="358"/>
      <c r="S73" s="359"/>
      <c r="T73" s="368"/>
      <c r="U73" s="359"/>
    </row>
    <row r="74" spans="1:22" ht="14.25" x14ac:dyDescent="0.2">
      <c r="A74" s="303">
        <v>65</v>
      </c>
      <c r="B74" s="335" t="s">
        <v>228</v>
      </c>
      <c r="C74" s="347">
        <v>2984</v>
      </c>
      <c r="D74" s="348">
        <v>70</v>
      </c>
      <c r="E74" s="349">
        <v>208880</v>
      </c>
      <c r="F74" s="352">
        <v>11.15</v>
      </c>
      <c r="G74" s="350">
        <v>33271.599999999999</v>
      </c>
      <c r="H74" s="351">
        <v>2984</v>
      </c>
      <c r="I74" s="351">
        <v>70</v>
      </c>
      <c r="J74" s="351">
        <v>208880</v>
      </c>
      <c r="K74" s="352">
        <v>11.15</v>
      </c>
      <c r="L74" s="353">
        <v>33271.599999999999</v>
      </c>
      <c r="M74" s="354">
        <v>11.15</v>
      </c>
      <c r="N74" s="355">
        <v>33271.599999999999</v>
      </c>
      <c r="Q74" s="357"/>
      <c r="R74" s="358"/>
      <c r="S74" s="359"/>
      <c r="T74" s="360"/>
      <c r="U74" s="359"/>
    </row>
    <row r="75" spans="1:22" ht="14.25" x14ac:dyDescent="0.2">
      <c r="A75" s="303">
        <v>66</v>
      </c>
      <c r="B75" s="335" t="s">
        <v>230</v>
      </c>
      <c r="C75" s="347">
        <v>1506</v>
      </c>
      <c r="D75" s="348">
        <v>155</v>
      </c>
      <c r="E75" s="349">
        <v>233430</v>
      </c>
      <c r="F75" s="352">
        <v>16.809999999999999</v>
      </c>
      <c r="G75" s="350">
        <v>25315.859999999997</v>
      </c>
      <c r="H75" s="351">
        <v>1506</v>
      </c>
      <c r="I75" s="351">
        <v>155</v>
      </c>
      <c r="J75" s="351">
        <v>233430</v>
      </c>
      <c r="K75" s="352">
        <v>16.809999999999999</v>
      </c>
      <c r="L75" s="353">
        <v>25315.859999999997</v>
      </c>
      <c r="M75" s="354">
        <v>16.809999999999999</v>
      </c>
      <c r="N75" s="355">
        <v>25315.859999999997</v>
      </c>
      <c r="Q75" s="357"/>
      <c r="R75" s="358"/>
      <c r="S75" s="359"/>
      <c r="T75" s="360"/>
      <c r="U75" s="359"/>
    </row>
    <row r="76" spans="1:22" ht="15" x14ac:dyDescent="0.25">
      <c r="A76" s="303">
        <v>67</v>
      </c>
      <c r="B76" s="334" t="s">
        <v>234</v>
      </c>
      <c r="C76" s="347"/>
      <c r="D76" s="348"/>
      <c r="E76" s="348"/>
      <c r="F76" s="352"/>
      <c r="G76" s="350"/>
      <c r="H76" s="351">
        <v>0</v>
      </c>
      <c r="I76" s="351"/>
      <c r="J76" s="351"/>
      <c r="K76" s="352"/>
      <c r="L76" s="353"/>
      <c r="M76" s="354">
        <v>0</v>
      </c>
      <c r="N76" s="355"/>
      <c r="Q76" s="357"/>
      <c r="R76" s="358"/>
      <c r="S76" s="359"/>
      <c r="T76" s="360"/>
      <c r="U76" s="359"/>
    </row>
    <row r="77" spans="1:22" ht="14.25" x14ac:dyDescent="0.2">
      <c r="A77" s="303">
        <v>68</v>
      </c>
      <c r="B77" s="335" t="s">
        <v>281</v>
      </c>
      <c r="C77" s="347">
        <v>5097</v>
      </c>
      <c r="D77" s="348">
        <v>43</v>
      </c>
      <c r="E77" s="349">
        <v>219171</v>
      </c>
      <c r="F77" s="352">
        <v>10.02</v>
      </c>
      <c r="G77" s="350">
        <v>51071.939999999995</v>
      </c>
      <c r="H77" s="351">
        <v>5097</v>
      </c>
      <c r="I77" s="351">
        <v>43</v>
      </c>
      <c r="J77" s="351">
        <v>219171</v>
      </c>
      <c r="K77" s="352">
        <v>10.02</v>
      </c>
      <c r="L77" s="353">
        <v>51071.939999999995</v>
      </c>
      <c r="M77" s="354">
        <v>10.02</v>
      </c>
      <c r="N77" s="355">
        <v>51071.939999999995</v>
      </c>
      <c r="Q77" s="357"/>
      <c r="R77" s="358"/>
      <c r="S77" s="359"/>
      <c r="T77" s="360"/>
      <c r="U77" s="359"/>
    </row>
    <row r="78" spans="1:22" ht="14.25" x14ac:dyDescent="0.2">
      <c r="A78" s="303">
        <v>69</v>
      </c>
      <c r="B78" s="335" t="s">
        <v>282</v>
      </c>
      <c r="C78" s="347">
        <v>382</v>
      </c>
      <c r="D78" s="348">
        <v>85</v>
      </c>
      <c r="E78" s="349">
        <v>32470</v>
      </c>
      <c r="F78" s="352">
        <v>15.65</v>
      </c>
      <c r="G78" s="350">
        <v>5978.3</v>
      </c>
      <c r="H78" s="351">
        <v>382</v>
      </c>
      <c r="I78" s="351">
        <v>85</v>
      </c>
      <c r="J78" s="351">
        <v>32470</v>
      </c>
      <c r="K78" s="352">
        <v>15.65</v>
      </c>
      <c r="L78" s="353">
        <v>5978.3</v>
      </c>
      <c r="M78" s="354">
        <v>15.65</v>
      </c>
      <c r="N78" s="355">
        <v>5978.3</v>
      </c>
      <c r="Q78" s="357"/>
      <c r="R78" s="358"/>
      <c r="S78" s="359"/>
      <c r="T78" s="360"/>
      <c r="U78" s="359"/>
    </row>
    <row r="79" spans="1:22" ht="15" x14ac:dyDescent="0.25">
      <c r="A79" s="303">
        <v>70</v>
      </c>
      <c r="B79" s="334" t="s">
        <v>250</v>
      </c>
      <c r="C79" s="347"/>
      <c r="D79" s="348"/>
      <c r="E79" s="348"/>
      <c r="F79" s="352"/>
      <c r="G79" s="350"/>
      <c r="H79" s="351">
        <v>0</v>
      </c>
      <c r="I79" s="351"/>
      <c r="J79" s="351"/>
      <c r="K79" s="352"/>
      <c r="L79" s="353"/>
      <c r="M79" s="354">
        <v>0</v>
      </c>
      <c r="N79" s="355"/>
      <c r="Q79" s="357"/>
      <c r="R79" s="358"/>
      <c r="S79" s="359"/>
      <c r="T79" s="360"/>
      <c r="U79" s="359"/>
    </row>
    <row r="80" spans="1:22" ht="14.25" x14ac:dyDescent="0.2">
      <c r="A80" s="303">
        <v>71</v>
      </c>
      <c r="B80" s="335" t="s">
        <v>283</v>
      </c>
      <c r="C80" s="347">
        <v>12</v>
      </c>
      <c r="D80" s="348">
        <v>42</v>
      </c>
      <c r="E80" s="349">
        <v>504</v>
      </c>
      <c r="F80" s="352">
        <v>9.4499999999999993</v>
      </c>
      <c r="G80" s="350">
        <v>113.39999999999999</v>
      </c>
      <c r="H80" s="351">
        <v>12</v>
      </c>
      <c r="I80" s="351">
        <v>42</v>
      </c>
      <c r="J80" s="351">
        <v>504</v>
      </c>
      <c r="K80" s="352">
        <v>9.4499999999999993</v>
      </c>
      <c r="L80" s="353">
        <v>113.39999999999999</v>
      </c>
      <c r="M80" s="354">
        <v>9.4499999999999993</v>
      </c>
      <c r="N80" s="355">
        <v>113.39999999999999</v>
      </c>
      <c r="Q80" s="357"/>
      <c r="R80" s="358"/>
      <c r="S80" s="359"/>
      <c r="T80" s="360"/>
      <c r="U80" s="359"/>
    </row>
    <row r="81" spans="1:21" ht="14.25" x14ac:dyDescent="0.2">
      <c r="A81" s="303">
        <v>72</v>
      </c>
      <c r="B81" s="335" t="s">
        <v>284</v>
      </c>
      <c r="C81" s="347">
        <v>18</v>
      </c>
      <c r="D81" s="348">
        <v>156</v>
      </c>
      <c r="E81" s="349">
        <v>2808</v>
      </c>
      <c r="F81" s="352">
        <v>20.61</v>
      </c>
      <c r="G81" s="350">
        <v>370.98</v>
      </c>
      <c r="H81" s="351">
        <v>18</v>
      </c>
      <c r="I81" s="351">
        <v>156</v>
      </c>
      <c r="J81" s="351">
        <v>2808</v>
      </c>
      <c r="K81" s="352">
        <v>20.61</v>
      </c>
      <c r="L81" s="353">
        <v>370.98</v>
      </c>
      <c r="M81" s="354">
        <v>20.61</v>
      </c>
      <c r="N81" s="355">
        <v>370.98</v>
      </c>
      <c r="Q81" s="357"/>
      <c r="R81" s="358"/>
      <c r="S81" s="359"/>
      <c r="T81" s="360"/>
      <c r="U81" s="359"/>
    </row>
    <row r="82" spans="1:21" ht="15" x14ac:dyDescent="0.25">
      <c r="A82" s="303">
        <v>73</v>
      </c>
      <c r="B82" s="333" t="s">
        <v>285</v>
      </c>
      <c r="C82" s="347"/>
      <c r="D82" s="348"/>
      <c r="E82" s="348"/>
      <c r="F82" s="352"/>
      <c r="G82" s="350"/>
      <c r="H82" s="351"/>
      <c r="I82" s="351"/>
      <c r="J82" s="351"/>
      <c r="K82" s="352"/>
      <c r="L82" s="353"/>
      <c r="M82" s="354"/>
      <c r="N82" s="355"/>
      <c r="Q82" s="357"/>
      <c r="R82" s="358"/>
      <c r="S82" s="359"/>
      <c r="T82" s="360"/>
      <c r="U82" s="359"/>
    </row>
    <row r="83" spans="1:21" ht="15" x14ac:dyDescent="0.25">
      <c r="A83" s="303">
        <v>74</v>
      </c>
      <c r="B83" s="334" t="s">
        <v>237</v>
      </c>
      <c r="C83" s="347"/>
      <c r="D83" s="348"/>
      <c r="E83" s="348"/>
      <c r="F83" s="352"/>
      <c r="G83" s="350"/>
      <c r="H83" s="351"/>
      <c r="I83" s="351"/>
      <c r="J83" s="351"/>
      <c r="K83" s="352"/>
      <c r="L83" s="353"/>
      <c r="M83" s="354"/>
      <c r="N83" s="355"/>
      <c r="Q83" s="357"/>
      <c r="R83" s="358"/>
      <c r="S83" s="359"/>
      <c r="T83" s="360"/>
      <c r="U83" s="359"/>
    </row>
    <row r="84" spans="1:21" ht="14.25" x14ac:dyDescent="0.2">
      <c r="A84" s="303">
        <v>75</v>
      </c>
      <c r="B84" s="335" t="s">
        <v>238</v>
      </c>
      <c r="C84" s="347"/>
      <c r="D84" s="348">
        <v>21</v>
      </c>
      <c r="E84" s="349">
        <v>0</v>
      </c>
      <c r="F84" s="352">
        <v>8.56</v>
      </c>
      <c r="G84" s="350">
        <v>0</v>
      </c>
      <c r="H84" s="351">
        <v>0</v>
      </c>
      <c r="I84" s="351">
        <v>21</v>
      </c>
      <c r="J84" s="351">
        <v>0</v>
      </c>
      <c r="K84" s="352">
        <v>8.56</v>
      </c>
      <c r="L84" s="353">
        <v>0</v>
      </c>
      <c r="M84" s="354">
        <v>8.56</v>
      </c>
      <c r="N84" s="355">
        <v>0</v>
      </c>
      <c r="Q84" s="357"/>
      <c r="R84" s="358"/>
      <c r="S84" s="359"/>
      <c r="T84" s="360"/>
      <c r="U84" s="359"/>
    </row>
    <row r="85" spans="1:21" ht="14.25" x14ac:dyDescent="0.2">
      <c r="A85" s="303">
        <v>76</v>
      </c>
      <c r="B85" s="335" t="s">
        <v>239</v>
      </c>
      <c r="C85" s="347"/>
      <c r="D85" s="348">
        <v>37</v>
      </c>
      <c r="E85" s="349">
        <v>0</v>
      </c>
      <c r="F85" s="352">
        <v>10.86</v>
      </c>
      <c r="G85" s="350">
        <v>0</v>
      </c>
      <c r="H85" s="351">
        <v>0</v>
      </c>
      <c r="I85" s="351">
        <v>37</v>
      </c>
      <c r="J85" s="351">
        <v>0</v>
      </c>
      <c r="K85" s="352">
        <v>10.86</v>
      </c>
      <c r="L85" s="353">
        <v>0</v>
      </c>
      <c r="M85" s="354">
        <v>10.86</v>
      </c>
      <c r="N85" s="355">
        <v>0</v>
      </c>
      <c r="Q85" s="357"/>
      <c r="R85" s="358"/>
      <c r="S85" s="359"/>
      <c r="T85" s="360"/>
      <c r="U85" s="359"/>
    </row>
    <row r="86" spans="1:21" ht="14.25" x14ac:dyDescent="0.2">
      <c r="A86" s="303">
        <v>77</v>
      </c>
      <c r="B86" s="335" t="s">
        <v>240</v>
      </c>
      <c r="C86" s="347"/>
      <c r="D86" s="348">
        <v>46</v>
      </c>
      <c r="E86" s="349">
        <v>0</v>
      </c>
      <c r="F86" s="352">
        <v>13.28</v>
      </c>
      <c r="G86" s="350">
        <v>0</v>
      </c>
      <c r="H86" s="351">
        <v>0</v>
      </c>
      <c r="I86" s="351">
        <v>46</v>
      </c>
      <c r="J86" s="351">
        <v>0</v>
      </c>
      <c r="K86" s="352">
        <v>13.28</v>
      </c>
      <c r="L86" s="353">
        <v>0</v>
      </c>
      <c r="M86" s="354">
        <v>13.28</v>
      </c>
      <c r="N86" s="355">
        <v>0</v>
      </c>
      <c r="Q86" s="357"/>
      <c r="R86" s="358"/>
      <c r="S86" s="359"/>
      <c r="T86" s="360"/>
      <c r="U86" s="359"/>
    </row>
    <row r="87" spans="1:21" ht="15" x14ac:dyDescent="0.25">
      <c r="A87" s="303">
        <v>78</v>
      </c>
      <c r="B87" s="333" t="s">
        <v>286</v>
      </c>
      <c r="C87" s="364"/>
      <c r="D87" s="365"/>
      <c r="E87" s="365"/>
      <c r="F87" s="367"/>
      <c r="G87" s="366"/>
      <c r="H87" s="351"/>
      <c r="I87" s="351"/>
      <c r="J87" s="351"/>
      <c r="K87" s="367"/>
      <c r="L87" s="353"/>
      <c r="M87" s="289"/>
      <c r="N87" s="289"/>
      <c r="Q87" s="357"/>
      <c r="R87" s="358"/>
      <c r="S87" s="359"/>
      <c r="T87" s="368"/>
      <c r="U87" s="359"/>
    </row>
    <row r="88" spans="1:21" ht="14.25" x14ac:dyDescent="0.2">
      <c r="A88" s="303">
        <v>79</v>
      </c>
      <c r="B88" s="335" t="s">
        <v>287</v>
      </c>
      <c r="C88" s="347">
        <v>6564</v>
      </c>
      <c r="D88" s="348"/>
      <c r="E88" s="349">
        <v>0</v>
      </c>
      <c r="F88" s="352">
        <v>7.33</v>
      </c>
      <c r="G88" s="350">
        <v>48114.12</v>
      </c>
      <c r="H88" s="378">
        <v>6564</v>
      </c>
      <c r="I88" s="351"/>
      <c r="J88" s="351"/>
      <c r="K88" s="352">
        <v>7.33</v>
      </c>
      <c r="L88" s="353">
        <v>48114.12</v>
      </c>
      <c r="M88" s="354">
        <v>7.33</v>
      </c>
      <c r="N88" s="355">
        <v>48114.12</v>
      </c>
      <c r="Q88" s="357"/>
      <c r="R88" s="358"/>
      <c r="S88" s="359"/>
      <c r="T88" s="360"/>
      <c r="U88" s="359"/>
    </row>
    <row r="89" spans="1:21" ht="15" x14ac:dyDescent="0.25">
      <c r="A89" s="303">
        <v>80</v>
      </c>
      <c r="B89" s="334" t="s">
        <v>288</v>
      </c>
      <c r="C89" s="369"/>
      <c r="D89" s="370"/>
      <c r="E89" s="370"/>
      <c r="F89" s="367"/>
      <c r="G89" s="371"/>
      <c r="H89" s="351"/>
      <c r="I89" s="351"/>
      <c r="J89" s="351"/>
      <c r="K89" s="367"/>
      <c r="L89" s="353"/>
      <c r="M89" s="289"/>
      <c r="N89" s="289"/>
      <c r="Q89" s="357"/>
      <c r="R89" s="358"/>
      <c r="S89" s="359"/>
      <c r="T89" s="368"/>
      <c r="U89" s="359"/>
    </row>
    <row r="90" spans="1:21" ht="14.25" x14ac:dyDescent="0.2">
      <c r="A90" s="303">
        <v>81</v>
      </c>
      <c r="B90" s="335" t="s">
        <v>289</v>
      </c>
      <c r="C90" s="347">
        <v>144</v>
      </c>
      <c r="D90" s="348"/>
      <c r="E90" s="349">
        <v>0</v>
      </c>
      <c r="F90" s="352">
        <v>3.07</v>
      </c>
      <c r="G90" s="350">
        <v>442.08</v>
      </c>
      <c r="H90" s="378">
        <v>144</v>
      </c>
      <c r="I90" s="351"/>
      <c r="J90" s="351"/>
      <c r="K90" s="352">
        <v>3.07</v>
      </c>
      <c r="L90" s="353">
        <v>442.08</v>
      </c>
      <c r="M90" s="354">
        <v>3.07</v>
      </c>
      <c r="N90" s="355">
        <v>442.08</v>
      </c>
      <c r="Q90" s="357"/>
      <c r="R90" s="358"/>
      <c r="S90" s="359"/>
      <c r="T90" s="360"/>
      <c r="U90" s="359"/>
    </row>
    <row r="91" spans="1:21" ht="15" x14ac:dyDescent="0.25">
      <c r="A91" s="303">
        <v>82</v>
      </c>
      <c r="B91" s="333" t="s">
        <v>290</v>
      </c>
      <c r="C91" s="364"/>
      <c r="D91" s="365"/>
      <c r="E91" s="365"/>
      <c r="F91" s="367"/>
      <c r="G91" s="366"/>
      <c r="H91" s="351"/>
      <c r="I91" s="351"/>
      <c r="J91" s="351"/>
      <c r="K91" s="367"/>
      <c r="L91" s="353"/>
      <c r="M91" s="289"/>
      <c r="N91" s="289"/>
      <c r="Q91" s="357"/>
      <c r="R91" s="358"/>
      <c r="S91" s="359"/>
      <c r="T91" s="368"/>
      <c r="U91" s="359"/>
    </row>
    <row r="92" spans="1:21" ht="15" x14ac:dyDescent="0.25">
      <c r="A92" s="303">
        <v>83</v>
      </c>
      <c r="B92" s="334" t="s">
        <v>250</v>
      </c>
      <c r="C92" s="364"/>
      <c r="D92" s="365"/>
      <c r="E92" s="365"/>
      <c r="F92" s="367"/>
      <c r="G92" s="366"/>
      <c r="H92" s="351"/>
      <c r="I92" s="351"/>
      <c r="J92" s="351"/>
      <c r="K92" s="367"/>
      <c r="L92" s="353"/>
      <c r="M92" s="289"/>
      <c r="N92" s="289"/>
      <c r="Q92" s="357"/>
      <c r="R92" s="358"/>
      <c r="S92" s="359"/>
      <c r="T92" s="368"/>
      <c r="U92" s="359"/>
    </row>
    <row r="93" spans="1:21" ht="14.25" x14ac:dyDescent="0.2">
      <c r="A93" s="303">
        <v>84</v>
      </c>
      <c r="B93" s="335" t="s">
        <v>291</v>
      </c>
      <c r="C93" s="347">
        <v>3279</v>
      </c>
      <c r="D93" s="348">
        <v>30</v>
      </c>
      <c r="E93" s="349">
        <v>98370</v>
      </c>
      <c r="F93" s="352">
        <v>14.89</v>
      </c>
      <c r="G93" s="350">
        <v>48824.310000000005</v>
      </c>
      <c r="H93" s="378">
        <v>3279</v>
      </c>
      <c r="I93" s="351">
        <v>30</v>
      </c>
      <c r="J93" s="351">
        <v>98370</v>
      </c>
      <c r="K93" s="352">
        <v>14.89</v>
      </c>
      <c r="L93" s="353">
        <v>48824.310000000005</v>
      </c>
      <c r="M93" s="354">
        <v>14.89</v>
      </c>
      <c r="N93" s="355">
        <v>48824.310000000005</v>
      </c>
      <c r="Q93" s="357"/>
      <c r="R93" s="358"/>
      <c r="S93" s="359"/>
      <c r="T93" s="360"/>
      <c r="U93" s="359"/>
    </row>
    <row r="94" spans="1:21" ht="14.25" x14ac:dyDescent="0.2">
      <c r="A94" s="303">
        <v>85</v>
      </c>
      <c r="B94" s="335" t="s">
        <v>292</v>
      </c>
      <c r="C94" s="347">
        <v>2200</v>
      </c>
      <c r="D94" s="348">
        <v>30</v>
      </c>
      <c r="E94" s="349">
        <v>66000</v>
      </c>
      <c r="F94" s="352">
        <v>14.89</v>
      </c>
      <c r="G94" s="350">
        <v>32758</v>
      </c>
      <c r="H94" s="378">
        <v>2200</v>
      </c>
      <c r="I94" s="351">
        <v>30</v>
      </c>
      <c r="J94" s="351">
        <v>66000</v>
      </c>
      <c r="K94" s="352">
        <v>14.89</v>
      </c>
      <c r="L94" s="353">
        <v>32758</v>
      </c>
      <c r="M94" s="354">
        <v>14.89</v>
      </c>
      <c r="N94" s="355">
        <v>32758</v>
      </c>
      <c r="Q94" s="357"/>
      <c r="R94" s="358"/>
      <c r="S94" s="359"/>
      <c r="T94" s="360"/>
      <c r="U94" s="359"/>
    </row>
    <row r="95" spans="1:21" ht="14.25" x14ac:dyDescent="0.2">
      <c r="A95" s="303">
        <v>86</v>
      </c>
      <c r="B95" s="335" t="s">
        <v>293</v>
      </c>
      <c r="C95" s="347">
        <v>217</v>
      </c>
      <c r="D95" s="348">
        <v>60</v>
      </c>
      <c r="E95" s="349">
        <v>13020</v>
      </c>
      <c r="F95" s="352">
        <v>24.49</v>
      </c>
      <c r="G95" s="350">
        <v>5314.33</v>
      </c>
      <c r="H95" s="378">
        <v>217</v>
      </c>
      <c r="I95" s="351">
        <v>60</v>
      </c>
      <c r="J95" s="351">
        <v>13020</v>
      </c>
      <c r="K95" s="352">
        <v>24.49</v>
      </c>
      <c r="L95" s="353">
        <v>5314.33</v>
      </c>
      <c r="M95" s="354">
        <v>24.49</v>
      </c>
      <c r="N95" s="355">
        <v>5314.33</v>
      </c>
      <c r="Q95" s="357"/>
      <c r="R95" s="358"/>
      <c r="S95" s="359"/>
      <c r="T95" s="360"/>
      <c r="U95" s="359"/>
    </row>
    <row r="96" spans="1:21" ht="15" x14ac:dyDescent="0.25">
      <c r="A96" s="303">
        <v>87</v>
      </c>
      <c r="B96" s="333" t="s">
        <v>294</v>
      </c>
      <c r="C96" s="347"/>
      <c r="D96" s="348"/>
      <c r="E96" s="348"/>
      <c r="F96" s="352"/>
      <c r="G96" s="350"/>
      <c r="H96" s="351"/>
      <c r="I96" s="351"/>
      <c r="J96" s="351"/>
      <c r="K96" s="352"/>
      <c r="L96" s="353"/>
      <c r="M96" s="354"/>
      <c r="N96" s="355"/>
      <c r="Q96" s="357"/>
      <c r="R96" s="358"/>
      <c r="S96" s="359"/>
      <c r="T96" s="360"/>
      <c r="U96" s="359"/>
    </row>
    <row r="97" spans="1:28" ht="15" x14ac:dyDescent="0.25">
      <c r="A97" s="303">
        <v>88</v>
      </c>
      <c r="B97" s="334" t="s">
        <v>234</v>
      </c>
      <c r="C97" s="347"/>
      <c r="D97" s="348"/>
      <c r="E97" s="348"/>
      <c r="F97" s="350"/>
      <c r="G97" s="350"/>
      <c r="H97" s="351"/>
      <c r="I97" s="351"/>
      <c r="J97" s="351"/>
      <c r="K97" s="352"/>
      <c r="L97" s="353"/>
      <c r="M97" s="354"/>
      <c r="N97" s="355"/>
      <c r="Q97" s="357"/>
      <c r="R97" s="358"/>
      <c r="S97" s="359"/>
      <c r="T97" s="360"/>
      <c r="U97" s="359"/>
    </row>
    <row r="98" spans="1:28" ht="14.25" x14ac:dyDescent="0.2">
      <c r="A98" s="303">
        <v>89</v>
      </c>
      <c r="B98" s="335" t="s">
        <v>295</v>
      </c>
      <c r="C98" s="347">
        <v>1024</v>
      </c>
      <c r="D98" s="348">
        <v>43</v>
      </c>
      <c r="E98" s="349">
        <v>44032</v>
      </c>
      <c r="F98" s="352">
        <v>26.75</v>
      </c>
      <c r="G98" s="350">
        <v>27392</v>
      </c>
      <c r="H98" s="378">
        <v>1024</v>
      </c>
      <c r="I98" s="351">
        <v>43</v>
      </c>
      <c r="J98" s="351">
        <v>44032</v>
      </c>
      <c r="K98" s="352">
        <v>26.75</v>
      </c>
      <c r="L98" s="353">
        <v>27392</v>
      </c>
      <c r="M98" s="354">
        <v>26.75</v>
      </c>
      <c r="N98" s="355">
        <v>27392</v>
      </c>
      <c r="Q98" s="357"/>
      <c r="R98" s="358"/>
      <c r="S98" s="359"/>
      <c r="T98" s="360"/>
      <c r="U98" s="359"/>
    </row>
    <row r="99" spans="1:28" ht="15" x14ac:dyDescent="0.25">
      <c r="A99" s="303">
        <v>90</v>
      </c>
      <c r="B99" s="334" t="s">
        <v>237</v>
      </c>
      <c r="C99" s="347"/>
      <c r="D99" s="348"/>
      <c r="E99" s="348"/>
      <c r="F99" s="352"/>
      <c r="G99" s="350"/>
      <c r="H99" s="351"/>
      <c r="I99" s="351"/>
      <c r="J99" s="351"/>
      <c r="K99" s="352"/>
      <c r="L99" s="353"/>
      <c r="M99" s="354"/>
      <c r="N99" s="355"/>
      <c r="Q99" s="357"/>
      <c r="R99" s="358"/>
      <c r="S99" s="359"/>
      <c r="T99" s="360"/>
      <c r="U99" s="359"/>
    </row>
    <row r="100" spans="1:28" ht="14.25" x14ac:dyDescent="0.2">
      <c r="A100" s="303">
        <v>91</v>
      </c>
      <c r="B100" s="335" t="s">
        <v>296</v>
      </c>
      <c r="C100" s="347">
        <v>3399.201</v>
      </c>
      <c r="D100" s="348">
        <v>14</v>
      </c>
      <c r="E100" s="349">
        <v>47588.813999999998</v>
      </c>
      <c r="F100" s="352">
        <v>23.13</v>
      </c>
      <c r="G100" s="350">
        <v>78623.519130000001</v>
      </c>
      <c r="H100" s="378">
        <v>3399.201</v>
      </c>
      <c r="I100" s="351">
        <v>14</v>
      </c>
      <c r="J100" s="351">
        <v>47588.813999999998</v>
      </c>
      <c r="K100" s="352">
        <v>23.13</v>
      </c>
      <c r="L100" s="353">
        <v>78623.519130000001</v>
      </c>
      <c r="M100" s="354">
        <v>23.13</v>
      </c>
      <c r="N100" s="355">
        <v>78623.519130000001</v>
      </c>
      <c r="Q100" s="357"/>
      <c r="R100" s="358"/>
      <c r="S100" s="359"/>
      <c r="T100" s="360"/>
      <c r="U100" s="359"/>
    </row>
    <row r="101" spans="1:28" x14ac:dyDescent="0.2">
      <c r="A101" s="303">
        <v>92</v>
      </c>
      <c r="B101" s="289" t="s">
        <v>321</v>
      </c>
      <c r="C101" s="289"/>
      <c r="D101" s="289"/>
      <c r="E101" s="379">
        <v>9514421.9929999989</v>
      </c>
      <c r="F101" s="289"/>
      <c r="G101" s="379">
        <v>2181013.8247500006</v>
      </c>
      <c r="J101" s="379">
        <v>9514421.9929999989</v>
      </c>
      <c r="K101" s="289"/>
      <c r="L101" s="379">
        <v>2181013.8247500006</v>
      </c>
      <c r="M101" s="289"/>
      <c r="N101" s="379">
        <v>2181013.8247500006</v>
      </c>
      <c r="O101" s="380">
        <v>2181013.8199999998</v>
      </c>
      <c r="P101" t="s">
        <v>322</v>
      </c>
      <c r="Q101" s="380">
        <v>182281.09</v>
      </c>
      <c r="R101" s="363">
        <v>182158.75</v>
      </c>
      <c r="S101" s="363">
        <v>182545.21</v>
      </c>
      <c r="T101" s="363">
        <v>181998.57</v>
      </c>
      <c r="U101" s="363">
        <v>181722.27</v>
      </c>
      <c r="V101" s="363">
        <v>181519.08</v>
      </c>
      <c r="W101" s="363">
        <v>181360.45</v>
      </c>
      <c r="X101" s="363">
        <v>181315.67</v>
      </c>
      <c r="Y101" s="363">
        <v>181640.8</v>
      </c>
      <c r="Z101" s="363">
        <v>181531.15</v>
      </c>
      <c r="AA101" s="363">
        <v>181474.43</v>
      </c>
      <c r="AB101" s="363">
        <v>181466.35</v>
      </c>
    </row>
    <row r="102" spans="1:28" x14ac:dyDescent="0.2">
      <c r="A102" s="303"/>
      <c r="B102" s="289" t="s">
        <v>323</v>
      </c>
      <c r="C102" s="289"/>
      <c r="D102" s="289"/>
      <c r="E102" s="379"/>
      <c r="F102" s="381">
        <v>4.966417301520254E-3</v>
      </c>
      <c r="G102" s="379">
        <v>47252.590000000011</v>
      </c>
      <c r="K102" s="382">
        <v>4.2023847648525485E-3</v>
      </c>
      <c r="L102" s="289">
        <v>39983.262029761216</v>
      </c>
      <c r="M102" s="289"/>
      <c r="N102" s="289">
        <v>39983.262029761216</v>
      </c>
      <c r="O102" s="380">
        <v>47252.590000000011</v>
      </c>
      <c r="P102" t="s">
        <v>324</v>
      </c>
      <c r="Q102">
        <v>9308.1999999999989</v>
      </c>
      <c r="R102" s="363">
        <v>5152.9800000000014</v>
      </c>
      <c r="S102" s="363">
        <v>7175.39</v>
      </c>
      <c r="T102" s="363">
        <v>4027.1299999999997</v>
      </c>
      <c r="U102" s="363">
        <v>3850.13</v>
      </c>
      <c r="V102" s="363">
        <v>1478.5800000000008</v>
      </c>
      <c r="W102" s="363">
        <v>3520.5899999999992</v>
      </c>
      <c r="X102" s="363">
        <v>2774.0500000000011</v>
      </c>
      <c r="Y102" s="363">
        <v>1730.62</v>
      </c>
      <c r="Z102" s="363">
        <v>3132.3300000000008</v>
      </c>
      <c r="AA102" s="363">
        <v>2768.0100000000011</v>
      </c>
      <c r="AB102" s="363">
        <v>2334.58</v>
      </c>
    </row>
    <row r="103" spans="1:28" x14ac:dyDescent="0.2">
      <c r="A103" s="303"/>
      <c r="B103" s="289"/>
      <c r="C103" s="289"/>
      <c r="D103" s="289"/>
      <c r="E103" s="379">
        <v>9514421.9929999989</v>
      </c>
      <c r="F103" s="289"/>
      <c r="G103" s="379">
        <v>2228266.4147500005</v>
      </c>
      <c r="K103" s="289"/>
      <c r="L103" s="379">
        <v>2220997.0867797621</v>
      </c>
      <c r="M103" s="289"/>
      <c r="N103" s="379">
        <v>2220997.0867797621</v>
      </c>
      <c r="O103" s="380">
        <v>-4351.630000000001</v>
      </c>
      <c r="P103" t="s">
        <v>325</v>
      </c>
      <c r="Q103">
        <v>-778.21</v>
      </c>
      <c r="R103" s="363">
        <v>-152.88</v>
      </c>
      <c r="S103" s="363">
        <v>-654.44000000000005</v>
      </c>
      <c r="T103" s="363">
        <v>-2219.9</v>
      </c>
      <c r="U103" s="363">
        <v>-11.28</v>
      </c>
      <c r="V103" s="363">
        <v>-399.52</v>
      </c>
      <c r="W103" s="363">
        <v>-8.56</v>
      </c>
      <c r="X103" s="363">
        <v>-11.28</v>
      </c>
      <c r="Y103" s="363">
        <v>-17.52</v>
      </c>
      <c r="Z103" s="363">
        <v>-76.44</v>
      </c>
      <c r="AA103" s="363">
        <v>-21.6</v>
      </c>
      <c r="AB103" s="363">
        <v>0</v>
      </c>
    </row>
    <row r="104" spans="1:28" x14ac:dyDescent="0.2">
      <c r="A104" s="303"/>
      <c r="B104" s="289" t="s">
        <v>326</v>
      </c>
      <c r="C104" s="289"/>
      <c r="D104" s="289"/>
      <c r="E104" s="383">
        <v>-29546</v>
      </c>
      <c r="F104" s="384"/>
      <c r="G104" s="380">
        <v>-4351.630000000001</v>
      </c>
      <c r="J104" s="383">
        <v>-29546</v>
      </c>
      <c r="K104" s="289"/>
      <c r="L104" s="385">
        <v>-4351.630000000001</v>
      </c>
      <c r="M104" s="289"/>
      <c r="N104" s="385">
        <v>-4351.630000000001</v>
      </c>
      <c r="O104" s="380">
        <v>-56.57</v>
      </c>
      <c r="P104" t="s">
        <v>327</v>
      </c>
      <c r="Q104">
        <v>-5.5</v>
      </c>
      <c r="R104" s="363">
        <v>-12.34</v>
      </c>
      <c r="S104" s="363">
        <v>-41.48</v>
      </c>
      <c r="T104" s="363">
        <v>18.600000000000001</v>
      </c>
      <c r="U104" s="363">
        <v>-0.33999999999999991</v>
      </c>
      <c r="V104" s="363">
        <v>-13.8</v>
      </c>
      <c r="W104" s="363">
        <v>-0.04</v>
      </c>
      <c r="X104" s="363">
        <v>-0.24999999999999997</v>
      </c>
      <c r="Y104" s="363">
        <v>0.41000000000000009</v>
      </c>
      <c r="Z104" s="363">
        <v>-0.67</v>
      </c>
      <c r="AA104" s="363">
        <v>-1.1599999999999997</v>
      </c>
      <c r="AB104" s="363">
        <v>0</v>
      </c>
    </row>
    <row r="105" spans="1:28" x14ac:dyDescent="0.2">
      <c r="A105" s="303"/>
      <c r="B105" s="289" t="s">
        <v>328</v>
      </c>
      <c r="C105" s="289"/>
      <c r="D105" s="289"/>
      <c r="E105" s="386"/>
      <c r="F105" s="289">
        <v>1.9146415758478305E-3</v>
      </c>
      <c r="G105" s="379">
        <v>-56.57</v>
      </c>
      <c r="K105" s="382">
        <v>4.2023847648525485E-3</v>
      </c>
      <c r="L105" s="379">
        <v>-124.16366026233339</v>
      </c>
      <c r="M105" s="289"/>
      <c r="N105" s="379">
        <v>-124.16366026233339</v>
      </c>
      <c r="Q105" s="380">
        <v>190805.58000000002</v>
      </c>
      <c r="R105" s="363">
        <v>187146.51</v>
      </c>
      <c r="S105" s="363">
        <v>189024.68</v>
      </c>
      <c r="T105" s="363">
        <v>183824.40000000002</v>
      </c>
      <c r="U105" s="363">
        <v>185560.78</v>
      </c>
      <c r="V105" s="363">
        <v>182584.34</v>
      </c>
      <c r="W105" s="363">
        <v>184872.44</v>
      </c>
      <c r="X105" s="363">
        <v>184078.19</v>
      </c>
      <c r="Y105" s="363">
        <v>183354.31</v>
      </c>
      <c r="Z105" s="363">
        <v>184586.36999999997</v>
      </c>
      <c r="AA105" s="363">
        <v>184219.68</v>
      </c>
      <c r="AB105" s="363">
        <v>183800.93</v>
      </c>
    </row>
    <row r="106" spans="1:28" x14ac:dyDescent="0.2">
      <c r="A106" s="303"/>
      <c r="B106" s="289"/>
      <c r="C106" s="387"/>
      <c r="D106" s="289"/>
      <c r="E106" s="379">
        <v>9484875.9929999989</v>
      </c>
      <c r="F106" s="289"/>
      <c r="G106" s="379">
        <v>2223858.2147500007</v>
      </c>
      <c r="H106" s="289"/>
      <c r="I106" s="289"/>
      <c r="J106" s="379">
        <v>9484875.9929999989</v>
      </c>
      <c r="K106" s="289"/>
      <c r="L106" s="379">
        <v>2216521.2931194999</v>
      </c>
      <c r="M106" s="289"/>
      <c r="N106" s="379">
        <v>2216521.2931194999</v>
      </c>
      <c r="O106" s="388">
        <v>9514421</v>
      </c>
      <c r="P106" t="s">
        <v>329</v>
      </c>
      <c r="Q106" s="388">
        <v>813652</v>
      </c>
      <c r="R106" s="388">
        <v>808927</v>
      </c>
      <c r="S106" s="388">
        <v>804346</v>
      </c>
      <c r="T106" s="388">
        <v>801549</v>
      </c>
      <c r="U106" s="388">
        <v>797162</v>
      </c>
      <c r="V106" s="388">
        <v>792428</v>
      </c>
      <c r="W106" s="388">
        <v>789070</v>
      </c>
      <c r="X106" s="388">
        <v>786984</v>
      </c>
      <c r="Y106" s="388">
        <v>785331</v>
      </c>
      <c r="Z106" s="388">
        <v>782046</v>
      </c>
      <c r="AA106" s="388">
        <v>778000</v>
      </c>
      <c r="AB106" s="388">
        <v>774926</v>
      </c>
    </row>
    <row r="107" spans="1:28" x14ac:dyDescent="0.2">
      <c r="A107" s="303"/>
      <c r="B107" s="289"/>
      <c r="C107" s="387"/>
      <c r="D107" s="289"/>
      <c r="E107" s="386"/>
      <c r="F107" s="289"/>
      <c r="G107" s="379"/>
      <c r="H107" s="289"/>
      <c r="I107" s="289"/>
      <c r="J107" s="289"/>
      <c r="K107" s="289"/>
      <c r="L107" s="289"/>
      <c r="M107" s="289"/>
      <c r="N107" s="289"/>
      <c r="O107" s="388">
        <v>-29546</v>
      </c>
      <c r="P107" t="s">
        <v>330</v>
      </c>
      <c r="Q107" s="388">
        <v>-936</v>
      </c>
      <c r="R107" s="388">
        <v>0</v>
      </c>
      <c r="S107" s="388">
        <v>-6354</v>
      </c>
      <c r="T107" s="388">
        <v>-5882</v>
      </c>
      <c r="U107" s="388">
        <v>-13365</v>
      </c>
      <c r="V107" s="388">
        <v>-2502</v>
      </c>
      <c r="W107" s="388">
        <v>-21</v>
      </c>
      <c r="X107" s="388">
        <v>-70</v>
      </c>
      <c r="Y107" s="388">
        <v>84</v>
      </c>
      <c r="Z107" s="388">
        <v>-292</v>
      </c>
      <c r="AA107" s="388">
        <v>-138</v>
      </c>
      <c r="AB107" s="388">
        <v>-70</v>
      </c>
    </row>
    <row r="108" spans="1:28" x14ac:dyDescent="0.2">
      <c r="A108" s="303"/>
      <c r="B108" s="289"/>
      <c r="C108" s="387"/>
      <c r="D108" s="289"/>
      <c r="E108" s="386"/>
      <c r="F108" s="289"/>
      <c r="G108" s="379"/>
      <c r="H108" s="289"/>
      <c r="I108" s="289"/>
      <c r="J108" s="289"/>
      <c r="K108" s="289"/>
      <c r="L108" s="289"/>
      <c r="M108" s="289"/>
      <c r="N108" s="289"/>
    </row>
    <row r="109" spans="1:28" ht="15" thickBot="1" x14ac:dyDescent="0.25">
      <c r="A109" s="303">
        <v>93</v>
      </c>
      <c r="B109" s="389"/>
      <c r="C109" s="389"/>
      <c r="D109" s="389"/>
      <c r="E109" s="389"/>
      <c r="F109" s="389"/>
      <c r="G109" s="389"/>
      <c r="H109" s="390"/>
      <c r="I109" s="390"/>
      <c r="J109" s="390"/>
      <c r="K109" s="389"/>
      <c r="L109" s="389"/>
      <c r="M109" s="389"/>
      <c r="N109" s="389"/>
      <c r="Q109" s="391">
        <v>43466</v>
      </c>
      <c r="R109" s="391">
        <v>43497</v>
      </c>
      <c r="S109" s="391">
        <v>43525</v>
      </c>
      <c r="T109" s="391">
        <v>43556</v>
      </c>
      <c r="U109" s="391">
        <v>43586</v>
      </c>
      <c r="V109" s="391">
        <v>43617</v>
      </c>
      <c r="W109" s="391">
        <v>43647</v>
      </c>
      <c r="X109" s="391">
        <v>43678</v>
      </c>
      <c r="Y109" s="391">
        <v>43709</v>
      </c>
      <c r="Z109" s="391">
        <v>43739</v>
      </c>
      <c r="AA109" s="391">
        <v>43770</v>
      </c>
      <c r="AB109" s="391">
        <v>43800</v>
      </c>
    </row>
    <row r="110" spans="1:28" ht="15" x14ac:dyDescent="0.25">
      <c r="A110" s="303">
        <v>94</v>
      </c>
      <c r="B110" s="334"/>
      <c r="C110" s="392"/>
      <c r="D110" s="334"/>
      <c r="E110" s="393"/>
      <c r="F110" s="334"/>
      <c r="G110" s="394"/>
      <c r="H110" s="346"/>
      <c r="I110" s="346"/>
      <c r="J110" s="395"/>
      <c r="K110" s="396"/>
      <c r="L110" s="335"/>
      <c r="M110" s="397"/>
      <c r="N110" s="397"/>
      <c r="P110" s="397"/>
      <c r="S110" s="397"/>
      <c r="U110" s="397"/>
    </row>
    <row r="111" spans="1:28" x14ac:dyDescent="0.2">
      <c r="A111" s="303">
        <v>95</v>
      </c>
      <c r="B111" s="289"/>
      <c r="C111" s="289"/>
      <c r="D111" s="289"/>
      <c r="E111" s="388">
        <v>9484875</v>
      </c>
      <c r="F111" s="289" t="s">
        <v>322</v>
      </c>
      <c r="G111" s="289">
        <v>2176662.19</v>
      </c>
      <c r="K111" s="398">
        <v>2176662.1947500007</v>
      </c>
      <c r="P111" s="357"/>
      <c r="Q111">
        <v>181502.88</v>
      </c>
      <c r="R111">
        <v>182005.87</v>
      </c>
      <c r="S111">
        <v>181890.77</v>
      </c>
      <c r="T111" s="363">
        <v>179778.66999999998</v>
      </c>
      <c r="U111">
        <v>181710.99</v>
      </c>
      <c r="V111">
        <v>181119.56</v>
      </c>
      <c r="W111">
        <v>181351.89</v>
      </c>
      <c r="X111">
        <v>181304.39</v>
      </c>
      <c r="Y111">
        <v>181623.28</v>
      </c>
      <c r="Z111">
        <v>181454.71</v>
      </c>
      <c r="AA111">
        <v>181452.83</v>
      </c>
      <c r="AB111">
        <v>181466.35</v>
      </c>
    </row>
    <row r="112" spans="1:28" x14ac:dyDescent="0.2">
      <c r="A112" s="303">
        <v>96</v>
      </c>
      <c r="B112" s="289"/>
      <c r="C112" s="289"/>
      <c r="D112" s="289"/>
      <c r="E112" s="289"/>
      <c r="F112" s="289" t="s">
        <v>331</v>
      </c>
      <c r="G112" s="289">
        <v>7819.43</v>
      </c>
      <c r="P112" s="399"/>
      <c r="Q112">
        <v>2679.02</v>
      </c>
      <c r="R112">
        <v>0.05</v>
      </c>
      <c r="S112">
        <v>1143.21</v>
      </c>
      <c r="T112">
        <v>245.56</v>
      </c>
      <c r="U112">
        <v>697.61</v>
      </c>
      <c r="V112">
        <v>-2.61</v>
      </c>
      <c r="W112">
        <v>1459.84</v>
      </c>
      <c r="X112">
        <v>91.34</v>
      </c>
      <c r="Y112">
        <v>-794.62</v>
      </c>
      <c r="Z112">
        <v>417.98</v>
      </c>
      <c r="AA112">
        <v>780.95</v>
      </c>
      <c r="AB112">
        <v>1101.0999999999999</v>
      </c>
    </row>
    <row r="113" spans="1:28" x14ac:dyDescent="0.2">
      <c r="A113" s="303">
        <v>97</v>
      </c>
      <c r="B113" s="289"/>
      <c r="C113" s="289"/>
      <c r="D113" s="289"/>
      <c r="E113" s="289"/>
      <c r="F113" s="289" t="s">
        <v>332</v>
      </c>
      <c r="G113" s="289">
        <v>69554.91</v>
      </c>
      <c r="P113" s="399"/>
      <c r="Q113">
        <v>7300.89</v>
      </c>
      <c r="R113">
        <v>5950.41</v>
      </c>
      <c r="S113">
        <v>6673.87</v>
      </c>
      <c r="T113">
        <v>5645.5199999999995</v>
      </c>
      <c r="U113">
        <v>6587.47</v>
      </c>
      <c r="V113">
        <v>6176.78</v>
      </c>
      <c r="W113">
        <v>6671.57</v>
      </c>
      <c r="X113">
        <v>5356.37</v>
      </c>
      <c r="Y113">
        <v>4490.18</v>
      </c>
      <c r="Z113">
        <v>5064.41</v>
      </c>
      <c r="AA113">
        <v>4527.55</v>
      </c>
      <c r="AB113">
        <v>5109.8900000000003</v>
      </c>
    </row>
    <row r="114" spans="1:28" x14ac:dyDescent="0.2">
      <c r="A114" s="303">
        <v>98</v>
      </c>
      <c r="B114" s="289"/>
      <c r="C114" s="289"/>
      <c r="D114" s="289"/>
      <c r="E114" s="289"/>
      <c r="F114" s="289" t="s">
        <v>333</v>
      </c>
      <c r="G114" s="289">
        <v>-47398.9</v>
      </c>
      <c r="P114" s="399"/>
      <c r="Q114">
        <v>-2214.16</v>
      </c>
      <c r="R114">
        <v>-1963.61</v>
      </c>
      <c r="S114">
        <v>-1924.6</v>
      </c>
      <c r="T114">
        <v>-3072.41</v>
      </c>
      <c r="U114">
        <v>-5009.3100000000004</v>
      </c>
      <c r="V114">
        <v>-6181.43</v>
      </c>
      <c r="W114">
        <v>-6336.7300000000005</v>
      </c>
      <c r="X114">
        <v>-3710.71</v>
      </c>
      <c r="Y114">
        <v>-3010.48</v>
      </c>
      <c r="Z114">
        <v>-3463.79</v>
      </c>
      <c r="AA114">
        <v>-4528</v>
      </c>
      <c r="AB114">
        <v>-5983.67</v>
      </c>
    </row>
    <row r="115" spans="1:28" x14ac:dyDescent="0.2">
      <c r="A115" s="303">
        <v>99</v>
      </c>
      <c r="B115" s="289"/>
      <c r="C115" s="289"/>
      <c r="D115" s="289"/>
      <c r="E115" s="289"/>
      <c r="F115" s="289" t="s">
        <v>334</v>
      </c>
      <c r="G115" s="289">
        <v>17216.309999999998</v>
      </c>
      <c r="P115" s="399"/>
      <c r="Q115">
        <v>1532.34</v>
      </c>
      <c r="R115">
        <v>1153.8</v>
      </c>
      <c r="S115">
        <v>1241.43</v>
      </c>
      <c r="T115">
        <v>1227.06</v>
      </c>
      <c r="U115">
        <v>1574.05</v>
      </c>
      <c r="V115">
        <v>1472.04</v>
      </c>
      <c r="W115">
        <v>1725.8700000000001</v>
      </c>
      <c r="X115">
        <v>1036.8</v>
      </c>
      <c r="Y115">
        <v>1045.95</v>
      </c>
      <c r="Z115">
        <v>1113.06</v>
      </c>
      <c r="AA115">
        <v>1986.65</v>
      </c>
      <c r="AB115">
        <v>2107.2600000000002</v>
      </c>
    </row>
    <row r="116" spans="1:28" x14ac:dyDescent="0.2">
      <c r="A116" s="303">
        <v>100</v>
      </c>
      <c r="B116" s="289"/>
      <c r="C116" s="289"/>
      <c r="D116" s="289"/>
      <c r="E116" s="289"/>
      <c r="F116" s="289" t="s">
        <v>335</v>
      </c>
      <c r="G116" s="289">
        <v>3.84</v>
      </c>
      <c r="P116" s="399"/>
      <c r="Q116">
        <v>3.84</v>
      </c>
    </row>
    <row r="117" spans="1:28" x14ac:dyDescent="0.2">
      <c r="A117" s="303">
        <v>101</v>
      </c>
      <c r="B117" s="289"/>
      <c r="C117" s="289"/>
      <c r="D117" s="289"/>
      <c r="E117" s="289"/>
      <c r="F117" s="289" t="s">
        <v>336</v>
      </c>
      <c r="G117" s="289">
        <v>0.77</v>
      </c>
      <c r="P117" s="399"/>
      <c r="Q117">
        <v>0.77</v>
      </c>
    </row>
    <row r="118" spans="1:28" x14ac:dyDescent="0.2">
      <c r="A118" s="303"/>
      <c r="B118" s="289"/>
      <c r="C118" s="289"/>
      <c r="D118" s="289"/>
      <c r="E118" s="289"/>
      <c r="F118" s="289"/>
      <c r="G118" s="289">
        <v>47196.359999999986</v>
      </c>
      <c r="P118" s="399"/>
    </row>
    <row r="119" spans="1:28" x14ac:dyDescent="0.2">
      <c r="A119" s="303">
        <v>102</v>
      </c>
      <c r="B119" s="289"/>
      <c r="C119" s="289"/>
      <c r="D119" s="289"/>
      <c r="E119" s="289"/>
      <c r="F119" s="289"/>
      <c r="G119" s="289">
        <v>2223858.5500000003</v>
      </c>
      <c r="P119" s="399"/>
    </row>
    <row r="120" spans="1:28" x14ac:dyDescent="0.2">
      <c r="A120" s="303">
        <v>103</v>
      </c>
      <c r="B120" s="289"/>
      <c r="C120" s="289"/>
      <c r="D120" s="289"/>
      <c r="E120" s="289"/>
      <c r="F120" s="289"/>
    </row>
    <row r="121" spans="1:28" x14ac:dyDescent="0.2">
      <c r="A121" s="303">
        <v>104</v>
      </c>
      <c r="B121" s="289"/>
      <c r="C121" s="289"/>
      <c r="D121" s="289"/>
      <c r="E121" s="289"/>
      <c r="F121" s="289"/>
      <c r="G121" s="400"/>
      <c r="O121" s="357"/>
      <c r="Q121">
        <v>812716</v>
      </c>
      <c r="R121">
        <v>808927</v>
      </c>
      <c r="S121">
        <v>797992</v>
      </c>
      <c r="T121">
        <v>795667</v>
      </c>
      <c r="U121">
        <v>783797</v>
      </c>
      <c r="V121">
        <v>789926</v>
      </c>
      <c r="W121">
        <v>789049</v>
      </c>
      <c r="X121">
        <v>786914</v>
      </c>
      <c r="Y121">
        <v>785415</v>
      </c>
      <c r="Z121">
        <v>781754</v>
      </c>
      <c r="AA121">
        <v>777862</v>
      </c>
      <c r="AB121">
        <v>774856</v>
      </c>
    </row>
    <row r="122" spans="1:28" x14ac:dyDescent="0.2">
      <c r="A122" s="303">
        <v>105</v>
      </c>
      <c r="B122" s="289"/>
      <c r="C122" s="289"/>
      <c r="D122" s="289"/>
      <c r="E122" s="289"/>
      <c r="F122" s="289"/>
      <c r="G122" s="289"/>
      <c r="O122" s="357"/>
    </row>
    <row r="123" spans="1:28" x14ac:dyDescent="0.2">
      <c r="A123" s="303">
        <v>106</v>
      </c>
      <c r="B123" s="289"/>
      <c r="C123" s="289"/>
      <c r="D123" s="289"/>
      <c r="E123" s="289"/>
      <c r="F123" s="289"/>
      <c r="G123" s="289" t="s">
        <v>337</v>
      </c>
      <c r="O123" s="357"/>
    </row>
    <row r="124" spans="1:28" x14ac:dyDescent="0.2">
      <c r="A124" s="303">
        <v>107</v>
      </c>
      <c r="B124" s="289"/>
      <c r="C124" s="289"/>
      <c r="D124" s="289"/>
      <c r="E124" s="289"/>
      <c r="F124" s="289"/>
      <c r="H124" s="357" t="s">
        <v>338</v>
      </c>
    </row>
    <row r="125" spans="1:28" x14ac:dyDescent="0.2">
      <c r="A125" s="303">
        <v>108</v>
      </c>
      <c r="B125" s="289"/>
      <c r="C125" s="289"/>
      <c r="D125" s="289"/>
      <c r="E125" s="289"/>
      <c r="F125" s="289"/>
      <c r="G125" t="s">
        <v>339</v>
      </c>
      <c r="H125" s="363">
        <v>-8.56</v>
      </c>
      <c r="J125">
        <v>-21</v>
      </c>
      <c r="L125" t="s">
        <v>340</v>
      </c>
    </row>
    <row r="126" spans="1:28" x14ac:dyDescent="0.2">
      <c r="A126" s="303">
        <v>109</v>
      </c>
      <c r="B126" s="289"/>
      <c r="C126" s="289"/>
      <c r="D126" s="289"/>
      <c r="E126" s="289"/>
      <c r="F126" s="289"/>
      <c r="H126" s="363">
        <v>-8.56</v>
      </c>
      <c r="J126">
        <v>-21</v>
      </c>
    </row>
    <row r="127" spans="1:28" x14ac:dyDescent="0.2">
      <c r="A127" s="303">
        <v>110</v>
      </c>
      <c r="B127" s="289"/>
      <c r="C127" s="289"/>
      <c r="D127" s="289"/>
      <c r="E127" s="289"/>
      <c r="F127" s="289"/>
      <c r="H127" s="363">
        <v>-8.56</v>
      </c>
      <c r="J127">
        <v>-21</v>
      </c>
    </row>
    <row r="128" spans="1:28" x14ac:dyDescent="0.2">
      <c r="A128" s="303">
        <v>111</v>
      </c>
      <c r="B128" s="289"/>
      <c r="C128" s="289"/>
      <c r="D128" s="289"/>
      <c r="E128" s="289"/>
      <c r="F128" s="289"/>
      <c r="H128" s="363"/>
    </row>
    <row r="129" spans="1:23" x14ac:dyDescent="0.2">
      <c r="A129" s="303">
        <v>112</v>
      </c>
      <c r="B129" s="289"/>
      <c r="C129" s="289"/>
      <c r="D129" s="289"/>
      <c r="E129" s="289"/>
      <c r="F129" s="289"/>
      <c r="H129" s="363"/>
    </row>
    <row r="130" spans="1:23" x14ac:dyDescent="0.2">
      <c r="A130" s="303">
        <v>113</v>
      </c>
      <c r="B130" s="289"/>
      <c r="C130" s="289"/>
      <c r="D130" s="289"/>
      <c r="E130" s="289"/>
      <c r="F130" s="289"/>
      <c r="H130" s="363">
        <v>-11.28</v>
      </c>
      <c r="I130" s="383"/>
      <c r="J130">
        <v>-70</v>
      </c>
      <c r="L130" t="s">
        <v>341</v>
      </c>
    </row>
    <row r="131" spans="1:23" x14ac:dyDescent="0.2">
      <c r="A131" s="303">
        <v>114</v>
      </c>
      <c r="B131" s="289"/>
      <c r="C131" s="289"/>
      <c r="D131" s="289"/>
      <c r="E131" s="289"/>
      <c r="F131" s="289"/>
      <c r="H131" s="363">
        <v>-11.28</v>
      </c>
      <c r="J131">
        <v>-70</v>
      </c>
    </row>
    <row r="132" spans="1:23" x14ac:dyDescent="0.2">
      <c r="A132" s="303">
        <v>115</v>
      </c>
      <c r="B132" s="289"/>
      <c r="C132" s="289"/>
      <c r="D132" s="289"/>
      <c r="E132" s="289"/>
      <c r="F132" s="289"/>
      <c r="H132" s="363"/>
      <c r="I132" s="357"/>
    </row>
    <row r="133" spans="1:23" x14ac:dyDescent="0.2">
      <c r="A133" s="303">
        <v>116</v>
      </c>
      <c r="B133" s="289"/>
      <c r="C133" s="289"/>
      <c r="D133" s="289"/>
      <c r="E133" s="289"/>
      <c r="F133" s="289"/>
      <c r="H133" s="401"/>
      <c r="I133" s="357"/>
    </row>
    <row r="134" spans="1:23" x14ac:dyDescent="0.2">
      <c r="G134" s="289"/>
      <c r="H134" s="363">
        <v>-11.28</v>
      </c>
      <c r="J134">
        <v>-70</v>
      </c>
      <c r="W134" s="380"/>
    </row>
    <row r="135" spans="1:23" x14ac:dyDescent="0.2">
      <c r="G135" s="355"/>
      <c r="H135" s="363">
        <v>-11.28</v>
      </c>
      <c r="J135">
        <v>-70</v>
      </c>
      <c r="W135" s="380"/>
    </row>
    <row r="136" spans="1:23" x14ac:dyDescent="0.2">
      <c r="H136" s="363"/>
      <c r="P136" s="380"/>
      <c r="W136" s="380"/>
    </row>
    <row r="137" spans="1:23" x14ac:dyDescent="0.2">
      <c r="H137" s="363">
        <v>-10.86</v>
      </c>
      <c r="J137">
        <v>-37</v>
      </c>
      <c r="L137" t="s">
        <v>342</v>
      </c>
      <c r="P137" s="380"/>
      <c r="W137" s="380"/>
    </row>
    <row r="138" spans="1:23" x14ac:dyDescent="0.2">
      <c r="H138" s="363">
        <v>8.56</v>
      </c>
      <c r="J138">
        <v>21</v>
      </c>
      <c r="L138" t="s">
        <v>343</v>
      </c>
      <c r="P138" s="380"/>
    </row>
    <row r="139" spans="1:23" x14ac:dyDescent="0.2">
      <c r="H139" s="363">
        <v>-10.86</v>
      </c>
      <c r="J139">
        <v>-37</v>
      </c>
      <c r="P139" s="380"/>
      <c r="W139" s="388"/>
    </row>
    <row r="140" spans="1:23" x14ac:dyDescent="0.2">
      <c r="H140" s="363">
        <v>8.56</v>
      </c>
      <c r="I140" s="402"/>
      <c r="J140">
        <v>21</v>
      </c>
    </row>
    <row r="141" spans="1:23" x14ac:dyDescent="0.2">
      <c r="G141" s="403"/>
      <c r="H141" s="363">
        <v>-10.86</v>
      </c>
      <c r="J141">
        <v>-37</v>
      </c>
      <c r="P141" s="388"/>
    </row>
    <row r="142" spans="1:23" x14ac:dyDescent="0.2">
      <c r="H142" s="363">
        <v>8.56</v>
      </c>
      <c r="J142">
        <v>21</v>
      </c>
    </row>
    <row r="143" spans="1:23" x14ac:dyDescent="0.2">
      <c r="H143" s="363">
        <v>-10.86</v>
      </c>
      <c r="J143">
        <v>-37</v>
      </c>
    </row>
    <row r="144" spans="1:23" x14ac:dyDescent="0.2">
      <c r="H144" s="363">
        <v>8.56</v>
      </c>
      <c r="J144">
        <v>21</v>
      </c>
    </row>
    <row r="145" spans="8:10" x14ac:dyDescent="0.2">
      <c r="H145" s="363">
        <v>-10.86</v>
      </c>
      <c r="J145">
        <v>-37</v>
      </c>
    </row>
    <row r="146" spans="8:10" x14ac:dyDescent="0.2">
      <c r="H146" s="363">
        <v>8.56</v>
      </c>
      <c r="J146">
        <v>21</v>
      </c>
    </row>
    <row r="147" spans="8:10" x14ac:dyDescent="0.2">
      <c r="H147" s="363">
        <v>-10.86</v>
      </c>
      <c r="J147">
        <v>-37</v>
      </c>
    </row>
    <row r="148" spans="8:10" x14ac:dyDescent="0.2">
      <c r="H148" s="363">
        <v>8.56</v>
      </c>
      <c r="J148">
        <v>21</v>
      </c>
    </row>
    <row r="149" spans="8:10" x14ac:dyDescent="0.2">
      <c r="H149" s="363">
        <v>-10.86</v>
      </c>
      <c r="J149">
        <v>-37</v>
      </c>
    </row>
    <row r="150" spans="8:10" x14ac:dyDescent="0.2">
      <c r="H150" s="363">
        <v>8.56</v>
      </c>
      <c r="J150">
        <v>21</v>
      </c>
    </row>
    <row r="151" spans="8:10" x14ac:dyDescent="0.2">
      <c r="H151" s="363">
        <v>-10.86</v>
      </c>
      <c r="J151">
        <v>-37</v>
      </c>
    </row>
    <row r="152" spans="8:10" x14ac:dyDescent="0.2">
      <c r="H152" s="363">
        <v>8.56</v>
      </c>
      <c r="J152">
        <v>21</v>
      </c>
    </row>
    <row r="153" spans="8:10" x14ac:dyDescent="0.2">
      <c r="H153" s="363">
        <v>-10.86</v>
      </c>
      <c r="J153">
        <v>-37</v>
      </c>
    </row>
    <row r="154" spans="8:10" x14ac:dyDescent="0.2">
      <c r="H154" s="363">
        <v>8.56</v>
      </c>
      <c r="J154">
        <v>21</v>
      </c>
    </row>
    <row r="155" spans="8:10" x14ac:dyDescent="0.2">
      <c r="H155" s="363">
        <v>-10.86</v>
      </c>
      <c r="J155">
        <v>-37</v>
      </c>
    </row>
    <row r="156" spans="8:10" x14ac:dyDescent="0.2">
      <c r="H156" s="363">
        <v>8.56</v>
      </c>
      <c r="J156">
        <v>21</v>
      </c>
    </row>
    <row r="157" spans="8:10" x14ac:dyDescent="0.2">
      <c r="H157" s="363">
        <v>-10.86</v>
      </c>
      <c r="J157">
        <v>-37</v>
      </c>
    </row>
    <row r="158" spans="8:10" x14ac:dyDescent="0.2">
      <c r="H158" s="363">
        <v>8.56</v>
      </c>
      <c r="J158">
        <v>21</v>
      </c>
    </row>
    <row r="159" spans="8:10" x14ac:dyDescent="0.2">
      <c r="H159" s="363">
        <v>-10.86</v>
      </c>
      <c r="J159">
        <v>-37</v>
      </c>
    </row>
    <row r="160" spans="8:10" x14ac:dyDescent="0.2">
      <c r="H160" s="363">
        <v>8.56</v>
      </c>
      <c r="J160">
        <v>21</v>
      </c>
    </row>
    <row r="161" spans="8:10" x14ac:dyDescent="0.2">
      <c r="H161" s="363">
        <v>-10.72</v>
      </c>
      <c r="J161">
        <v>-37</v>
      </c>
    </row>
    <row r="162" spans="8:10" x14ac:dyDescent="0.2">
      <c r="H162" s="363">
        <v>8.4499999999999993</v>
      </c>
      <c r="J162">
        <v>21</v>
      </c>
    </row>
    <row r="163" spans="8:10" x14ac:dyDescent="0.2">
      <c r="H163" s="363">
        <v>-11.43</v>
      </c>
      <c r="J163">
        <v>-39</v>
      </c>
    </row>
    <row r="164" spans="8:10" x14ac:dyDescent="0.2">
      <c r="H164" s="363">
        <v>9.01</v>
      </c>
      <c r="J164">
        <v>21</v>
      </c>
    </row>
    <row r="165" spans="8:10" x14ac:dyDescent="0.2">
      <c r="H165" s="363">
        <v>-11.43</v>
      </c>
      <c r="J165">
        <v>-39</v>
      </c>
    </row>
    <row r="166" spans="8:10" x14ac:dyDescent="0.2">
      <c r="H166" s="363">
        <v>9.01</v>
      </c>
      <c r="J166">
        <v>21</v>
      </c>
    </row>
    <row r="167" spans="8:10" x14ac:dyDescent="0.2">
      <c r="H167" s="363">
        <v>-11.43</v>
      </c>
      <c r="J167">
        <v>-39</v>
      </c>
    </row>
    <row r="168" spans="8:10" x14ac:dyDescent="0.2">
      <c r="H168" s="363">
        <v>9.01</v>
      </c>
      <c r="J168">
        <v>21</v>
      </c>
    </row>
    <row r="169" spans="8:10" x14ac:dyDescent="0.2">
      <c r="H169" s="363">
        <v>-11.43</v>
      </c>
      <c r="J169">
        <v>-39</v>
      </c>
    </row>
    <row r="170" spans="8:10" x14ac:dyDescent="0.2">
      <c r="H170" s="363">
        <v>9.01</v>
      </c>
      <c r="J170">
        <v>21</v>
      </c>
    </row>
    <row r="171" spans="8:10" x14ac:dyDescent="0.2">
      <c r="H171" s="363">
        <v>-11.43</v>
      </c>
      <c r="J171">
        <v>-39</v>
      </c>
    </row>
    <row r="172" spans="8:10" x14ac:dyDescent="0.2">
      <c r="H172" s="363">
        <v>9.01</v>
      </c>
      <c r="J172">
        <v>21</v>
      </c>
    </row>
    <row r="173" spans="8:10" x14ac:dyDescent="0.2">
      <c r="H173" s="363">
        <v>-11.79</v>
      </c>
      <c r="J173">
        <v>-40</v>
      </c>
    </row>
    <row r="174" spans="8:10" x14ac:dyDescent="0.2">
      <c r="H174" s="363">
        <v>9.2899999999999991</v>
      </c>
      <c r="J174">
        <v>21</v>
      </c>
    </row>
    <row r="175" spans="8:10" x14ac:dyDescent="0.2">
      <c r="H175" s="363">
        <v>-11.79</v>
      </c>
      <c r="J175">
        <v>-40</v>
      </c>
    </row>
    <row r="176" spans="8:10" x14ac:dyDescent="0.2">
      <c r="H176" s="363">
        <v>9.2899999999999991</v>
      </c>
      <c r="J176">
        <v>21</v>
      </c>
    </row>
    <row r="177" spans="8:10" x14ac:dyDescent="0.2">
      <c r="H177" s="363">
        <v>-11.43</v>
      </c>
      <c r="J177">
        <v>-39</v>
      </c>
    </row>
    <row r="178" spans="8:10" x14ac:dyDescent="0.2">
      <c r="H178" s="363">
        <v>9.01</v>
      </c>
      <c r="J178">
        <v>21</v>
      </c>
    </row>
    <row r="179" spans="8:10" x14ac:dyDescent="0.2">
      <c r="H179" s="363">
        <v>-11.43</v>
      </c>
      <c r="J179">
        <v>-39</v>
      </c>
    </row>
    <row r="180" spans="8:10" x14ac:dyDescent="0.2">
      <c r="H180" s="363">
        <v>9.01</v>
      </c>
      <c r="J180">
        <v>21</v>
      </c>
    </row>
    <row r="181" spans="8:10" x14ac:dyDescent="0.2">
      <c r="H181" s="363">
        <v>-11.43</v>
      </c>
      <c r="J181">
        <v>-39</v>
      </c>
    </row>
    <row r="182" spans="8:10" x14ac:dyDescent="0.2">
      <c r="H182" s="363">
        <v>9.01</v>
      </c>
      <c r="J182">
        <v>21</v>
      </c>
    </row>
    <row r="183" spans="8:10" x14ac:dyDescent="0.2">
      <c r="H183" s="363">
        <v>-11.43</v>
      </c>
      <c r="J183">
        <v>-39</v>
      </c>
    </row>
    <row r="184" spans="8:10" x14ac:dyDescent="0.2">
      <c r="H184" s="363">
        <v>9.01</v>
      </c>
      <c r="J184">
        <v>21</v>
      </c>
    </row>
    <row r="185" spans="8:10" x14ac:dyDescent="0.2">
      <c r="H185" s="363">
        <v>-10.86</v>
      </c>
      <c r="J185">
        <v>-37</v>
      </c>
    </row>
    <row r="186" spans="8:10" x14ac:dyDescent="0.2">
      <c r="H186" s="363">
        <v>8.56</v>
      </c>
      <c r="J186">
        <v>21</v>
      </c>
    </row>
    <row r="187" spans="8:10" x14ac:dyDescent="0.2">
      <c r="H187" s="363">
        <v>-10.86</v>
      </c>
      <c r="J187">
        <v>-37</v>
      </c>
    </row>
    <row r="188" spans="8:10" x14ac:dyDescent="0.2">
      <c r="H188" s="363">
        <v>8.56</v>
      </c>
      <c r="J188">
        <v>21</v>
      </c>
    </row>
    <row r="189" spans="8:10" x14ac:dyDescent="0.2">
      <c r="H189" s="363"/>
    </row>
    <row r="190" spans="8:10" x14ac:dyDescent="0.2">
      <c r="H190" s="363">
        <v>-10.86</v>
      </c>
      <c r="J190">
        <v>-37</v>
      </c>
    </row>
    <row r="191" spans="8:10" x14ac:dyDescent="0.2">
      <c r="H191" s="363">
        <v>8.56</v>
      </c>
      <c r="J191">
        <v>21</v>
      </c>
    </row>
    <row r="192" spans="8:10" x14ac:dyDescent="0.2">
      <c r="H192" s="363">
        <v>-10.82</v>
      </c>
      <c r="J192">
        <v>-37</v>
      </c>
    </row>
    <row r="193" spans="8:10" x14ac:dyDescent="0.2">
      <c r="H193" s="363">
        <v>8.56</v>
      </c>
      <c r="J193">
        <v>21</v>
      </c>
    </row>
    <row r="194" spans="8:10" x14ac:dyDescent="0.2">
      <c r="H194" s="363">
        <v>-10.82</v>
      </c>
      <c r="J194">
        <v>-37</v>
      </c>
    </row>
    <row r="195" spans="8:10" x14ac:dyDescent="0.2">
      <c r="H195" s="363">
        <v>8.56</v>
      </c>
      <c r="J195">
        <v>21</v>
      </c>
    </row>
    <row r="196" spans="8:10" x14ac:dyDescent="0.2">
      <c r="H196" s="363">
        <v>-10.88</v>
      </c>
      <c r="J196">
        <v>-37</v>
      </c>
    </row>
    <row r="197" spans="8:10" x14ac:dyDescent="0.2">
      <c r="H197" s="363">
        <v>8.56</v>
      </c>
      <c r="J197">
        <v>21</v>
      </c>
    </row>
    <row r="198" spans="8:10" x14ac:dyDescent="0.2">
      <c r="H198" s="363">
        <v>-11.28</v>
      </c>
      <c r="J198">
        <v>-37</v>
      </c>
    </row>
    <row r="199" spans="8:10" x14ac:dyDescent="0.2">
      <c r="H199" s="363">
        <v>8.56</v>
      </c>
      <c r="J199">
        <v>21</v>
      </c>
    </row>
    <row r="200" spans="8:10" x14ac:dyDescent="0.2">
      <c r="H200" s="363">
        <v>-11.28</v>
      </c>
      <c r="J200">
        <v>-37</v>
      </c>
    </row>
    <row r="201" spans="8:10" x14ac:dyDescent="0.2">
      <c r="H201" s="363">
        <v>8.89</v>
      </c>
      <c r="J201">
        <v>21</v>
      </c>
    </row>
    <row r="202" spans="8:10" x14ac:dyDescent="0.2">
      <c r="H202" s="363">
        <v>-11.28</v>
      </c>
      <c r="J202">
        <v>-37</v>
      </c>
    </row>
    <row r="203" spans="8:10" x14ac:dyDescent="0.2">
      <c r="H203" s="363">
        <v>8.56</v>
      </c>
      <c r="J203">
        <v>21</v>
      </c>
    </row>
    <row r="204" spans="8:10" x14ac:dyDescent="0.2">
      <c r="H204" s="363">
        <v>-11.28</v>
      </c>
      <c r="J204">
        <v>-37</v>
      </c>
    </row>
    <row r="205" spans="8:10" x14ac:dyDescent="0.2">
      <c r="H205" s="363">
        <v>8.89</v>
      </c>
      <c r="J205">
        <v>21</v>
      </c>
    </row>
    <row r="206" spans="8:10" x14ac:dyDescent="0.2">
      <c r="H206" s="363">
        <v>-11.28</v>
      </c>
      <c r="J206">
        <v>-37</v>
      </c>
    </row>
    <row r="207" spans="8:10" x14ac:dyDescent="0.2">
      <c r="H207" s="363">
        <v>8.89</v>
      </c>
      <c r="J207">
        <v>21</v>
      </c>
    </row>
    <row r="208" spans="8:10" x14ac:dyDescent="0.2">
      <c r="H208" s="363">
        <v>-11.28</v>
      </c>
      <c r="J208">
        <v>-37</v>
      </c>
    </row>
    <row r="209" spans="8:10" x14ac:dyDescent="0.2">
      <c r="H209" s="363">
        <v>8.89</v>
      </c>
      <c r="J209">
        <v>21</v>
      </c>
    </row>
    <row r="210" spans="8:10" x14ac:dyDescent="0.2">
      <c r="H210" s="363">
        <v>-11.28</v>
      </c>
      <c r="J210">
        <v>-37</v>
      </c>
    </row>
    <row r="211" spans="8:10" x14ac:dyDescent="0.2">
      <c r="H211" s="363">
        <v>8.89</v>
      </c>
      <c r="J211">
        <v>21</v>
      </c>
    </row>
    <row r="212" spans="8:10" x14ac:dyDescent="0.2">
      <c r="H212" s="363">
        <v>-11.28</v>
      </c>
      <c r="J212">
        <v>-37</v>
      </c>
    </row>
    <row r="213" spans="8:10" x14ac:dyDescent="0.2">
      <c r="H213" s="363">
        <v>8.89</v>
      </c>
      <c r="J213">
        <v>21</v>
      </c>
    </row>
    <row r="214" spans="8:10" x14ac:dyDescent="0.2">
      <c r="H214" s="363">
        <v>-11.28</v>
      </c>
      <c r="J214">
        <v>-37</v>
      </c>
    </row>
    <row r="215" spans="8:10" x14ac:dyDescent="0.2">
      <c r="H215" s="363">
        <v>8.89</v>
      </c>
      <c r="J215">
        <v>21</v>
      </c>
    </row>
    <row r="216" spans="8:10" x14ac:dyDescent="0.2">
      <c r="H216" s="363">
        <v>-11.28</v>
      </c>
      <c r="J216">
        <v>-37</v>
      </c>
    </row>
    <row r="217" spans="8:10" x14ac:dyDescent="0.2">
      <c r="H217" s="363">
        <v>8.89</v>
      </c>
      <c r="J217">
        <v>21</v>
      </c>
    </row>
    <row r="218" spans="8:10" x14ac:dyDescent="0.2">
      <c r="H218" s="363">
        <v>-11.28</v>
      </c>
      <c r="J218">
        <v>-37</v>
      </c>
    </row>
    <row r="219" spans="8:10" x14ac:dyDescent="0.2">
      <c r="H219" s="363">
        <v>8.89</v>
      </c>
      <c r="J219">
        <v>21</v>
      </c>
    </row>
    <row r="220" spans="8:10" x14ac:dyDescent="0.2">
      <c r="H220" s="363">
        <v>-11.28</v>
      </c>
      <c r="J220">
        <v>-37</v>
      </c>
    </row>
    <row r="221" spans="8:10" x14ac:dyDescent="0.2">
      <c r="H221" s="363">
        <v>8.89</v>
      </c>
      <c r="J221">
        <v>21</v>
      </c>
    </row>
    <row r="222" spans="8:10" x14ac:dyDescent="0.2">
      <c r="H222" s="363">
        <v>-11.28</v>
      </c>
      <c r="J222">
        <v>-37</v>
      </c>
    </row>
    <row r="223" spans="8:10" x14ac:dyDescent="0.2">
      <c r="H223" s="363">
        <v>8.89</v>
      </c>
      <c r="J223">
        <v>21</v>
      </c>
    </row>
    <row r="224" spans="8:10" x14ac:dyDescent="0.2">
      <c r="H224" s="363">
        <v>-11.28</v>
      </c>
      <c r="J224">
        <v>-37</v>
      </c>
    </row>
    <row r="225" spans="3:12" x14ac:dyDescent="0.2">
      <c r="H225" s="363">
        <v>8.89</v>
      </c>
      <c r="J225">
        <v>21</v>
      </c>
    </row>
    <row r="226" spans="3:12" x14ac:dyDescent="0.2">
      <c r="H226" s="363">
        <v>-11.28</v>
      </c>
      <c r="J226">
        <v>-37</v>
      </c>
    </row>
    <row r="227" spans="3:12" x14ac:dyDescent="0.2">
      <c r="H227" s="363">
        <v>8.89</v>
      </c>
      <c r="J227">
        <v>21</v>
      </c>
    </row>
    <row r="228" spans="3:12" x14ac:dyDescent="0.2">
      <c r="H228" s="363">
        <v>-11.28</v>
      </c>
      <c r="J228">
        <v>-37</v>
      </c>
    </row>
    <row r="229" spans="3:12" x14ac:dyDescent="0.2">
      <c r="H229" s="363">
        <v>8.89</v>
      </c>
      <c r="J229">
        <v>21</v>
      </c>
    </row>
    <row r="230" spans="3:12" x14ac:dyDescent="0.2">
      <c r="H230" s="361">
        <v>-180.08999999999975</v>
      </c>
      <c r="J230" s="388">
        <v>-1103</v>
      </c>
    </row>
    <row r="231" spans="3:12" x14ac:dyDescent="0.2">
      <c r="C231" s="361">
        <v>-177.95</v>
      </c>
      <c r="D231" s="388">
        <v>-936</v>
      </c>
      <c r="E231" s="383"/>
      <c r="G231" t="s">
        <v>344</v>
      </c>
      <c r="H231" s="361">
        <v>-177.95</v>
      </c>
      <c r="J231" s="388">
        <v>-936</v>
      </c>
    </row>
    <row r="232" spans="3:12" x14ac:dyDescent="0.2">
      <c r="H232" s="361">
        <v>-2.139999999999759</v>
      </c>
      <c r="J232" s="388">
        <v>-167</v>
      </c>
    </row>
    <row r="233" spans="3:12" x14ac:dyDescent="0.2">
      <c r="G233" s="404" t="s">
        <v>345</v>
      </c>
    </row>
    <row r="234" spans="3:12" x14ac:dyDescent="0.2">
      <c r="G234" t="s">
        <v>346</v>
      </c>
    </row>
    <row r="235" spans="3:12" x14ac:dyDescent="0.2">
      <c r="G235" s="404" t="s">
        <v>347</v>
      </c>
    </row>
    <row r="237" spans="3:12" x14ac:dyDescent="0.2">
      <c r="G237" t="s">
        <v>348</v>
      </c>
      <c r="H237">
        <v>-17.940000000000001</v>
      </c>
      <c r="J237">
        <v>-66</v>
      </c>
      <c r="L237" t="s">
        <v>349</v>
      </c>
    </row>
    <row r="238" spans="3:12" x14ac:dyDescent="0.2">
      <c r="H238">
        <v>-17.940000000000001</v>
      </c>
      <c r="J238">
        <v>-66</v>
      </c>
    </row>
    <row r="239" spans="3:12" x14ac:dyDescent="0.2">
      <c r="H239">
        <v>-17.940000000000001</v>
      </c>
      <c r="J239">
        <v>-66</v>
      </c>
    </row>
    <row r="240" spans="3:12" x14ac:dyDescent="0.2">
      <c r="H240">
        <v>-17.82</v>
      </c>
      <c r="J240">
        <v>-66</v>
      </c>
    </row>
    <row r="241" spans="8:10" x14ac:dyDescent="0.2">
      <c r="H241">
        <v>-17.21</v>
      </c>
      <c r="J241">
        <v>-66</v>
      </c>
    </row>
    <row r="242" spans="8:10" x14ac:dyDescent="0.2">
      <c r="H242">
        <v>-17.21</v>
      </c>
      <c r="J242">
        <v>-66</v>
      </c>
    </row>
    <row r="243" spans="8:10" x14ac:dyDescent="0.2">
      <c r="H243">
        <v>-17.260000000000002</v>
      </c>
      <c r="J243">
        <v>-66</v>
      </c>
    </row>
    <row r="244" spans="8:10" x14ac:dyDescent="0.2">
      <c r="H244">
        <v>-17.260000000000002</v>
      </c>
      <c r="J244">
        <v>-66</v>
      </c>
    </row>
    <row r="245" spans="8:10" x14ac:dyDescent="0.2">
      <c r="H245">
        <v>-17.260000000000002</v>
      </c>
      <c r="J245">
        <v>-66</v>
      </c>
    </row>
    <row r="246" spans="8:10" x14ac:dyDescent="0.2">
      <c r="H246">
        <v>-17.260000000000002</v>
      </c>
      <c r="J246">
        <v>-66</v>
      </c>
    </row>
    <row r="247" spans="8:10" x14ac:dyDescent="0.2">
      <c r="H247">
        <v>-18.170000000000002</v>
      </c>
      <c r="J247">
        <v>-66</v>
      </c>
    </row>
    <row r="248" spans="8:10" x14ac:dyDescent="0.2">
      <c r="H248">
        <v>-18.170000000000002</v>
      </c>
      <c r="J248">
        <v>-66</v>
      </c>
    </row>
    <row r="249" spans="8:10" x14ac:dyDescent="0.2">
      <c r="H249">
        <v>-18.170000000000002</v>
      </c>
      <c r="J249">
        <v>-66</v>
      </c>
    </row>
    <row r="250" spans="8:10" x14ac:dyDescent="0.2">
      <c r="H250">
        <v>-18.170000000000002</v>
      </c>
      <c r="J250">
        <v>-66</v>
      </c>
    </row>
    <row r="251" spans="8:10" x14ac:dyDescent="0.2">
      <c r="H251">
        <v>-18.739999999999998</v>
      </c>
      <c r="J251">
        <v>-66</v>
      </c>
    </row>
    <row r="252" spans="8:10" x14ac:dyDescent="0.2">
      <c r="H252">
        <v>-18.739999999999998</v>
      </c>
      <c r="J252">
        <v>-66</v>
      </c>
    </row>
    <row r="253" spans="8:10" x14ac:dyDescent="0.2">
      <c r="H253">
        <v>-18.170000000000002</v>
      </c>
      <c r="J253">
        <v>-66</v>
      </c>
    </row>
    <row r="254" spans="8:10" x14ac:dyDescent="0.2">
      <c r="H254">
        <v>-18.170000000000002</v>
      </c>
      <c r="J254">
        <v>-66</v>
      </c>
    </row>
    <row r="255" spans="8:10" x14ac:dyDescent="0.2">
      <c r="H255">
        <v>-18.170000000000002</v>
      </c>
      <c r="J255">
        <v>-66</v>
      </c>
    </row>
    <row r="256" spans="8:10" x14ac:dyDescent="0.2">
      <c r="H256">
        <v>-18.170000000000002</v>
      </c>
      <c r="J256">
        <v>-66</v>
      </c>
    </row>
    <row r="257" spans="2:10" x14ac:dyDescent="0.2">
      <c r="H257">
        <v>-18.170000000000002</v>
      </c>
      <c r="J257">
        <v>-66</v>
      </c>
    </row>
    <row r="258" spans="2:10" x14ac:dyDescent="0.2">
      <c r="H258">
        <v>-17.03</v>
      </c>
      <c r="J258">
        <v>-66</v>
      </c>
    </row>
    <row r="259" spans="2:10" x14ac:dyDescent="0.2">
      <c r="H259">
        <v>-17.260000000000002</v>
      </c>
      <c r="J259">
        <v>-66</v>
      </c>
    </row>
    <row r="260" spans="2:10" x14ac:dyDescent="0.2">
      <c r="H260">
        <v>-17.260000000000002</v>
      </c>
      <c r="J260">
        <v>-66</v>
      </c>
    </row>
    <row r="261" spans="2:10" x14ac:dyDescent="0.2">
      <c r="H261">
        <v>-17.260000000000002</v>
      </c>
      <c r="J261">
        <v>-66</v>
      </c>
    </row>
    <row r="262" spans="2:10" x14ac:dyDescent="0.2">
      <c r="H262">
        <v>-17.260000000000002</v>
      </c>
      <c r="J262">
        <v>-66</v>
      </c>
    </row>
    <row r="263" spans="2:10" x14ac:dyDescent="0.2">
      <c r="H263">
        <v>-17.260000000000002</v>
      </c>
      <c r="J263">
        <v>-66</v>
      </c>
    </row>
    <row r="264" spans="2:10" x14ac:dyDescent="0.2">
      <c r="H264">
        <v>-17.260000000000002</v>
      </c>
      <c r="J264">
        <v>-66</v>
      </c>
    </row>
    <row r="265" spans="2:10" x14ac:dyDescent="0.2">
      <c r="H265">
        <v>-17.260000000000002</v>
      </c>
      <c r="J265">
        <v>-66</v>
      </c>
    </row>
    <row r="266" spans="2:10" x14ac:dyDescent="0.2">
      <c r="H266">
        <v>-17.260000000000002</v>
      </c>
      <c r="J266">
        <v>-66</v>
      </c>
    </row>
    <row r="267" spans="2:10" x14ac:dyDescent="0.2">
      <c r="H267">
        <v>-17.260000000000002</v>
      </c>
      <c r="J267">
        <v>-66</v>
      </c>
    </row>
    <row r="268" spans="2:10" x14ac:dyDescent="0.2">
      <c r="H268">
        <v>-17.260000000000002</v>
      </c>
      <c r="J268">
        <v>-66</v>
      </c>
    </row>
    <row r="269" spans="2:10" x14ac:dyDescent="0.2">
      <c r="H269">
        <v>-17.260000000000002</v>
      </c>
      <c r="J269">
        <v>-66</v>
      </c>
    </row>
    <row r="270" spans="2:10" x14ac:dyDescent="0.2">
      <c r="H270">
        <v>-17.260000000000002</v>
      </c>
      <c r="J270">
        <v>-66</v>
      </c>
    </row>
    <row r="271" spans="2:10" x14ac:dyDescent="0.2">
      <c r="C271">
        <v>-600.2600000000001</v>
      </c>
      <c r="D271" s="361"/>
      <c r="H271">
        <v>-600.2600000000001</v>
      </c>
      <c r="J271">
        <v>-2244</v>
      </c>
    </row>
    <row r="272" spans="2:10" x14ac:dyDescent="0.2">
      <c r="B272" s="405" t="s">
        <v>337</v>
      </c>
      <c r="C272" s="406">
        <v>-778.21</v>
      </c>
      <c r="D272" s="407">
        <v>-936</v>
      </c>
      <c r="E272" s="408">
        <v>-10.11</v>
      </c>
    </row>
    <row r="273" spans="7:17" x14ac:dyDescent="0.2">
      <c r="G273" t="s">
        <v>350</v>
      </c>
    </row>
    <row r="274" spans="7:17" x14ac:dyDescent="0.2">
      <c r="G274" s="289"/>
      <c r="H274" s="289"/>
      <c r="I274" t="s">
        <v>351</v>
      </c>
      <c r="J274">
        <v>-8.56</v>
      </c>
      <c r="Q274">
        <v>-21</v>
      </c>
    </row>
    <row r="275" spans="7:17" x14ac:dyDescent="0.2">
      <c r="G275" s="289"/>
      <c r="H275" s="289"/>
      <c r="I275" s="400"/>
      <c r="Q275" s="357"/>
    </row>
    <row r="276" spans="7:17" x14ac:dyDescent="0.2">
      <c r="G276" s="289"/>
      <c r="H276" s="289"/>
      <c r="I276" s="289" t="s">
        <v>352</v>
      </c>
      <c r="J276">
        <v>-11.28</v>
      </c>
      <c r="Q276" s="388">
        <v>-70</v>
      </c>
    </row>
    <row r="277" spans="7:17" x14ac:dyDescent="0.2">
      <c r="G277" s="289"/>
      <c r="H277" s="289"/>
      <c r="I277" s="289"/>
      <c r="J277">
        <v>-11.28</v>
      </c>
      <c r="Q277" s="388">
        <v>-70</v>
      </c>
    </row>
    <row r="278" spans="7:17" x14ac:dyDescent="0.2">
      <c r="G278" s="289"/>
      <c r="H278" s="289"/>
      <c r="I278" s="289"/>
      <c r="J278">
        <v>-11.28</v>
      </c>
      <c r="Q278" s="388">
        <v>-70</v>
      </c>
    </row>
    <row r="279" spans="7:17" x14ac:dyDescent="0.2">
      <c r="G279" s="289"/>
      <c r="H279" s="289"/>
      <c r="I279" s="289"/>
      <c r="J279">
        <v>-11.28</v>
      </c>
      <c r="Q279" s="388">
        <v>-70</v>
      </c>
    </row>
    <row r="280" spans="7:17" x14ac:dyDescent="0.2">
      <c r="G280" s="289"/>
      <c r="H280" s="289"/>
      <c r="I280" s="289"/>
      <c r="J280">
        <v>-11.28</v>
      </c>
      <c r="Q280" s="388">
        <v>-70</v>
      </c>
    </row>
    <row r="281" spans="7:17" x14ac:dyDescent="0.2">
      <c r="G281" s="289"/>
      <c r="H281" s="289"/>
      <c r="I281" s="289"/>
      <c r="J281">
        <v>-11.28</v>
      </c>
      <c r="Q281" s="388">
        <v>-70</v>
      </c>
    </row>
    <row r="282" spans="7:17" x14ac:dyDescent="0.2">
      <c r="G282" s="289"/>
      <c r="H282" s="289"/>
      <c r="I282" s="289"/>
      <c r="J282">
        <v>-11.28</v>
      </c>
      <c r="Q282" s="388">
        <v>-70</v>
      </c>
    </row>
    <row r="283" spans="7:17" x14ac:dyDescent="0.2">
      <c r="G283" s="289"/>
      <c r="H283" s="289"/>
      <c r="I283" s="289"/>
      <c r="J283">
        <v>-11.28</v>
      </c>
      <c r="Q283" s="388">
        <v>-70</v>
      </c>
    </row>
    <row r="284" spans="7:17" x14ac:dyDescent="0.2">
      <c r="G284" s="289"/>
      <c r="H284" s="289"/>
      <c r="I284" s="289"/>
    </row>
    <row r="285" spans="7:17" x14ac:dyDescent="0.2">
      <c r="G285" s="289"/>
      <c r="H285" s="289"/>
      <c r="I285" s="289"/>
      <c r="J285">
        <v>-11.28</v>
      </c>
      <c r="Q285" s="388">
        <v>-70</v>
      </c>
    </row>
    <row r="286" spans="7:17" x14ac:dyDescent="0.2">
      <c r="G286" s="289" t="s">
        <v>339</v>
      </c>
      <c r="H286" s="289"/>
      <c r="I286" s="289"/>
      <c r="J286" s="289">
        <v>-110.08</v>
      </c>
      <c r="K286" s="289"/>
      <c r="L286" s="289"/>
      <c r="M286" s="289"/>
      <c r="N286" s="289"/>
      <c r="O286" s="289"/>
      <c r="P286" s="289"/>
    </row>
    <row r="287" spans="7:17" x14ac:dyDescent="0.2">
      <c r="G287" s="289"/>
      <c r="H287" s="289"/>
      <c r="I287" s="289"/>
      <c r="J287" s="289"/>
      <c r="K287" s="289"/>
      <c r="L287" s="289"/>
      <c r="M287" s="289"/>
      <c r="N287" s="289"/>
      <c r="O287" s="355"/>
      <c r="P287" s="355"/>
      <c r="Q287" s="357"/>
    </row>
    <row r="288" spans="7:17" x14ac:dyDescent="0.2">
      <c r="G288" t="s">
        <v>353</v>
      </c>
      <c r="J288">
        <v>-8.56</v>
      </c>
      <c r="Q288" s="357">
        <v>-21</v>
      </c>
    </row>
    <row r="289" spans="2:30" x14ac:dyDescent="0.2">
      <c r="I289" t="s">
        <v>351</v>
      </c>
      <c r="J289">
        <v>-8.56</v>
      </c>
      <c r="Q289" s="357">
        <v>-21</v>
      </c>
    </row>
    <row r="290" spans="2:30" x14ac:dyDescent="0.2">
      <c r="J290">
        <v>-8.56</v>
      </c>
      <c r="Q290" s="357">
        <v>-21</v>
      </c>
    </row>
    <row r="291" spans="2:30" x14ac:dyDescent="0.2">
      <c r="J291">
        <v>-8.56</v>
      </c>
      <c r="Q291" s="357">
        <v>-21</v>
      </c>
    </row>
    <row r="292" spans="2:30" x14ac:dyDescent="0.2">
      <c r="J292">
        <v>-8.56</v>
      </c>
      <c r="O292" s="409"/>
      <c r="Q292" s="357">
        <v>-21</v>
      </c>
    </row>
    <row r="293" spans="2:30" x14ac:dyDescent="0.2">
      <c r="J293">
        <v>-42.800000000000004</v>
      </c>
      <c r="P293" s="403"/>
      <c r="Q293" s="402"/>
    </row>
    <row r="295" spans="2:30" x14ac:dyDescent="0.2">
      <c r="B295" s="405" t="s">
        <v>177</v>
      </c>
      <c r="C295" s="408">
        <v>-152.88</v>
      </c>
      <c r="D295" s="408">
        <v>0</v>
      </c>
      <c r="E295" s="408">
        <v>-12.34</v>
      </c>
      <c r="I295" t="s">
        <v>354</v>
      </c>
      <c r="J295">
        <v>-152.88</v>
      </c>
      <c r="K295">
        <v>0</v>
      </c>
      <c r="L295">
        <v>0</v>
      </c>
      <c r="M295">
        <v>0</v>
      </c>
      <c r="N295">
        <v>0</v>
      </c>
      <c r="O295">
        <v>0</v>
      </c>
      <c r="Q295">
        <v>-756</v>
      </c>
    </row>
    <row r="297" spans="2:30" x14ac:dyDescent="0.2">
      <c r="G297" t="s">
        <v>355</v>
      </c>
    </row>
    <row r="298" spans="2:30" x14ac:dyDescent="0.2">
      <c r="G298" s="289"/>
      <c r="H298" s="289"/>
      <c r="I298" s="289"/>
      <c r="J298" s="289"/>
      <c r="R298" s="357"/>
      <c r="U298" t="s">
        <v>356</v>
      </c>
    </row>
    <row r="299" spans="2:30" x14ac:dyDescent="0.2">
      <c r="G299" s="289" t="s">
        <v>357</v>
      </c>
      <c r="H299" s="289"/>
      <c r="I299" s="289"/>
      <c r="J299" s="289" t="s">
        <v>358</v>
      </c>
      <c r="K299" t="s">
        <v>359</v>
      </c>
      <c r="O299" t="s">
        <v>360</v>
      </c>
      <c r="P299" t="s">
        <v>361</v>
      </c>
      <c r="Q299" t="s">
        <v>361</v>
      </c>
      <c r="R299" s="357"/>
      <c r="U299" t="s">
        <v>358</v>
      </c>
      <c r="V299" t="s">
        <v>359</v>
      </c>
      <c r="Z299" t="s">
        <v>362</v>
      </c>
      <c r="AA299" t="s">
        <v>361</v>
      </c>
      <c r="AB299" t="s">
        <v>361</v>
      </c>
      <c r="AC299" t="s">
        <v>363</v>
      </c>
      <c r="AD299" t="s">
        <v>364</v>
      </c>
    </row>
    <row r="300" spans="2:30" x14ac:dyDescent="0.2">
      <c r="G300" s="289"/>
      <c r="H300" s="289"/>
      <c r="I300" s="289"/>
      <c r="J300" s="289" t="s">
        <v>365</v>
      </c>
      <c r="L300" t="s">
        <v>315</v>
      </c>
      <c r="N300" t="s">
        <v>324</v>
      </c>
      <c r="O300" t="s">
        <v>366</v>
      </c>
      <c r="P300" t="s">
        <v>366</v>
      </c>
      <c r="Q300" t="s">
        <v>315</v>
      </c>
      <c r="R300" s="357"/>
      <c r="U300" t="s">
        <v>365</v>
      </c>
      <c r="W300" t="s">
        <v>315</v>
      </c>
      <c r="Y300" t="s">
        <v>367</v>
      </c>
      <c r="Z300" t="s">
        <v>366</v>
      </c>
      <c r="AA300" t="s">
        <v>366</v>
      </c>
      <c r="AB300" t="s">
        <v>315</v>
      </c>
      <c r="AC300" t="s">
        <v>368</v>
      </c>
    </row>
    <row r="301" spans="2:30" x14ac:dyDescent="0.2">
      <c r="G301" s="289"/>
      <c r="H301" s="289"/>
      <c r="I301" s="289" t="s">
        <v>369</v>
      </c>
      <c r="J301" s="289">
        <v>784.44000000000028</v>
      </c>
      <c r="K301">
        <v>17531.459999999995</v>
      </c>
      <c r="L301">
        <v>172178</v>
      </c>
      <c r="N301">
        <v>684.62</v>
      </c>
      <c r="O301">
        <v>4.9200000000000017</v>
      </c>
      <c r="P301">
        <v>-107.94999999999996</v>
      </c>
      <c r="Q301">
        <v>-4183</v>
      </c>
      <c r="S301" s="383"/>
    </row>
    <row r="302" spans="2:30" x14ac:dyDescent="0.2">
      <c r="G302" s="289"/>
      <c r="H302" s="289"/>
      <c r="I302" s="289" t="s">
        <v>370</v>
      </c>
      <c r="J302" s="289">
        <v>-176.79999999999998</v>
      </c>
      <c r="K302">
        <v>-57.920000000000009</v>
      </c>
      <c r="L302">
        <v>-579</v>
      </c>
      <c r="N302">
        <v>-4.1199999999999992</v>
      </c>
    </row>
    <row r="303" spans="2:30" x14ac:dyDescent="0.2">
      <c r="G303" s="289"/>
      <c r="H303" s="289"/>
      <c r="I303" s="289"/>
      <c r="J303" s="289">
        <v>607.64000000000033</v>
      </c>
      <c r="K303">
        <v>17473.539999999997</v>
      </c>
      <c r="L303">
        <v>171599</v>
      </c>
      <c r="N303">
        <v>680.5</v>
      </c>
      <c r="O303">
        <v>4.9200000000000017</v>
      </c>
      <c r="P303">
        <v>-107.94999999999996</v>
      </c>
      <c r="Q303">
        <v>-4183</v>
      </c>
      <c r="S303" s="357"/>
      <c r="U303">
        <v>-1008.4300000000003</v>
      </c>
      <c r="V303">
        <v>-17393.780000000002</v>
      </c>
      <c r="W303">
        <v>-173223</v>
      </c>
      <c r="Y303">
        <v>-736.21</v>
      </c>
      <c r="Z303">
        <v>4.71</v>
      </c>
      <c r="AA303">
        <v>-546.49</v>
      </c>
      <c r="AB303">
        <v>-2087</v>
      </c>
      <c r="AC303">
        <v>-1071.4000000000103</v>
      </c>
    </row>
    <row r="304" spans="2:30" x14ac:dyDescent="0.2">
      <c r="G304" s="289"/>
      <c r="H304" s="289"/>
      <c r="I304" s="289"/>
      <c r="J304" s="289"/>
      <c r="N304" t="s">
        <v>371</v>
      </c>
      <c r="O304" t="s">
        <v>371</v>
      </c>
      <c r="R304" s="289"/>
      <c r="S304" s="357"/>
      <c r="Y304" t="s">
        <v>372</v>
      </c>
      <c r="Z304" t="s">
        <v>372</v>
      </c>
    </row>
    <row r="305" spans="7:26" x14ac:dyDescent="0.2">
      <c r="G305" s="289"/>
      <c r="H305" s="289">
        <v>12</v>
      </c>
      <c r="I305" s="289">
        <v>18.2</v>
      </c>
      <c r="J305" s="289">
        <v>218.39999999999998</v>
      </c>
      <c r="K305" s="289"/>
      <c r="L305" s="289"/>
      <c r="M305" s="289"/>
      <c r="N305" s="289"/>
      <c r="O305" s="289"/>
      <c r="P305" s="289"/>
      <c r="Q305" s="289"/>
      <c r="S305">
        <v>-38.000000000000021</v>
      </c>
      <c r="T305">
        <v>22.1</v>
      </c>
      <c r="U305">
        <v>-839.80000000000052</v>
      </c>
    </row>
    <row r="306" spans="7:26" x14ac:dyDescent="0.2">
      <c r="G306" s="289"/>
      <c r="H306" s="289">
        <v>17.999999999999996</v>
      </c>
      <c r="I306" s="289">
        <v>15.6</v>
      </c>
      <c r="J306" s="289">
        <v>280.79999999999995</v>
      </c>
      <c r="K306" s="289"/>
      <c r="L306" s="289"/>
      <c r="M306" s="289"/>
      <c r="N306" s="289"/>
      <c r="O306" s="289"/>
      <c r="P306" s="355"/>
      <c r="Q306" s="355"/>
      <c r="R306" s="357"/>
      <c r="S306">
        <v>-8.9999999999999982</v>
      </c>
      <c r="T306">
        <v>23.26</v>
      </c>
      <c r="U306">
        <v>-209.33999999999997</v>
      </c>
    </row>
    <row r="307" spans="7:26" x14ac:dyDescent="0.2">
      <c r="H307">
        <v>9</v>
      </c>
      <c r="I307">
        <v>19.16</v>
      </c>
      <c r="J307">
        <v>172.44</v>
      </c>
      <c r="R307" s="357"/>
      <c r="S307">
        <v>-2</v>
      </c>
      <c r="T307">
        <v>23.99</v>
      </c>
      <c r="U307">
        <v>-47.98</v>
      </c>
      <c r="Z307" s="380"/>
    </row>
    <row r="308" spans="7:26" x14ac:dyDescent="0.2">
      <c r="H308">
        <v>2</v>
      </c>
      <c r="I308">
        <v>19.760000000000002</v>
      </c>
      <c r="J308">
        <v>39.520000000000003</v>
      </c>
      <c r="R308" s="357"/>
      <c r="S308">
        <v>-1</v>
      </c>
      <c r="T308">
        <v>21.81</v>
      </c>
      <c r="U308">
        <v>-21.81</v>
      </c>
      <c r="Z308" s="380"/>
    </row>
    <row r="309" spans="7:26" x14ac:dyDescent="0.2">
      <c r="H309">
        <v>1</v>
      </c>
      <c r="I309">
        <v>17.96</v>
      </c>
      <c r="J309">
        <v>17.96</v>
      </c>
      <c r="R309" s="357"/>
      <c r="U309">
        <v>-1118.9300000000005</v>
      </c>
      <c r="Z309" s="380"/>
    </row>
    <row r="310" spans="7:26" x14ac:dyDescent="0.2">
      <c r="H310">
        <v>1</v>
      </c>
      <c r="I310">
        <v>18.32</v>
      </c>
      <c r="J310">
        <v>18.32</v>
      </c>
      <c r="R310" s="357"/>
      <c r="Z310" s="380"/>
    </row>
    <row r="311" spans="7:26" x14ac:dyDescent="0.2">
      <c r="H311">
        <v>2</v>
      </c>
      <c r="I311">
        <v>18.5</v>
      </c>
      <c r="J311">
        <v>37</v>
      </c>
      <c r="P311" s="402"/>
      <c r="R311" s="402"/>
      <c r="S311" s="402">
        <v>7.9999999999999991</v>
      </c>
      <c r="T311">
        <v>22.1</v>
      </c>
      <c r="U311">
        <v>176.79999999999998</v>
      </c>
    </row>
    <row r="312" spans="7:26" x14ac:dyDescent="0.2">
      <c r="H312">
        <v>-7.9999999999999991</v>
      </c>
      <c r="I312">
        <v>22.1</v>
      </c>
      <c r="J312">
        <v>-176.79999999999998</v>
      </c>
      <c r="K312" t="s">
        <v>373</v>
      </c>
      <c r="Q312" s="403"/>
      <c r="R312" s="402"/>
      <c r="Z312" s="388"/>
    </row>
    <row r="313" spans="7:26" x14ac:dyDescent="0.2">
      <c r="H313">
        <v>37</v>
      </c>
      <c r="J313">
        <v>607.64</v>
      </c>
    </row>
    <row r="314" spans="7:26" x14ac:dyDescent="0.2">
      <c r="S314">
        <v>-3.0000000000000004</v>
      </c>
      <c r="T314">
        <v>22.1</v>
      </c>
      <c r="U314">
        <v>-66.300000000000011</v>
      </c>
    </row>
    <row r="315" spans="7:26" x14ac:dyDescent="0.2">
      <c r="I315">
        <v>5248.3576320000002</v>
      </c>
      <c r="J315">
        <v>0.10130400000000001</v>
      </c>
      <c r="K315">
        <v>5248.36</v>
      </c>
      <c r="L315">
        <v>51808</v>
      </c>
      <c r="S315">
        <v>-45.000000000000021</v>
      </c>
      <c r="U315">
        <v>-66.300000000000011</v>
      </c>
    </row>
    <row r="316" spans="7:26" x14ac:dyDescent="0.2">
      <c r="I316">
        <v>12282.314060000001</v>
      </c>
      <c r="J316">
        <v>0.102038</v>
      </c>
      <c r="K316">
        <v>12283.4</v>
      </c>
      <c r="L316">
        <v>120370</v>
      </c>
      <c r="U316">
        <v>-1008.4300000000005</v>
      </c>
    </row>
    <row r="317" spans="7:26" x14ac:dyDescent="0.2">
      <c r="S317" t="s">
        <v>374</v>
      </c>
      <c r="V317" t="s">
        <v>375</v>
      </c>
    </row>
    <row r="318" spans="7:26" x14ac:dyDescent="0.2">
      <c r="K318">
        <v>-0.3</v>
      </c>
      <c r="S318">
        <v>-12394.836552000001</v>
      </c>
      <c r="T318">
        <v>0.100744</v>
      </c>
      <c r="V318">
        <v>-12395.35</v>
      </c>
      <c r="W318">
        <v>-123033</v>
      </c>
    </row>
    <row r="319" spans="7:26" x14ac:dyDescent="0.2">
      <c r="I319">
        <v>-58.330776</v>
      </c>
      <c r="J319">
        <v>0.100744</v>
      </c>
      <c r="K319">
        <v>-58.320000000000007</v>
      </c>
      <c r="L319">
        <v>-579</v>
      </c>
      <c r="S319">
        <v>-4998.4220999999998</v>
      </c>
      <c r="T319">
        <v>9.9589999999999998E-2</v>
      </c>
      <c r="V319">
        <v>-4998.42</v>
      </c>
      <c r="W319">
        <v>-50190</v>
      </c>
    </row>
    <row r="320" spans="7:26" x14ac:dyDescent="0.2">
      <c r="I320" t="s">
        <v>374</v>
      </c>
      <c r="K320">
        <v>0.39999999999999997</v>
      </c>
    </row>
    <row r="321" spans="3:28" x14ac:dyDescent="0.2">
      <c r="I321">
        <v>17472.340916000001</v>
      </c>
      <c r="J321" t="s">
        <v>376</v>
      </c>
      <c r="K321">
        <v>17473.54</v>
      </c>
      <c r="L321">
        <v>171599</v>
      </c>
      <c r="S321">
        <v>-17393.258652</v>
      </c>
      <c r="T321" t="s">
        <v>376</v>
      </c>
      <c r="V321">
        <v>-17393.77</v>
      </c>
      <c r="W321">
        <v>-173223</v>
      </c>
    </row>
    <row r="322" spans="3:28" x14ac:dyDescent="0.2">
      <c r="O322" t="s">
        <v>377</v>
      </c>
    </row>
    <row r="323" spans="3:28" x14ac:dyDescent="0.2">
      <c r="I323" t="s">
        <v>378</v>
      </c>
      <c r="M323">
        <v>18</v>
      </c>
      <c r="N323">
        <v>-18.88</v>
      </c>
      <c r="O323">
        <v>-339.84</v>
      </c>
      <c r="Q323">
        <v>-2880</v>
      </c>
      <c r="V323" t="s">
        <v>379</v>
      </c>
      <c r="Y323">
        <v>-17.999999999999996</v>
      </c>
      <c r="Z323">
        <v>17.260000000000002</v>
      </c>
      <c r="AA323">
        <v>-310.67999999999995</v>
      </c>
      <c r="AB323">
        <v>-1188</v>
      </c>
    </row>
    <row r="324" spans="3:28" x14ac:dyDescent="0.2">
      <c r="M324">
        <v>1</v>
      </c>
      <c r="N324">
        <v>-19.25</v>
      </c>
      <c r="O324">
        <v>-19.25</v>
      </c>
      <c r="Q324">
        <v>-163</v>
      </c>
      <c r="Y324">
        <v>-7</v>
      </c>
      <c r="Z324">
        <v>18.170000000000002</v>
      </c>
      <c r="AA324">
        <v>-127.19000000000001</v>
      </c>
      <c r="AB324">
        <v>-483</v>
      </c>
    </row>
    <row r="325" spans="3:28" x14ac:dyDescent="0.2">
      <c r="M325">
        <v>7</v>
      </c>
      <c r="N325">
        <v>-19.87</v>
      </c>
      <c r="O325">
        <v>-139.09</v>
      </c>
      <c r="Q325">
        <v>-1176</v>
      </c>
      <c r="Y325">
        <v>-1</v>
      </c>
      <c r="Z325">
        <v>17.600000000000001</v>
      </c>
      <c r="AA325">
        <v>-17.600000000000001</v>
      </c>
      <c r="AB325">
        <v>-67</v>
      </c>
    </row>
    <row r="326" spans="3:28" x14ac:dyDescent="0.2">
      <c r="M326">
        <v>2</v>
      </c>
      <c r="N326">
        <v>-20.49</v>
      </c>
      <c r="O326">
        <v>-40.98</v>
      </c>
      <c r="Q326">
        <v>-348</v>
      </c>
      <c r="Y326">
        <v>-2</v>
      </c>
      <c r="Z326">
        <v>18.739999999999998</v>
      </c>
      <c r="AA326">
        <v>-37.479999999999997</v>
      </c>
      <c r="AB326">
        <v>-144</v>
      </c>
    </row>
    <row r="327" spans="3:28" x14ac:dyDescent="0.2">
      <c r="M327">
        <v>1</v>
      </c>
      <c r="N327">
        <v>-21.12</v>
      </c>
      <c r="O327">
        <v>-21.12</v>
      </c>
      <c r="Q327">
        <v>-179</v>
      </c>
      <c r="Y327">
        <v>-1</v>
      </c>
      <c r="Z327">
        <v>19.3</v>
      </c>
      <c r="AA327">
        <v>-19.3</v>
      </c>
      <c r="AB327">
        <v>-74</v>
      </c>
    </row>
    <row r="328" spans="3:28" x14ac:dyDescent="0.2">
      <c r="M328">
        <v>1</v>
      </c>
      <c r="N328">
        <v>-18.63</v>
      </c>
      <c r="O328">
        <v>-18.63</v>
      </c>
      <c r="Q328">
        <v>-158</v>
      </c>
      <c r="Y328">
        <v>-1</v>
      </c>
      <c r="Z328">
        <v>17.03</v>
      </c>
      <c r="AA328">
        <v>-17.03</v>
      </c>
      <c r="AB328">
        <v>-65</v>
      </c>
    </row>
    <row r="329" spans="3:28" x14ac:dyDescent="0.2">
      <c r="O329">
        <v>0</v>
      </c>
      <c r="Y329">
        <v>-1</v>
      </c>
      <c r="Z329">
        <v>17.21</v>
      </c>
      <c r="AA329">
        <v>-17.21</v>
      </c>
      <c r="AB329">
        <v>-66</v>
      </c>
    </row>
    <row r="330" spans="3:28" x14ac:dyDescent="0.2">
      <c r="M330">
        <v>1</v>
      </c>
      <c r="N330">
        <v>-18.940000000000001</v>
      </c>
      <c r="O330">
        <v>-18.940000000000001</v>
      </c>
      <c r="Q330">
        <v>-160</v>
      </c>
      <c r="AA330">
        <v>-546.49</v>
      </c>
      <c r="AB330">
        <v>-2087</v>
      </c>
    </row>
    <row r="331" spans="3:28" x14ac:dyDescent="0.2">
      <c r="M331">
        <v>31</v>
      </c>
      <c r="O331">
        <v>-597.85</v>
      </c>
      <c r="Q331">
        <v>-5064</v>
      </c>
    </row>
    <row r="333" spans="3:28" x14ac:dyDescent="0.2">
      <c r="C333">
        <v>-546.49</v>
      </c>
      <c r="D333">
        <v>-2087</v>
      </c>
      <c r="I333" t="s">
        <v>380</v>
      </c>
      <c r="M333">
        <v>19</v>
      </c>
      <c r="N333">
        <v>17.260000000000002</v>
      </c>
      <c r="O333">
        <v>327.94000000000005</v>
      </c>
      <c r="Q333">
        <v>1254</v>
      </c>
    </row>
    <row r="334" spans="3:28" x14ac:dyDescent="0.2">
      <c r="M334">
        <v>1</v>
      </c>
      <c r="N334">
        <v>17.600000000000001</v>
      </c>
      <c r="O334">
        <v>17.600000000000001</v>
      </c>
      <c r="Q334">
        <v>67</v>
      </c>
    </row>
    <row r="335" spans="3:28" x14ac:dyDescent="0.2">
      <c r="M335">
        <v>7</v>
      </c>
      <c r="N335">
        <v>18.170000000000002</v>
      </c>
      <c r="O335">
        <v>127.19000000000001</v>
      </c>
      <c r="Q335">
        <v>483</v>
      </c>
    </row>
    <row r="336" spans="3:28" x14ac:dyDescent="0.2">
      <c r="M336">
        <v>2</v>
      </c>
      <c r="N336">
        <v>18.739999999999998</v>
      </c>
      <c r="O336">
        <v>37.479999999999997</v>
      </c>
      <c r="Q336">
        <v>144</v>
      </c>
    </row>
    <row r="337" spans="3:22" x14ac:dyDescent="0.2">
      <c r="M337">
        <v>1</v>
      </c>
      <c r="N337">
        <v>19.3</v>
      </c>
      <c r="O337">
        <v>19.3</v>
      </c>
      <c r="Q337">
        <v>74</v>
      </c>
    </row>
    <row r="338" spans="3:22" x14ac:dyDescent="0.2">
      <c r="M338">
        <v>1</v>
      </c>
      <c r="N338">
        <v>17.03</v>
      </c>
      <c r="O338">
        <v>17.03</v>
      </c>
      <c r="Q338">
        <v>65</v>
      </c>
    </row>
    <row r="339" spans="3:22" x14ac:dyDescent="0.2">
      <c r="M339">
        <v>31</v>
      </c>
      <c r="O339">
        <v>546.54000000000008</v>
      </c>
      <c r="Q339">
        <v>2087</v>
      </c>
    </row>
    <row r="340" spans="3:22" x14ac:dyDescent="0.2">
      <c r="O340">
        <v>-51.309999999999945</v>
      </c>
      <c r="Q340">
        <v>-2977</v>
      </c>
    </row>
    <row r="341" spans="3:22" x14ac:dyDescent="0.2">
      <c r="I341" t="s">
        <v>381</v>
      </c>
      <c r="M341">
        <v>12</v>
      </c>
      <c r="N341">
        <v>-13.28</v>
      </c>
      <c r="O341">
        <v>-159.35999999999999</v>
      </c>
      <c r="Q341">
        <v>-552</v>
      </c>
    </row>
    <row r="342" spans="3:22" x14ac:dyDescent="0.2">
      <c r="I342" t="s">
        <v>382</v>
      </c>
      <c r="M342">
        <v>12</v>
      </c>
      <c r="N342">
        <v>8.56</v>
      </c>
      <c r="O342">
        <v>102.72</v>
      </c>
      <c r="Q342">
        <v>252</v>
      </c>
    </row>
    <row r="343" spans="3:22" x14ac:dyDescent="0.2">
      <c r="O343">
        <v>-56.639999999999986</v>
      </c>
    </row>
    <row r="344" spans="3:22" x14ac:dyDescent="0.2">
      <c r="C344">
        <v>-107.94999999999993</v>
      </c>
      <c r="D344">
        <v>-4183</v>
      </c>
      <c r="S344" t="s">
        <v>383</v>
      </c>
    </row>
    <row r="345" spans="3:22" x14ac:dyDescent="0.2">
      <c r="O345">
        <v>-107.94999999999993</v>
      </c>
    </row>
    <row r="346" spans="3:22" x14ac:dyDescent="0.2">
      <c r="I346" t="s">
        <v>384</v>
      </c>
      <c r="L346" t="s">
        <v>385</v>
      </c>
      <c r="Q346">
        <v>-185</v>
      </c>
      <c r="S346" t="s">
        <v>386</v>
      </c>
    </row>
    <row r="347" spans="3:22" x14ac:dyDescent="0.2">
      <c r="I347" t="s">
        <v>387</v>
      </c>
      <c r="L347" t="s">
        <v>388</v>
      </c>
      <c r="Q347">
        <v>105</v>
      </c>
      <c r="S347" t="s">
        <v>389</v>
      </c>
      <c r="V347">
        <v>-21</v>
      </c>
    </row>
    <row r="348" spans="3:22" x14ac:dyDescent="0.2">
      <c r="I348" t="s">
        <v>390</v>
      </c>
      <c r="V348">
        <v>-21</v>
      </c>
    </row>
    <row r="349" spans="3:22" x14ac:dyDescent="0.2">
      <c r="S349" t="s">
        <v>391</v>
      </c>
    </row>
    <row r="350" spans="3:22" x14ac:dyDescent="0.2">
      <c r="I350" t="s">
        <v>384</v>
      </c>
      <c r="L350" t="s">
        <v>385</v>
      </c>
      <c r="Q350">
        <v>-196</v>
      </c>
      <c r="S350" t="s">
        <v>392</v>
      </c>
    </row>
    <row r="351" spans="3:22" x14ac:dyDescent="0.2">
      <c r="D351">
        <v>-84</v>
      </c>
      <c r="I351" t="s">
        <v>393</v>
      </c>
    </row>
    <row r="352" spans="3:22" x14ac:dyDescent="0.2">
      <c r="I352" t="s">
        <v>394</v>
      </c>
      <c r="L352" t="s">
        <v>395</v>
      </c>
      <c r="Q352">
        <v>-560</v>
      </c>
      <c r="V352">
        <v>-84</v>
      </c>
    </row>
    <row r="353" spans="2:27" x14ac:dyDescent="0.2">
      <c r="I353" t="s">
        <v>393</v>
      </c>
    </row>
    <row r="354" spans="2:27" x14ac:dyDescent="0.2">
      <c r="I354" t="s">
        <v>396</v>
      </c>
      <c r="L354" t="s">
        <v>395</v>
      </c>
      <c r="Q354">
        <v>-70</v>
      </c>
    </row>
    <row r="355" spans="2:27" x14ac:dyDescent="0.2">
      <c r="Q355">
        <v>-4183</v>
      </c>
    </row>
    <row r="356" spans="2:27" x14ac:dyDescent="0.2">
      <c r="B356" s="405" t="s">
        <v>355</v>
      </c>
      <c r="C356" s="408">
        <v>-654.43999999999994</v>
      </c>
      <c r="D356" s="408">
        <v>-6354</v>
      </c>
      <c r="E356" s="408">
        <v>-41.48</v>
      </c>
      <c r="Q356">
        <v>-4183</v>
      </c>
    </row>
    <row r="357" spans="2:27" x14ac:dyDescent="0.2">
      <c r="Q357">
        <v>0</v>
      </c>
    </row>
    <row r="359" spans="2:27" x14ac:dyDescent="0.2">
      <c r="I359" t="s">
        <v>397</v>
      </c>
    </row>
    <row r="360" spans="2:27" x14ac:dyDescent="0.2">
      <c r="I360" s="289" t="s">
        <v>398</v>
      </c>
      <c r="J360" s="289"/>
      <c r="K360" s="289"/>
      <c r="L360" s="289"/>
      <c r="T360" s="357"/>
    </row>
    <row r="361" spans="2:27" x14ac:dyDescent="0.2">
      <c r="I361" s="289"/>
      <c r="J361" s="289"/>
      <c r="K361" s="289"/>
      <c r="L361" s="289" t="s">
        <v>399</v>
      </c>
      <c r="Q361" t="s">
        <v>400</v>
      </c>
      <c r="R361" t="s">
        <v>401</v>
      </c>
      <c r="S361" t="s">
        <v>361</v>
      </c>
      <c r="T361" s="357"/>
      <c r="U361" t="s">
        <v>402</v>
      </c>
    </row>
    <row r="362" spans="2:27" x14ac:dyDescent="0.2">
      <c r="I362" s="289" t="s">
        <v>403</v>
      </c>
      <c r="J362" s="289"/>
      <c r="K362" s="289"/>
      <c r="L362" s="289" t="s">
        <v>365</v>
      </c>
      <c r="M362" t="s">
        <v>359</v>
      </c>
      <c r="N362" t="s">
        <v>315</v>
      </c>
      <c r="P362" t="s">
        <v>367</v>
      </c>
      <c r="Q362" t="s">
        <v>366</v>
      </c>
      <c r="R362" t="s">
        <v>365</v>
      </c>
      <c r="S362" t="s">
        <v>315</v>
      </c>
      <c r="T362" s="357"/>
      <c r="X362" t="s">
        <v>404</v>
      </c>
      <c r="AA362" t="s">
        <v>405</v>
      </c>
    </row>
    <row r="363" spans="2:27" x14ac:dyDescent="0.2">
      <c r="I363" s="289"/>
      <c r="J363" s="289"/>
      <c r="K363" s="289" t="s">
        <v>369</v>
      </c>
      <c r="L363" s="289">
        <v>-36.4</v>
      </c>
      <c r="M363">
        <v>-2.67</v>
      </c>
      <c r="N363">
        <v>-26</v>
      </c>
      <c r="P363">
        <v>-29.209999999999997</v>
      </c>
      <c r="Q363">
        <v>48.339999999999982</v>
      </c>
      <c r="R363">
        <v>-911.4799999999982</v>
      </c>
      <c r="S363">
        <v>-5882</v>
      </c>
      <c r="T363" s="357"/>
    </row>
    <row r="364" spans="2:27" x14ac:dyDescent="0.2">
      <c r="I364" s="289"/>
      <c r="J364" s="289">
        <v>-2</v>
      </c>
      <c r="K364" s="289">
        <v>18.2</v>
      </c>
      <c r="L364" s="289">
        <v>-36.4</v>
      </c>
      <c r="P364" t="s">
        <v>406</v>
      </c>
      <c r="Q364" t="s">
        <v>407</v>
      </c>
      <c r="U364" s="383" t="s">
        <v>408</v>
      </c>
      <c r="X364">
        <v>7.09</v>
      </c>
      <c r="Y364">
        <v>23</v>
      </c>
      <c r="Z364">
        <v>163.07</v>
      </c>
    </row>
    <row r="365" spans="2:27" x14ac:dyDescent="0.2">
      <c r="I365" s="289"/>
      <c r="J365" s="289"/>
      <c r="K365" s="289"/>
      <c r="L365" s="289"/>
      <c r="O365" t="s">
        <v>331</v>
      </c>
      <c r="P365">
        <v>0.16</v>
      </c>
      <c r="Q365">
        <v>-9.93</v>
      </c>
      <c r="U365">
        <v>17.72</v>
      </c>
      <c r="V365" t="s">
        <v>409</v>
      </c>
      <c r="X365">
        <v>6.95</v>
      </c>
      <c r="Y365">
        <v>102</v>
      </c>
      <c r="Z365">
        <v>708.9</v>
      </c>
    </row>
    <row r="366" spans="2:27" x14ac:dyDescent="0.2">
      <c r="I366" s="289"/>
      <c r="J366" s="289">
        <v>-26</v>
      </c>
      <c r="K366" s="289">
        <v>0.102038</v>
      </c>
      <c r="L366" s="289"/>
      <c r="M366">
        <v>-2.6729880000000001</v>
      </c>
      <c r="O366" t="s">
        <v>332</v>
      </c>
      <c r="P366">
        <v>5.0000000000000017E-2</v>
      </c>
      <c r="Q366">
        <v>-35.89</v>
      </c>
      <c r="U366" s="357">
        <v>23.34</v>
      </c>
      <c r="V366" t="s">
        <v>410</v>
      </c>
      <c r="X366">
        <v>7.04</v>
      </c>
      <c r="Y366">
        <v>1</v>
      </c>
      <c r="Z366">
        <v>7.04</v>
      </c>
    </row>
    <row r="367" spans="2:27" x14ac:dyDescent="0.2">
      <c r="I367" s="289"/>
      <c r="J367" s="289"/>
      <c r="K367" s="289"/>
      <c r="L367" s="289"/>
      <c r="O367" t="s">
        <v>333</v>
      </c>
      <c r="P367">
        <v>0.36</v>
      </c>
      <c r="Q367">
        <v>20.97</v>
      </c>
      <c r="T367" s="289"/>
      <c r="U367" s="357">
        <v>7.28</v>
      </c>
      <c r="V367" t="s">
        <v>411</v>
      </c>
      <c r="X367">
        <v>7.16</v>
      </c>
      <c r="Y367">
        <v>28</v>
      </c>
      <c r="Z367">
        <v>200.48000000000002</v>
      </c>
    </row>
    <row r="368" spans="2:27" x14ac:dyDescent="0.2">
      <c r="I368" s="289"/>
      <c r="J368" s="289"/>
      <c r="K368" s="289"/>
      <c r="L368" s="289"/>
      <c r="M368" s="289"/>
      <c r="N368" s="289"/>
      <c r="O368" s="289" t="s">
        <v>334</v>
      </c>
      <c r="P368" s="289">
        <v>-0.04</v>
      </c>
      <c r="Q368" s="289">
        <v>-6</v>
      </c>
      <c r="R368" s="289"/>
      <c r="S368" s="289"/>
      <c r="X368">
        <v>7.91</v>
      </c>
      <c r="Y368">
        <v>2</v>
      </c>
      <c r="Z368">
        <v>15.82</v>
      </c>
    </row>
    <row r="369" spans="3:28" x14ac:dyDescent="0.2">
      <c r="I369" s="289"/>
      <c r="J369" s="289"/>
      <c r="K369" s="289"/>
      <c r="L369" s="289"/>
      <c r="M369" s="289"/>
      <c r="N369" s="289"/>
      <c r="O369" s="289" t="s">
        <v>406</v>
      </c>
      <c r="P369" s="289"/>
      <c r="Q369" s="289">
        <v>1.1100000000000001</v>
      </c>
      <c r="R369" s="355"/>
      <c r="S369" s="355"/>
      <c r="T369" s="357"/>
      <c r="X369">
        <v>8.1999999999999993</v>
      </c>
      <c r="Y369">
        <v>1</v>
      </c>
      <c r="Z369">
        <v>8.1999999999999993</v>
      </c>
    </row>
    <row r="370" spans="3:28" x14ac:dyDescent="0.2">
      <c r="P370">
        <v>0.53</v>
      </c>
      <c r="Q370">
        <v>-29.740000000000002</v>
      </c>
      <c r="R370">
        <v>-29.21</v>
      </c>
      <c r="T370" s="357"/>
      <c r="U370">
        <v>48.34</v>
      </c>
      <c r="X370">
        <v>8.6199999999999992</v>
      </c>
      <c r="Y370">
        <v>1</v>
      </c>
      <c r="Z370">
        <v>8.6199999999999992</v>
      </c>
      <c r="AB370" s="380"/>
    </row>
    <row r="371" spans="3:28" x14ac:dyDescent="0.2">
      <c r="P371" t="s">
        <v>412</v>
      </c>
      <c r="R371" t="s">
        <v>315</v>
      </c>
      <c r="T371" s="357"/>
      <c r="X371">
        <v>8.4600000000000009</v>
      </c>
      <c r="Y371">
        <v>14</v>
      </c>
      <c r="Z371">
        <v>118.44000000000001</v>
      </c>
      <c r="AB371" s="380"/>
    </row>
    <row r="372" spans="3:28" x14ac:dyDescent="0.2">
      <c r="M372" t="s">
        <v>413</v>
      </c>
      <c r="O372">
        <v>25</v>
      </c>
      <c r="P372">
        <v>11.28</v>
      </c>
      <c r="Q372">
        <v>282</v>
      </c>
      <c r="R372">
        <v>70</v>
      </c>
      <c r="S372">
        <v>1750</v>
      </c>
      <c r="T372" s="357"/>
      <c r="X372">
        <v>8.4700000000000006</v>
      </c>
      <c r="Y372">
        <v>1</v>
      </c>
      <c r="Z372">
        <v>8.4700000000000006</v>
      </c>
      <c r="AB372" s="380"/>
    </row>
    <row r="373" spans="3:28" x14ac:dyDescent="0.2">
      <c r="O373">
        <v>9</v>
      </c>
      <c r="P373">
        <v>11.87</v>
      </c>
      <c r="Q373">
        <v>106.83</v>
      </c>
      <c r="R373">
        <v>74</v>
      </c>
      <c r="S373">
        <v>666</v>
      </c>
      <c r="T373" s="357"/>
      <c r="X373">
        <v>8.5</v>
      </c>
      <c r="Y373">
        <v>7</v>
      </c>
      <c r="Z373">
        <v>59.5</v>
      </c>
      <c r="AB373" s="380"/>
    </row>
    <row r="374" spans="3:28" x14ac:dyDescent="0.2">
      <c r="O374">
        <v>2</v>
      </c>
      <c r="P374">
        <v>12.24</v>
      </c>
      <c r="Q374">
        <v>24.48</v>
      </c>
      <c r="R374" s="402">
        <v>76</v>
      </c>
      <c r="S374">
        <v>152</v>
      </c>
      <c r="T374" s="402"/>
      <c r="U374" s="402"/>
      <c r="X374">
        <v>9.8800000000000008</v>
      </c>
      <c r="Y374">
        <v>1</v>
      </c>
      <c r="Z374">
        <v>9.8800000000000008</v>
      </c>
    </row>
    <row r="375" spans="3:28" x14ac:dyDescent="0.2">
      <c r="O375">
        <v>1</v>
      </c>
      <c r="P375">
        <v>11.13</v>
      </c>
      <c r="Q375">
        <v>11.13</v>
      </c>
      <c r="R375">
        <v>69</v>
      </c>
      <c r="S375" s="403">
        <v>69</v>
      </c>
      <c r="T375" s="402"/>
      <c r="Z375">
        <v>1308.42</v>
      </c>
      <c r="AA375" t="s">
        <v>414</v>
      </c>
      <c r="AB375" s="388"/>
    </row>
    <row r="376" spans="3:28" x14ac:dyDescent="0.2">
      <c r="O376">
        <v>26</v>
      </c>
      <c r="P376">
        <v>11.06</v>
      </c>
      <c r="Q376">
        <v>287.56</v>
      </c>
      <c r="R376">
        <v>70</v>
      </c>
      <c r="S376">
        <v>1820</v>
      </c>
      <c r="X376" t="s">
        <v>315</v>
      </c>
    </row>
    <row r="377" spans="3:28" x14ac:dyDescent="0.2">
      <c r="O377">
        <v>2</v>
      </c>
      <c r="P377">
        <v>11.3</v>
      </c>
      <c r="Q377">
        <v>22.6</v>
      </c>
      <c r="R377">
        <v>70</v>
      </c>
      <c r="S377">
        <v>140</v>
      </c>
      <c r="X377">
        <v>75</v>
      </c>
      <c r="Y377">
        <v>125</v>
      </c>
      <c r="Z377">
        <v>9375</v>
      </c>
    </row>
    <row r="378" spans="3:28" x14ac:dyDescent="0.2">
      <c r="O378">
        <v>1</v>
      </c>
      <c r="P378">
        <v>11.25</v>
      </c>
      <c r="Q378">
        <v>11.25</v>
      </c>
      <c r="R378">
        <v>70</v>
      </c>
      <c r="S378">
        <v>70</v>
      </c>
      <c r="X378">
        <v>70</v>
      </c>
      <c r="Y378">
        <v>56</v>
      </c>
      <c r="Z378">
        <v>3920</v>
      </c>
    </row>
    <row r="379" spans="3:28" x14ac:dyDescent="0.2">
      <c r="O379">
        <v>1</v>
      </c>
      <c r="P379">
        <v>12.53</v>
      </c>
      <c r="Q379">
        <v>12.53</v>
      </c>
      <c r="R379">
        <v>70</v>
      </c>
      <c r="S379">
        <v>70</v>
      </c>
      <c r="Z379">
        <v>13295</v>
      </c>
      <c r="AA379" t="s">
        <v>415</v>
      </c>
    </row>
    <row r="380" spans="3:28" x14ac:dyDescent="0.2">
      <c r="O380">
        <v>1</v>
      </c>
      <c r="P380">
        <v>10.94</v>
      </c>
      <c r="Q380">
        <v>10.94</v>
      </c>
      <c r="R380">
        <v>70</v>
      </c>
      <c r="S380">
        <v>70</v>
      </c>
    </row>
    <row r="381" spans="3:28" x14ac:dyDescent="0.2">
      <c r="O381">
        <v>4</v>
      </c>
      <c r="P381">
        <v>9.8000000000000007</v>
      </c>
      <c r="Q381">
        <v>39.200000000000003</v>
      </c>
      <c r="R381">
        <v>70</v>
      </c>
      <c r="S381">
        <v>280</v>
      </c>
    </row>
    <row r="382" spans="3:28" x14ac:dyDescent="0.2">
      <c r="Q382">
        <v>808.5200000000001</v>
      </c>
      <c r="S382">
        <v>5087</v>
      </c>
    </row>
    <row r="383" spans="3:28" x14ac:dyDescent="0.2">
      <c r="C383">
        <v>-911.4799999999982</v>
      </c>
      <c r="D383">
        <v>-5882</v>
      </c>
      <c r="L383" t="s">
        <v>416</v>
      </c>
    </row>
    <row r="384" spans="3:28" x14ac:dyDescent="0.2">
      <c r="C384">
        <v>-1308.42</v>
      </c>
      <c r="O384">
        <v>5</v>
      </c>
      <c r="P384">
        <v>18.88</v>
      </c>
      <c r="Q384">
        <v>94.399999999999991</v>
      </c>
      <c r="R384">
        <v>159</v>
      </c>
      <c r="S384">
        <v>795</v>
      </c>
    </row>
    <row r="386" spans="2:20" x14ac:dyDescent="0.2">
      <c r="Q386">
        <v>902.92000000000007</v>
      </c>
      <c r="S386">
        <v>5882</v>
      </c>
    </row>
    <row r="387" spans="2:20" x14ac:dyDescent="0.2">
      <c r="L387" t="s">
        <v>417</v>
      </c>
      <c r="O387">
        <v>1</v>
      </c>
      <c r="Q387">
        <v>8.56</v>
      </c>
      <c r="S387">
        <v>0</v>
      </c>
      <c r="T387" t="s">
        <v>418</v>
      </c>
    </row>
    <row r="388" spans="2:20" x14ac:dyDescent="0.2">
      <c r="Q388">
        <v>911.48</v>
      </c>
      <c r="S388">
        <v>5882</v>
      </c>
    </row>
    <row r="391" spans="2:20" x14ac:dyDescent="0.2">
      <c r="I391" t="s">
        <v>419</v>
      </c>
      <c r="L391">
        <v>22.1</v>
      </c>
      <c r="M391">
        <v>1.1100000000000001</v>
      </c>
      <c r="N391">
        <v>11</v>
      </c>
      <c r="P391">
        <v>0.1</v>
      </c>
    </row>
    <row r="393" spans="2:20" x14ac:dyDescent="0.2">
      <c r="B393" s="405" t="s">
        <v>397</v>
      </c>
      <c r="C393" s="408">
        <v>-2219.8999999999983</v>
      </c>
      <c r="D393" s="408">
        <v>-5882</v>
      </c>
      <c r="E393" s="408">
        <v>18.600000000000001</v>
      </c>
      <c r="J393">
        <v>1</v>
      </c>
      <c r="K393">
        <v>22.1</v>
      </c>
      <c r="L393">
        <v>22.1</v>
      </c>
      <c r="O393" t="s">
        <v>331</v>
      </c>
      <c r="P393">
        <v>0.02</v>
      </c>
    </row>
    <row r="394" spans="2:20" x14ac:dyDescent="0.2">
      <c r="O394" t="s">
        <v>332</v>
      </c>
      <c r="P394">
        <v>0.09</v>
      </c>
    </row>
    <row r="395" spans="2:20" x14ac:dyDescent="0.2">
      <c r="J395">
        <v>11</v>
      </c>
      <c r="K395">
        <v>0.100744</v>
      </c>
      <c r="M395">
        <v>1.1081840000000001</v>
      </c>
      <c r="O395" t="s">
        <v>333</v>
      </c>
      <c r="P395">
        <v>-0.03</v>
      </c>
    </row>
    <row r="396" spans="2:20" x14ac:dyDescent="0.2">
      <c r="R396" t="s">
        <v>334</v>
      </c>
      <c r="S396">
        <v>0.02</v>
      </c>
    </row>
    <row r="397" spans="2:20" x14ac:dyDescent="0.2">
      <c r="H397" t="s">
        <v>139</v>
      </c>
      <c r="S397">
        <v>0.1</v>
      </c>
    </row>
    <row r="399" spans="2:20" x14ac:dyDescent="0.2">
      <c r="H399" s="289" t="s">
        <v>398</v>
      </c>
      <c r="I399" s="289"/>
      <c r="J399" s="289"/>
      <c r="K399" s="289"/>
      <c r="S399" s="357"/>
    </row>
    <row r="400" spans="2:20" x14ac:dyDescent="0.2">
      <c r="H400" s="289"/>
      <c r="I400" s="289"/>
      <c r="J400" s="289"/>
      <c r="K400" s="289"/>
      <c r="S400" s="357"/>
    </row>
    <row r="401" spans="2:23" x14ac:dyDescent="0.2">
      <c r="H401" s="289"/>
      <c r="I401" s="289"/>
      <c r="J401" s="289" t="s">
        <v>420</v>
      </c>
      <c r="K401" s="289"/>
      <c r="S401" s="357"/>
    </row>
    <row r="402" spans="2:23" x14ac:dyDescent="0.2">
      <c r="H402" s="289"/>
      <c r="I402" s="289"/>
      <c r="J402" s="289" t="s">
        <v>421</v>
      </c>
      <c r="K402" s="289"/>
      <c r="M402" t="s">
        <v>422</v>
      </c>
      <c r="N402" t="s">
        <v>423</v>
      </c>
      <c r="O402" t="s">
        <v>424</v>
      </c>
      <c r="P402" t="s">
        <v>425</v>
      </c>
      <c r="S402">
        <v>-13295</v>
      </c>
      <c r="T402">
        <v>-13295</v>
      </c>
      <c r="U402" t="s">
        <v>426</v>
      </c>
      <c r="W402" t="s">
        <v>427</v>
      </c>
    </row>
    <row r="403" spans="2:23" x14ac:dyDescent="0.2">
      <c r="H403" s="289"/>
      <c r="I403" s="289"/>
      <c r="J403" s="289"/>
      <c r="K403" s="289"/>
      <c r="S403" s="410"/>
      <c r="T403" t="s">
        <v>428</v>
      </c>
    </row>
    <row r="404" spans="2:23" x14ac:dyDescent="0.2">
      <c r="H404" s="289"/>
      <c r="I404" s="289"/>
      <c r="J404" s="289"/>
      <c r="K404" s="289"/>
    </row>
    <row r="405" spans="2:23" x14ac:dyDescent="0.2">
      <c r="H405" s="289"/>
      <c r="I405" s="289">
        <v>-2</v>
      </c>
      <c r="J405" s="289">
        <v>18.2</v>
      </c>
      <c r="K405" s="289">
        <v>-36.4</v>
      </c>
      <c r="M405">
        <v>-0.33</v>
      </c>
      <c r="N405">
        <v>-1.9</v>
      </c>
      <c r="O405">
        <v>2.0399999999999996</v>
      </c>
      <c r="P405">
        <v>-0.53</v>
      </c>
      <c r="Q405">
        <v>-0.72000000000000042</v>
      </c>
      <c r="T405" s="357"/>
    </row>
    <row r="406" spans="2:23" x14ac:dyDescent="0.2">
      <c r="H406" s="289"/>
      <c r="I406" s="289"/>
      <c r="J406" s="289"/>
      <c r="K406" s="289"/>
      <c r="S406" s="289"/>
      <c r="T406" s="357"/>
    </row>
    <row r="407" spans="2:23" x14ac:dyDescent="0.2">
      <c r="D407">
        <v>-13295</v>
      </c>
      <c r="H407" s="289"/>
      <c r="I407" s="289">
        <v>-175</v>
      </c>
      <c r="J407" s="289">
        <v>0.102038</v>
      </c>
      <c r="K407" s="289"/>
      <c r="L407" s="289">
        <v>-17.856650000000002</v>
      </c>
      <c r="M407" s="289"/>
      <c r="N407" s="289"/>
      <c r="O407" s="289"/>
      <c r="P407" s="289"/>
      <c r="Q407" s="289"/>
      <c r="R407" s="289"/>
    </row>
    <row r="408" spans="2:23" x14ac:dyDescent="0.2">
      <c r="H408" s="289"/>
      <c r="I408" s="289"/>
      <c r="J408" s="289"/>
      <c r="K408" s="289"/>
      <c r="L408" s="289"/>
      <c r="M408" s="289"/>
      <c r="N408" s="289"/>
      <c r="O408" s="289"/>
      <c r="P408" s="289"/>
      <c r="Q408" s="355"/>
      <c r="R408" s="355"/>
      <c r="S408" s="357"/>
    </row>
    <row r="409" spans="2:23" x14ac:dyDescent="0.2">
      <c r="S409" s="357"/>
    </row>
    <row r="410" spans="2:23" x14ac:dyDescent="0.2">
      <c r="S410" s="357"/>
    </row>
    <row r="411" spans="2:23" x14ac:dyDescent="0.2">
      <c r="C411">
        <v>-11.28</v>
      </c>
      <c r="D411">
        <v>-70</v>
      </c>
      <c r="J411" t="s">
        <v>429</v>
      </c>
      <c r="S411" s="357"/>
    </row>
    <row r="412" spans="2:23" x14ac:dyDescent="0.2">
      <c r="S412" s="357"/>
    </row>
    <row r="413" spans="2:23" x14ac:dyDescent="0.2">
      <c r="M413" t="s">
        <v>16</v>
      </c>
      <c r="Q413" s="402"/>
      <c r="S413" s="402"/>
      <c r="T413" s="402"/>
    </row>
    <row r="414" spans="2:23" x14ac:dyDescent="0.2">
      <c r="I414">
        <v>-1</v>
      </c>
      <c r="J414">
        <v>22.1</v>
      </c>
      <c r="K414">
        <v>-22.1</v>
      </c>
      <c r="M414">
        <v>-0.06</v>
      </c>
      <c r="N414">
        <v>-0.57999999999999996</v>
      </c>
      <c r="O414">
        <v>0.44</v>
      </c>
      <c r="P414">
        <v>-0.14000000000000001</v>
      </c>
      <c r="Q414">
        <v>-0.33999999999999991</v>
      </c>
      <c r="R414" s="403"/>
      <c r="S414" s="402"/>
    </row>
    <row r="416" spans="2:23" x14ac:dyDescent="0.2">
      <c r="B416" s="405" t="s">
        <v>139</v>
      </c>
      <c r="C416" s="408">
        <v>-11.28</v>
      </c>
      <c r="D416" s="408">
        <v>-13365</v>
      </c>
      <c r="E416" s="408">
        <v>-0.33999999999999991</v>
      </c>
      <c r="F416">
        <v>-11.28</v>
      </c>
      <c r="G416">
        <v>-70</v>
      </c>
      <c r="H416" t="s">
        <v>430</v>
      </c>
      <c r="I416">
        <v>-1</v>
      </c>
      <c r="J416">
        <v>11.28</v>
      </c>
      <c r="K416">
        <v>-11.28</v>
      </c>
    </row>
    <row r="417" spans="8:14" x14ac:dyDescent="0.2">
      <c r="I417">
        <v>-1</v>
      </c>
      <c r="J417">
        <v>70</v>
      </c>
      <c r="K417">
        <v>-70</v>
      </c>
      <c r="L417" t="s">
        <v>315</v>
      </c>
    </row>
    <row r="420" spans="8:14" x14ac:dyDescent="0.2">
      <c r="H420" t="s">
        <v>431</v>
      </c>
    </row>
    <row r="421" spans="8:14" x14ac:dyDescent="0.2">
      <c r="H421" s="289" t="s">
        <v>420</v>
      </c>
      <c r="I421" s="289"/>
    </row>
    <row r="422" spans="8:14" x14ac:dyDescent="0.2">
      <c r="H422" s="289" t="s">
        <v>421</v>
      </c>
      <c r="I422" s="289"/>
      <c r="K422" t="s">
        <v>422</v>
      </c>
      <c r="L422" t="s">
        <v>423</v>
      </c>
      <c r="M422" t="s">
        <v>424</v>
      </c>
      <c r="N422" t="s">
        <v>425</v>
      </c>
    </row>
    <row r="423" spans="8:14" x14ac:dyDescent="0.2">
      <c r="H423" s="289"/>
      <c r="I423" s="289"/>
    </row>
    <row r="424" spans="8:14" x14ac:dyDescent="0.2">
      <c r="H424" t="s">
        <v>432</v>
      </c>
    </row>
    <row r="425" spans="8:14" x14ac:dyDescent="0.2">
      <c r="H425">
        <v>0</v>
      </c>
      <c r="I425">
        <v>0</v>
      </c>
    </row>
    <row r="426" spans="8:14" x14ac:dyDescent="0.2">
      <c r="H426" s="408">
        <v>0</v>
      </c>
      <c r="I426" s="408">
        <v>0</v>
      </c>
      <c r="J426" s="408"/>
      <c r="K426" s="408"/>
      <c r="L426" s="408"/>
      <c r="M426" s="408"/>
      <c r="N426" s="408"/>
    </row>
    <row r="427" spans="8:14" x14ac:dyDescent="0.2">
      <c r="H427">
        <v>0</v>
      </c>
      <c r="I427">
        <v>0</v>
      </c>
    </row>
    <row r="428" spans="8:14" x14ac:dyDescent="0.2">
      <c r="H428">
        <v>0</v>
      </c>
      <c r="I428">
        <v>0</v>
      </c>
    </row>
    <row r="429" spans="8:14" x14ac:dyDescent="0.2">
      <c r="H429">
        <v>-11.28</v>
      </c>
      <c r="I429">
        <v>-70</v>
      </c>
    </row>
    <row r="430" spans="8:14" x14ac:dyDescent="0.2">
      <c r="H430">
        <v>-11.28</v>
      </c>
      <c r="I430">
        <v>-70</v>
      </c>
    </row>
    <row r="431" spans="8:14" x14ac:dyDescent="0.2">
      <c r="H431">
        <v>-11.28</v>
      </c>
      <c r="I431">
        <v>-70</v>
      </c>
    </row>
    <row r="432" spans="8:14" x14ac:dyDescent="0.2">
      <c r="H432">
        <v>-11.28</v>
      </c>
      <c r="I432">
        <v>-70</v>
      </c>
    </row>
    <row r="433" spans="8:9" x14ac:dyDescent="0.2">
      <c r="H433">
        <v>-11.28</v>
      </c>
      <c r="I433">
        <v>-70</v>
      </c>
    </row>
    <row r="434" spans="8:9" x14ac:dyDescent="0.2">
      <c r="H434">
        <v>-11.28</v>
      </c>
      <c r="I434">
        <v>-70</v>
      </c>
    </row>
    <row r="435" spans="8:9" x14ac:dyDescent="0.2">
      <c r="H435">
        <v>-11.28</v>
      </c>
      <c r="I435">
        <v>-70</v>
      </c>
    </row>
    <row r="436" spans="8:9" x14ac:dyDescent="0.2">
      <c r="H436">
        <v>-11.28</v>
      </c>
      <c r="I436">
        <v>-70</v>
      </c>
    </row>
    <row r="437" spans="8:9" x14ac:dyDescent="0.2">
      <c r="H437">
        <v>-11.28</v>
      </c>
      <c r="I437">
        <v>-70</v>
      </c>
    </row>
    <row r="438" spans="8:9" x14ac:dyDescent="0.2">
      <c r="H438">
        <v>0</v>
      </c>
      <c r="I438">
        <v>0</v>
      </c>
    </row>
    <row r="439" spans="8:9" x14ac:dyDescent="0.2">
      <c r="H439">
        <v>0</v>
      </c>
      <c r="I439">
        <v>0</v>
      </c>
    </row>
    <row r="440" spans="8:9" x14ac:dyDescent="0.2">
      <c r="H440">
        <v>0</v>
      </c>
      <c r="I440">
        <v>0</v>
      </c>
    </row>
    <row r="441" spans="8:9" x14ac:dyDescent="0.2">
      <c r="H441">
        <v>0</v>
      </c>
      <c r="I441">
        <v>0</v>
      </c>
    </row>
    <row r="442" spans="8:9" x14ac:dyDescent="0.2">
      <c r="H442">
        <v>0</v>
      </c>
      <c r="I442">
        <v>0</v>
      </c>
    </row>
    <row r="443" spans="8:9" x14ac:dyDescent="0.2">
      <c r="H443">
        <v>0</v>
      </c>
      <c r="I443">
        <v>0</v>
      </c>
    </row>
    <row r="444" spans="8:9" x14ac:dyDescent="0.2">
      <c r="H444">
        <v>0</v>
      </c>
      <c r="I444">
        <v>0</v>
      </c>
    </row>
    <row r="445" spans="8:9" x14ac:dyDescent="0.2">
      <c r="H445">
        <v>0</v>
      </c>
      <c r="I445">
        <v>0</v>
      </c>
    </row>
    <row r="446" spans="8:9" x14ac:dyDescent="0.2">
      <c r="H446">
        <v>0</v>
      </c>
      <c r="I446">
        <v>0</v>
      </c>
    </row>
    <row r="447" spans="8:9" x14ac:dyDescent="0.2">
      <c r="H447">
        <v>0</v>
      </c>
      <c r="I447">
        <v>0</v>
      </c>
    </row>
    <row r="448" spans="8:9" x14ac:dyDescent="0.2">
      <c r="H448">
        <v>0</v>
      </c>
      <c r="I448">
        <v>0</v>
      </c>
    </row>
    <row r="449" spans="8:9" x14ac:dyDescent="0.2">
      <c r="H449">
        <v>0</v>
      </c>
      <c r="I449">
        <v>0</v>
      </c>
    </row>
    <row r="450" spans="8:9" x14ac:dyDescent="0.2">
      <c r="H450">
        <v>-11.28</v>
      </c>
      <c r="I450">
        <v>-70</v>
      </c>
    </row>
    <row r="451" spans="8:9" x14ac:dyDescent="0.2">
      <c r="H451">
        <v>0</v>
      </c>
      <c r="I451">
        <v>0</v>
      </c>
    </row>
    <row r="452" spans="8:9" x14ac:dyDescent="0.2">
      <c r="H452">
        <v>0</v>
      </c>
      <c r="I452">
        <v>-21</v>
      </c>
    </row>
    <row r="453" spans="8:9" x14ac:dyDescent="0.2">
      <c r="H453">
        <v>0</v>
      </c>
      <c r="I453">
        <v>0</v>
      </c>
    </row>
    <row r="454" spans="8:9" x14ac:dyDescent="0.2">
      <c r="H454">
        <v>0</v>
      </c>
      <c r="I454">
        <v>0</v>
      </c>
    </row>
    <row r="455" spans="8:9" x14ac:dyDescent="0.2">
      <c r="H455">
        <v>-11.13</v>
      </c>
      <c r="I455">
        <v>-69</v>
      </c>
    </row>
    <row r="456" spans="8:9" x14ac:dyDescent="0.2">
      <c r="H456">
        <v>-11.28</v>
      </c>
      <c r="I456">
        <v>-70</v>
      </c>
    </row>
    <row r="457" spans="8:9" x14ac:dyDescent="0.2">
      <c r="H457">
        <v>-11.28</v>
      </c>
      <c r="I457">
        <v>-70</v>
      </c>
    </row>
    <row r="458" spans="8:9" x14ac:dyDescent="0.2">
      <c r="H458">
        <v>-11.28</v>
      </c>
      <c r="I458">
        <v>-70</v>
      </c>
    </row>
    <row r="459" spans="8:9" x14ac:dyDescent="0.2">
      <c r="H459">
        <v>-11.28</v>
      </c>
      <c r="I459">
        <v>-70</v>
      </c>
    </row>
    <row r="460" spans="8:9" x14ac:dyDescent="0.2">
      <c r="H460">
        <v>-11.28</v>
      </c>
      <c r="I460">
        <v>-70</v>
      </c>
    </row>
    <row r="461" spans="8:9" x14ac:dyDescent="0.2">
      <c r="H461">
        <v>-11.28</v>
      </c>
      <c r="I461">
        <v>-70</v>
      </c>
    </row>
    <row r="462" spans="8:9" x14ac:dyDescent="0.2">
      <c r="H462">
        <v>-11.28</v>
      </c>
      <c r="I462">
        <v>-70</v>
      </c>
    </row>
    <row r="463" spans="8:9" x14ac:dyDescent="0.2">
      <c r="H463">
        <v>-11.28</v>
      </c>
      <c r="I463">
        <v>-70</v>
      </c>
    </row>
    <row r="464" spans="8:9" x14ac:dyDescent="0.2">
      <c r="H464">
        <v>-11.28</v>
      </c>
      <c r="I464">
        <v>0</v>
      </c>
    </row>
    <row r="465" spans="8:9" x14ac:dyDescent="0.2">
      <c r="H465">
        <v>-11.28</v>
      </c>
      <c r="I465">
        <v>-70</v>
      </c>
    </row>
    <row r="466" spans="8:9" x14ac:dyDescent="0.2">
      <c r="H466">
        <v>-11.28</v>
      </c>
      <c r="I466">
        <v>-70</v>
      </c>
    </row>
    <row r="467" spans="8:9" x14ac:dyDescent="0.2">
      <c r="H467">
        <v>-11.28</v>
      </c>
      <c r="I467">
        <v>-70</v>
      </c>
    </row>
    <row r="468" spans="8:9" x14ac:dyDescent="0.2">
      <c r="H468">
        <v>-11.28</v>
      </c>
      <c r="I468">
        <v>-70</v>
      </c>
    </row>
    <row r="469" spans="8:9" x14ac:dyDescent="0.2">
      <c r="H469">
        <v>-11.28</v>
      </c>
      <c r="I469">
        <v>-70</v>
      </c>
    </row>
    <row r="470" spans="8:9" x14ac:dyDescent="0.2">
      <c r="H470">
        <v>-11.28</v>
      </c>
      <c r="I470">
        <v>-70</v>
      </c>
    </row>
    <row r="471" spans="8:9" x14ac:dyDescent="0.2">
      <c r="H471">
        <v>-11.28</v>
      </c>
      <c r="I471">
        <v>-70</v>
      </c>
    </row>
    <row r="472" spans="8:9" x14ac:dyDescent="0.2">
      <c r="H472">
        <v>-11.28</v>
      </c>
      <c r="I472">
        <v>-70</v>
      </c>
    </row>
    <row r="473" spans="8:9" x14ac:dyDescent="0.2">
      <c r="H473">
        <v>-11.87</v>
      </c>
      <c r="I473">
        <v>-74</v>
      </c>
    </row>
    <row r="474" spans="8:9" x14ac:dyDescent="0.2">
      <c r="H474">
        <v>-11.87</v>
      </c>
      <c r="I474">
        <v>-74</v>
      </c>
    </row>
    <row r="475" spans="8:9" x14ac:dyDescent="0.2">
      <c r="H475">
        <v>-11.87</v>
      </c>
      <c r="I475">
        <v>-74</v>
      </c>
    </row>
    <row r="476" spans="8:9" x14ac:dyDescent="0.2">
      <c r="H476">
        <v>-11.87</v>
      </c>
      <c r="I476">
        <v>-74</v>
      </c>
    </row>
    <row r="477" spans="8:9" x14ac:dyDescent="0.2">
      <c r="H477">
        <v>-11.87</v>
      </c>
      <c r="I477">
        <v>-74</v>
      </c>
    </row>
    <row r="478" spans="8:9" x14ac:dyDescent="0.2">
      <c r="H478">
        <v>-12.24</v>
      </c>
      <c r="I478">
        <v>-76</v>
      </c>
    </row>
    <row r="479" spans="8:9" x14ac:dyDescent="0.2">
      <c r="H479">
        <v>-12.24</v>
      </c>
      <c r="I479">
        <v>-76</v>
      </c>
    </row>
    <row r="480" spans="8:9" x14ac:dyDescent="0.2">
      <c r="H480">
        <v>0</v>
      </c>
      <c r="I480">
        <v>-70</v>
      </c>
    </row>
    <row r="481" spans="2:17" x14ac:dyDescent="0.2">
      <c r="H481">
        <v>0</v>
      </c>
      <c r="I481">
        <v>0</v>
      </c>
    </row>
    <row r="482" spans="2:17" x14ac:dyDescent="0.2">
      <c r="F482">
        <v>-399.51999999999987</v>
      </c>
      <c r="G482">
        <v>-2502</v>
      </c>
      <c r="H482">
        <v>-399.51999999999987</v>
      </c>
      <c r="I482">
        <v>-2502</v>
      </c>
    </row>
    <row r="483" spans="2:17" x14ac:dyDescent="0.2">
      <c r="B483" s="405" t="s">
        <v>431</v>
      </c>
      <c r="C483" s="408">
        <v>-399.51999999999987</v>
      </c>
      <c r="D483" s="408">
        <v>-2502</v>
      </c>
      <c r="E483" s="408">
        <v>-13.8</v>
      </c>
    </row>
    <row r="485" spans="2:17" x14ac:dyDescent="0.2">
      <c r="H485" t="s">
        <v>433</v>
      </c>
    </row>
    <row r="487" spans="2:17" x14ac:dyDescent="0.2">
      <c r="H487" s="289"/>
      <c r="I487" s="289"/>
      <c r="J487" s="289"/>
      <c r="K487" s="289" t="s">
        <v>420</v>
      </c>
      <c r="L487" s="289"/>
    </row>
    <row r="488" spans="2:17" x14ac:dyDescent="0.2">
      <c r="H488" s="289"/>
      <c r="I488" s="289"/>
      <c r="J488" s="289"/>
      <c r="K488" s="289" t="s">
        <v>421</v>
      </c>
      <c r="L488" s="289"/>
      <c r="N488" t="s">
        <v>422</v>
      </c>
      <c r="O488" t="s">
        <v>423</v>
      </c>
      <c r="P488" t="s">
        <v>424</v>
      </c>
      <c r="Q488" t="s">
        <v>425</v>
      </c>
    </row>
    <row r="489" spans="2:17" x14ac:dyDescent="0.2">
      <c r="H489" s="289"/>
      <c r="I489" s="289"/>
      <c r="J489" s="289"/>
      <c r="K489" s="289"/>
      <c r="L489" s="289"/>
    </row>
    <row r="490" spans="2:17" x14ac:dyDescent="0.2">
      <c r="B490" s="405" t="s">
        <v>433</v>
      </c>
      <c r="C490" s="408">
        <v>-8.56</v>
      </c>
      <c r="D490" s="408">
        <v>-21</v>
      </c>
      <c r="E490" s="408">
        <v>-0.04</v>
      </c>
      <c r="F490">
        <v>-8.56</v>
      </c>
      <c r="G490">
        <v>-21</v>
      </c>
      <c r="H490" s="289">
        <v>-21</v>
      </c>
      <c r="I490">
        <v>-8.56</v>
      </c>
      <c r="J490">
        <v>0</v>
      </c>
      <c r="K490">
        <v>-0.16</v>
      </c>
      <c r="L490">
        <v>0</v>
      </c>
      <c r="M490">
        <v>0.16</v>
      </c>
      <c r="N490">
        <v>-0.04</v>
      </c>
    </row>
    <row r="491" spans="2:17" x14ac:dyDescent="0.2">
      <c r="H491" s="289"/>
      <c r="I491" s="289"/>
      <c r="J491" s="289"/>
    </row>
    <row r="492" spans="2:17" x14ac:dyDescent="0.2">
      <c r="H492" s="289"/>
      <c r="I492" t="s">
        <v>434</v>
      </c>
      <c r="J492" s="289"/>
      <c r="K492" s="408"/>
      <c r="L492" s="408"/>
      <c r="M492" s="408"/>
      <c r="N492" s="408"/>
      <c r="O492" s="408"/>
      <c r="P492" s="408"/>
      <c r="Q492" s="408"/>
    </row>
    <row r="494" spans="2:17" x14ac:dyDescent="0.2">
      <c r="H494" t="s">
        <v>435</v>
      </c>
    </row>
    <row r="496" spans="2:17" x14ac:dyDescent="0.2">
      <c r="H496" s="289" t="s">
        <v>420</v>
      </c>
      <c r="I496" s="289"/>
    </row>
    <row r="497" spans="2:16" x14ac:dyDescent="0.2">
      <c r="H497" s="289" t="s">
        <v>421</v>
      </c>
      <c r="I497" s="289"/>
      <c r="K497" t="s">
        <v>422</v>
      </c>
      <c r="L497" t="s">
        <v>423</v>
      </c>
      <c r="M497" t="s">
        <v>424</v>
      </c>
      <c r="N497" t="s">
        <v>425</v>
      </c>
    </row>
    <row r="498" spans="2:16" x14ac:dyDescent="0.2">
      <c r="H498" s="289"/>
      <c r="I498" s="289"/>
      <c r="J498">
        <v>-11.28</v>
      </c>
      <c r="K498">
        <v>-0.01</v>
      </c>
      <c r="L498">
        <v>-0.48</v>
      </c>
      <c r="M498">
        <v>0</v>
      </c>
      <c r="N498">
        <v>0.33</v>
      </c>
      <c r="O498">
        <v>-0.09</v>
      </c>
      <c r="P498">
        <v>0</v>
      </c>
    </row>
    <row r="499" spans="2:16" x14ac:dyDescent="0.2">
      <c r="B499" s="405" t="s">
        <v>436</v>
      </c>
      <c r="C499" s="408">
        <v>-11.28</v>
      </c>
      <c r="D499" s="408">
        <v>-70</v>
      </c>
      <c r="E499" s="408">
        <v>-0.24999999999999997</v>
      </c>
    </row>
    <row r="501" spans="2:16" x14ac:dyDescent="0.2">
      <c r="H501" s="408"/>
      <c r="I501" s="408"/>
      <c r="J501" s="408" t="s">
        <v>437</v>
      </c>
      <c r="K501" s="408"/>
      <c r="L501" s="408"/>
      <c r="M501" s="408"/>
      <c r="N501" s="408"/>
      <c r="O501" s="408"/>
      <c r="P501" s="408"/>
    </row>
    <row r="505" spans="2:16" x14ac:dyDescent="0.2">
      <c r="H505" t="s">
        <v>438</v>
      </c>
    </row>
    <row r="507" spans="2:16" x14ac:dyDescent="0.2">
      <c r="H507" s="289" t="s">
        <v>420</v>
      </c>
      <c r="I507" s="289"/>
    </row>
    <row r="508" spans="2:16" x14ac:dyDescent="0.2">
      <c r="H508" s="289"/>
      <c r="I508" s="289"/>
    </row>
    <row r="509" spans="2:16" x14ac:dyDescent="0.2">
      <c r="H509" t="s">
        <v>439</v>
      </c>
    </row>
    <row r="510" spans="2:16" x14ac:dyDescent="0.2">
      <c r="H510">
        <v>6</v>
      </c>
      <c r="I510">
        <v>8.56</v>
      </c>
      <c r="J510">
        <v>51.36</v>
      </c>
      <c r="K510" t="s">
        <v>340</v>
      </c>
      <c r="M510">
        <v>-21</v>
      </c>
      <c r="N510">
        <v>-126</v>
      </c>
    </row>
    <row r="511" spans="2:16" x14ac:dyDescent="0.2">
      <c r="C511">
        <v>-62.64</v>
      </c>
      <c r="D511">
        <v>-196</v>
      </c>
      <c r="H511">
        <v>1</v>
      </c>
      <c r="I511">
        <v>11.28</v>
      </c>
      <c r="J511">
        <v>11.28</v>
      </c>
      <c r="K511" t="s">
        <v>440</v>
      </c>
      <c r="M511">
        <v>-70</v>
      </c>
      <c r="N511">
        <v>-70</v>
      </c>
    </row>
    <row r="512" spans="2:16" x14ac:dyDescent="0.2">
      <c r="J512">
        <v>62.64</v>
      </c>
      <c r="N512">
        <v>-196</v>
      </c>
    </row>
    <row r="513" spans="2:15" x14ac:dyDescent="0.2">
      <c r="C513">
        <v>45.12</v>
      </c>
      <c r="D513">
        <v>280</v>
      </c>
      <c r="H513" t="s">
        <v>441</v>
      </c>
    </row>
    <row r="514" spans="2:15" x14ac:dyDescent="0.2">
      <c r="B514" s="405" t="s">
        <v>442</v>
      </c>
      <c r="C514" s="408">
        <v>-17.520000000000003</v>
      </c>
      <c r="D514" s="408">
        <v>84</v>
      </c>
      <c r="E514" s="408">
        <v>0.41000000000000009</v>
      </c>
      <c r="H514">
        <v>4</v>
      </c>
      <c r="I514">
        <v>11.28</v>
      </c>
      <c r="J514">
        <v>45.12</v>
      </c>
      <c r="K514" t="s">
        <v>440</v>
      </c>
      <c r="M514">
        <v>70</v>
      </c>
      <c r="N514">
        <v>280</v>
      </c>
      <c r="O514" t="s">
        <v>315</v>
      </c>
    </row>
    <row r="515" spans="2:15" x14ac:dyDescent="0.2">
      <c r="I515" t="s">
        <v>443</v>
      </c>
    </row>
    <row r="516" spans="2:15" x14ac:dyDescent="0.2">
      <c r="H516" t="s">
        <v>444</v>
      </c>
    </row>
    <row r="518" spans="2:15" x14ac:dyDescent="0.2">
      <c r="H518" s="289" t="s">
        <v>421</v>
      </c>
      <c r="I518" s="289"/>
    </row>
    <row r="519" spans="2:15" x14ac:dyDescent="0.2">
      <c r="C519">
        <v>-11.28</v>
      </c>
      <c r="D519">
        <v>-70</v>
      </c>
      <c r="H519">
        <v>1</v>
      </c>
      <c r="I519" t="s">
        <v>445</v>
      </c>
      <c r="K519" s="404" t="s">
        <v>446</v>
      </c>
      <c r="L519">
        <v>-11.28</v>
      </c>
    </row>
    <row r="523" spans="2:15" x14ac:dyDescent="0.2">
      <c r="H523" t="s">
        <v>447</v>
      </c>
    </row>
    <row r="524" spans="2:15" x14ac:dyDescent="0.2">
      <c r="H524" t="s">
        <v>448</v>
      </c>
      <c r="J524" t="s">
        <v>449</v>
      </c>
    </row>
    <row r="525" spans="2:15" x14ac:dyDescent="0.2">
      <c r="C525">
        <v>-65.16</v>
      </c>
      <c r="D525">
        <v>-222</v>
      </c>
      <c r="H525">
        <v>-6</v>
      </c>
      <c r="I525">
        <v>37</v>
      </c>
      <c r="J525">
        <v>-222</v>
      </c>
    </row>
    <row r="526" spans="2:15" x14ac:dyDescent="0.2">
      <c r="I526" t="s">
        <v>315</v>
      </c>
    </row>
    <row r="527" spans="2:15" x14ac:dyDescent="0.2">
      <c r="B527" s="405" t="s">
        <v>184</v>
      </c>
      <c r="C527" s="408">
        <v>-76.44</v>
      </c>
      <c r="D527" s="408">
        <v>-292</v>
      </c>
      <c r="E527" s="408">
        <v>-0.67</v>
      </c>
    </row>
    <row r="528" spans="2:15" x14ac:dyDescent="0.2">
      <c r="B528" s="405"/>
      <c r="H528">
        <v>-6</v>
      </c>
      <c r="I528">
        <v>10.86</v>
      </c>
      <c r="J528">
        <v>-65.16</v>
      </c>
    </row>
    <row r="529" spans="2:15" x14ac:dyDescent="0.2">
      <c r="B529" s="405"/>
    </row>
    <row r="530" spans="2:15" x14ac:dyDescent="0.2">
      <c r="B530" s="405"/>
      <c r="H530" t="s">
        <v>450</v>
      </c>
    </row>
    <row r="531" spans="2:15" x14ac:dyDescent="0.2">
      <c r="B531" s="405"/>
      <c r="C531">
        <v>-11.28</v>
      </c>
      <c r="H531" s="289" t="s">
        <v>420</v>
      </c>
      <c r="I531" s="289"/>
    </row>
    <row r="532" spans="2:15" x14ac:dyDescent="0.2">
      <c r="B532" s="405"/>
      <c r="C532">
        <v>-10.319999999999999</v>
      </c>
      <c r="D532">
        <v>-138</v>
      </c>
      <c r="H532" s="289" t="s">
        <v>429</v>
      </c>
      <c r="I532" s="289"/>
      <c r="N532" t="s">
        <v>421</v>
      </c>
    </row>
    <row r="533" spans="2:15" x14ac:dyDescent="0.2">
      <c r="B533" s="405"/>
      <c r="H533">
        <v>-18.88</v>
      </c>
      <c r="I533" t="s">
        <v>451</v>
      </c>
      <c r="L533">
        <v>-159</v>
      </c>
      <c r="M533" t="s">
        <v>315</v>
      </c>
      <c r="N533">
        <v>1</v>
      </c>
      <c r="O533" t="s">
        <v>452</v>
      </c>
    </row>
    <row r="534" spans="2:15" x14ac:dyDescent="0.2">
      <c r="B534" s="405"/>
      <c r="H534">
        <v>8.56</v>
      </c>
      <c r="I534" t="s">
        <v>453</v>
      </c>
      <c r="L534">
        <v>21</v>
      </c>
      <c r="N534">
        <v>-11.28</v>
      </c>
      <c r="O534">
        <v>0</v>
      </c>
    </row>
    <row r="535" spans="2:15" x14ac:dyDescent="0.2">
      <c r="B535" s="405" t="s">
        <v>450</v>
      </c>
      <c r="C535" s="408">
        <v>-21.599999999999998</v>
      </c>
      <c r="D535" s="408">
        <v>-138</v>
      </c>
      <c r="E535" s="408">
        <v>-1.1599999999999997</v>
      </c>
      <c r="H535">
        <v>-10.319999999999999</v>
      </c>
      <c r="L535">
        <v>-138</v>
      </c>
    </row>
    <row r="538" spans="2:15" x14ac:dyDescent="0.2">
      <c r="H538" t="s">
        <v>454</v>
      </c>
    </row>
    <row r="539" spans="2:15" x14ac:dyDescent="0.2">
      <c r="H539" s="289" t="s">
        <v>455</v>
      </c>
      <c r="I539" s="289" t="s">
        <v>315</v>
      </c>
    </row>
    <row r="540" spans="2:15" x14ac:dyDescent="0.2">
      <c r="H540" s="289"/>
      <c r="I540" s="289"/>
    </row>
    <row r="542" spans="2:15" x14ac:dyDescent="0.2">
      <c r="B542" s="405" t="s">
        <v>186</v>
      </c>
      <c r="C542" s="408"/>
      <c r="D542" s="408">
        <v>-70</v>
      </c>
      <c r="E542" s="408"/>
      <c r="H542" t="s">
        <v>354</v>
      </c>
      <c r="I542">
        <v>-70</v>
      </c>
      <c r="K542" t="s">
        <v>456</v>
      </c>
    </row>
    <row r="543" spans="2:15" x14ac:dyDescent="0.2">
      <c r="I543" t="s">
        <v>457</v>
      </c>
    </row>
    <row r="546" spans="2:5" x14ac:dyDescent="0.2">
      <c r="B546" t="s">
        <v>458</v>
      </c>
      <c r="C546" s="361">
        <v>-4351.6299999999992</v>
      </c>
      <c r="D546" s="411">
        <v>-29546</v>
      </c>
      <c r="E546" s="361">
        <v>-61.18</v>
      </c>
    </row>
  </sheetData>
  <mergeCells count="5">
    <mergeCell ref="B1:N1"/>
    <mergeCell ref="B2:N2"/>
    <mergeCell ref="B3:N3"/>
    <mergeCell ref="H6:L6"/>
    <mergeCell ref="C7:G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FF0000"/>
  </sheetPr>
  <dimension ref="A1:E12"/>
  <sheetViews>
    <sheetView workbookViewId="0">
      <selection activeCell="D20" sqref="D20"/>
    </sheetView>
  </sheetViews>
  <sheetFormatPr defaultRowHeight="12.75" x14ac:dyDescent="0.2"/>
  <cols>
    <col min="1" max="1" width="6.28515625" customWidth="1"/>
    <col min="2" max="2" width="50.28515625" bestFit="1" customWidth="1"/>
    <col min="3" max="3" width="9.140625" style="258"/>
  </cols>
  <sheetData>
    <row r="1" spans="1:5" x14ac:dyDescent="0.2">
      <c r="A1" s="256" t="str">
        <f>'Present and Proposed Rates'!A1</f>
        <v>KENERGY CORP.</v>
      </c>
    </row>
    <row r="2" spans="1:5" x14ac:dyDescent="0.2">
      <c r="A2" s="256" t="s">
        <v>137</v>
      </c>
    </row>
    <row r="3" spans="1:5" x14ac:dyDescent="0.2">
      <c r="A3" s="245"/>
    </row>
    <row r="4" spans="1:5" x14ac:dyDescent="0.2">
      <c r="A4" s="257" t="s">
        <v>124</v>
      </c>
      <c r="B4" s="257" t="s">
        <v>5</v>
      </c>
      <c r="C4" s="259" t="s">
        <v>60</v>
      </c>
    </row>
    <row r="5" spans="1:5" x14ac:dyDescent="0.2">
      <c r="A5" s="241">
        <v>1</v>
      </c>
      <c r="B5" s="289" t="s">
        <v>172</v>
      </c>
      <c r="C5" s="245">
        <v>1</v>
      </c>
      <c r="E5" s="188" t="s">
        <v>168</v>
      </c>
    </row>
    <row r="6" spans="1:5" x14ac:dyDescent="0.2">
      <c r="A6" s="241">
        <v>2</v>
      </c>
      <c r="B6" s="289" t="s">
        <v>173</v>
      </c>
      <c r="C6" s="245">
        <v>3</v>
      </c>
      <c r="E6" s="188" t="s">
        <v>169</v>
      </c>
    </row>
    <row r="7" spans="1:5" x14ac:dyDescent="0.2">
      <c r="A7" s="241">
        <v>3</v>
      </c>
      <c r="B7" s="289" t="s">
        <v>217</v>
      </c>
      <c r="C7" s="245">
        <v>5</v>
      </c>
      <c r="E7" s="188" t="s">
        <v>170</v>
      </c>
    </row>
    <row r="8" spans="1:5" x14ac:dyDescent="0.2">
      <c r="A8" s="241">
        <v>4</v>
      </c>
      <c r="B8" s="289" t="s">
        <v>218</v>
      </c>
      <c r="C8" s="245">
        <v>7</v>
      </c>
      <c r="E8" s="188" t="s">
        <v>171</v>
      </c>
    </row>
    <row r="9" spans="1:5" x14ac:dyDescent="0.2">
      <c r="A9" s="241">
        <v>5</v>
      </c>
      <c r="B9" s="188" t="s">
        <v>167</v>
      </c>
      <c r="C9" s="245">
        <v>15</v>
      </c>
      <c r="E9" s="188" t="s">
        <v>16</v>
      </c>
    </row>
    <row r="10" spans="1:5" x14ac:dyDescent="0.2">
      <c r="A10" s="241"/>
      <c r="B10" s="188"/>
      <c r="C10" s="245"/>
      <c r="E10" s="188"/>
    </row>
    <row r="11" spans="1:5" x14ac:dyDescent="0.2">
      <c r="A11" s="241"/>
      <c r="B11" s="188"/>
      <c r="C11" s="245"/>
      <c r="E11" s="188"/>
    </row>
    <row r="12" spans="1:5" x14ac:dyDescent="0.2">
      <c r="A12" s="277"/>
      <c r="B12" s="188"/>
      <c r="C12" s="245"/>
      <c r="E12" s="18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137"/>
  <sheetViews>
    <sheetView view="pageBreakPreview" zoomScale="75" zoomScaleNormal="85" zoomScaleSheetLayoutView="75" workbookViewId="0">
      <selection activeCell="T17" sqref="T17"/>
    </sheetView>
  </sheetViews>
  <sheetFormatPr defaultColWidth="9.140625" defaultRowHeight="15.75" x14ac:dyDescent="0.25"/>
  <cols>
    <col min="1" max="1" width="4.7109375" style="2" customWidth="1"/>
    <col min="2" max="2" width="8.7109375" style="2" customWidth="1"/>
    <col min="3" max="3" width="5.28515625" style="2" customWidth="1"/>
    <col min="4" max="5" width="15" style="2" bestFit="1" customWidth="1"/>
    <col min="6" max="6" width="3.140625" style="2" customWidth="1"/>
    <col min="7" max="7" width="17.7109375" style="2" customWidth="1"/>
    <col min="8" max="8" width="2.85546875" style="2" customWidth="1"/>
    <col min="9" max="9" width="4.28515625" style="2" customWidth="1"/>
    <col min="10" max="10" width="15.28515625" style="2" customWidth="1"/>
    <col min="11" max="11" width="2.28515625" style="2" customWidth="1"/>
    <col min="12" max="12" width="14.140625" style="2" customWidth="1"/>
    <col min="13" max="13" width="12.28515625" style="2" customWidth="1"/>
    <col min="14" max="14" width="4.28515625" style="2" customWidth="1"/>
    <col min="15" max="15" width="13.7109375" style="2" bestFit="1" customWidth="1"/>
    <col min="16" max="16" width="2.7109375" style="2" customWidth="1"/>
    <col min="17" max="17" width="2.28515625" style="2" customWidth="1"/>
    <col min="18" max="18" width="14.140625" style="2" customWidth="1"/>
    <col min="19" max="19" width="12.28515625" style="2" customWidth="1"/>
    <col min="20" max="20" width="4.28515625" style="2" customWidth="1"/>
    <col min="21" max="21" width="13.7109375" style="2" bestFit="1" customWidth="1"/>
    <col min="22" max="24" width="9.140625" style="2"/>
    <col min="25" max="25" width="17" style="2" customWidth="1"/>
    <col min="26" max="16384" width="9.140625" style="2"/>
  </cols>
  <sheetData>
    <row r="1" spans="1:23" x14ac:dyDescent="0.25">
      <c r="A1" s="1" t="str">
        <f>'Present and Proposed Rates'!A1</f>
        <v>KENERGY CORP.</v>
      </c>
      <c r="J1" s="1"/>
    </row>
    <row r="2" spans="1:23" x14ac:dyDescent="0.25">
      <c r="A2" s="34" t="str">
        <f>'Present and Proposed Rates'!A10</f>
        <v>Residential (Single and Three Phase)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3" ht="16.5" thickBot="1" x14ac:dyDescent="0.3">
      <c r="A3" s="34">
        <f>'Present and Proposed Rates'!B10</f>
        <v>1</v>
      </c>
      <c r="B3" s="34"/>
      <c r="C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3" x14ac:dyDescent="0.25">
      <c r="A4" s="34"/>
      <c r="B4" s="34"/>
      <c r="C4" s="34"/>
      <c r="D4" s="482" t="s">
        <v>30</v>
      </c>
      <c r="E4" s="483"/>
      <c r="F4" s="483"/>
      <c r="G4" s="484"/>
      <c r="H4" s="173"/>
      <c r="I4" s="34"/>
      <c r="J4" s="34"/>
      <c r="K4" s="34"/>
      <c r="L4" s="482" t="s">
        <v>223</v>
      </c>
      <c r="M4" s="483"/>
      <c r="N4" s="483"/>
      <c r="O4" s="484"/>
      <c r="P4" s="173"/>
      <c r="Q4" s="34"/>
      <c r="R4" s="482" t="s">
        <v>96</v>
      </c>
      <c r="S4" s="483"/>
      <c r="T4" s="483"/>
      <c r="U4" s="484"/>
    </row>
    <row r="5" spans="1:23" ht="16.5" thickBot="1" x14ac:dyDescent="0.3">
      <c r="A5" s="57"/>
      <c r="B5" s="99"/>
      <c r="C5" s="327"/>
      <c r="D5" s="485"/>
      <c r="E5" s="486"/>
      <c r="F5" s="486"/>
      <c r="G5" s="487"/>
      <c r="H5" s="173"/>
      <c r="I5" s="57"/>
      <c r="J5" s="99"/>
      <c r="K5" s="327"/>
      <c r="L5" s="485"/>
      <c r="M5" s="486"/>
      <c r="N5" s="486"/>
      <c r="O5" s="487"/>
      <c r="P5" s="173"/>
      <c r="Q5" s="327"/>
      <c r="R5" s="485"/>
      <c r="S5" s="486"/>
      <c r="T5" s="486"/>
      <c r="U5" s="487"/>
    </row>
    <row r="6" spans="1:23" x14ac:dyDescent="0.25">
      <c r="A6" s="4"/>
      <c r="B6" s="4"/>
      <c r="C6" s="4"/>
      <c r="D6" s="4" t="s">
        <v>1</v>
      </c>
      <c r="E6" s="4"/>
      <c r="F6" s="4"/>
      <c r="G6" s="4" t="s">
        <v>2</v>
      </c>
      <c r="H6" s="174"/>
      <c r="I6" s="4"/>
      <c r="J6" s="4"/>
      <c r="K6" s="4"/>
      <c r="L6" s="4" t="s">
        <v>1</v>
      </c>
      <c r="M6" s="4"/>
      <c r="N6" s="4"/>
      <c r="O6" s="4" t="s">
        <v>2</v>
      </c>
      <c r="P6" s="174"/>
      <c r="Q6" s="4"/>
      <c r="R6" s="4" t="s">
        <v>1</v>
      </c>
      <c r="S6" s="4"/>
      <c r="T6" s="4"/>
      <c r="U6" s="4" t="s">
        <v>2</v>
      </c>
    </row>
    <row r="7" spans="1:23" ht="16.5" thickBot="1" x14ac:dyDescent="0.3">
      <c r="A7" s="5"/>
      <c r="B7" s="5"/>
      <c r="C7" s="5"/>
      <c r="D7" s="5" t="s">
        <v>4</v>
      </c>
      <c r="E7" s="488" t="s">
        <v>5</v>
      </c>
      <c r="F7" s="488"/>
      <c r="G7" s="5" t="s">
        <v>6</v>
      </c>
      <c r="H7" s="175"/>
      <c r="I7" s="5"/>
      <c r="J7" s="5"/>
      <c r="K7" s="5"/>
      <c r="L7" s="5" t="s">
        <v>4</v>
      </c>
      <c r="M7" s="488" t="s">
        <v>5</v>
      </c>
      <c r="N7" s="488"/>
      <c r="O7" s="5" t="s">
        <v>6</v>
      </c>
      <c r="P7" s="175"/>
      <c r="Q7" s="5"/>
      <c r="R7" s="5" t="s">
        <v>4</v>
      </c>
      <c r="S7" s="488" t="s">
        <v>5</v>
      </c>
      <c r="T7" s="488"/>
      <c r="U7" s="5" t="s">
        <v>6</v>
      </c>
    </row>
    <row r="8" spans="1:23" x14ac:dyDescent="0.25">
      <c r="H8" s="176"/>
      <c r="P8" s="176"/>
    </row>
    <row r="9" spans="1:23" x14ac:dyDescent="0.25">
      <c r="H9" s="176"/>
      <c r="P9" s="176"/>
    </row>
    <row r="10" spans="1:23" x14ac:dyDescent="0.25">
      <c r="A10" s="140" t="s">
        <v>10</v>
      </c>
      <c r="H10" s="176"/>
      <c r="I10" s="140" t="s">
        <v>10</v>
      </c>
      <c r="P10" s="176"/>
    </row>
    <row r="11" spans="1:23" x14ac:dyDescent="0.25">
      <c r="D11" s="167" t="s">
        <v>101</v>
      </c>
      <c r="E11" s="167" t="s">
        <v>110</v>
      </c>
      <c r="H11" s="176"/>
      <c r="L11" s="167" t="s">
        <v>101</v>
      </c>
      <c r="M11" s="167" t="s">
        <v>110</v>
      </c>
      <c r="P11" s="176"/>
      <c r="R11" s="167" t="s">
        <v>101</v>
      </c>
      <c r="S11" s="167" t="s">
        <v>110</v>
      </c>
    </row>
    <row r="12" spans="1:23" x14ac:dyDescent="0.25">
      <c r="B12" s="2" t="s">
        <v>98</v>
      </c>
      <c r="D12" s="39">
        <f>BillDet!Q6</f>
        <v>558098</v>
      </c>
      <c r="E12" s="9">
        <f>'Present and Proposed Rates'!F10</f>
        <v>18.2</v>
      </c>
      <c r="G12" s="11">
        <f>D12*E12</f>
        <v>10157383.6</v>
      </c>
      <c r="H12" s="177"/>
      <c r="J12" s="2" t="s">
        <v>98</v>
      </c>
      <c r="L12" s="39">
        <f>BillDet!P6*12</f>
        <v>555468</v>
      </c>
      <c r="M12" s="9">
        <f>E12</f>
        <v>18.2</v>
      </c>
      <c r="O12" s="11">
        <f>L12*M12</f>
        <v>10109517.6</v>
      </c>
      <c r="P12" s="177"/>
      <c r="R12" s="39">
        <f>L12</f>
        <v>555468</v>
      </c>
      <c r="S12" s="9">
        <f>'Present and Proposed Rates'!G10</f>
        <v>20.6</v>
      </c>
      <c r="U12" s="11">
        <f>R12*S12</f>
        <v>11442640.800000001</v>
      </c>
    </row>
    <row r="13" spans="1:23" x14ac:dyDescent="0.25">
      <c r="D13" s="39"/>
      <c r="E13" s="9"/>
      <c r="G13" s="11"/>
      <c r="H13" s="177"/>
      <c r="L13" s="106"/>
      <c r="M13" s="9"/>
      <c r="O13" s="11"/>
      <c r="P13" s="177"/>
      <c r="R13" s="39"/>
      <c r="S13" s="9"/>
      <c r="U13" s="11"/>
    </row>
    <row r="14" spans="1:23" x14ac:dyDescent="0.25">
      <c r="D14" s="8"/>
      <c r="G14" s="11"/>
      <c r="H14" s="177"/>
      <c r="L14" s="8"/>
      <c r="O14" s="11"/>
      <c r="P14" s="177"/>
      <c r="R14" s="8"/>
      <c r="U14" s="11"/>
    </row>
    <row r="15" spans="1:23" x14ac:dyDescent="0.25">
      <c r="A15" s="1" t="s">
        <v>7</v>
      </c>
      <c r="D15" s="8"/>
      <c r="G15" s="11"/>
      <c r="H15" s="177"/>
      <c r="I15" s="1" t="s">
        <v>7</v>
      </c>
      <c r="L15" s="8"/>
      <c r="O15" s="11"/>
      <c r="P15" s="177"/>
      <c r="R15" s="8"/>
      <c r="U15" s="11"/>
    </row>
    <row r="16" spans="1:23" x14ac:dyDescent="0.25">
      <c r="D16" s="160" t="s">
        <v>8</v>
      </c>
      <c r="E16" s="161" t="s">
        <v>11</v>
      </c>
      <c r="G16" s="11"/>
      <c r="H16" s="177"/>
      <c r="L16" s="160" t="s">
        <v>8</v>
      </c>
      <c r="M16" s="161" t="s">
        <v>11</v>
      </c>
      <c r="O16" s="11"/>
      <c r="P16" s="177"/>
      <c r="R16" s="160" t="s">
        <v>8</v>
      </c>
      <c r="S16" s="161" t="s">
        <v>11</v>
      </c>
      <c r="U16" s="11"/>
      <c r="W16" s="8"/>
    </row>
    <row r="17" spans="1:21" x14ac:dyDescent="0.25">
      <c r="B17" s="2" t="s">
        <v>98</v>
      </c>
      <c r="D17" s="39">
        <f>BillDet!Q16</f>
        <v>696591621</v>
      </c>
      <c r="E17" s="163">
        <f>'Present and Proposed Rates'!F11</f>
        <v>0.102038</v>
      </c>
      <c r="F17" s="19"/>
      <c r="G17" s="18">
        <f>D17*E17</f>
        <v>71078815.823597997</v>
      </c>
      <c r="H17" s="177"/>
      <c r="J17" s="2" t="s">
        <v>98</v>
      </c>
      <c r="L17" s="39">
        <f>D17-3280157</f>
        <v>693311464</v>
      </c>
      <c r="M17" s="163">
        <f>E17</f>
        <v>0.102038</v>
      </c>
      <c r="O17" s="18">
        <f>L17*M17</f>
        <v>70744115.163632005</v>
      </c>
      <c r="P17" s="177"/>
      <c r="R17" s="39">
        <f>L17</f>
        <v>693311464</v>
      </c>
      <c r="S17" s="163">
        <f>'Present and Proposed Rates'!G11</f>
        <v>0.10535700000000001</v>
      </c>
      <c r="U17" s="18">
        <f>R17*S17</f>
        <v>73045215.912648007</v>
      </c>
    </row>
    <row r="18" spans="1:21" x14ac:dyDescent="0.25">
      <c r="B18" s="19"/>
      <c r="C18" s="19"/>
      <c r="D18" s="39"/>
      <c r="E18" s="40"/>
      <c r="F18" s="19"/>
      <c r="G18" s="18"/>
      <c r="H18" s="177"/>
      <c r="J18" s="19"/>
      <c r="K18" s="19"/>
      <c r="L18" s="106"/>
      <c r="M18" s="40"/>
      <c r="O18" s="18"/>
      <c r="P18" s="177"/>
      <c r="Q18" s="19"/>
      <c r="R18" s="39"/>
      <c r="S18" s="40"/>
      <c r="U18" s="18"/>
    </row>
    <row r="19" spans="1:21" x14ac:dyDescent="0.25">
      <c r="A19" s="1" t="s">
        <v>99</v>
      </c>
      <c r="B19" s="19"/>
      <c r="C19" s="19"/>
      <c r="D19" s="39"/>
      <c r="E19" s="40"/>
      <c r="F19" s="19"/>
      <c r="G19" s="18"/>
      <c r="H19" s="177"/>
      <c r="I19" s="1" t="s">
        <v>99</v>
      </c>
      <c r="J19" s="19"/>
      <c r="K19" s="19"/>
      <c r="L19" s="39"/>
      <c r="M19" s="40"/>
      <c r="O19" s="18"/>
      <c r="P19" s="177"/>
      <c r="Q19" s="19"/>
      <c r="R19" s="39"/>
      <c r="S19" s="40"/>
      <c r="U19" s="18"/>
    </row>
    <row r="20" spans="1:21" x14ac:dyDescent="0.25">
      <c r="B20" s="2" t="s">
        <v>105</v>
      </c>
      <c r="C20" s="19"/>
      <c r="D20" s="39"/>
      <c r="E20" s="316">
        <f>G20/D$17</f>
        <v>8.0740774514713833E-4</v>
      </c>
      <c r="F20" s="19"/>
      <c r="G20" s="18">
        <f>BillDet!Q37</f>
        <v>562433.47</v>
      </c>
      <c r="H20" s="177"/>
      <c r="J20" s="2" t="str">
        <f>B20</f>
        <v>Fuel Adjustment Clause</v>
      </c>
      <c r="K20" s="19"/>
      <c r="L20" s="39"/>
      <c r="M20" s="316">
        <f>E20</f>
        <v>8.0740774514713833E-4</v>
      </c>
      <c r="O20" s="18">
        <f>L17*M20</f>
        <v>559785.04583290138</v>
      </c>
      <c r="P20" s="177"/>
      <c r="Q20" s="19"/>
      <c r="R20" s="39"/>
      <c r="S20" s="316">
        <f>U20/R$17</f>
        <v>8.0740774514713833E-4</v>
      </c>
      <c r="U20" s="18">
        <f>O20</f>
        <v>559785.04583290138</v>
      </c>
    </row>
    <row r="21" spans="1:21" x14ac:dyDescent="0.25">
      <c r="B21" s="2" t="s">
        <v>102</v>
      </c>
      <c r="C21" s="19"/>
      <c r="D21" s="39"/>
      <c r="E21" s="316">
        <f t="shared" ref="E21:E23" si="0">G21/D$17</f>
        <v>7.3040459239173084E-3</v>
      </c>
      <c r="F21" s="19"/>
      <c r="G21" s="18">
        <f>BillDet!Q47</f>
        <v>5087937.1900000004</v>
      </c>
      <c r="H21" s="177"/>
      <c r="J21" s="2" t="str">
        <f t="shared" ref="J21:J23" si="1">B21</f>
        <v>Environmental Surcharge</v>
      </c>
      <c r="K21" s="19"/>
      <c r="L21" s="39"/>
      <c r="M21" s="316">
        <f t="shared" ref="M21:M23" si="2">E21</f>
        <v>7.3040459239173084E-3</v>
      </c>
      <c r="O21" s="18">
        <f>L17*M21</f>
        <v>5063978.7726343414</v>
      </c>
      <c r="P21" s="177"/>
      <c r="Q21" s="19"/>
      <c r="R21" s="39"/>
      <c r="S21" s="316">
        <f t="shared" ref="S21:S23" si="3">U21/R$17</f>
        <v>7.3040459239173076E-3</v>
      </c>
      <c r="U21" s="18">
        <f>O21</f>
        <v>5063978.7726343414</v>
      </c>
    </row>
    <row r="22" spans="1:21" x14ac:dyDescent="0.25">
      <c r="B22" s="2" t="s">
        <v>103</v>
      </c>
      <c r="C22" s="19"/>
      <c r="D22" s="39"/>
      <c r="E22" s="316">
        <f t="shared" si="0"/>
        <v>-4.8737434066838999E-3</v>
      </c>
      <c r="F22" s="19"/>
      <c r="G22" s="18">
        <f>BillDet!Q57</f>
        <v>-3395008.8200000003</v>
      </c>
      <c r="H22" s="177"/>
      <c r="J22" s="2" t="str">
        <f t="shared" si="1"/>
        <v>Member Rate Stability</v>
      </c>
      <c r="K22" s="19"/>
      <c r="L22" s="39"/>
      <c r="M22" s="316">
        <f t="shared" si="2"/>
        <v>-4.8737434066838999E-3</v>
      </c>
      <c r="O22" s="18">
        <f>L17*M22</f>
        <v>-3379022.1764483619</v>
      </c>
      <c r="P22" s="177"/>
      <c r="Q22" s="19"/>
      <c r="R22" s="39"/>
      <c r="S22" s="316">
        <f t="shared" si="3"/>
        <v>-4.8737434066838999E-3</v>
      </c>
      <c r="U22" s="18">
        <f>O22</f>
        <v>-3379022.1764483619</v>
      </c>
    </row>
    <row r="23" spans="1:21" x14ac:dyDescent="0.25">
      <c r="B23" s="2" t="s">
        <v>104</v>
      </c>
      <c r="C23" s="19"/>
      <c r="D23" s="39"/>
      <c r="E23" s="316">
        <f t="shared" si="0"/>
        <v>1.7816994672119378E-3</v>
      </c>
      <c r="F23" s="19"/>
      <c r="G23" s="332">
        <f>BillDet!Q67</f>
        <v>1241116.9200000002</v>
      </c>
      <c r="H23" s="178"/>
      <c r="J23" s="2" t="str">
        <f t="shared" si="1"/>
        <v>Non-FAC PPA</v>
      </c>
      <c r="K23" s="19"/>
      <c r="L23" s="39"/>
      <c r="M23" s="316">
        <f t="shared" si="2"/>
        <v>1.7816994672119378E-3</v>
      </c>
      <c r="O23" s="18">
        <f>L17*M23</f>
        <v>1235272.6660207286</v>
      </c>
      <c r="P23" s="178"/>
      <c r="Q23" s="19"/>
      <c r="R23" s="39"/>
      <c r="S23" s="316">
        <f t="shared" si="3"/>
        <v>1.7816994672119378E-3</v>
      </c>
      <c r="U23" s="18">
        <f>O23</f>
        <v>1235272.6660207286</v>
      </c>
    </row>
    <row r="24" spans="1:21" x14ac:dyDescent="0.25">
      <c r="C24" s="131"/>
      <c r="D24" s="60"/>
      <c r="E24" s="317">
        <f>SUM(E20:E23)</f>
        <v>5.0194097295924852E-3</v>
      </c>
      <c r="F24" s="34"/>
      <c r="G24" s="62"/>
      <c r="H24" s="179"/>
      <c r="K24" s="131"/>
      <c r="L24" s="60"/>
      <c r="M24" s="317">
        <f>SUM(M20:M23)</f>
        <v>5.0194097295924852E-3</v>
      </c>
      <c r="O24" s="62"/>
      <c r="P24" s="179"/>
      <c r="Q24" s="131"/>
      <c r="R24" s="60"/>
      <c r="S24" s="317">
        <f>SUM(S20:S23)</f>
        <v>5.0194097295924835E-3</v>
      </c>
      <c r="U24" s="62"/>
    </row>
    <row r="25" spans="1:21" x14ac:dyDescent="0.25">
      <c r="A25" s="1"/>
      <c r="B25" s="34"/>
      <c r="C25" s="131"/>
      <c r="D25" s="60"/>
      <c r="E25" s="64"/>
      <c r="F25" s="34"/>
      <c r="G25" s="62"/>
      <c r="H25" s="179"/>
      <c r="O25" s="62"/>
      <c r="P25" s="179"/>
      <c r="U25" s="62"/>
    </row>
    <row r="26" spans="1:21" ht="16.5" thickBot="1" x14ac:dyDescent="0.3">
      <c r="A26" s="1" t="s">
        <v>80</v>
      </c>
      <c r="G26" s="29">
        <f>SUM(G12:G25)</f>
        <v>84732678.183597997</v>
      </c>
      <c r="H26" s="177"/>
      <c r="I26" s="1" t="s">
        <v>80</v>
      </c>
      <c r="O26" s="29">
        <f>SUM(O12:O25)</f>
        <v>84333647.071671605</v>
      </c>
      <c r="P26" s="177"/>
      <c r="U26" s="29">
        <f>SUM(U12:U25)</f>
        <v>87967871.02068761</v>
      </c>
    </row>
    <row r="27" spans="1:21" ht="16.5" thickTop="1" x14ac:dyDescent="0.25">
      <c r="A27" s="1"/>
      <c r="B27" s="1"/>
      <c r="G27" s="18"/>
      <c r="H27" s="177"/>
      <c r="I27" s="1"/>
      <c r="J27" s="1"/>
      <c r="O27" s="18"/>
      <c r="P27" s="177"/>
      <c r="U27" s="18"/>
    </row>
    <row r="28" spans="1:21" x14ac:dyDescent="0.25">
      <c r="A28" s="44" t="s">
        <v>19</v>
      </c>
      <c r="B28" s="10"/>
      <c r="G28" s="11">
        <v>84732647.243597999</v>
      </c>
      <c r="H28" s="177"/>
      <c r="I28" s="107" t="s">
        <v>85</v>
      </c>
      <c r="J28" s="10"/>
      <c r="O28" s="37">
        <f>O26-G26</f>
        <v>-399031.11192639172</v>
      </c>
      <c r="P28" s="177"/>
      <c r="U28" s="37">
        <f>U26-O26</f>
        <v>3634223.9490160048</v>
      </c>
    </row>
    <row r="29" spans="1:21" x14ac:dyDescent="0.25">
      <c r="A29" s="10"/>
      <c r="B29" s="10"/>
      <c r="G29" s="10"/>
      <c r="H29" s="180"/>
      <c r="I29" s="48"/>
      <c r="J29" s="10"/>
      <c r="O29" s="10"/>
      <c r="P29" s="180"/>
      <c r="U29" s="10"/>
    </row>
    <row r="30" spans="1:21" x14ac:dyDescent="0.25">
      <c r="A30" s="44" t="s">
        <v>13</v>
      </c>
      <c r="B30" s="10"/>
      <c r="G30" s="27">
        <f>G26-G28</f>
        <v>30.939999997615814</v>
      </c>
      <c r="H30" s="181"/>
      <c r="I30" s="107" t="s">
        <v>86</v>
      </c>
      <c r="J30" s="10"/>
      <c r="O30" s="265">
        <f>O28/G26</f>
        <v>-4.7092942236733595E-3</v>
      </c>
      <c r="P30" s="181"/>
      <c r="U30" s="265">
        <f>U28/O26</f>
        <v>4.3093404296003363E-2</v>
      </c>
    </row>
    <row r="31" spans="1:21" x14ac:dyDescent="0.25">
      <c r="A31" s="10"/>
      <c r="B31" s="10"/>
      <c r="G31" s="11"/>
      <c r="H31" s="177"/>
      <c r="I31" s="34"/>
      <c r="J31" s="10"/>
      <c r="O31" s="11"/>
      <c r="P31" s="177"/>
      <c r="U31" s="11"/>
    </row>
    <row r="32" spans="1:21" x14ac:dyDescent="0.25">
      <c r="A32" s="44" t="s">
        <v>26</v>
      </c>
      <c r="B32" s="10"/>
      <c r="G32" s="28">
        <f>G30/G28</f>
        <v>3.6514851127767043E-7</v>
      </c>
      <c r="H32" s="182"/>
      <c r="I32" s="58" t="s">
        <v>87</v>
      </c>
      <c r="J32" s="10"/>
      <c r="O32" s="45">
        <f>O28/L12</f>
        <v>-0.71836921645601859</v>
      </c>
      <c r="P32" s="182"/>
      <c r="U32" s="45">
        <f>U28/R12</f>
        <v>6.5426342273830445</v>
      </c>
    </row>
    <row r="33" spans="1:21" x14ac:dyDescent="0.25">
      <c r="A33" s="44"/>
      <c r="B33" s="10"/>
      <c r="G33" s="28"/>
      <c r="H33" s="182"/>
      <c r="I33" s="44"/>
      <c r="J33" s="10"/>
      <c r="O33" s="28"/>
      <c r="P33" s="182"/>
      <c r="U33" s="28"/>
    </row>
    <row r="34" spans="1:21" x14ac:dyDescent="0.25">
      <c r="A34" s="44"/>
      <c r="B34" s="10"/>
      <c r="D34" s="14">
        <f>D17/D12</f>
        <v>1248.1528710011503</v>
      </c>
      <c r="G34" s="28"/>
      <c r="H34" s="28"/>
      <c r="I34" s="44"/>
      <c r="J34" s="10"/>
      <c r="L34" s="8">
        <f>L17/L12</f>
        <v>1248.1573447975402</v>
      </c>
      <c r="O34" s="28"/>
      <c r="P34" s="28"/>
      <c r="U34" s="28"/>
    </row>
    <row r="35" spans="1:21" x14ac:dyDescent="0.25">
      <c r="A35" s="44"/>
      <c r="B35" s="10"/>
      <c r="G35" s="50"/>
      <c r="H35" s="28"/>
      <c r="I35" s="44"/>
      <c r="J35" s="10"/>
      <c r="O35" s="28"/>
      <c r="P35" s="28"/>
      <c r="U35" s="28"/>
    </row>
    <row r="36" spans="1:21" x14ac:dyDescent="0.25">
      <c r="A36" s="44"/>
      <c r="B36" s="10"/>
      <c r="G36" s="169">
        <f>G12+G17</f>
        <v>81236199.423597991</v>
      </c>
      <c r="H36" s="28"/>
      <c r="I36" s="44"/>
      <c r="J36" s="10"/>
      <c r="O36" s="28"/>
      <c r="P36" s="28"/>
      <c r="U36" s="28"/>
    </row>
    <row r="37" spans="1:21" x14ac:dyDescent="0.25">
      <c r="A37" s="44"/>
      <c r="B37" s="10"/>
      <c r="G37" s="169"/>
      <c r="H37" s="28"/>
      <c r="I37" s="44"/>
      <c r="J37" s="10"/>
      <c r="O37" s="28"/>
      <c r="P37" s="28"/>
      <c r="U37" s="28"/>
    </row>
    <row r="38" spans="1:21" x14ac:dyDescent="0.25">
      <c r="A38" s="44"/>
      <c r="B38" s="10"/>
      <c r="G38" s="28"/>
      <c r="H38" s="28"/>
      <c r="I38" s="44"/>
      <c r="J38" s="10"/>
      <c r="O38" s="28"/>
      <c r="P38" s="28"/>
      <c r="U38" s="28"/>
    </row>
    <row r="39" spans="1:21" ht="18.75" customHeight="1" x14ac:dyDescent="0.25">
      <c r="A39" s="44"/>
      <c r="B39" s="11"/>
      <c r="G39" s="42">
        <f>G26/D12</f>
        <v>151.82401331593735</v>
      </c>
      <c r="H39" s="28"/>
      <c r="J39" s="34"/>
      <c r="O39" s="66">
        <f>O26/L12</f>
        <v>151.82449226899047</v>
      </c>
      <c r="P39" s="66"/>
      <c r="U39" s="66">
        <f>U26/R12</f>
        <v>158.36712649637352</v>
      </c>
    </row>
    <row r="40" spans="1:21" x14ac:dyDescent="0.25">
      <c r="E40" s="11"/>
      <c r="J40" s="34"/>
    </row>
    <row r="41" spans="1:21" x14ac:dyDescent="0.25">
      <c r="I41" s="53"/>
      <c r="J41" s="53"/>
    </row>
    <row r="42" spans="1:21" x14ac:dyDescent="0.25">
      <c r="I42" s="53"/>
      <c r="J42" s="53"/>
    </row>
    <row r="43" spans="1:21" x14ac:dyDescent="0.25">
      <c r="I43" s="53"/>
      <c r="J43" s="53"/>
    </row>
    <row r="44" spans="1:21" x14ac:dyDescent="0.25">
      <c r="I44" s="53"/>
      <c r="J44" s="92"/>
    </row>
    <row r="45" spans="1:21" x14ac:dyDescent="0.25">
      <c r="I45" s="53"/>
      <c r="J45" s="92"/>
    </row>
    <row r="46" spans="1:21" x14ac:dyDescent="0.25">
      <c r="I46" s="53"/>
      <c r="J46" s="92"/>
    </row>
    <row r="47" spans="1:21" x14ac:dyDescent="0.25">
      <c r="I47" s="53"/>
      <c r="J47" s="92"/>
    </row>
    <row r="48" spans="1:21" x14ac:dyDescent="0.25">
      <c r="I48" s="53"/>
      <c r="J48" s="92"/>
    </row>
    <row r="49" spans="9:10" x14ac:dyDescent="0.25">
      <c r="I49" s="53"/>
      <c r="J49" s="92"/>
    </row>
    <row r="50" spans="9:10" x14ac:dyDescent="0.25">
      <c r="I50" s="53"/>
      <c r="J50" s="92"/>
    </row>
    <row r="51" spans="9:10" x14ac:dyDescent="0.25">
      <c r="I51" s="53"/>
      <c r="J51" s="92"/>
    </row>
    <row r="52" spans="9:10" x14ac:dyDescent="0.25">
      <c r="I52" s="53"/>
      <c r="J52" s="92"/>
    </row>
    <row r="53" spans="9:10" x14ac:dyDescent="0.25">
      <c r="I53" s="53"/>
      <c r="J53" s="92"/>
    </row>
    <row r="54" spans="9:10" ht="16.5" customHeight="1" x14ac:dyDescent="0.25">
      <c r="I54" s="53"/>
      <c r="J54" s="92"/>
    </row>
    <row r="55" spans="9:10" x14ac:dyDescent="0.25">
      <c r="I55" s="53"/>
      <c r="J55" s="92"/>
    </row>
    <row r="56" spans="9:10" x14ac:dyDescent="0.25">
      <c r="I56" s="53"/>
      <c r="J56" s="92"/>
    </row>
    <row r="57" spans="9:10" x14ac:dyDescent="0.25">
      <c r="I57" s="19"/>
      <c r="J57" s="19"/>
    </row>
    <row r="58" spans="9:10" x14ac:dyDescent="0.25">
      <c r="I58" s="19"/>
      <c r="J58" s="19"/>
    </row>
    <row r="59" spans="9:10" x14ac:dyDescent="0.25">
      <c r="I59" s="53"/>
      <c r="J59" s="53"/>
    </row>
    <row r="60" spans="9:10" x14ac:dyDescent="0.25">
      <c r="I60" s="53"/>
      <c r="J60" s="53"/>
    </row>
    <row r="61" spans="9:10" x14ac:dyDescent="0.25">
      <c r="I61" s="53"/>
      <c r="J61" s="53"/>
    </row>
    <row r="62" spans="9:10" x14ac:dyDescent="0.25">
      <c r="I62" s="90"/>
      <c r="J62" s="81"/>
    </row>
    <row r="63" spans="9:10" x14ac:dyDescent="0.25">
      <c r="I63" s="90"/>
      <c r="J63" s="81"/>
    </row>
    <row r="64" spans="9:10" x14ac:dyDescent="0.25">
      <c r="I64" s="90"/>
      <c r="J64" s="81"/>
    </row>
    <row r="65" spans="9:10" x14ac:dyDescent="0.25">
      <c r="I65" s="90"/>
      <c r="J65" s="81"/>
    </row>
    <row r="66" spans="9:10" x14ac:dyDescent="0.25">
      <c r="I66" s="90"/>
      <c r="J66" s="81"/>
    </row>
    <row r="67" spans="9:10" x14ac:dyDescent="0.25">
      <c r="I67" s="90"/>
      <c r="J67" s="81"/>
    </row>
    <row r="68" spans="9:10" x14ac:dyDescent="0.25">
      <c r="I68" s="90"/>
      <c r="J68" s="81"/>
    </row>
    <row r="69" spans="9:10" x14ac:dyDescent="0.25">
      <c r="I69" s="90"/>
      <c r="J69" s="81"/>
    </row>
    <row r="70" spans="9:10" x14ac:dyDescent="0.25">
      <c r="I70" s="90"/>
      <c r="J70" s="81"/>
    </row>
    <row r="71" spans="9:10" x14ac:dyDescent="0.25">
      <c r="I71" s="90"/>
      <c r="J71" s="81"/>
    </row>
    <row r="72" spans="9:10" x14ac:dyDescent="0.25">
      <c r="I72" s="90"/>
      <c r="J72" s="81"/>
    </row>
    <row r="73" spans="9:10" x14ac:dyDescent="0.25">
      <c r="I73" s="90"/>
      <c r="J73" s="81"/>
    </row>
    <row r="74" spans="9:10" x14ac:dyDescent="0.25">
      <c r="I74" s="53"/>
      <c r="J74" s="53"/>
    </row>
    <row r="75" spans="9:10" x14ac:dyDescent="0.25">
      <c r="I75" s="53"/>
      <c r="J75" s="53"/>
    </row>
    <row r="76" spans="9:10" x14ac:dyDescent="0.25">
      <c r="I76" s="53"/>
      <c r="J76" s="53"/>
    </row>
    <row r="77" spans="9:10" x14ac:dyDescent="0.25">
      <c r="I77" s="53"/>
      <c r="J77" s="53"/>
    </row>
    <row r="78" spans="9:10" x14ac:dyDescent="0.25">
      <c r="I78" s="53"/>
      <c r="J78" s="53"/>
    </row>
    <row r="79" spans="9:10" x14ac:dyDescent="0.25">
      <c r="I79" s="53"/>
      <c r="J79" s="53"/>
    </row>
    <row r="80" spans="9:10" x14ac:dyDescent="0.25">
      <c r="I80" s="53"/>
      <c r="J80" s="53"/>
    </row>
    <row r="81" spans="9:10" x14ac:dyDescent="0.25">
      <c r="I81" s="53"/>
      <c r="J81" s="53"/>
    </row>
    <row r="82" spans="9:10" x14ac:dyDescent="0.25">
      <c r="I82" s="53"/>
      <c r="J82" s="53"/>
    </row>
    <row r="83" spans="9:10" x14ac:dyDescent="0.25">
      <c r="I83" s="53"/>
      <c r="J83" s="53"/>
    </row>
    <row r="84" spans="9:10" x14ac:dyDescent="0.25">
      <c r="I84" s="53"/>
      <c r="J84" s="53"/>
    </row>
    <row r="85" spans="9:10" x14ac:dyDescent="0.25">
      <c r="I85" s="53"/>
      <c r="J85" s="53"/>
    </row>
    <row r="86" spans="9:10" x14ac:dyDescent="0.25">
      <c r="I86" s="53"/>
      <c r="J86" s="53"/>
    </row>
    <row r="87" spans="9:10" ht="15" customHeight="1" x14ac:dyDescent="0.25">
      <c r="I87" s="53"/>
      <c r="J87" s="53"/>
    </row>
    <row r="88" spans="9:10" x14ac:dyDescent="0.25">
      <c r="I88" s="53"/>
      <c r="J88" s="53"/>
    </row>
    <row r="89" spans="9:10" x14ac:dyDescent="0.25">
      <c r="I89" s="53"/>
      <c r="J89" s="53"/>
    </row>
    <row r="90" spans="9:10" x14ac:dyDescent="0.25">
      <c r="I90" s="53"/>
      <c r="J90" s="53"/>
    </row>
    <row r="91" spans="9:10" x14ac:dyDescent="0.25">
      <c r="I91" s="53"/>
      <c r="J91" s="53"/>
    </row>
    <row r="92" spans="9:10" x14ac:dyDescent="0.25">
      <c r="I92" s="53"/>
      <c r="J92" s="53"/>
    </row>
    <row r="93" spans="9:10" x14ac:dyDescent="0.25">
      <c r="I93" s="53"/>
      <c r="J93" s="53"/>
    </row>
    <row r="94" spans="9:10" x14ac:dyDescent="0.25">
      <c r="I94" s="53"/>
      <c r="J94" s="53"/>
    </row>
    <row r="95" spans="9:10" x14ac:dyDescent="0.25">
      <c r="I95" s="53"/>
      <c r="J95" s="53"/>
    </row>
    <row r="96" spans="9:10" x14ac:dyDescent="0.25">
      <c r="I96" s="53"/>
      <c r="J96" s="53"/>
    </row>
    <row r="97" spans="9:10" x14ac:dyDescent="0.25">
      <c r="I97" s="53"/>
      <c r="J97" s="53"/>
    </row>
    <row r="98" spans="9:10" x14ac:dyDescent="0.25">
      <c r="I98" s="53"/>
      <c r="J98" s="53"/>
    </row>
    <row r="99" spans="9:10" x14ac:dyDescent="0.25">
      <c r="I99" s="53"/>
      <c r="J99" s="53"/>
    </row>
    <row r="100" spans="9:10" x14ac:dyDescent="0.25">
      <c r="I100" s="53"/>
      <c r="J100" s="53"/>
    </row>
    <row r="101" spans="9:10" x14ac:dyDescent="0.25">
      <c r="I101" s="53"/>
      <c r="J101" s="53"/>
    </row>
    <row r="102" spans="9:10" x14ac:dyDescent="0.25">
      <c r="I102" s="53"/>
      <c r="J102" s="53"/>
    </row>
    <row r="103" spans="9:10" x14ac:dyDescent="0.25">
      <c r="I103" s="53"/>
      <c r="J103" s="53"/>
    </row>
    <row r="104" spans="9:10" x14ac:dyDescent="0.25">
      <c r="I104" s="53"/>
      <c r="J104" s="53"/>
    </row>
    <row r="105" spans="9:10" x14ac:dyDescent="0.25">
      <c r="I105" s="53"/>
      <c r="J105" s="53"/>
    </row>
    <row r="106" spans="9:10" x14ac:dyDescent="0.25">
      <c r="I106" s="53"/>
      <c r="J106" s="53"/>
    </row>
    <row r="107" spans="9:10" x14ac:dyDescent="0.25">
      <c r="I107" s="53"/>
      <c r="J107" s="53"/>
    </row>
    <row r="108" spans="9:10" x14ac:dyDescent="0.25">
      <c r="I108" s="53"/>
      <c r="J108" s="53"/>
    </row>
    <row r="109" spans="9:10" x14ac:dyDescent="0.25">
      <c r="I109" s="53"/>
      <c r="J109" s="53"/>
    </row>
    <row r="110" spans="9:10" x14ac:dyDescent="0.25">
      <c r="I110" s="53"/>
      <c r="J110" s="53"/>
    </row>
    <row r="111" spans="9:10" x14ac:dyDescent="0.25">
      <c r="I111" s="53"/>
      <c r="J111" s="53"/>
    </row>
    <row r="112" spans="9:10" x14ac:dyDescent="0.25">
      <c r="I112" s="53"/>
      <c r="J112" s="53"/>
    </row>
    <row r="113" spans="9:17" x14ac:dyDescent="0.25">
      <c r="I113" s="53"/>
      <c r="J113" s="53"/>
    </row>
    <row r="114" spans="9:17" x14ac:dyDescent="0.25">
      <c r="I114" s="53"/>
      <c r="J114" s="53"/>
    </row>
    <row r="115" spans="9:17" x14ac:dyDescent="0.25">
      <c r="I115" s="53"/>
      <c r="J115" s="53"/>
    </row>
    <row r="116" spans="9:17" x14ac:dyDescent="0.25">
      <c r="I116" s="53"/>
      <c r="J116" s="53"/>
    </row>
    <row r="117" spans="9:17" x14ac:dyDescent="0.25">
      <c r="I117" s="53"/>
      <c r="J117" s="53"/>
    </row>
    <row r="118" spans="9:17" x14ac:dyDescent="0.25">
      <c r="I118" s="53"/>
      <c r="J118" s="53"/>
    </row>
    <row r="119" spans="9:17" x14ac:dyDescent="0.25">
      <c r="I119" s="53"/>
      <c r="J119" s="53"/>
    </row>
    <row r="120" spans="9:17" x14ac:dyDescent="0.25">
      <c r="K120" s="19"/>
      <c r="Q120" s="19"/>
    </row>
    <row r="121" spans="9:17" x14ac:dyDescent="0.25">
      <c r="K121" s="19"/>
      <c r="Q121" s="19"/>
    </row>
    <row r="122" spans="9:17" x14ac:dyDescent="0.25">
      <c r="K122" s="19"/>
      <c r="Q122" s="19"/>
    </row>
    <row r="123" spans="9:17" x14ac:dyDescent="0.25">
      <c r="K123" s="19"/>
      <c r="Q123" s="19"/>
    </row>
    <row r="124" spans="9:17" x14ac:dyDescent="0.25">
      <c r="K124" s="19"/>
      <c r="Q124" s="19"/>
    </row>
    <row r="125" spans="9:17" x14ac:dyDescent="0.25">
      <c r="K125" s="19"/>
      <c r="Q125" s="19"/>
    </row>
    <row r="126" spans="9:17" x14ac:dyDescent="0.25">
      <c r="K126" s="19"/>
      <c r="Q126" s="19"/>
    </row>
    <row r="127" spans="9:17" x14ac:dyDescent="0.25">
      <c r="K127" s="19"/>
      <c r="Q127" s="19"/>
    </row>
    <row r="128" spans="9:17" x14ac:dyDescent="0.25">
      <c r="K128" s="19"/>
      <c r="Q128" s="19"/>
    </row>
    <row r="134" spans="2:8" x14ac:dyDescent="0.25">
      <c r="B134" s="19"/>
      <c r="C134" s="53"/>
      <c r="D134" s="53"/>
      <c r="E134" s="19"/>
      <c r="F134" s="19"/>
      <c r="G134" s="19"/>
      <c r="H134" s="19"/>
    </row>
    <row r="135" spans="2:8" x14ac:dyDescent="0.25">
      <c r="B135" s="19"/>
      <c r="C135" s="55"/>
      <c r="D135" s="69"/>
      <c r="E135" s="74"/>
      <c r="F135" s="19"/>
      <c r="G135" s="19"/>
      <c r="H135" s="19"/>
    </row>
    <row r="136" spans="2:8" x14ac:dyDescent="0.25">
      <c r="B136" s="19"/>
      <c r="C136" s="55"/>
      <c r="D136" s="69"/>
      <c r="E136" s="74"/>
      <c r="F136" s="19"/>
      <c r="G136" s="19"/>
      <c r="H136" s="19"/>
    </row>
    <row r="137" spans="2:8" x14ac:dyDescent="0.25">
      <c r="B137" s="19"/>
      <c r="C137" s="55"/>
      <c r="D137" s="69"/>
      <c r="E137" s="74"/>
      <c r="F137" s="19"/>
      <c r="G137" s="19"/>
      <c r="H137" s="19"/>
    </row>
  </sheetData>
  <mergeCells count="6">
    <mergeCell ref="D4:G5"/>
    <mergeCell ref="E7:F7"/>
    <mergeCell ref="R4:U5"/>
    <mergeCell ref="S7:T7"/>
    <mergeCell ref="L4:O5"/>
    <mergeCell ref="M7:N7"/>
  </mergeCells>
  <pageMargins left="0.75" right="0.75" top="1" bottom="1" header="0.5" footer="0.5"/>
  <pageSetup scale="65" orientation="landscape" r:id="rId1"/>
  <headerFooter alignWithMargins="0">
    <oddFooter>&amp;RExhibit JW-9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  <pageSetUpPr fitToPage="1"/>
  </sheetPr>
  <dimension ref="A1:W85"/>
  <sheetViews>
    <sheetView view="pageBreakPreview" zoomScale="85" zoomScaleNormal="85" zoomScaleSheetLayoutView="85" workbookViewId="0">
      <selection activeCell="Y26" sqref="Y26"/>
    </sheetView>
  </sheetViews>
  <sheetFormatPr defaultColWidth="9.140625" defaultRowHeight="15.75" x14ac:dyDescent="0.25"/>
  <cols>
    <col min="1" max="1" width="4.7109375" style="2" customWidth="1"/>
    <col min="2" max="2" width="14.7109375" style="2" bestFit="1" customWidth="1"/>
    <col min="3" max="3" width="16.85546875" style="2" customWidth="1"/>
    <col min="4" max="5" width="15" style="2" bestFit="1" customWidth="1"/>
    <col min="6" max="6" width="18.140625" style="2" bestFit="1" customWidth="1"/>
    <col min="7" max="7" width="18" style="2" bestFit="1" customWidth="1"/>
    <col min="8" max="8" width="5.7109375" style="2" customWidth="1"/>
    <col min="9" max="9" width="15.140625" style="2" hidden="1" customWidth="1"/>
    <col min="10" max="10" width="4.7109375" style="2" hidden="1" customWidth="1"/>
    <col min="11" max="11" width="21.85546875" style="2" hidden="1" customWidth="1"/>
    <col min="12" max="12" width="15.140625" style="2" hidden="1" customWidth="1"/>
    <col min="13" max="13" width="14" style="2" hidden="1" customWidth="1"/>
    <col min="14" max="14" width="13.42578125" style="2" hidden="1" customWidth="1"/>
    <col min="15" max="15" width="15.7109375" style="2" hidden="1" customWidth="1"/>
    <col min="16" max="16" width="5.85546875" style="2" hidden="1" customWidth="1"/>
    <col min="17" max="17" width="13" style="2" hidden="1" customWidth="1"/>
    <col min="18" max="18" width="15.5703125" style="2" hidden="1" customWidth="1"/>
    <col min="19" max="19" width="22.7109375" style="2" hidden="1" customWidth="1"/>
    <col min="20" max="20" width="14.42578125" style="2" hidden="1" customWidth="1"/>
    <col min="21" max="21" width="12.7109375" style="2" hidden="1" customWidth="1"/>
    <col min="22" max="22" width="2.85546875" style="2" hidden="1" customWidth="1"/>
    <col min="23" max="23" width="17.85546875" style="2" hidden="1" customWidth="1"/>
    <col min="24" max="16384" width="9.140625" style="2"/>
  </cols>
  <sheetData>
    <row r="1" spans="1:23" x14ac:dyDescent="0.25">
      <c r="A1" s="1" t="s">
        <v>66</v>
      </c>
      <c r="I1" s="1"/>
      <c r="Q1" s="1"/>
    </row>
    <row r="2" spans="1:23" x14ac:dyDescent="0.25">
      <c r="A2" s="34" t="s">
        <v>28</v>
      </c>
      <c r="I2" s="34"/>
      <c r="Q2" s="34"/>
    </row>
    <row r="3" spans="1:23" ht="16.5" thickBot="1" x14ac:dyDescent="0.3">
      <c r="A3" s="34" t="s">
        <v>82</v>
      </c>
      <c r="B3" s="34"/>
      <c r="C3" s="34"/>
      <c r="I3" s="34"/>
      <c r="J3" s="34"/>
      <c r="K3" s="34"/>
      <c r="Q3" s="34"/>
    </row>
    <row r="4" spans="1:23" x14ac:dyDescent="0.25">
      <c r="A4" s="34"/>
      <c r="B4" s="34"/>
      <c r="C4" s="34"/>
      <c r="D4" s="482" t="s">
        <v>30</v>
      </c>
      <c r="E4" s="483"/>
      <c r="F4" s="483"/>
      <c r="G4" s="484"/>
      <c r="L4" s="489" t="s">
        <v>42</v>
      </c>
      <c r="M4" s="490"/>
      <c r="N4" s="490"/>
      <c r="O4" s="491"/>
      <c r="T4" s="489" t="s">
        <v>0</v>
      </c>
      <c r="U4" s="490"/>
      <c r="V4" s="490"/>
      <c r="W4" s="491"/>
    </row>
    <row r="5" spans="1:23" ht="16.5" thickBot="1" x14ac:dyDescent="0.3">
      <c r="A5" s="57"/>
      <c r="B5" s="99"/>
      <c r="C5" s="59"/>
      <c r="D5" s="485"/>
      <c r="E5" s="486"/>
      <c r="F5" s="486"/>
      <c r="G5" s="487"/>
      <c r="I5" s="3"/>
      <c r="J5" s="3"/>
      <c r="K5" s="3"/>
      <c r="L5" s="492"/>
      <c r="M5" s="488"/>
      <c r="N5" s="488"/>
      <c r="O5" s="493"/>
      <c r="Q5" s="3"/>
      <c r="R5" s="3"/>
      <c r="S5" s="3"/>
      <c r="T5" s="492"/>
      <c r="U5" s="488"/>
      <c r="V5" s="488"/>
      <c r="W5" s="493"/>
    </row>
    <row r="6" spans="1:23" x14ac:dyDescent="0.25">
      <c r="A6" s="4"/>
      <c r="B6" s="4"/>
      <c r="C6" s="4"/>
      <c r="D6" s="4" t="s">
        <v>1</v>
      </c>
      <c r="E6" s="4"/>
      <c r="F6" s="4"/>
      <c r="G6" s="4" t="s">
        <v>2</v>
      </c>
      <c r="I6" s="4"/>
      <c r="J6" s="4"/>
      <c r="K6" s="4"/>
      <c r="L6" s="4" t="s">
        <v>1</v>
      </c>
      <c r="M6" s="4"/>
      <c r="N6" s="4"/>
      <c r="O6" s="4" t="s">
        <v>2</v>
      </c>
      <c r="Q6" s="4"/>
      <c r="R6" s="4"/>
      <c r="S6" s="4"/>
      <c r="T6" s="4" t="s">
        <v>1</v>
      </c>
      <c r="U6" s="4"/>
      <c r="V6" s="4"/>
      <c r="W6" s="4" t="s">
        <v>2</v>
      </c>
    </row>
    <row r="7" spans="1:23" ht="16.5" thickBot="1" x14ac:dyDescent="0.3">
      <c r="A7" s="5"/>
      <c r="B7" s="5"/>
      <c r="C7" s="5"/>
      <c r="D7" s="5" t="s">
        <v>4</v>
      </c>
      <c r="E7" s="488" t="s">
        <v>5</v>
      </c>
      <c r="F7" s="488"/>
      <c r="G7" s="5" t="s">
        <v>6</v>
      </c>
      <c r="I7" s="5"/>
      <c r="J7" s="5"/>
      <c r="K7" s="5"/>
      <c r="L7" s="5" t="s">
        <v>4</v>
      </c>
      <c r="M7" s="488" t="s">
        <v>5</v>
      </c>
      <c r="N7" s="488"/>
      <c r="O7" s="5" t="s">
        <v>6</v>
      </c>
      <c r="Q7" s="5"/>
      <c r="R7" s="5"/>
      <c r="S7" s="5"/>
      <c r="T7" s="5" t="s">
        <v>4</v>
      </c>
      <c r="U7" s="488" t="s">
        <v>5</v>
      </c>
      <c r="V7" s="488"/>
      <c r="W7" s="5" t="s">
        <v>6</v>
      </c>
    </row>
    <row r="10" spans="1:23" x14ac:dyDescent="0.25">
      <c r="A10" s="1" t="s">
        <v>34</v>
      </c>
      <c r="I10" s="1" t="s">
        <v>10</v>
      </c>
      <c r="Q10" s="1" t="s">
        <v>10</v>
      </c>
    </row>
    <row r="11" spans="1:23" ht="31.5" x14ac:dyDescent="0.25">
      <c r="D11" s="6" t="s">
        <v>9</v>
      </c>
      <c r="E11" s="6" t="s">
        <v>12</v>
      </c>
      <c r="L11" s="6" t="s">
        <v>9</v>
      </c>
      <c r="M11" s="6" t="s">
        <v>12</v>
      </c>
      <c r="T11" s="6" t="s">
        <v>9</v>
      </c>
      <c r="U11" s="6" t="s">
        <v>12</v>
      </c>
    </row>
    <row r="12" spans="1:23" x14ac:dyDescent="0.25">
      <c r="B12" s="2" t="s">
        <v>43</v>
      </c>
      <c r="D12" s="39">
        <f>C46+C66</f>
        <v>878829</v>
      </c>
      <c r="E12" s="45">
        <v>0</v>
      </c>
      <c r="F12" s="19"/>
      <c r="G12" s="18">
        <f>D12*E12</f>
        <v>0</v>
      </c>
      <c r="J12" s="2" t="s">
        <v>29</v>
      </c>
      <c r="L12" s="39">
        <f>D12</f>
        <v>878829</v>
      </c>
      <c r="M12" s="45">
        <v>28.14</v>
      </c>
      <c r="N12" s="19"/>
      <c r="O12" s="18">
        <f>L12*M12</f>
        <v>24730248.059999999</v>
      </c>
      <c r="R12" s="2" t="s">
        <v>9</v>
      </c>
      <c r="T12" s="8">
        <f>L12</f>
        <v>878829</v>
      </c>
      <c r="U12" s="45" t="e">
        <f>#REF!</f>
        <v>#REF!</v>
      </c>
      <c r="W12" s="11" t="e">
        <f>T12*U12</f>
        <v>#REF!</v>
      </c>
    </row>
    <row r="13" spans="1:23" x14ac:dyDescent="0.25">
      <c r="D13" s="86"/>
      <c r="G13" s="11"/>
      <c r="O13" s="11"/>
      <c r="W13" s="11"/>
    </row>
    <row r="14" spans="1:23" x14ac:dyDescent="0.25">
      <c r="A14" s="1" t="s">
        <v>7</v>
      </c>
      <c r="D14" s="8"/>
      <c r="G14" s="11"/>
      <c r="I14" s="1" t="s">
        <v>7</v>
      </c>
      <c r="L14" s="8"/>
      <c r="O14" s="11"/>
      <c r="Q14" s="1" t="s">
        <v>7</v>
      </c>
      <c r="T14" s="8"/>
      <c r="W14" s="11"/>
    </row>
    <row r="15" spans="1:23" x14ac:dyDescent="0.25">
      <c r="D15" s="13" t="s">
        <v>8</v>
      </c>
      <c r="E15" s="12" t="s">
        <v>11</v>
      </c>
      <c r="G15" s="11"/>
      <c r="L15" s="13" t="s">
        <v>8</v>
      </c>
      <c r="M15" s="12" t="s">
        <v>11</v>
      </c>
      <c r="O15" s="11"/>
      <c r="T15" s="13" t="s">
        <v>8</v>
      </c>
      <c r="U15" s="12" t="s">
        <v>11</v>
      </c>
      <c r="W15" s="11"/>
    </row>
    <row r="16" spans="1:23" x14ac:dyDescent="0.25">
      <c r="B16" s="2" t="s">
        <v>23</v>
      </c>
      <c r="D16" s="39">
        <f>D46+D66</f>
        <v>822412365</v>
      </c>
      <c r="E16" s="40">
        <v>0.11964</v>
      </c>
      <c r="F16" s="19"/>
      <c r="G16" s="41">
        <f>D16*E16</f>
        <v>98393415.3486</v>
      </c>
      <c r="J16" s="2" t="s">
        <v>32</v>
      </c>
      <c r="L16" s="39">
        <f>D18</f>
        <v>4587729</v>
      </c>
      <c r="M16" s="67">
        <v>3.0599472934085808E-2</v>
      </c>
      <c r="N16" s="19"/>
      <c r="O16" s="18">
        <f>L16*M16</f>
        <v>140382.08936442054</v>
      </c>
      <c r="R16" s="2" t="s">
        <v>32</v>
      </c>
      <c r="T16" s="39">
        <f>L18</f>
        <v>4587729</v>
      </c>
      <c r="U16" s="67">
        <v>0</v>
      </c>
      <c r="V16" s="19"/>
      <c r="W16" s="18">
        <f>T16*U16</f>
        <v>0</v>
      </c>
    </row>
    <row r="17" spans="1:23" x14ac:dyDescent="0.25">
      <c r="B17" s="19"/>
      <c r="C17" s="19"/>
      <c r="D17" s="39"/>
      <c r="E17" s="40"/>
      <c r="F17" s="19"/>
      <c r="G17" s="42"/>
      <c r="J17" s="19" t="s">
        <v>31</v>
      </c>
      <c r="K17" s="19"/>
      <c r="L17" s="39">
        <f>L16</f>
        <v>4587729</v>
      </c>
      <c r="M17" s="104">
        <v>4.7909326518313644E-2</v>
      </c>
      <c r="N17" s="19"/>
      <c r="O17" s="46">
        <f>L17*M17</f>
        <v>219795.00663853655</v>
      </c>
      <c r="R17" s="19" t="s">
        <v>31</v>
      </c>
      <c r="S17" s="19"/>
      <c r="T17" s="39">
        <f>T16</f>
        <v>4587729</v>
      </c>
      <c r="U17" s="104">
        <v>0</v>
      </c>
      <c r="V17" s="19"/>
      <c r="W17" s="46">
        <f>T17*U17</f>
        <v>0</v>
      </c>
    </row>
    <row r="18" spans="1:23" x14ac:dyDescent="0.25">
      <c r="B18" s="2" t="s">
        <v>18</v>
      </c>
      <c r="C18" s="23"/>
      <c r="D18" s="39">
        <v>4587729</v>
      </c>
      <c r="E18" s="40">
        <f>E16</f>
        <v>0.11964</v>
      </c>
      <c r="F18" s="19"/>
      <c r="G18" s="41">
        <f>D18*E18</f>
        <v>548875.89755999995</v>
      </c>
      <c r="J18" s="7" t="s">
        <v>27</v>
      </c>
      <c r="K18" s="7"/>
      <c r="L18" s="20">
        <f>L16</f>
        <v>4587729</v>
      </c>
      <c r="M18" s="91">
        <v>1.994013128609894E-2</v>
      </c>
      <c r="N18" s="7"/>
      <c r="O18" s="47">
        <f>L18*M18</f>
        <v>91479.918565043408</v>
      </c>
      <c r="R18" s="7" t="s">
        <v>27</v>
      </c>
      <c r="S18" s="7"/>
      <c r="T18" s="20">
        <f>T16</f>
        <v>4587729</v>
      </c>
      <c r="U18" s="91">
        <v>0</v>
      </c>
      <c r="V18" s="7"/>
      <c r="W18" s="47">
        <f>T18*U18</f>
        <v>0</v>
      </c>
    </row>
    <row r="19" spans="1:23" x14ac:dyDescent="0.25">
      <c r="A19" s="1"/>
      <c r="G19" s="18"/>
      <c r="K19" s="23"/>
      <c r="L19" s="39"/>
      <c r="M19" s="67">
        <f>SUM(M16:M18)</f>
        <v>9.8448930738498391E-2</v>
      </c>
      <c r="N19" s="19"/>
      <c r="O19" s="18">
        <f>SUM(O16:O18)</f>
        <v>451657.01456800051</v>
      </c>
      <c r="S19" s="23"/>
      <c r="T19" s="39"/>
      <c r="U19" s="67">
        <f>SUM(U16:U18)</f>
        <v>0</v>
      </c>
      <c r="V19" s="19"/>
      <c r="W19" s="18">
        <f>SUM(W16:W18)</f>
        <v>0</v>
      </c>
    </row>
    <row r="20" spans="1:23" x14ac:dyDescent="0.25">
      <c r="A20" s="1"/>
      <c r="E20" s="80"/>
      <c r="G20" s="18"/>
      <c r="H20" s="15"/>
      <c r="P20" s="15"/>
    </row>
    <row r="21" spans="1:23" x14ac:dyDescent="0.25">
      <c r="A21" s="1"/>
      <c r="G21" s="18"/>
      <c r="H21" s="18"/>
      <c r="I21" s="1"/>
      <c r="L21" s="8"/>
      <c r="M21" s="90"/>
      <c r="O21" s="18"/>
      <c r="P21" s="18"/>
      <c r="Q21" s="1"/>
      <c r="T21" s="8"/>
      <c r="U21" s="90"/>
      <c r="W21" s="18"/>
    </row>
    <row r="22" spans="1:23" ht="16.5" thickBot="1" x14ac:dyDescent="0.3">
      <c r="A22" s="1" t="s">
        <v>80</v>
      </c>
      <c r="G22" s="29">
        <f>G12+G16+G18</f>
        <v>98942291.246160001</v>
      </c>
      <c r="H22" s="18"/>
      <c r="I22" s="1"/>
      <c r="L22" s="8"/>
      <c r="M22" s="21"/>
      <c r="O22" s="18"/>
      <c r="P22" s="18"/>
      <c r="Q22" s="1"/>
      <c r="T22" s="8"/>
      <c r="U22" s="21"/>
      <c r="W22" s="18"/>
    </row>
    <row r="23" spans="1:23" ht="17.25" thickTop="1" thickBot="1" x14ac:dyDescent="0.3">
      <c r="A23" s="1"/>
      <c r="B23" s="1"/>
      <c r="G23" s="18"/>
      <c r="H23" s="18"/>
      <c r="I23" s="1" t="s">
        <v>36</v>
      </c>
      <c r="O23" s="29">
        <f>O12+O19+O21</f>
        <v>25181905.074568</v>
      </c>
      <c r="P23" s="18"/>
      <c r="Q23" s="1" t="s">
        <v>36</v>
      </c>
      <c r="W23" s="29" t="e">
        <f>W12+W19+W21</f>
        <v>#REF!</v>
      </c>
    </row>
    <row r="24" spans="1:23" ht="16.5" thickTop="1" x14ac:dyDescent="0.25">
      <c r="A24" s="44" t="s">
        <v>19</v>
      </c>
      <c r="B24" s="10"/>
      <c r="G24" s="11">
        <f>E46+F46+E66+F66</f>
        <v>99247908.379999995</v>
      </c>
      <c r="I24" s="1"/>
      <c r="J24" s="1"/>
      <c r="O24" s="17"/>
      <c r="Q24" s="1"/>
      <c r="R24" s="1"/>
      <c r="W24" s="17"/>
    </row>
    <row r="25" spans="1:23" x14ac:dyDescent="0.25">
      <c r="A25" s="10"/>
      <c r="B25" s="11"/>
      <c r="G25" s="10"/>
      <c r="I25" s="44" t="s">
        <v>13</v>
      </c>
      <c r="J25" s="10"/>
      <c r="O25" s="27">
        <f>O23-G22</f>
        <v>-73760386.171591997</v>
      </c>
      <c r="Q25" s="44" t="s">
        <v>13</v>
      </c>
      <c r="R25" s="10"/>
      <c r="W25" s="27" t="e">
        <f>W23-G22</f>
        <v>#REF!</v>
      </c>
    </row>
    <row r="26" spans="1:23" x14ac:dyDescent="0.25">
      <c r="A26" s="44" t="s">
        <v>13</v>
      </c>
      <c r="B26" s="10"/>
      <c r="G26" s="27">
        <f>G22-G24</f>
        <v>-305617.13383999467</v>
      </c>
      <c r="H26" s="15"/>
      <c r="I26" s="10"/>
      <c r="J26" s="27"/>
      <c r="O26" s="11"/>
      <c r="P26" s="15"/>
      <c r="Q26" s="10"/>
      <c r="R26" s="27"/>
      <c r="W26" s="11"/>
    </row>
    <row r="27" spans="1:23" x14ac:dyDescent="0.25">
      <c r="A27" s="10"/>
      <c r="B27" s="27"/>
      <c r="G27" s="11"/>
      <c r="I27" s="44" t="s">
        <v>26</v>
      </c>
      <c r="J27" s="11"/>
      <c r="O27" s="28">
        <f>O25/G24</f>
        <v>-0.74319335667184572</v>
      </c>
      <c r="Q27" s="44" t="s">
        <v>26</v>
      </c>
      <c r="R27" s="11"/>
      <c r="W27" s="28" t="e">
        <f>W25/G22</f>
        <v>#REF!</v>
      </c>
    </row>
    <row r="28" spans="1:23" x14ac:dyDescent="0.25">
      <c r="A28" s="44" t="s">
        <v>26</v>
      </c>
      <c r="B28" s="11"/>
      <c r="G28" s="28">
        <f>G26/G24</f>
        <v>-3.0793307267479031E-3</v>
      </c>
    </row>
    <row r="29" spans="1:23" x14ac:dyDescent="0.25">
      <c r="I29" s="1"/>
      <c r="O29" s="18"/>
      <c r="W29" s="11"/>
    </row>
    <row r="30" spans="1:23" x14ac:dyDescent="0.25">
      <c r="E30" s="11"/>
    </row>
    <row r="31" spans="1:23" x14ac:dyDescent="0.25">
      <c r="B31" s="19"/>
      <c r="C31" s="53" t="s">
        <v>69</v>
      </c>
      <c r="D31" s="53"/>
      <c r="E31" s="53"/>
      <c r="F31" s="53"/>
      <c r="G31" s="53"/>
      <c r="H31" s="53"/>
      <c r="I31" s="53"/>
      <c r="R31" s="53"/>
    </row>
    <row r="32" spans="1:23" x14ac:dyDescent="0.25">
      <c r="B32" s="19"/>
      <c r="C32" s="53"/>
      <c r="D32" s="53"/>
      <c r="E32" s="52"/>
      <c r="F32" s="53"/>
      <c r="G32" s="53"/>
      <c r="H32" s="53"/>
      <c r="I32" s="53"/>
      <c r="R32" s="73"/>
      <c r="S32" s="53"/>
    </row>
    <row r="33" spans="1:19" x14ac:dyDescent="0.25">
      <c r="A33" s="11"/>
      <c r="B33" s="19"/>
      <c r="C33" s="53" t="s">
        <v>37</v>
      </c>
      <c r="D33" s="53" t="s">
        <v>44</v>
      </c>
      <c r="E33" s="53" t="s">
        <v>67</v>
      </c>
      <c r="F33" s="53" t="s">
        <v>68</v>
      </c>
      <c r="H33" s="53"/>
      <c r="I33" s="53"/>
      <c r="R33" s="73"/>
      <c r="S33" s="53"/>
    </row>
    <row r="34" spans="1:19" x14ac:dyDescent="0.25">
      <c r="A34" s="11"/>
      <c r="B34" s="119">
        <v>40544</v>
      </c>
      <c r="C34" s="53">
        <v>40453</v>
      </c>
      <c r="D34" s="53">
        <v>47254873</v>
      </c>
      <c r="F34" s="81">
        <v>5708372.1200000001</v>
      </c>
      <c r="G34" s="81"/>
      <c r="H34" s="53"/>
      <c r="I34" s="92"/>
      <c r="R34" s="53"/>
      <c r="S34" s="53"/>
    </row>
    <row r="35" spans="1:19" x14ac:dyDescent="0.25">
      <c r="A35" s="11"/>
      <c r="B35" s="119">
        <v>40575</v>
      </c>
      <c r="C35" s="53">
        <v>40440</v>
      </c>
      <c r="D35" s="53">
        <v>44903940</v>
      </c>
      <c r="F35" s="81">
        <v>5426631.7800000003</v>
      </c>
      <c r="G35" s="81"/>
      <c r="H35" s="53"/>
      <c r="I35" s="92"/>
      <c r="R35" s="53"/>
      <c r="S35" s="53"/>
    </row>
    <row r="36" spans="1:19" x14ac:dyDescent="0.25">
      <c r="A36" s="10"/>
      <c r="B36" s="119">
        <v>40603</v>
      </c>
      <c r="C36" s="53">
        <v>40430</v>
      </c>
      <c r="D36" s="53">
        <v>37832486</v>
      </c>
      <c r="F36" s="81">
        <v>4587610.34</v>
      </c>
      <c r="G36" s="81"/>
      <c r="H36" s="53"/>
      <c r="I36" s="92"/>
      <c r="R36" s="53"/>
      <c r="S36" s="53"/>
    </row>
    <row r="37" spans="1:19" x14ac:dyDescent="0.25">
      <c r="A37" s="27"/>
      <c r="B37" s="119">
        <v>40634</v>
      </c>
      <c r="C37" s="53">
        <v>40432</v>
      </c>
      <c r="D37" s="53">
        <v>36808941</v>
      </c>
      <c r="F37" s="81">
        <v>4463624.74</v>
      </c>
      <c r="G37" s="81"/>
      <c r="H37" s="53"/>
      <c r="I37" s="92"/>
      <c r="R37" s="53"/>
      <c r="S37" s="53"/>
    </row>
    <row r="38" spans="1:19" x14ac:dyDescent="0.25">
      <c r="A38" s="11"/>
      <c r="B38" s="119">
        <v>40664</v>
      </c>
      <c r="C38" s="53">
        <v>40421</v>
      </c>
      <c r="D38" s="53">
        <v>31736684</v>
      </c>
      <c r="F38" s="81">
        <v>3860643.03</v>
      </c>
      <c r="G38" s="81"/>
      <c r="H38" s="53"/>
      <c r="I38" s="92"/>
      <c r="R38" s="53"/>
      <c r="S38" s="53"/>
    </row>
    <row r="39" spans="1:19" x14ac:dyDescent="0.25">
      <c r="A39" s="28"/>
      <c r="B39" s="119">
        <v>40695</v>
      </c>
      <c r="C39" s="53">
        <v>40422</v>
      </c>
      <c r="D39" s="53">
        <v>30238497</v>
      </c>
      <c r="F39" s="81">
        <v>3678583.0100000002</v>
      </c>
      <c r="G39" s="81"/>
      <c r="H39" s="53"/>
      <c r="I39" s="92"/>
      <c r="R39" s="53"/>
      <c r="S39" s="53"/>
    </row>
    <row r="40" spans="1:19" x14ac:dyDescent="0.25">
      <c r="B40" s="119">
        <v>40725</v>
      </c>
      <c r="C40" s="53">
        <v>40485</v>
      </c>
      <c r="D40" s="53">
        <v>30153828</v>
      </c>
      <c r="F40" s="81">
        <v>3667109.75</v>
      </c>
      <c r="G40" s="81"/>
      <c r="H40" s="53"/>
      <c r="I40" s="92"/>
      <c r="R40" s="53"/>
      <c r="S40" s="53"/>
    </row>
    <row r="41" spans="1:19" x14ac:dyDescent="0.25">
      <c r="B41" s="119">
        <v>40756</v>
      </c>
      <c r="C41" s="53">
        <v>40486</v>
      </c>
      <c r="D41" s="53">
        <v>27740784</v>
      </c>
      <c r="F41" s="81">
        <v>3383060.9699999997</v>
      </c>
      <c r="G41" s="81"/>
      <c r="H41" s="53"/>
      <c r="I41" s="92"/>
      <c r="R41" s="53"/>
      <c r="S41" s="53"/>
    </row>
    <row r="42" spans="1:19" x14ac:dyDescent="0.25">
      <c r="B42" s="119">
        <v>40422</v>
      </c>
      <c r="C42" s="53">
        <v>40415</v>
      </c>
      <c r="D42" s="53">
        <v>30072287</v>
      </c>
      <c r="F42" s="81">
        <v>3656481.8000000003</v>
      </c>
      <c r="G42" s="81"/>
      <c r="H42" s="53"/>
      <c r="I42" s="92"/>
      <c r="R42" s="53"/>
      <c r="S42" s="53"/>
    </row>
    <row r="43" spans="1:19" x14ac:dyDescent="0.25">
      <c r="B43" s="119">
        <v>40452</v>
      </c>
      <c r="C43" s="53">
        <v>40462</v>
      </c>
      <c r="D43" s="53">
        <v>27603624</v>
      </c>
      <c r="F43" s="81">
        <v>3366388.23</v>
      </c>
      <c r="G43" s="81"/>
      <c r="H43" s="53"/>
      <c r="I43" s="92"/>
      <c r="R43" s="53"/>
      <c r="S43" s="53"/>
    </row>
    <row r="44" spans="1:19" ht="16.5" customHeight="1" x14ac:dyDescent="0.25">
      <c r="B44" s="119">
        <v>40483</v>
      </c>
      <c r="C44" s="53">
        <v>40451</v>
      </c>
      <c r="D44" s="53">
        <v>32012599</v>
      </c>
      <c r="F44" s="81">
        <v>3891371.3200000003</v>
      </c>
      <c r="G44" s="81"/>
      <c r="H44" s="53"/>
      <c r="I44" s="92"/>
      <c r="R44" s="53"/>
      <c r="S44" s="53"/>
    </row>
    <row r="45" spans="1:19" x14ac:dyDescent="0.25">
      <c r="B45" s="119">
        <v>40513</v>
      </c>
      <c r="C45" s="72">
        <v>40449</v>
      </c>
      <c r="D45" s="72">
        <v>40242704</v>
      </c>
      <c r="E45" s="7"/>
      <c r="F45" s="120">
        <v>4872298.49</v>
      </c>
      <c r="G45" s="81"/>
      <c r="H45" s="53"/>
      <c r="I45" s="92"/>
      <c r="R45" s="53"/>
      <c r="S45" s="53"/>
    </row>
    <row r="46" spans="1:19" x14ac:dyDescent="0.25">
      <c r="B46" s="19"/>
      <c r="C46" s="53">
        <f>SUM(C34:C45)</f>
        <v>485346</v>
      </c>
      <c r="D46" s="53">
        <f>SUM(D34:D45)</f>
        <v>416601247</v>
      </c>
      <c r="E46" s="88">
        <f>SUM(E34:E45)</f>
        <v>0</v>
      </c>
      <c r="F46" s="88">
        <f>SUM(F34:F45)</f>
        <v>50562175.579999998</v>
      </c>
      <c r="G46" s="81"/>
      <c r="H46" s="53"/>
      <c r="I46" s="92"/>
      <c r="R46" s="53"/>
      <c r="S46" s="53"/>
    </row>
    <row r="47" spans="1:19" x14ac:dyDescent="0.25">
      <c r="B47" s="19"/>
      <c r="C47" s="53"/>
      <c r="D47" s="53"/>
      <c r="F47" s="53"/>
      <c r="G47" s="53"/>
      <c r="H47" s="53"/>
      <c r="I47" s="53"/>
      <c r="R47" s="53"/>
      <c r="S47" s="53"/>
    </row>
    <row r="48" spans="1:19" x14ac:dyDescent="0.25">
      <c r="B48" s="19"/>
      <c r="C48" s="53"/>
      <c r="D48" s="53"/>
      <c r="F48" s="53"/>
      <c r="G48" s="53"/>
      <c r="H48" s="53"/>
      <c r="I48" s="53"/>
      <c r="R48" s="53"/>
      <c r="S48" s="53"/>
    </row>
    <row r="49" spans="2:19" x14ac:dyDescent="0.25">
      <c r="B49" s="19"/>
      <c r="H49" s="19"/>
      <c r="I49" s="19"/>
      <c r="R49" s="19"/>
      <c r="S49" s="19"/>
    </row>
    <row r="50" spans="2:19" x14ac:dyDescent="0.25">
      <c r="B50" s="19"/>
      <c r="H50" s="19"/>
      <c r="I50" s="19"/>
      <c r="R50" s="19"/>
      <c r="S50" s="19"/>
    </row>
    <row r="51" spans="2:19" x14ac:dyDescent="0.25">
      <c r="B51" s="19"/>
      <c r="C51" s="53" t="s">
        <v>70</v>
      </c>
      <c r="D51" s="53"/>
      <c r="F51" s="53"/>
      <c r="G51" s="53"/>
      <c r="H51" s="53"/>
      <c r="I51" s="53"/>
      <c r="R51" s="53"/>
      <c r="S51" s="53"/>
    </row>
    <row r="52" spans="2:19" x14ac:dyDescent="0.25">
      <c r="B52" s="19"/>
      <c r="C52" s="53"/>
      <c r="D52" s="53"/>
      <c r="E52" s="52"/>
      <c r="F52" s="53"/>
      <c r="G52" s="53"/>
      <c r="H52" s="53"/>
      <c r="I52" s="53"/>
      <c r="R52" s="73"/>
      <c r="S52" s="53"/>
    </row>
    <row r="53" spans="2:19" x14ac:dyDescent="0.25">
      <c r="B53" s="19"/>
      <c r="C53" s="53" t="s">
        <v>37</v>
      </c>
      <c r="D53" s="53" t="s">
        <v>44</v>
      </c>
      <c r="E53" s="53" t="s">
        <v>67</v>
      </c>
      <c r="F53" s="53" t="s">
        <v>68</v>
      </c>
      <c r="H53" s="53"/>
      <c r="I53" s="53"/>
      <c r="R53" s="73"/>
      <c r="S53" s="53"/>
    </row>
    <row r="54" spans="2:19" x14ac:dyDescent="0.25">
      <c r="B54" s="119">
        <v>40544</v>
      </c>
      <c r="C54" s="53">
        <v>32711</v>
      </c>
      <c r="D54" s="100">
        <v>38739095</v>
      </c>
      <c r="E54" s="101"/>
      <c r="F54" s="53">
        <v>4642858.4400000004</v>
      </c>
      <c r="G54" s="53"/>
      <c r="H54" s="90"/>
      <c r="I54" s="81"/>
      <c r="R54" s="53"/>
      <c r="S54" s="53"/>
    </row>
    <row r="55" spans="2:19" x14ac:dyDescent="0.25">
      <c r="B55" s="119">
        <v>40575</v>
      </c>
      <c r="C55" s="53">
        <v>32658</v>
      </c>
      <c r="D55" s="100">
        <v>33796946</v>
      </c>
      <c r="E55" s="101"/>
      <c r="F55" s="53">
        <v>4051304.51</v>
      </c>
      <c r="G55" s="53"/>
      <c r="H55" s="90"/>
      <c r="I55" s="81"/>
      <c r="R55" s="53"/>
      <c r="S55" s="53"/>
    </row>
    <row r="56" spans="2:19" x14ac:dyDescent="0.25">
      <c r="B56" s="119">
        <v>40603</v>
      </c>
      <c r="C56" s="53">
        <v>32654</v>
      </c>
      <c r="D56" s="100">
        <v>29219051</v>
      </c>
      <c r="E56" s="101"/>
      <c r="F56" s="53">
        <v>3506038.41</v>
      </c>
      <c r="G56" s="53"/>
      <c r="H56" s="90"/>
      <c r="I56" s="81"/>
      <c r="R56" s="53"/>
      <c r="S56" s="53"/>
    </row>
    <row r="57" spans="2:19" x14ac:dyDescent="0.25">
      <c r="B57" s="119">
        <v>40634</v>
      </c>
      <c r="C57" s="53">
        <v>32666</v>
      </c>
      <c r="D57" s="100">
        <v>29963026</v>
      </c>
      <c r="E57" s="101"/>
      <c r="F57" s="53">
        <v>3595041.32</v>
      </c>
      <c r="G57" s="53"/>
      <c r="H57" s="90"/>
      <c r="I57" s="81"/>
      <c r="R57" s="53"/>
      <c r="S57" s="53"/>
    </row>
    <row r="58" spans="2:19" x14ac:dyDescent="0.25">
      <c r="B58" s="119">
        <v>40664</v>
      </c>
      <c r="C58" s="53">
        <v>32663</v>
      </c>
      <c r="D58" s="100">
        <v>27226378</v>
      </c>
      <c r="E58" s="101"/>
      <c r="F58" s="53">
        <v>3269294.02</v>
      </c>
      <c r="G58" s="53"/>
      <c r="H58" s="90"/>
      <c r="I58" s="81"/>
      <c r="R58" s="53"/>
      <c r="S58" s="53"/>
    </row>
    <row r="59" spans="2:19" x14ac:dyDescent="0.25">
      <c r="B59" s="119">
        <v>40695</v>
      </c>
      <c r="C59" s="53">
        <v>32674</v>
      </c>
      <c r="D59" s="100">
        <v>29585978</v>
      </c>
      <c r="E59" s="101"/>
      <c r="F59" s="53">
        <v>3553380.98</v>
      </c>
      <c r="G59" s="53"/>
      <c r="H59" s="90"/>
      <c r="I59" s="81"/>
      <c r="R59" s="53"/>
      <c r="S59" s="53"/>
    </row>
    <row r="60" spans="2:19" x14ac:dyDescent="0.25">
      <c r="B60" s="119">
        <v>40725</v>
      </c>
      <c r="C60" s="53">
        <v>32708</v>
      </c>
      <c r="D60" s="100">
        <v>40545480</v>
      </c>
      <c r="E60" s="101"/>
      <c r="F60" s="53">
        <v>4862924.8499999996</v>
      </c>
      <c r="G60" s="53"/>
      <c r="H60" s="90"/>
      <c r="I60" s="81"/>
      <c r="R60" s="53"/>
      <c r="S60" s="53"/>
    </row>
    <row r="61" spans="2:19" x14ac:dyDescent="0.25">
      <c r="B61" s="119">
        <v>40756</v>
      </c>
      <c r="C61" s="53">
        <v>32723</v>
      </c>
      <c r="D61" s="100">
        <v>42893395</v>
      </c>
      <c r="E61" s="101"/>
      <c r="F61" s="53">
        <v>5143921.6100000003</v>
      </c>
      <c r="G61" s="53"/>
      <c r="H61" s="90"/>
      <c r="I61" s="81"/>
      <c r="R61" s="53"/>
      <c r="S61" s="53"/>
    </row>
    <row r="62" spans="2:19" x14ac:dyDescent="0.25">
      <c r="B62" s="119">
        <v>40422</v>
      </c>
      <c r="C62" s="53">
        <v>32970</v>
      </c>
      <c r="D62" s="100">
        <v>41034418</v>
      </c>
      <c r="E62" s="101"/>
      <c r="F62" s="53">
        <v>4921012.88</v>
      </c>
      <c r="G62" s="53"/>
      <c r="H62" s="90"/>
      <c r="I62" s="81"/>
      <c r="R62" s="53"/>
      <c r="S62" s="53"/>
    </row>
    <row r="63" spans="2:19" x14ac:dyDescent="0.25">
      <c r="B63" s="119">
        <v>40452</v>
      </c>
      <c r="C63" s="53">
        <v>32979</v>
      </c>
      <c r="D63" s="100">
        <v>30703514</v>
      </c>
      <c r="E63" s="101"/>
      <c r="F63" s="53">
        <v>3686879.15</v>
      </c>
      <c r="G63" s="53"/>
      <c r="H63" s="90"/>
      <c r="I63" s="81"/>
      <c r="R63" s="53"/>
      <c r="S63" s="53"/>
    </row>
    <row r="64" spans="2:19" x14ac:dyDescent="0.25">
      <c r="B64" s="119">
        <v>40483</v>
      </c>
      <c r="C64" s="53">
        <v>33022</v>
      </c>
      <c r="D64" s="100">
        <v>28826499</v>
      </c>
      <c r="E64" s="101"/>
      <c r="F64" s="53">
        <v>3461400.44</v>
      </c>
      <c r="G64" s="53"/>
      <c r="H64" s="90"/>
      <c r="I64" s="81"/>
      <c r="R64" s="53"/>
      <c r="S64" s="53"/>
    </row>
    <row r="65" spans="2:19" x14ac:dyDescent="0.25">
      <c r="B65" s="119">
        <v>40513</v>
      </c>
      <c r="C65" s="72">
        <v>33055</v>
      </c>
      <c r="D65" s="102">
        <v>33277338</v>
      </c>
      <c r="E65" s="103"/>
      <c r="F65" s="72">
        <v>3991676.19</v>
      </c>
      <c r="G65" s="53"/>
      <c r="H65" s="90"/>
      <c r="I65" s="81"/>
      <c r="R65" s="53"/>
      <c r="S65" s="53"/>
    </row>
    <row r="66" spans="2:19" x14ac:dyDescent="0.25">
      <c r="B66" s="19"/>
      <c r="C66" s="53">
        <f>SUM(C54:C65)</f>
        <v>393483</v>
      </c>
      <c r="D66" s="92">
        <f>SUM(D54:D65)</f>
        <v>405811118</v>
      </c>
      <c r="E66" s="88">
        <f>SUM(E54:E65)</f>
        <v>0</v>
      </c>
      <c r="F66" s="88">
        <f>SUM(F54:F65)</f>
        <v>48685732.799999997</v>
      </c>
      <c r="G66" s="88"/>
      <c r="H66" s="53"/>
      <c r="I66" s="53"/>
      <c r="R66" s="53"/>
      <c r="S66" s="53"/>
    </row>
    <row r="67" spans="2:19" x14ac:dyDescent="0.25">
      <c r="B67" s="19"/>
      <c r="C67" s="53"/>
      <c r="D67" s="53"/>
      <c r="F67" s="53"/>
      <c r="G67" s="53"/>
      <c r="H67" s="53"/>
      <c r="I67" s="53"/>
      <c r="R67" s="53"/>
      <c r="S67" s="53"/>
    </row>
    <row r="68" spans="2:19" x14ac:dyDescent="0.25">
      <c r="B68" s="19"/>
      <c r="C68" s="53"/>
      <c r="D68" s="92"/>
      <c r="F68" s="53"/>
      <c r="G68" s="53"/>
      <c r="H68" s="53"/>
      <c r="I68" s="53"/>
      <c r="R68" s="53"/>
      <c r="S68" s="53"/>
    </row>
    <row r="71" spans="2:19" x14ac:dyDescent="0.25">
      <c r="B71" s="19"/>
      <c r="C71" s="53"/>
      <c r="D71" s="53"/>
      <c r="E71" s="19"/>
      <c r="F71" s="19"/>
      <c r="G71" s="19"/>
    </row>
    <row r="72" spans="2:19" x14ac:dyDescent="0.25">
      <c r="B72" s="19"/>
      <c r="C72" s="55"/>
      <c r="D72" s="69"/>
      <c r="E72" s="74"/>
      <c r="F72" s="19"/>
      <c r="G72" s="19"/>
    </row>
    <row r="73" spans="2:19" x14ac:dyDescent="0.25">
      <c r="B73" s="19"/>
      <c r="C73" s="55"/>
      <c r="D73" s="69"/>
      <c r="E73" s="74"/>
      <c r="F73" s="19"/>
      <c r="G73" s="19"/>
    </row>
    <row r="74" spans="2:19" x14ac:dyDescent="0.25">
      <c r="B74" s="19"/>
      <c r="C74" s="55"/>
      <c r="D74" s="69"/>
      <c r="E74" s="74"/>
      <c r="F74" s="19"/>
      <c r="G74" s="19"/>
    </row>
    <row r="75" spans="2:19" x14ac:dyDescent="0.25">
      <c r="B75" s="19"/>
      <c r="C75" s="55"/>
      <c r="D75" s="69"/>
      <c r="E75" s="74"/>
      <c r="F75" s="19"/>
      <c r="G75" s="19"/>
      <c r="J75" s="19"/>
    </row>
    <row r="76" spans="2:19" x14ac:dyDescent="0.25">
      <c r="B76" s="19"/>
      <c r="C76" s="55"/>
      <c r="D76" s="69"/>
      <c r="E76" s="74"/>
      <c r="F76" s="19"/>
      <c r="G76" s="19"/>
      <c r="J76" s="19"/>
    </row>
    <row r="77" spans="2:19" x14ac:dyDescent="0.25">
      <c r="B77" s="19"/>
      <c r="C77" s="55"/>
      <c r="D77" s="69"/>
      <c r="E77" s="74"/>
      <c r="F77" s="19"/>
      <c r="G77" s="19"/>
      <c r="J77" s="19"/>
    </row>
    <row r="78" spans="2:19" x14ac:dyDescent="0.25">
      <c r="B78" s="19"/>
      <c r="C78" s="55"/>
      <c r="D78" s="69"/>
      <c r="E78" s="74"/>
      <c r="F78" s="19"/>
      <c r="G78" s="19"/>
      <c r="J78" s="19"/>
    </row>
    <row r="79" spans="2:19" x14ac:dyDescent="0.25">
      <c r="B79" s="19"/>
      <c r="C79" s="55"/>
      <c r="D79" s="69"/>
      <c r="E79" s="74"/>
      <c r="F79" s="19"/>
      <c r="G79" s="19"/>
      <c r="J79" s="19"/>
    </row>
    <row r="80" spans="2:19" x14ac:dyDescent="0.25">
      <c r="B80" s="19"/>
      <c r="C80" s="55"/>
      <c r="D80" s="69"/>
      <c r="E80" s="74"/>
      <c r="F80" s="19"/>
      <c r="G80" s="19"/>
      <c r="J80" s="19"/>
    </row>
    <row r="81" spans="2:10" x14ac:dyDescent="0.25">
      <c r="B81" s="19"/>
      <c r="C81" s="55"/>
      <c r="D81" s="69"/>
      <c r="E81" s="74"/>
      <c r="F81" s="19"/>
      <c r="G81" s="19"/>
      <c r="J81" s="19"/>
    </row>
    <row r="82" spans="2:10" x14ac:dyDescent="0.25">
      <c r="B82" s="19"/>
      <c r="C82" s="55"/>
      <c r="D82" s="69"/>
      <c r="E82" s="74"/>
      <c r="F82" s="19"/>
      <c r="G82" s="19"/>
      <c r="J82" s="19"/>
    </row>
    <row r="83" spans="2:10" x14ac:dyDescent="0.25">
      <c r="B83" s="19"/>
      <c r="C83" s="55"/>
      <c r="D83" s="69"/>
      <c r="E83" s="74"/>
      <c r="F83" s="19"/>
      <c r="G83" s="19"/>
      <c r="J83" s="19"/>
    </row>
    <row r="84" spans="2:10" x14ac:dyDescent="0.25">
      <c r="B84" s="19"/>
      <c r="C84" s="19"/>
      <c r="D84" s="69"/>
      <c r="E84" s="19"/>
      <c r="F84" s="19"/>
      <c r="G84" s="19"/>
      <c r="J84" s="19"/>
    </row>
    <row r="85" spans="2:10" x14ac:dyDescent="0.25">
      <c r="B85" s="19"/>
      <c r="C85" s="19"/>
      <c r="D85" s="19"/>
      <c r="E85" s="19"/>
      <c r="F85" s="19"/>
      <c r="G85" s="19"/>
      <c r="J85" s="19"/>
    </row>
  </sheetData>
  <mergeCells count="6">
    <mergeCell ref="D4:G5"/>
    <mergeCell ref="E7:F7"/>
    <mergeCell ref="T4:W5"/>
    <mergeCell ref="U7:V7"/>
    <mergeCell ref="L4:O5"/>
    <mergeCell ref="M7:N7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00000"/>
    <pageSetUpPr fitToPage="1"/>
  </sheetPr>
  <dimension ref="A1:W106"/>
  <sheetViews>
    <sheetView view="pageBreakPreview" topLeftCell="A4" zoomScale="85" zoomScaleNormal="85" zoomScaleSheetLayoutView="85" workbookViewId="0">
      <selection activeCell="Y26" sqref="Y26"/>
    </sheetView>
  </sheetViews>
  <sheetFormatPr defaultColWidth="9.140625" defaultRowHeight="15.75" x14ac:dyDescent="0.25"/>
  <cols>
    <col min="1" max="1" width="4.7109375" style="2" customWidth="1"/>
    <col min="2" max="2" width="15" style="2" bestFit="1" customWidth="1"/>
    <col min="3" max="3" width="22.28515625" style="2" customWidth="1"/>
    <col min="4" max="4" width="14.5703125" style="2" bestFit="1" customWidth="1"/>
    <col min="5" max="5" width="17" style="2" customWidth="1"/>
    <col min="6" max="6" width="2.7109375" style="2" customWidth="1"/>
    <col min="7" max="7" width="18" style="2" bestFit="1" customWidth="1"/>
    <col min="8" max="8" width="10" style="2" customWidth="1"/>
    <col min="9" max="10" width="4.7109375" style="2" customWidth="1"/>
    <col min="11" max="11" width="19.85546875" style="2" customWidth="1"/>
    <col min="12" max="12" width="14.5703125" style="2" customWidth="1"/>
    <col min="13" max="13" width="20.85546875" style="2" hidden="1" customWidth="1"/>
    <col min="14" max="14" width="2.7109375" style="2" hidden="1" customWidth="1"/>
    <col min="15" max="15" width="15.5703125" style="2" hidden="1" customWidth="1"/>
    <col min="16" max="16" width="10.28515625" style="2" hidden="1" customWidth="1"/>
    <col min="17" max="17" width="5" style="2" hidden="1" customWidth="1"/>
    <col min="18" max="18" width="9.140625" style="2" hidden="1" customWidth="1"/>
    <col min="19" max="19" width="22.7109375" style="2" hidden="1" customWidth="1"/>
    <col min="20" max="20" width="14.42578125" style="2" hidden="1" customWidth="1"/>
    <col min="21" max="21" width="12.7109375" style="2" hidden="1" customWidth="1"/>
    <col min="22" max="22" width="2.85546875" style="2" hidden="1" customWidth="1"/>
    <col min="23" max="23" width="17.7109375" style="2" hidden="1" customWidth="1"/>
    <col min="24" max="16384" width="9.140625" style="2"/>
  </cols>
  <sheetData>
    <row r="1" spans="1:23" x14ac:dyDescent="0.25">
      <c r="A1" s="1" t="s">
        <v>66</v>
      </c>
      <c r="I1" s="1"/>
      <c r="Q1" s="1"/>
    </row>
    <row r="2" spans="1:23" x14ac:dyDescent="0.25">
      <c r="A2" s="34" t="s">
        <v>73</v>
      </c>
      <c r="I2" s="34"/>
      <c r="Q2" s="34"/>
    </row>
    <row r="3" spans="1:23" ht="16.5" thickBot="1" x14ac:dyDescent="0.3">
      <c r="A3" s="34" t="s">
        <v>83</v>
      </c>
      <c r="B3" s="34"/>
      <c r="C3" s="34"/>
      <c r="I3" s="34"/>
      <c r="J3" s="34"/>
      <c r="K3" s="34"/>
      <c r="Q3" s="34"/>
    </row>
    <row r="4" spans="1:23" x14ac:dyDescent="0.25">
      <c r="A4" s="34"/>
      <c r="B4" s="34"/>
      <c r="C4" s="34"/>
      <c r="D4" s="489" t="s">
        <v>30</v>
      </c>
      <c r="E4" s="490"/>
      <c r="F4" s="490"/>
      <c r="G4" s="491"/>
      <c r="L4" s="489" t="s">
        <v>47</v>
      </c>
      <c r="M4" s="490"/>
      <c r="N4" s="490"/>
      <c r="O4" s="491"/>
      <c r="T4" s="489" t="s">
        <v>51</v>
      </c>
      <c r="U4" s="490"/>
      <c r="V4" s="490"/>
      <c r="W4" s="491"/>
    </row>
    <row r="5" spans="1:23" ht="16.5" thickBot="1" x14ac:dyDescent="0.3">
      <c r="A5" s="3"/>
      <c r="B5" s="3"/>
      <c r="C5" s="3"/>
      <c r="D5" s="492"/>
      <c r="E5" s="488"/>
      <c r="F5" s="488"/>
      <c r="G5" s="493"/>
      <c r="I5" s="3"/>
      <c r="J5" s="3"/>
      <c r="K5" s="3"/>
      <c r="L5" s="492"/>
      <c r="M5" s="488"/>
      <c r="N5" s="488"/>
      <c r="O5" s="493"/>
      <c r="Q5" s="3"/>
      <c r="R5" s="3"/>
      <c r="S5" s="3"/>
      <c r="T5" s="492"/>
      <c r="U5" s="488"/>
      <c r="V5" s="488"/>
      <c r="W5" s="493"/>
    </row>
    <row r="6" spans="1:23" x14ac:dyDescent="0.25">
      <c r="A6" s="4"/>
      <c r="B6" s="4"/>
      <c r="C6" s="4"/>
      <c r="D6" s="4" t="s">
        <v>1</v>
      </c>
      <c r="E6" s="4"/>
      <c r="F6" s="4"/>
      <c r="G6" s="4" t="s">
        <v>2</v>
      </c>
      <c r="I6" s="4"/>
      <c r="J6" s="4"/>
      <c r="K6" s="4"/>
      <c r="L6" s="4" t="s">
        <v>1</v>
      </c>
      <c r="M6" s="4"/>
      <c r="N6" s="4"/>
      <c r="O6" s="4" t="s">
        <v>2</v>
      </c>
      <c r="Q6" s="4"/>
      <c r="R6" s="4"/>
      <c r="S6" s="4"/>
      <c r="T6" s="4" t="s">
        <v>1</v>
      </c>
      <c r="U6" s="4"/>
      <c r="V6" s="4"/>
      <c r="W6" s="4" t="s">
        <v>2</v>
      </c>
    </row>
    <row r="7" spans="1:23" ht="16.5" thickBot="1" x14ac:dyDescent="0.3">
      <c r="A7" s="5"/>
      <c r="B7" s="5"/>
      <c r="C7" s="5"/>
      <c r="D7" s="5" t="s">
        <v>4</v>
      </c>
      <c r="E7" s="488" t="s">
        <v>5</v>
      </c>
      <c r="F7" s="488"/>
      <c r="G7" s="5" t="s">
        <v>6</v>
      </c>
      <c r="I7" s="5"/>
      <c r="J7" s="5"/>
      <c r="K7" s="5"/>
      <c r="L7" s="5" t="s">
        <v>4</v>
      </c>
      <c r="M7" s="488" t="s">
        <v>5</v>
      </c>
      <c r="N7" s="488"/>
      <c r="O7" s="5" t="s">
        <v>6</v>
      </c>
      <c r="Q7" s="5"/>
      <c r="R7" s="5"/>
      <c r="S7" s="5"/>
      <c r="T7" s="5" t="s">
        <v>4</v>
      </c>
      <c r="U7" s="488" t="s">
        <v>5</v>
      </c>
      <c r="V7" s="488"/>
      <c r="W7" s="5" t="s">
        <v>6</v>
      </c>
    </row>
    <row r="10" spans="1:23" x14ac:dyDescent="0.25">
      <c r="A10" s="1" t="s">
        <v>34</v>
      </c>
      <c r="I10" s="1" t="s">
        <v>34</v>
      </c>
      <c r="Q10" s="1" t="s">
        <v>10</v>
      </c>
    </row>
    <row r="11" spans="1:23" ht="31.5" x14ac:dyDescent="0.25">
      <c r="D11" s="6" t="s">
        <v>9</v>
      </c>
      <c r="E11" s="6" t="s">
        <v>12</v>
      </c>
      <c r="L11" s="6" t="s">
        <v>9</v>
      </c>
      <c r="M11" s="6" t="s">
        <v>12</v>
      </c>
      <c r="T11" s="6" t="s">
        <v>9</v>
      </c>
      <c r="U11" s="6" t="s">
        <v>12</v>
      </c>
    </row>
    <row r="12" spans="1:23" x14ac:dyDescent="0.25">
      <c r="B12" s="2" t="s">
        <v>40</v>
      </c>
      <c r="D12" s="8">
        <f>D52+D70+D88+D106</f>
        <v>211</v>
      </c>
      <c r="E12" s="9">
        <v>5</v>
      </c>
      <c r="G12" s="11">
        <f>D12*E12</f>
        <v>1055</v>
      </c>
      <c r="J12" s="2" t="s">
        <v>40</v>
      </c>
      <c r="L12" s="8">
        <f>D12</f>
        <v>211</v>
      </c>
      <c r="M12" s="9">
        <v>28.119042541556922</v>
      </c>
      <c r="O12" s="11">
        <f>L12*M12</f>
        <v>5933.1179762685106</v>
      </c>
      <c r="R12" s="2" t="s">
        <v>9</v>
      </c>
      <c r="T12" s="8">
        <f>L12</f>
        <v>211</v>
      </c>
      <c r="U12" s="9">
        <f>M12</f>
        <v>28.119042541556922</v>
      </c>
      <c r="W12" s="11">
        <f>T12*U12</f>
        <v>5933.1179762685106</v>
      </c>
    </row>
    <row r="13" spans="1:23" x14ac:dyDescent="0.25">
      <c r="D13" s="8"/>
      <c r="G13" s="18"/>
      <c r="L13" s="8"/>
      <c r="O13" s="18"/>
      <c r="W13" s="11"/>
    </row>
    <row r="14" spans="1:23" x14ac:dyDescent="0.25">
      <c r="A14" s="1" t="s">
        <v>7</v>
      </c>
      <c r="D14" s="8"/>
      <c r="G14" s="11"/>
      <c r="I14" s="1" t="s">
        <v>7</v>
      </c>
      <c r="L14" s="8"/>
      <c r="O14" s="11"/>
    </row>
    <row r="15" spans="1:23" x14ac:dyDescent="0.25">
      <c r="D15" s="13" t="s">
        <v>8</v>
      </c>
      <c r="E15" s="12" t="s">
        <v>11</v>
      </c>
      <c r="G15" s="11"/>
      <c r="L15" s="13" t="s">
        <v>8</v>
      </c>
      <c r="M15" s="12" t="s">
        <v>11</v>
      </c>
      <c r="O15" s="11"/>
      <c r="Q15" s="1" t="s">
        <v>7</v>
      </c>
      <c r="T15" s="8"/>
      <c r="W15" s="11"/>
    </row>
    <row r="16" spans="1:23" x14ac:dyDescent="0.25">
      <c r="G16" s="11"/>
      <c r="H16" s="15"/>
      <c r="O16" s="11"/>
      <c r="P16" s="15"/>
      <c r="T16" s="13" t="s">
        <v>8</v>
      </c>
      <c r="U16" s="12" t="s">
        <v>11</v>
      </c>
      <c r="W16" s="11"/>
    </row>
    <row r="17" spans="1:23" x14ac:dyDescent="0.25">
      <c r="C17" s="2" t="s">
        <v>74</v>
      </c>
      <c r="D17" s="39">
        <f>L52+L70</f>
        <v>152656</v>
      </c>
      <c r="E17" s="40">
        <v>0.12958</v>
      </c>
      <c r="F17" s="19"/>
      <c r="G17" s="18">
        <f>D17*E17</f>
        <v>19781.164479999999</v>
      </c>
      <c r="H17" s="15"/>
      <c r="K17" s="2" t="s">
        <v>48</v>
      </c>
      <c r="L17" s="39">
        <f>D21</f>
        <v>287187</v>
      </c>
      <c r="M17" s="67">
        <v>3.0599472934085808E-2</v>
      </c>
      <c r="N17" s="19"/>
      <c r="O17" s="18">
        <f>L17*M17</f>
        <v>8787.770833521301</v>
      </c>
      <c r="P17" s="15"/>
      <c r="R17" s="2" t="s">
        <v>49</v>
      </c>
      <c r="S17" s="16"/>
      <c r="T17" s="39">
        <f>D17</f>
        <v>152656</v>
      </c>
      <c r="U17" s="67">
        <v>0.19430837118280289</v>
      </c>
      <c r="V17" s="19"/>
      <c r="W17" s="50">
        <f>T17*U17</f>
        <v>29662.338711281958</v>
      </c>
    </row>
    <row r="18" spans="1:23" x14ac:dyDescent="0.25">
      <c r="C18" s="19" t="s">
        <v>75</v>
      </c>
      <c r="D18" s="39">
        <f>K52+K70</f>
        <v>98960</v>
      </c>
      <c r="E18" s="40">
        <v>8.4940000000000002E-2</v>
      </c>
      <c r="F18" s="19"/>
      <c r="G18" s="46">
        <f>D18*E18</f>
        <v>8405.6623999999993</v>
      </c>
      <c r="H18" s="19"/>
      <c r="K18" s="2" t="s">
        <v>31</v>
      </c>
      <c r="L18" s="8">
        <f>L17</f>
        <v>287187</v>
      </c>
      <c r="M18" s="105">
        <v>4.3642882987992938E-2</v>
      </c>
      <c r="O18" s="46">
        <f>L18*M18</f>
        <v>12533.668636672728</v>
      </c>
      <c r="P18" s="19"/>
      <c r="R18" s="7" t="s">
        <v>50</v>
      </c>
      <c r="S18" s="12"/>
      <c r="T18" s="20">
        <f>D18</f>
        <v>98960</v>
      </c>
      <c r="U18" s="91">
        <f>M17+M21</f>
        <v>5.0224803372726182E-2</v>
      </c>
      <c r="V18" s="47"/>
      <c r="W18" s="47">
        <f>T18*U18</f>
        <v>4970.2465417649828</v>
      </c>
    </row>
    <row r="19" spans="1:23" x14ac:dyDescent="0.25">
      <c r="C19" s="2" t="s">
        <v>76</v>
      </c>
      <c r="D19" s="39">
        <f>L88+L106</f>
        <v>24841</v>
      </c>
      <c r="E19" s="40">
        <v>0.12009</v>
      </c>
      <c r="F19" s="19"/>
      <c r="G19" s="46">
        <f>D19*E19</f>
        <v>2983.15569</v>
      </c>
      <c r="H19" s="19"/>
      <c r="L19" s="8"/>
      <c r="M19" s="105"/>
      <c r="O19" s="46"/>
      <c r="P19" s="19"/>
      <c r="R19" s="19"/>
      <c r="S19" s="23"/>
      <c r="T19" s="39"/>
      <c r="U19" s="104"/>
      <c r="V19" s="46"/>
      <c r="W19" s="46"/>
    </row>
    <row r="20" spans="1:23" x14ac:dyDescent="0.25">
      <c r="C20" s="7" t="s">
        <v>77</v>
      </c>
      <c r="D20" s="20">
        <f>K88+K106</f>
        <v>10730</v>
      </c>
      <c r="E20" s="33">
        <v>7.5139999999999998E-2</v>
      </c>
      <c r="F20" s="7"/>
      <c r="G20" s="47">
        <f>D20*E20</f>
        <v>806.25220000000002</v>
      </c>
      <c r="H20" s="19"/>
      <c r="L20" s="8"/>
      <c r="M20" s="105"/>
      <c r="O20" s="46"/>
      <c r="P20" s="19"/>
      <c r="R20" s="19"/>
      <c r="S20" s="23"/>
      <c r="T20" s="39"/>
      <c r="U20" s="104"/>
      <c r="V20" s="46"/>
      <c r="W20" s="46"/>
    </row>
    <row r="21" spans="1:23" x14ac:dyDescent="0.25">
      <c r="B21" s="2" t="s">
        <v>21</v>
      </c>
      <c r="C21" s="16"/>
      <c r="D21" s="8">
        <f>SUM(D17:D20)</f>
        <v>287187</v>
      </c>
      <c r="E21" s="21"/>
      <c r="G21" s="18">
        <f>SUM(G17:G20)</f>
        <v>31976.234769999999</v>
      </c>
      <c r="H21" s="15"/>
      <c r="K21" s="7" t="s">
        <v>27</v>
      </c>
      <c r="L21" s="20">
        <f>L17</f>
        <v>287187</v>
      </c>
      <c r="M21" s="91">
        <v>1.9625330438640377E-2</v>
      </c>
      <c r="N21" s="7"/>
      <c r="O21" s="47">
        <f>L21*M21</f>
        <v>5636.1397726818141</v>
      </c>
      <c r="P21" s="15"/>
      <c r="S21" s="16"/>
      <c r="T21" s="39"/>
      <c r="U21" s="104"/>
      <c r="V21" s="46"/>
      <c r="W21" s="46">
        <f>SUM(W17:W18)</f>
        <v>34632.585253046942</v>
      </c>
    </row>
    <row r="22" spans="1:23" x14ac:dyDescent="0.25">
      <c r="B22" s="19"/>
      <c r="C22" s="19"/>
      <c r="D22" s="39"/>
      <c r="E22" s="40"/>
      <c r="F22" s="19"/>
      <c r="G22" s="18"/>
      <c r="H22" s="19"/>
      <c r="J22" s="2" t="s">
        <v>21</v>
      </c>
      <c r="K22" s="16"/>
      <c r="L22" s="8"/>
      <c r="M22" s="68">
        <f>SUM(M17:M21)</f>
        <v>9.3867686360719127E-2</v>
      </c>
      <c r="O22" s="18">
        <f>SUM(O17:O21)</f>
        <v>26957.579242875843</v>
      </c>
      <c r="P22" s="19"/>
    </row>
    <row r="23" spans="1:23" x14ac:dyDescent="0.25">
      <c r="A23" s="1"/>
      <c r="B23" s="19"/>
      <c r="C23" s="19"/>
      <c r="D23" s="39"/>
      <c r="E23" s="9"/>
      <c r="F23" s="19"/>
      <c r="G23" s="18"/>
      <c r="H23" s="19"/>
      <c r="J23" s="19"/>
      <c r="K23" s="19"/>
      <c r="L23" s="39"/>
      <c r="M23" s="40"/>
      <c r="N23" s="19"/>
      <c r="O23" s="18"/>
      <c r="P23" s="19"/>
    </row>
    <row r="24" spans="1:23" x14ac:dyDescent="0.25">
      <c r="B24" s="19"/>
      <c r="C24" s="19"/>
      <c r="D24" s="39"/>
      <c r="E24" s="40"/>
      <c r="F24" s="19"/>
      <c r="G24" s="18"/>
      <c r="H24" s="19"/>
      <c r="I24" s="1" t="s">
        <v>18</v>
      </c>
      <c r="J24" s="19"/>
      <c r="K24" s="19"/>
      <c r="L24" s="39">
        <v>0</v>
      </c>
      <c r="M24" s="9">
        <v>20</v>
      </c>
      <c r="N24" s="19"/>
      <c r="O24" s="18">
        <f>L24*M24</f>
        <v>0</v>
      </c>
      <c r="P24" s="19"/>
      <c r="Q24" s="1" t="s">
        <v>18</v>
      </c>
      <c r="R24" s="19"/>
      <c r="S24" s="19"/>
      <c r="T24" s="39">
        <f>S70</f>
        <v>0</v>
      </c>
      <c r="U24" s="9">
        <v>20</v>
      </c>
      <c r="V24" s="19"/>
      <c r="W24" s="18">
        <f>T24*U24</f>
        <v>0</v>
      </c>
    </row>
    <row r="25" spans="1:23" x14ac:dyDescent="0.25">
      <c r="D25" s="8"/>
      <c r="G25" s="11"/>
      <c r="H25" s="19"/>
      <c r="J25" s="19"/>
      <c r="K25" s="19"/>
      <c r="L25" s="39"/>
      <c r="M25" s="40"/>
      <c r="N25" s="19"/>
      <c r="O25" s="18"/>
      <c r="P25" s="19"/>
      <c r="T25" s="8"/>
      <c r="W25" s="11"/>
    </row>
    <row r="26" spans="1:23" ht="16.5" thickBot="1" x14ac:dyDescent="0.3">
      <c r="A26" s="128" t="s">
        <v>80</v>
      </c>
      <c r="E26" s="21"/>
      <c r="G26" s="29">
        <f>G21+G12</f>
        <v>33031.234769999995</v>
      </c>
      <c r="H26" s="19"/>
      <c r="L26" s="8"/>
      <c r="O26" s="11"/>
      <c r="P26" s="19"/>
      <c r="T26" s="8"/>
      <c r="W26" s="11"/>
    </row>
    <row r="27" spans="1:23" ht="17.25" thickTop="1" thickBot="1" x14ac:dyDescent="0.3">
      <c r="A27" s="128"/>
      <c r="B27" s="1"/>
      <c r="G27" s="18"/>
      <c r="I27" s="1" t="s">
        <v>35</v>
      </c>
      <c r="O27" s="29">
        <f>O22+O12+O24</f>
        <v>32890.697219144356</v>
      </c>
      <c r="Q27" s="1" t="s">
        <v>35</v>
      </c>
      <c r="W27" s="29">
        <f>W12+W21+W24</f>
        <v>40565.703229315455</v>
      </c>
    </row>
    <row r="28" spans="1:23" ht="16.5" thickTop="1" x14ac:dyDescent="0.25">
      <c r="A28" s="85" t="s">
        <v>19</v>
      </c>
      <c r="B28" s="10"/>
      <c r="G28" s="11">
        <f>G52+E52+E70+G70+E88+G88+E106+G106</f>
        <v>33198.890000000007</v>
      </c>
      <c r="H28" s="25"/>
      <c r="I28" s="1"/>
      <c r="J28" s="1"/>
      <c r="O28" s="18"/>
      <c r="P28" s="25"/>
    </row>
    <row r="29" spans="1:23" x14ac:dyDescent="0.25">
      <c r="A29" s="129"/>
      <c r="B29" s="10"/>
      <c r="G29" s="10"/>
      <c r="H29" s="25"/>
      <c r="I29" s="44" t="s">
        <v>13</v>
      </c>
      <c r="J29" s="10"/>
      <c r="O29" s="27">
        <f>O27-G26</f>
        <v>-140.53755085563898</v>
      </c>
      <c r="P29" s="25"/>
      <c r="Q29" s="44" t="s">
        <v>13</v>
      </c>
      <c r="R29" s="19"/>
      <c r="S29" s="19"/>
      <c r="T29" s="39"/>
      <c r="U29" s="40"/>
      <c r="V29" s="19"/>
      <c r="W29" s="18">
        <f>W27-G26</f>
        <v>7534.4684593154598</v>
      </c>
    </row>
    <row r="30" spans="1:23" x14ac:dyDescent="0.25">
      <c r="A30" s="85" t="s">
        <v>13</v>
      </c>
      <c r="B30" s="10"/>
      <c r="G30" s="27">
        <f>G26-G28</f>
        <v>-167.65523000001122</v>
      </c>
      <c r="I30" s="10"/>
      <c r="J30" s="10"/>
      <c r="O30" s="11"/>
      <c r="Q30" s="19"/>
      <c r="R30" s="19"/>
      <c r="S30" s="19"/>
      <c r="T30" s="39"/>
      <c r="U30" s="19"/>
      <c r="V30" s="19"/>
      <c r="W30" s="17"/>
    </row>
    <row r="31" spans="1:23" x14ac:dyDescent="0.25">
      <c r="A31" s="129"/>
      <c r="B31" s="10"/>
      <c r="G31" s="11"/>
      <c r="I31" s="44" t="s">
        <v>26</v>
      </c>
      <c r="J31" s="10"/>
      <c r="O31" s="28">
        <f>O29/G26</f>
        <v>-4.2546865666456893E-3</v>
      </c>
      <c r="Q31" s="44" t="s">
        <v>22</v>
      </c>
      <c r="R31" s="19"/>
      <c r="S31" s="19"/>
      <c r="T31" s="39"/>
      <c r="U31" s="19"/>
      <c r="V31" s="19"/>
      <c r="W31" s="28">
        <f>W29/G26</f>
        <v>0.22810132626826596</v>
      </c>
    </row>
    <row r="32" spans="1:23" x14ac:dyDescent="0.25">
      <c r="A32" s="85" t="s">
        <v>26</v>
      </c>
      <c r="B32" s="10"/>
      <c r="G32" s="28">
        <f>G30/G28</f>
        <v>-5.0500251665043976E-3</v>
      </c>
    </row>
    <row r="35" spans="1:16" x14ac:dyDescent="0.25">
      <c r="A35" s="11"/>
      <c r="B35" s="11"/>
      <c r="I35" s="11"/>
      <c r="J35" s="11"/>
    </row>
    <row r="36" spans="1:16" x14ac:dyDescent="0.25">
      <c r="A36" s="10"/>
      <c r="B36" s="10"/>
      <c r="I36" s="10"/>
      <c r="J36" s="10"/>
      <c r="O36" s="18"/>
    </row>
    <row r="37" spans="1:16" x14ac:dyDescent="0.25">
      <c r="A37" s="27"/>
      <c r="B37" s="121" t="s">
        <v>71</v>
      </c>
      <c r="G37" s="32"/>
      <c r="I37" s="27"/>
      <c r="J37" s="27"/>
      <c r="K37" s="19"/>
      <c r="L37" s="19"/>
    </row>
    <row r="38" spans="1:16" x14ac:dyDescent="0.25">
      <c r="A38" s="27"/>
      <c r="B38" s="121"/>
      <c r="G38" s="32"/>
      <c r="I38" s="27"/>
      <c r="J38" s="27"/>
      <c r="K38" s="19"/>
      <c r="L38" s="19"/>
    </row>
    <row r="39" spans="1:16" x14ac:dyDescent="0.25">
      <c r="A39" s="11"/>
      <c r="B39" s="52" t="s">
        <v>25</v>
      </c>
      <c r="C39" s="52" t="s">
        <v>8</v>
      </c>
      <c r="D39" s="53" t="s">
        <v>24</v>
      </c>
      <c r="E39" s="52" t="s">
        <v>45</v>
      </c>
      <c r="F39" s="52"/>
      <c r="G39" s="52" t="s">
        <v>46</v>
      </c>
      <c r="K39" s="53" t="s">
        <v>39</v>
      </c>
      <c r="L39" s="53" t="s">
        <v>38</v>
      </c>
      <c r="O39" s="11"/>
    </row>
    <row r="40" spans="1:16" x14ac:dyDescent="0.25">
      <c r="A40" s="28"/>
      <c r="B40" s="119">
        <v>40544</v>
      </c>
      <c r="C40" s="56">
        <v>28458</v>
      </c>
      <c r="D40" s="51">
        <v>11</v>
      </c>
      <c r="E40" s="66">
        <v>3182.82</v>
      </c>
      <c r="F40" s="66"/>
      <c r="G40" s="41">
        <v>55</v>
      </c>
      <c r="H40" s="26"/>
      <c r="I40" s="46"/>
      <c r="J40" s="19"/>
      <c r="K40" s="46"/>
      <c r="M40" s="87"/>
      <c r="N40" s="19"/>
      <c r="O40" s="87"/>
      <c r="P40" s="26"/>
    </row>
    <row r="41" spans="1:16" x14ac:dyDescent="0.25">
      <c r="B41" s="119">
        <v>40575</v>
      </c>
      <c r="C41" s="56">
        <v>23431</v>
      </c>
      <c r="D41" s="51">
        <v>10</v>
      </c>
      <c r="E41" s="66">
        <v>2616.89</v>
      </c>
      <c r="F41" s="66"/>
      <c r="G41" s="41">
        <v>55</v>
      </c>
      <c r="I41" s="46"/>
      <c r="J41" s="19"/>
      <c r="K41" s="46"/>
      <c r="M41" s="87"/>
      <c r="N41" s="87"/>
      <c r="O41" s="87"/>
    </row>
    <row r="42" spans="1:16" x14ac:dyDescent="0.25">
      <c r="B42" s="119">
        <v>40603</v>
      </c>
      <c r="C42" s="56">
        <v>17779</v>
      </c>
      <c r="D42" s="51">
        <v>11</v>
      </c>
      <c r="E42" s="66">
        <v>1992.38</v>
      </c>
      <c r="F42" s="66"/>
      <c r="G42" s="41">
        <v>55</v>
      </c>
      <c r="I42" s="46"/>
      <c r="J42" s="19"/>
      <c r="K42" s="46"/>
      <c r="M42" s="87"/>
      <c r="N42" s="19"/>
      <c r="O42" s="87"/>
    </row>
    <row r="43" spans="1:16" x14ac:dyDescent="0.25">
      <c r="B43" s="119">
        <v>40634</v>
      </c>
      <c r="C43" s="56">
        <v>15819</v>
      </c>
      <c r="D43" s="51">
        <v>12</v>
      </c>
      <c r="E43" s="66">
        <v>1781.83</v>
      </c>
      <c r="F43" s="66"/>
      <c r="G43" s="41">
        <v>55</v>
      </c>
      <c r="I43" s="46"/>
      <c r="J43" s="19"/>
      <c r="K43" s="46"/>
      <c r="M43" s="87"/>
      <c r="N43" s="19"/>
      <c r="O43" s="87"/>
    </row>
    <row r="44" spans="1:16" x14ac:dyDescent="0.25">
      <c r="B44" s="119">
        <v>40664</v>
      </c>
      <c r="C44" s="56">
        <v>14984</v>
      </c>
      <c r="D44" s="83">
        <v>12</v>
      </c>
      <c r="E44" s="95">
        <v>1693.66</v>
      </c>
      <c r="F44" s="95"/>
      <c r="G44" s="122">
        <v>55</v>
      </c>
      <c r="H44" s="34"/>
      <c r="I44" s="63"/>
      <c r="J44" s="19"/>
      <c r="K44" s="63"/>
      <c r="M44" s="87"/>
      <c r="N44" s="19"/>
      <c r="O44" s="87"/>
    </row>
    <row r="45" spans="1:16" x14ac:dyDescent="0.25">
      <c r="B45" s="119">
        <v>40695</v>
      </c>
      <c r="C45" s="56">
        <v>15169</v>
      </c>
      <c r="D45" s="83">
        <v>12</v>
      </c>
      <c r="E45" s="95">
        <v>1704.98</v>
      </c>
      <c r="F45" s="95"/>
      <c r="G45" s="122">
        <v>60</v>
      </c>
      <c r="H45" s="34"/>
      <c r="I45" s="63"/>
      <c r="J45" s="19"/>
      <c r="K45" s="63"/>
      <c r="M45" s="87"/>
      <c r="N45" s="19"/>
      <c r="O45" s="87"/>
    </row>
    <row r="46" spans="1:16" x14ac:dyDescent="0.25">
      <c r="B46" s="119">
        <v>40725</v>
      </c>
      <c r="C46" s="56">
        <v>16866</v>
      </c>
      <c r="D46" s="84">
        <v>12</v>
      </c>
      <c r="E46" s="95">
        <v>1908.21</v>
      </c>
      <c r="F46" s="95"/>
      <c r="G46" s="95">
        <v>60</v>
      </c>
      <c r="H46" s="34"/>
      <c r="I46" s="63"/>
      <c r="J46" s="19"/>
      <c r="K46" s="63"/>
      <c r="M46" s="87"/>
      <c r="N46" s="19"/>
      <c r="O46" s="87"/>
    </row>
    <row r="47" spans="1:16" ht="15" customHeight="1" x14ac:dyDescent="0.25">
      <c r="B47" s="119">
        <v>40756</v>
      </c>
      <c r="C47" s="56">
        <v>12521</v>
      </c>
      <c r="D47" s="84">
        <v>12</v>
      </c>
      <c r="E47" s="95">
        <v>1429.38</v>
      </c>
      <c r="F47" s="95"/>
      <c r="G47" s="95">
        <v>60</v>
      </c>
      <c r="H47" s="34"/>
      <c r="I47" s="63"/>
      <c r="J47" s="19"/>
      <c r="K47" s="63"/>
      <c r="M47" s="87"/>
      <c r="N47" s="19"/>
      <c r="O47" s="87"/>
    </row>
    <row r="48" spans="1:16" x14ac:dyDescent="0.25">
      <c r="B48" s="119">
        <v>40422</v>
      </c>
      <c r="C48" s="56">
        <v>15269</v>
      </c>
      <c r="D48" s="84">
        <v>10</v>
      </c>
      <c r="E48" s="95">
        <v>1710.4</v>
      </c>
      <c r="F48" s="95"/>
      <c r="G48" s="95">
        <v>50</v>
      </c>
      <c r="H48" s="34"/>
      <c r="I48" s="63"/>
      <c r="J48" s="19"/>
      <c r="K48" s="63"/>
      <c r="M48" s="87"/>
      <c r="N48" s="19"/>
      <c r="O48" s="87"/>
    </row>
    <row r="49" spans="1:15" x14ac:dyDescent="0.25">
      <c r="B49" s="119">
        <v>40452</v>
      </c>
      <c r="C49" s="56">
        <v>16067</v>
      </c>
      <c r="D49" s="54">
        <v>10</v>
      </c>
      <c r="E49" s="66">
        <v>1786.66</v>
      </c>
      <c r="F49" s="66"/>
      <c r="G49" s="66">
        <v>50</v>
      </c>
      <c r="I49" s="46"/>
      <c r="J49" s="19"/>
      <c r="K49" s="46"/>
      <c r="M49" s="87"/>
      <c r="N49" s="19"/>
      <c r="O49" s="87"/>
    </row>
    <row r="50" spans="1:15" x14ac:dyDescent="0.25">
      <c r="B50" s="119">
        <v>40483</v>
      </c>
      <c r="C50" s="56">
        <v>19134</v>
      </c>
      <c r="D50" s="54">
        <v>11</v>
      </c>
      <c r="E50" s="66">
        <v>2107.79</v>
      </c>
      <c r="F50" s="66"/>
      <c r="G50" s="66">
        <v>50</v>
      </c>
      <c r="I50" s="46"/>
      <c r="J50" s="19"/>
      <c r="M50" s="87"/>
      <c r="N50" s="19"/>
      <c r="O50" s="87"/>
    </row>
    <row r="51" spans="1:15" x14ac:dyDescent="0.25">
      <c r="B51" s="119">
        <v>40513</v>
      </c>
      <c r="C51" s="75">
        <v>25773</v>
      </c>
      <c r="D51" s="38">
        <v>11</v>
      </c>
      <c r="E51" s="123">
        <v>2834.79</v>
      </c>
      <c r="F51" s="123"/>
      <c r="G51" s="123">
        <v>55</v>
      </c>
      <c r="I51" s="46"/>
      <c r="J51" s="19"/>
      <c r="K51" s="47"/>
      <c r="L51" s="7"/>
      <c r="M51" s="87"/>
      <c r="N51" s="19"/>
      <c r="O51" s="87"/>
    </row>
    <row r="52" spans="1:15" x14ac:dyDescent="0.25">
      <c r="C52" s="22">
        <f>SUM(C40:C51)</f>
        <v>221270</v>
      </c>
      <c r="D52" s="22">
        <f>SUM(D40:D51)</f>
        <v>134</v>
      </c>
      <c r="E52" s="66">
        <f>SUM(E40:E51)</f>
        <v>24749.790000000005</v>
      </c>
      <c r="F52" s="66"/>
      <c r="G52" s="66">
        <f>SUM(G40:G51)</f>
        <v>660</v>
      </c>
      <c r="I52" s="56"/>
      <c r="J52" s="19"/>
      <c r="K52" s="56">
        <v>89238</v>
      </c>
      <c r="L52" s="56">
        <v>132032</v>
      </c>
      <c r="M52" s="87"/>
      <c r="N52" s="19"/>
      <c r="O52" s="24"/>
    </row>
    <row r="53" spans="1:15" x14ac:dyDescent="0.25">
      <c r="E53" s="26"/>
      <c r="I53" s="19"/>
      <c r="J53" s="19"/>
      <c r="K53" s="19"/>
      <c r="L53" s="19"/>
      <c r="M53" s="19"/>
      <c r="N53" s="19"/>
      <c r="O53" s="19"/>
    </row>
    <row r="54" spans="1:15" x14ac:dyDescent="0.25">
      <c r="I54" s="56"/>
      <c r="J54" s="19"/>
      <c r="K54" s="19"/>
      <c r="L54" s="19"/>
      <c r="M54" s="19"/>
      <c r="N54" s="19"/>
      <c r="O54" s="19"/>
    </row>
    <row r="55" spans="1:15" x14ac:dyDescent="0.25">
      <c r="A55" s="19"/>
      <c r="B55" s="121" t="s">
        <v>72</v>
      </c>
      <c r="G55" s="32"/>
      <c r="I55" s="27"/>
      <c r="J55" s="27"/>
      <c r="K55" s="19"/>
      <c r="L55" s="19"/>
      <c r="M55" s="42"/>
      <c r="N55" s="19"/>
      <c r="O55" s="19"/>
    </row>
    <row r="56" spans="1:15" x14ac:dyDescent="0.25">
      <c r="A56" s="19"/>
      <c r="B56" s="121"/>
      <c r="G56" s="32"/>
      <c r="I56" s="27"/>
      <c r="J56" s="27"/>
      <c r="K56" s="19"/>
      <c r="L56" s="19"/>
      <c r="M56" s="42"/>
      <c r="N56" s="19"/>
      <c r="O56" s="19"/>
    </row>
    <row r="57" spans="1:15" x14ac:dyDescent="0.25">
      <c r="A57" s="19"/>
      <c r="B57" s="52" t="s">
        <v>25</v>
      </c>
      <c r="C57" s="52" t="s">
        <v>8</v>
      </c>
      <c r="D57" s="53" t="s">
        <v>24</v>
      </c>
      <c r="E57" s="52" t="s">
        <v>45</v>
      </c>
      <c r="F57" s="52"/>
      <c r="G57" s="52" t="s">
        <v>46</v>
      </c>
      <c r="K57" s="53" t="s">
        <v>39</v>
      </c>
      <c r="L57" s="53" t="s">
        <v>38</v>
      </c>
      <c r="M57" s="42"/>
      <c r="N57" s="19"/>
      <c r="O57" s="19"/>
    </row>
    <row r="58" spans="1:15" x14ac:dyDescent="0.25">
      <c r="A58" s="19"/>
      <c r="B58" s="119">
        <v>40544</v>
      </c>
      <c r="C58" s="56">
        <v>2479</v>
      </c>
      <c r="D58" s="51">
        <v>2</v>
      </c>
      <c r="E58" s="9">
        <v>287.79000000000002</v>
      </c>
      <c r="F58" s="9"/>
      <c r="G58" s="45">
        <v>10</v>
      </c>
      <c r="H58" s="26"/>
      <c r="I58" s="46"/>
      <c r="J58" s="19"/>
      <c r="K58" s="46"/>
      <c r="M58" s="42"/>
      <c r="N58" s="19"/>
      <c r="O58" s="19"/>
    </row>
    <row r="59" spans="1:15" x14ac:dyDescent="0.25">
      <c r="A59" s="19"/>
      <c r="B59" s="119">
        <v>40575</v>
      </c>
      <c r="C59" s="56">
        <v>2531</v>
      </c>
      <c r="D59" s="51">
        <v>2</v>
      </c>
      <c r="E59" s="9">
        <v>292.75</v>
      </c>
      <c r="F59" s="9"/>
      <c r="G59" s="45">
        <v>10</v>
      </c>
      <c r="I59" s="46"/>
      <c r="J59" s="19"/>
      <c r="K59" s="46"/>
      <c r="M59" s="42"/>
      <c r="N59" s="19"/>
      <c r="O59" s="19"/>
    </row>
    <row r="60" spans="1:15" x14ac:dyDescent="0.25">
      <c r="A60" s="19"/>
      <c r="B60" s="119">
        <v>40603</v>
      </c>
      <c r="C60" s="56">
        <v>2166</v>
      </c>
      <c r="D60" s="51">
        <v>2</v>
      </c>
      <c r="E60" s="9">
        <v>252.24</v>
      </c>
      <c r="F60" s="9"/>
      <c r="G60" s="45">
        <v>10</v>
      </c>
      <c r="I60" s="46"/>
      <c r="J60" s="19"/>
      <c r="K60" s="46"/>
      <c r="M60" s="42"/>
      <c r="N60" s="19"/>
      <c r="O60" s="19"/>
    </row>
    <row r="61" spans="1:15" x14ac:dyDescent="0.25">
      <c r="A61" s="19"/>
      <c r="B61" s="119">
        <v>40634</v>
      </c>
      <c r="C61" s="56">
        <v>2323</v>
      </c>
      <c r="D61" s="51">
        <v>2</v>
      </c>
      <c r="E61" s="9">
        <v>269.67</v>
      </c>
      <c r="F61" s="9"/>
      <c r="G61" s="45">
        <v>10</v>
      </c>
      <c r="I61" s="46"/>
      <c r="J61" s="19"/>
      <c r="K61" s="46"/>
      <c r="M61" s="42"/>
      <c r="N61" s="19"/>
      <c r="O61" s="19"/>
    </row>
    <row r="62" spans="1:15" x14ac:dyDescent="0.25">
      <c r="A62" s="19"/>
      <c r="B62" s="119">
        <v>40664</v>
      </c>
      <c r="C62" s="56">
        <v>2455</v>
      </c>
      <c r="D62" s="83">
        <v>2</v>
      </c>
      <c r="E62" s="124">
        <v>284.06</v>
      </c>
      <c r="F62" s="124"/>
      <c r="G62" s="125">
        <v>10</v>
      </c>
      <c r="H62" s="34"/>
      <c r="I62" s="63"/>
      <c r="J62" s="19"/>
      <c r="K62" s="63"/>
      <c r="M62" s="42"/>
      <c r="N62" s="19"/>
      <c r="O62" s="19"/>
    </row>
    <row r="63" spans="1:15" x14ac:dyDescent="0.25">
      <c r="A63" s="19"/>
      <c r="B63" s="119">
        <v>40695</v>
      </c>
      <c r="C63" s="56">
        <v>2587</v>
      </c>
      <c r="D63" s="83">
        <v>2</v>
      </c>
      <c r="E63" s="124">
        <v>296.17</v>
      </c>
      <c r="F63" s="124"/>
      <c r="G63" s="125">
        <v>10</v>
      </c>
      <c r="H63" s="34"/>
      <c r="I63" s="63"/>
      <c r="J63" s="19"/>
      <c r="K63" s="63"/>
      <c r="M63" s="42"/>
      <c r="N63" s="19"/>
      <c r="O63" s="19"/>
    </row>
    <row r="64" spans="1:15" x14ac:dyDescent="0.25">
      <c r="A64" s="19"/>
      <c r="B64" s="119">
        <v>40725</v>
      </c>
      <c r="C64" s="56">
        <v>2733</v>
      </c>
      <c r="D64" s="84">
        <v>2</v>
      </c>
      <c r="E64" s="124">
        <v>312.94</v>
      </c>
      <c r="F64" s="124"/>
      <c r="G64" s="124">
        <v>10</v>
      </c>
      <c r="H64" s="34"/>
      <c r="I64" s="63"/>
      <c r="J64" s="19"/>
      <c r="K64" s="63"/>
      <c r="M64" s="42"/>
      <c r="N64" s="19"/>
      <c r="O64" s="19"/>
    </row>
    <row r="65" spans="1:15" x14ac:dyDescent="0.25">
      <c r="A65" s="19"/>
      <c r="B65" s="119">
        <v>40756</v>
      </c>
      <c r="C65" s="56">
        <v>2881</v>
      </c>
      <c r="D65" s="84">
        <v>2</v>
      </c>
      <c r="E65" s="124">
        <v>329.12</v>
      </c>
      <c r="F65" s="124"/>
      <c r="G65" s="124">
        <v>10</v>
      </c>
      <c r="H65" s="34"/>
      <c r="I65" s="63"/>
      <c r="J65" s="19"/>
      <c r="K65" s="63"/>
      <c r="M65" s="42"/>
      <c r="N65" s="19"/>
      <c r="O65" s="19"/>
    </row>
    <row r="66" spans="1:15" x14ac:dyDescent="0.25">
      <c r="A66" s="19"/>
      <c r="B66" s="119">
        <v>40422</v>
      </c>
      <c r="C66" s="56">
        <v>3131</v>
      </c>
      <c r="D66" s="84">
        <v>2</v>
      </c>
      <c r="E66" s="124">
        <v>358.4</v>
      </c>
      <c r="F66" s="124"/>
      <c r="G66" s="124">
        <v>10</v>
      </c>
      <c r="H66" s="34"/>
      <c r="I66" s="63"/>
      <c r="J66" s="19"/>
      <c r="K66" s="63"/>
      <c r="M66" s="19"/>
      <c r="N66" s="19"/>
      <c r="O66" s="19"/>
    </row>
    <row r="67" spans="1:15" x14ac:dyDescent="0.25">
      <c r="B67" s="119">
        <v>40452</v>
      </c>
      <c r="C67" s="56">
        <v>2597</v>
      </c>
      <c r="D67" s="54">
        <v>2</v>
      </c>
      <c r="E67" s="9">
        <v>298.31</v>
      </c>
      <c r="F67" s="9"/>
      <c r="G67" s="124">
        <v>10</v>
      </c>
      <c r="I67" s="46"/>
      <c r="J67" s="19"/>
      <c r="K67" s="46"/>
    </row>
    <row r="68" spans="1:15" x14ac:dyDescent="0.25">
      <c r="B68" s="119">
        <v>40483</v>
      </c>
      <c r="C68" s="56">
        <v>2121</v>
      </c>
      <c r="D68" s="54">
        <v>2</v>
      </c>
      <c r="E68" s="9">
        <v>245.24</v>
      </c>
      <c r="F68" s="9"/>
      <c r="G68" s="124">
        <v>10</v>
      </c>
      <c r="I68" s="46"/>
      <c r="J68" s="19"/>
    </row>
    <row r="69" spans="1:15" x14ac:dyDescent="0.25">
      <c r="B69" s="119">
        <v>40513</v>
      </c>
      <c r="C69" s="75">
        <v>2342</v>
      </c>
      <c r="D69" s="38">
        <v>2</v>
      </c>
      <c r="E69" s="126">
        <v>271.57</v>
      </c>
      <c r="F69" s="126"/>
      <c r="G69" s="127">
        <v>10</v>
      </c>
      <c r="I69" s="46"/>
      <c r="J69" s="19"/>
      <c r="K69" s="47"/>
      <c r="L69" s="7"/>
    </row>
    <row r="70" spans="1:15" x14ac:dyDescent="0.25">
      <c r="C70" s="22">
        <f>SUM(C58:C69)</f>
        <v>30346</v>
      </c>
      <c r="D70" s="22">
        <f>SUM(D58:D69)</f>
        <v>24</v>
      </c>
      <c r="E70" s="9">
        <f>SUM(E58:E69)</f>
        <v>3498.2600000000007</v>
      </c>
      <c r="F70" s="9"/>
      <c r="G70" s="9">
        <f>SUM(G58:G69)</f>
        <v>120</v>
      </c>
      <c r="I70" s="56"/>
      <c r="J70" s="19"/>
      <c r="K70" s="56">
        <v>9722</v>
      </c>
      <c r="L70" s="56">
        <v>20624</v>
      </c>
    </row>
    <row r="73" spans="1:15" x14ac:dyDescent="0.25">
      <c r="B73" s="121" t="s">
        <v>78</v>
      </c>
      <c r="G73" s="32"/>
      <c r="I73" s="27"/>
      <c r="J73" s="27"/>
      <c r="K73" s="19"/>
      <c r="L73" s="19"/>
    </row>
    <row r="74" spans="1:15" x14ac:dyDescent="0.25">
      <c r="B74" s="121"/>
      <c r="G74" s="32"/>
      <c r="I74" s="27"/>
      <c r="J74" s="27"/>
      <c r="K74" s="19"/>
      <c r="L74" s="19"/>
    </row>
    <row r="75" spans="1:15" x14ac:dyDescent="0.25">
      <c r="B75" s="52" t="s">
        <v>25</v>
      </c>
      <c r="C75" s="52" t="s">
        <v>8</v>
      </c>
      <c r="D75" s="53" t="s">
        <v>24</v>
      </c>
      <c r="E75" s="52" t="s">
        <v>45</v>
      </c>
      <c r="F75" s="52"/>
      <c r="G75" s="52" t="s">
        <v>46</v>
      </c>
      <c r="K75" s="53" t="s">
        <v>39</v>
      </c>
      <c r="L75" s="53" t="s">
        <v>38</v>
      </c>
    </row>
    <row r="76" spans="1:15" x14ac:dyDescent="0.25">
      <c r="B76" s="119">
        <v>40544</v>
      </c>
      <c r="C76" s="56">
        <v>1480</v>
      </c>
      <c r="D76" s="51">
        <v>2</v>
      </c>
      <c r="E76" s="66">
        <v>166.42</v>
      </c>
      <c r="F76" s="66"/>
      <c r="G76" s="41">
        <v>10</v>
      </c>
      <c r="H76" s="26"/>
      <c r="I76" s="46"/>
      <c r="J76" s="19"/>
      <c r="K76" s="46"/>
    </row>
    <row r="77" spans="1:15" x14ac:dyDescent="0.25">
      <c r="B77" s="119">
        <v>40575</v>
      </c>
      <c r="C77" s="56">
        <v>1586</v>
      </c>
      <c r="D77" s="51">
        <v>2</v>
      </c>
      <c r="E77" s="66">
        <v>176.7</v>
      </c>
      <c r="F77" s="66"/>
      <c r="G77" s="41">
        <v>10</v>
      </c>
      <c r="I77" s="46"/>
      <c r="J77" s="19"/>
      <c r="K77" s="46"/>
    </row>
    <row r="78" spans="1:15" x14ac:dyDescent="0.25">
      <c r="B78" s="119">
        <v>40603</v>
      </c>
      <c r="C78" s="56">
        <v>1155</v>
      </c>
      <c r="D78" s="51">
        <v>2</v>
      </c>
      <c r="E78" s="66">
        <v>130.33000000000001</v>
      </c>
      <c r="F78" s="66"/>
      <c r="G78" s="41">
        <v>10</v>
      </c>
      <c r="I78" s="46"/>
      <c r="J78" s="19"/>
      <c r="K78" s="46"/>
    </row>
    <row r="79" spans="1:15" x14ac:dyDescent="0.25">
      <c r="B79" s="119">
        <v>40634</v>
      </c>
      <c r="C79" s="56">
        <v>1341</v>
      </c>
      <c r="D79" s="51">
        <v>2</v>
      </c>
      <c r="E79" s="66">
        <v>151.03</v>
      </c>
      <c r="F79" s="66"/>
      <c r="G79" s="41">
        <v>10</v>
      </c>
      <c r="I79" s="46"/>
      <c r="J79" s="19"/>
      <c r="K79" s="46"/>
    </row>
    <row r="80" spans="1:15" x14ac:dyDescent="0.25">
      <c r="B80" s="119">
        <v>40664</v>
      </c>
      <c r="C80" s="56">
        <v>1014</v>
      </c>
      <c r="D80" s="83">
        <v>2</v>
      </c>
      <c r="E80" s="95">
        <v>114.24</v>
      </c>
      <c r="F80" s="95"/>
      <c r="G80" s="122">
        <v>10</v>
      </c>
      <c r="H80" s="34"/>
      <c r="I80" s="63"/>
      <c r="J80" s="19"/>
      <c r="K80" s="63"/>
    </row>
    <row r="81" spans="2:12" x14ac:dyDescent="0.25">
      <c r="B81" s="119">
        <v>40695</v>
      </c>
      <c r="C81" s="56">
        <v>1148</v>
      </c>
      <c r="D81" s="83">
        <v>2</v>
      </c>
      <c r="E81" s="95">
        <v>129.30000000000001</v>
      </c>
      <c r="F81" s="95"/>
      <c r="G81" s="122">
        <v>10</v>
      </c>
      <c r="H81" s="34"/>
      <c r="I81" s="63"/>
      <c r="J81" s="19"/>
      <c r="K81" s="63"/>
    </row>
    <row r="82" spans="2:12" x14ac:dyDescent="0.25">
      <c r="B82" s="119">
        <v>40725</v>
      </c>
      <c r="C82" s="56">
        <v>1170</v>
      </c>
      <c r="D82" s="84">
        <v>2</v>
      </c>
      <c r="E82" s="95">
        <v>130.76</v>
      </c>
      <c r="F82" s="95"/>
      <c r="G82" s="95">
        <v>10</v>
      </c>
      <c r="H82" s="34"/>
      <c r="I82" s="63"/>
      <c r="J82" s="19"/>
      <c r="K82" s="63"/>
    </row>
    <row r="83" spans="2:12" x14ac:dyDescent="0.25">
      <c r="B83" s="119">
        <v>40756</v>
      </c>
      <c r="C83" s="56">
        <v>1141</v>
      </c>
      <c r="D83" s="84">
        <v>2</v>
      </c>
      <c r="E83" s="95">
        <v>128.22</v>
      </c>
      <c r="F83" s="95"/>
      <c r="G83" s="95">
        <v>10</v>
      </c>
      <c r="H83" s="34"/>
      <c r="I83" s="63"/>
      <c r="J83" s="19"/>
      <c r="K83" s="63"/>
    </row>
    <row r="84" spans="2:12" x14ac:dyDescent="0.25">
      <c r="B84" s="119">
        <v>40422</v>
      </c>
      <c r="C84" s="56">
        <v>893</v>
      </c>
      <c r="D84" s="84">
        <v>1</v>
      </c>
      <c r="E84" s="95">
        <v>100.74</v>
      </c>
      <c r="F84" s="95"/>
      <c r="G84" s="95">
        <v>5</v>
      </c>
      <c r="H84" s="34"/>
      <c r="I84" s="63"/>
      <c r="J84" s="19"/>
      <c r="K84" s="63"/>
    </row>
    <row r="85" spans="2:12" x14ac:dyDescent="0.25">
      <c r="B85" s="119">
        <v>40452</v>
      </c>
      <c r="C85" s="56">
        <v>617</v>
      </c>
      <c r="D85" s="54">
        <v>1</v>
      </c>
      <c r="E85" s="66">
        <v>67.53</v>
      </c>
      <c r="F85" s="66"/>
      <c r="G85" s="66">
        <v>5</v>
      </c>
      <c r="I85" s="46"/>
      <c r="J85" s="19"/>
      <c r="K85" s="46"/>
    </row>
    <row r="86" spans="2:12" x14ac:dyDescent="0.25">
      <c r="B86" s="119">
        <v>40483</v>
      </c>
      <c r="C86" s="56">
        <v>1031</v>
      </c>
      <c r="D86" s="54">
        <v>2</v>
      </c>
      <c r="E86" s="66">
        <v>113.57</v>
      </c>
      <c r="F86" s="66"/>
      <c r="G86" s="66">
        <v>10</v>
      </c>
      <c r="I86" s="46"/>
      <c r="J86" s="19"/>
    </row>
    <row r="87" spans="2:12" x14ac:dyDescent="0.25">
      <c r="B87" s="119">
        <v>40513</v>
      </c>
      <c r="C87" s="75">
        <v>1294</v>
      </c>
      <c r="D87" s="38">
        <v>2</v>
      </c>
      <c r="E87" s="123">
        <v>139.63</v>
      </c>
      <c r="F87" s="123"/>
      <c r="G87" s="123">
        <v>10</v>
      </c>
      <c r="I87" s="46"/>
      <c r="J87" s="19"/>
      <c r="K87" s="47"/>
      <c r="L87" s="7"/>
    </row>
    <row r="88" spans="2:12" x14ac:dyDescent="0.25">
      <c r="C88" s="22">
        <f>SUM(C76:C87)</f>
        <v>13870</v>
      </c>
      <c r="D88" s="22">
        <f>SUM(D76:D87)</f>
        <v>22</v>
      </c>
      <c r="E88" s="66">
        <f>SUM(E76:E87)</f>
        <v>1548.4699999999998</v>
      </c>
      <c r="F88" s="66"/>
      <c r="G88" s="66">
        <f>SUM(G76:G87)</f>
        <v>110</v>
      </c>
      <c r="I88" s="56"/>
      <c r="J88" s="19"/>
      <c r="K88" s="56">
        <v>3681</v>
      </c>
      <c r="L88" s="56">
        <v>10189</v>
      </c>
    </row>
    <row r="89" spans="2:12" x14ac:dyDescent="0.25">
      <c r="E89" s="26"/>
      <c r="I89" s="19"/>
      <c r="J89" s="19"/>
      <c r="K89" s="19"/>
      <c r="L89" s="19"/>
    </row>
    <row r="90" spans="2:12" x14ac:dyDescent="0.25">
      <c r="I90" s="56"/>
      <c r="J90" s="19"/>
      <c r="K90" s="19"/>
      <c r="L90" s="19"/>
    </row>
    <row r="91" spans="2:12" x14ac:dyDescent="0.25">
      <c r="B91" s="121" t="s">
        <v>79</v>
      </c>
      <c r="G91" s="32"/>
      <c r="I91" s="27"/>
      <c r="J91" s="27"/>
      <c r="K91" s="19"/>
      <c r="L91" s="19"/>
    </row>
    <row r="92" spans="2:12" x14ac:dyDescent="0.25">
      <c r="B92" s="121"/>
      <c r="G92" s="32"/>
      <c r="I92" s="27"/>
      <c r="J92" s="27"/>
      <c r="K92" s="19"/>
      <c r="L92" s="19"/>
    </row>
    <row r="93" spans="2:12" x14ac:dyDescent="0.25">
      <c r="B93" s="52" t="s">
        <v>25</v>
      </c>
      <c r="C93" s="52" t="s">
        <v>8</v>
      </c>
      <c r="D93" s="53" t="s">
        <v>24</v>
      </c>
      <c r="E93" s="52" t="s">
        <v>45</v>
      </c>
      <c r="F93" s="52"/>
      <c r="G93" s="52" t="s">
        <v>46</v>
      </c>
      <c r="K93" s="53" t="s">
        <v>39</v>
      </c>
      <c r="L93" s="53" t="s">
        <v>38</v>
      </c>
    </row>
    <row r="94" spans="2:12" x14ac:dyDescent="0.25">
      <c r="B94" s="119">
        <v>40544</v>
      </c>
      <c r="C94" s="56">
        <v>1621</v>
      </c>
      <c r="D94" s="51">
        <v>2</v>
      </c>
      <c r="E94" s="9">
        <v>178.26</v>
      </c>
      <c r="F94" s="9"/>
      <c r="G94" s="45">
        <v>10</v>
      </c>
      <c r="H94" s="26"/>
      <c r="I94" s="46"/>
      <c r="J94" s="19"/>
      <c r="K94" s="46"/>
    </row>
    <row r="95" spans="2:12" x14ac:dyDescent="0.25">
      <c r="B95" s="119">
        <v>40575</v>
      </c>
      <c r="C95" s="56">
        <v>1343</v>
      </c>
      <c r="D95" s="51">
        <v>3</v>
      </c>
      <c r="E95" s="9">
        <v>144.69999999999999</v>
      </c>
      <c r="F95" s="9"/>
      <c r="G95" s="45">
        <v>10</v>
      </c>
      <c r="I95" s="46"/>
      <c r="J95" s="19"/>
      <c r="K95" s="46"/>
    </row>
    <row r="96" spans="2:12" x14ac:dyDescent="0.25">
      <c r="B96" s="119">
        <v>40603</v>
      </c>
      <c r="C96" s="56">
        <v>2125</v>
      </c>
      <c r="D96" s="51">
        <v>3</v>
      </c>
      <c r="E96" s="9">
        <v>230.34</v>
      </c>
      <c r="F96" s="9"/>
      <c r="G96" s="45">
        <v>15</v>
      </c>
      <c r="I96" s="46"/>
      <c r="J96" s="19"/>
      <c r="K96" s="46"/>
    </row>
    <row r="97" spans="2:12" x14ac:dyDescent="0.25">
      <c r="B97" s="119">
        <v>40634</v>
      </c>
      <c r="C97" s="56">
        <v>2277</v>
      </c>
      <c r="D97" s="51">
        <v>3</v>
      </c>
      <c r="E97" s="9">
        <v>246.07</v>
      </c>
      <c r="F97" s="9"/>
      <c r="G97" s="45">
        <v>15</v>
      </c>
      <c r="I97" s="46"/>
      <c r="J97" s="19"/>
      <c r="K97" s="46"/>
    </row>
    <row r="98" spans="2:12" x14ac:dyDescent="0.25">
      <c r="B98" s="119">
        <v>40664</v>
      </c>
      <c r="C98" s="56">
        <v>2172</v>
      </c>
      <c r="D98" s="83">
        <v>3</v>
      </c>
      <c r="E98" s="124">
        <v>236.14</v>
      </c>
      <c r="F98" s="124"/>
      <c r="G98" s="125">
        <v>15</v>
      </c>
      <c r="H98" s="34"/>
      <c r="I98" s="63"/>
      <c r="J98" s="19"/>
      <c r="K98" s="63"/>
    </row>
    <row r="99" spans="2:12" x14ac:dyDescent="0.25">
      <c r="B99" s="119">
        <v>40695</v>
      </c>
      <c r="C99" s="56">
        <v>2336</v>
      </c>
      <c r="D99" s="83">
        <v>3</v>
      </c>
      <c r="E99" s="124">
        <v>254.53</v>
      </c>
      <c r="F99" s="124"/>
      <c r="G99" s="125">
        <v>15</v>
      </c>
      <c r="H99" s="34"/>
      <c r="I99" s="63"/>
      <c r="J99" s="19"/>
      <c r="K99" s="63"/>
    </row>
    <row r="100" spans="2:12" x14ac:dyDescent="0.25">
      <c r="B100" s="119">
        <v>40725</v>
      </c>
      <c r="C100" s="56">
        <v>2260</v>
      </c>
      <c r="D100" s="84">
        <v>3</v>
      </c>
      <c r="E100" s="124">
        <v>247.72</v>
      </c>
      <c r="F100" s="124"/>
      <c r="G100" s="124">
        <v>15</v>
      </c>
      <c r="H100" s="34"/>
      <c r="I100" s="63"/>
      <c r="J100" s="19"/>
      <c r="K100" s="63"/>
    </row>
    <row r="101" spans="2:12" x14ac:dyDescent="0.25">
      <c r="B101" s="119">
        <v>40756</v>
      </c>
      <c r="C101" s="56">
        <v>2366</v>
      </c>
      <c r="D101" s="84">
        <v>3</v>
      </c>
      <c r="E101" s="124">
        <v>260.93</v>
      </c>
      <c r="F101" s="124"/>
      <c r="G101" s="124">
        <v>15</v>
      </c>
      <c r="H101" s="34"/>
      <c r="I101" s="63"/>
      <c r="J101" s="19"/>
      <c r="K101" s="63"/>
    </row>
    <row r="102" spans="2:12" x14ac:dyDescent="0.25">
      <c r="B102" s="119">
        <v>40422</v>
      </c>
      <c r="C102" s="56">
        <v>1408</v>
      </c>
      <c r="D102" s="84">
        <v>2</v>
      </c>
      <c r="E102" s="124">
        <v>154.77000000000001</v>
      </c>
      <c r="F102" s="124"/>
      <c r="G102" s="124">
        <v>10</v>
      </c>
      <c r="H102" s="34"/>
      <c r="I102" s="63"/>
      <c r="J102" s="19"/>
      <c r="K102" s="63"/>
    </row>
    <row r="103" spans="2:12" x14ac:dyDescent="0.25">
      <c r="B103" s="119">
        <v>40452</v>
      </c>
      <c r="C103" s="56">
        <v>1124</v>
      </c>
      <c r="D103" s="54">
        <v>2</v>
      </c>
      <c r="E103" s="9">
        <v>121.64</v>
      </c>
      <c r="F103" s="9"/>
      <c r="G103" s="124">
        <v>10</v>
      </c>
      <c r="I103" s="46"/>
      <c r="J103" s="19"/>
      <c r="K103" s="46"/>
    </row>
    <row r="104" spans="2:12" x14ac:dyDescent="0.25">
      <c r="B104" s="119">
        <v>40483</v>
      </c>
      <c r="C104" s="56">
        <v>1294</v>
      </c>
      <c r="D104" s="54">
        <v>2</v>
      </c>
      <c r="E104" s="9">
        <v>139.58000000000001</v>
      </c>
      <c r="F104" s="9"/>
      <c r="G104" s="124">
        <v>10</v>
      </c>
      <c r="I104" s="46"/>
      <c r="J104" s="19"/>
    </row>
    <row r="105" spans="2:12" x14ac:dyDescent="0.25">
      <c r="B105" s="119">
        <v>40513</v>
      </c>
      <c r="C105" s="75">
        <v>1375</v>
      </c>
      <c r="D105" s="38">
        <v>2</v>
      </c>
      <c r="E105" s="126">
        <v>147.69</v>
      </c>
      <c r="F105" s="126"/>
      <c r="G105" s="127">
        <v>10</v>
      </c>
      <c r="I105" s="46"/>
      <c r="J105" s="19"/>
      <c r="K105" s="47"/>
      <c r="L105" s="7"/>
    </row>
    <row r="106" spans="2:12" x14ac:dyDescent="0.25">
      <c r="C106" s="22">
        <f>SUM(C94:C105)</f>
        <v>21701</v>
      </c>
      <c r="D106" s="22">
        <f>SUM(D94:D105)</f>
        <v>31</v>
      </c>
      <c r="E106" s="9">
        <f>SUM(E94:E105)</f>
        <v>2362.37</v>
      </c>
      <c r="F106" s="9"/>
      <c r="G106" s="9">
        <f>SUM(G94:G105)</f>
        <v>150</v>
      </c>
      <c r="I106" s="56"/>
      <c r="J106" s="19"/>
      <c r="K106" s="56">
        <v>7049</v>
      </c>
      <c r="L106" s="56">
        <v>14652</v>
      </c>
    </row>
  </sheetData>
  <mergeCells count="6">
    <mergeCell ref="D4:G5"/>
    <mergeCell ref="E7:F7"/>
    <mergeCell ref="T4:W5"/>
    <mergeCell ref="U7:V7"/>
    <mergeCell ref="L4:O5"/>
    <mergeCell ref="M7:N7"/>
  </mergeCells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137"/>
  <sheetViews>
    <sheetView view="pageBreakPreview" zoomScale="75" zoomScaleNormal="85" zoomScaleSheetLayoutView="75" workbookViewId="0">
      <selection activeCell="T17" sqref="T17"/>
    </sheetView>
  </sheetViews>
  <sheetFormatPr defaultColWidth="9.140625" defaultRowHeight="15.75" x14ac:dyDescent="0.25"/>
  <cols>
    <col min="1" max="1" width="4.7109375" style="2" customWidth="1"/>
    <col min="2" max="2" width="14.42578125" style="2" customWidth="1"/>
    <col min="3" max="3" width="3.5703125" style="2" customWidth="1"/>
    <col min="4" max="4" width="13.7109375" style="2" bestFit="1" customWidth="1"/>
    <col min="5" max="5" width="11.5703125" style="2" bestFit="1" customWidth="1"/>
    <col min="6" max="6" width="3.140625" style="2" customWidth="1"/>
    <col min="7" max="7" width="13.7109375" style="2" bestFit="1" customWidth="1"/>
    <col min="8" max="8" width="2.85546875" style="2" customWidth="1"/>
    <col min="9" max="9" width="4.7109375" style="2" customWidth="1"/>
    <col min="10" max="10" width="23.5703125" style="2" customWidth="1"/>
    <col min="11" max="11" width="1.7109375" style="2" customWidth="1"/>
    <col min="12" max="12" width="13.7109375" style="2" bestFit="1" customWidth="1"/>
    <col min="13" max="13" width="11.5703125" style="2" bestFit="1" customWidth="1"/>
    <col min="14" max="14" width="4.28515625" style="2" customWidth="1"/>
    <col min="15" max="15" width="13.7109375" style="2" bestFit="1" customWidth="1"/>
    <col min="16" max="16" width="3" style="2" customWidth="1"/>
    <col min="17" max="17" width="1.7109375" style="2" customWidth="1"/>
    <col min="18" max="18" width="13.7109375" style="2" bestFit="1" customWidth="1"/>
    <col min="19" max="19" width="11.5703125" style="2" bestFit="1" customWidth="1"/>
    <col min="20" max="20" width="4.28515625" style="2" customWidth="1"/>
    <col min="21" max="21" width="13.7109375" style="2" bestFit="1" customWidth="1"/>
    <col min="22" max="16384" width="9.140625" style="2"/>
  </cols>
  <sheetData>
    <row r="1" spans="1:21" x14ac:dyDescent="0.25">
      <c r="A1" s="1" t="str">
        <f>'Present and Proposed Rates'!A1</f>
        <v>KENERGY CORP.</v>
      </c>
      <c r="J1" s="1"/>
    </row>
    <row r="2" spans="1:21" x14ac:dyDescent="0.25">
      <c r="A2" s="34" t="str">
        <f>'Present and Proposed Rates'!A13</f>
        <v>Commercial &amp; All Other Single Phase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6.5" thickBot="1" x14ac:dyDescent="0.3">
      <c r="A3" s="34">
        <f>'Present and Proposed Rates'!B13</f>
        <v>3</v>
      </c>
      <c r="B3" s="34"/>
      <c r="C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x14ac:dyDescent="0.25">
      <c r="A4" s="34"/>
      <c r="B4" s="34"/>
      <c r="C4" s="34"/>
      <c r="D4" s="482" t="s">
        <v>30</v>
      </c>
      <c r="E4" s="483"/>
      <c r="F4" s="483"/>
      <c r="G4" s="484"/>
      <c r="H4" s="173"/>
      <c r="I4" s="34"/>
      <c r="J4" s="34"/>
      <c r="K4" s="34"/>
      <c r="L4" s="482" t="s">
        <v>223</v>
      </c>
      <c r="M4" s="483"/>
      <c r="N4" s="483"/>
      <c r="O4" s="484"/>
      <c r="P4" s="173"/>
      <c r="Q4" s="34"/>
      <c r="R4" s="482" t="s">
        <v>96</v>
      </c>
      <c r="S4" s="483"/>
      <c r="T4" s="483"/>
      <c r="U4" s="484"/>
    </row>
    <row r="5" spans="1:21" ht="16.5" thickBot="1" x14ac:dyDescent="0.3">
      <c r="A5" s="57"/>
      <c r="B5" s="99"/>
      <c r="C5" s="327"/>
      <c r="D5" s="485"/>
      <c r="E5" s="486"/>
      <c r="F5" s="486"/>
      <c r="G5" s="487"/>
      <c r="H5" s="173"/>
      <c r="I5" s="57"/>
      <c r="J5" s="99"/>
      <c r="K5" s="327"/>
      <c r="L5" s="485"/>
      <c r="M5" s="486"/>
      <c r="N5" s="486"/>
      <c r="O5" s="487"/>
      <c r="P5" s="173"/>
      <c r="Q5" s="327"/>
      <c r="R5" s="485"/>
      <c r="S5" s="486"/>
      <c r="T5" s="486"/>
      <c r="U5" s="487"/>
    </row>
    <row r="6" spans="1:21" x14ac:dyDescent="0.25">
      <c r="A6" s="4"/>
      <c r="B6" s="4"/>
      <c r="C6" s="4"/>
      <c r="D6" s="4" t="s">
        <v>1</v>
      </c>
      <c r="E6" s="4"/>
      <c r="F6" s="4"/>
      <c r="G6" s="4" t="s">
        <v>2</v>
      </c>
      <c r="H6" s="174"/>
      <c r="I6" s="4"/>
      <c r="J6" s="4"/>
      <c r="K6" s="4"/>
      <c r="L6" s="4" t="s">
        <v>1</v>
      </c>
      <c r="M6" s="4"/>
      <c r="N6" s="4"/>
      <c r="O6" s="4" t="s">
        <v>2</v>
      </c>
      <c r="P6" s="174"/>
      <c r="Q6" s="4"/>
      <c r="R6" s="4" t="s">
        <v>1</v>
      </c>
      <c r="S6" s="4"/>
      <c r="T6" s="4"/>
      <c r="U6" s="4" t="s">
        <v>2</v>
      </c>
    </row>
    <row r="7" spans="1:21" ht="16.5" thickBot="1" x14ac:dyDescent="0.3">
      <c r="A7" s="5"/>
      <c r="B7" s="5"/>
      <c r="C7" s="5"/>
      <c r="D7" s="5" t="s">
        <v>4</v>
      </c>
      <c r="E7" s="488" t="s">
        <v>5</v>
      </c>
      <c r="F7" s="488"/>
      <c r="G7" s="5" t="s">
        <v>6</v>
      </c>
      <c r="H7" s="175"/>
      <c r="I7" s="5"/>
      <c r="J7" s="5"/>
      <c r="K7" s="5"/>
      <c r="L7" s="5" t="s">
        <v>4</v>
      </c>
      <c r="M7" s="488" t="s">
        <v>5</v>
      </c>
      <c r="N7" s="488"/>
      <c r="O7" s="5" t="s">
        <v>6</v>
      </c>
      <c r="P7" s="175"/>
      <c r="Q7" s="5"/>
      <c r="R7" s="5" t="s">
        <v>4</v>
      </c>
      <c r="S7" s="488" t="s">
        <v>5</v>
      </c>
      <c r="T7" s="488"/>
      <c r="U7" s="5" t="s">
        <v>6</v>
      </c>
    </row>
    <row r="8" spans="1:21" x14ac:dyDescent="0.25">
      <c r="H8" s="176"/>
      <c r="P8" s="176"/>
    </row>
    <row r="9" spans="1:21" x14ac:dyDescent="0.25">
      <c r="H9" s="176"/>
      <c r="P9" s="176"/>
    </row>
    <row r="10" spans="1:21" x14ac:dyDescent="0.25">
      <c r="A10" s="140" t="s">
        <v>10</v>
      </c>
      <c r="H10" s="176"/>
      <c r="I10" s="140" t="s">
        <v>10</v>
      </c>
      <c r="P10" s="176"/>
    </row>
    <row r="11" spans="1:21" x14ac:dyDescent="0.25">
      <c r="D11" s="167" t="s">
        <v>101</v>
      </c>
      <c r="E11" s="167" t="s">
        <v>110</v>
      </c>
      <c r="H11" s="176"/>
      <c r="L11" s="167" t="s">
        <v>101</v>
      </c>
      <c r="M11" s="167" t="s">
        <v>110</v>
      </c>
      <c r="P11" s="176"/>
      <c r="R11" s="167" t="s">
        <v>101</v>
      </c>
      <c r="S11" s="167" t="s">
        <v>110</v>
      </c>
    </row>
    <row r="12" spans="1:21" x14ac:dyDescent="0.25">
      <c r="B12" s="2" t="s">
        <v>98</v>
      </c>
      <c r="D12" s="39">
        <f>BillDet!Q7</f>
        <v>118221</v>
      </c>
      <c r="E12" s="9">
        <f>'Present and Proposed Rates'!F13</f>
        <v>22.1</v>
      </c>
      <c r="G12" s="11">
        <f>D12*E12</f>
        <v>2612684.1</v>
      </c>
      <c r="H12" s="177"/>
      <c r="J12" s="2" t="s">
        <v>98</v>
      </c>
      <c r="L12" s="39">
        <f>BillDet!P7*12</f>
        <v>122868</v>
      </c>
      <c r="M12" s="9">
        <f>E12</f>
        <v>22.1</v>
      </c>
      <c r="O12" s="11">
        <f>L12*M12</f>
        <v>2715382.8000000003</v>
      </c>
      <c r="P12" s="177"/>
      <c r="R12" s="39">
        <f>L12</f>
        <v>122868</v>
      </c>
      <c r="S12" s="9">
        <f>'Present and Proposed Rates'!G13</f>
        <v>22.1</v>
      </c>
      <c r="U12" s="11">
        <f>R12*S12</f>
        <v>2715382.8000000003</v>
      </c>
    </row>
    <row r="13" spans="1:21" x14ac:dyDescent="0.25">
      <c r="D13" s="39"/>
      <c r="E13" s="9"/>
      <c r="G13" s="11"/>
      <c r="H13" s="177"/>
      <c r="L13" s="39"/>
      <c r="M13" s="9"/>
      <c r="O13" s="11"/>
      <c r="P13" s="177"/>
      <c r="R13" s="39"/>
      <c r="S13" s="9"/>
      <c r="U13" s="11"/>
    </row>
    <row r="14" spans="1:21" x14ac:dyDescent="0.25">
      <c r="D14" s="8"/>
      <c r="G14" s="11"/>
      <c r="H14" s="177"/>
      <c r="L14" s="8"/>
      <c r="O14" s="11"/>
      <c r="P14" s="177"/>
      <c r="R14" s="8"/>
      <c r="U14" s="11"/>
    </row>
    <row r="15" spans="1:21" x14ac:dyDescent="0.25">
      <c r="A15" s="1" t="s">
        <v>7</v>
      </c>
      <c r="D15" s="8"/>
      <c r="G15" s="11"/>
      <c r="H15" s="177"/>
      <c r="I15" s="1" t="s">
        <v>7</v>
      </c>
      <c r="L15" s="8"/>
      <c r="O15" s="11"/>
      <c r="P15" s="177"/>
      <c r="R15" s="8"/>
      <c r="U15" s="11"/>
    </row>
    <row r="16" spans="1:21" x14ac:dyDescent="0.25">
      <c r="D16" s="160" t="s">
        <v>8</v>
      </c>
      <c r="E16" s="161" t="s">
        <v>11</v>
      </c>
      <c r="G16" s="11"/>
      <c r="H16" s="177"/>
      <c r="L16" s="160" t="s">
        <v>8</v>
      </c>
      <c r="M16" s="161" t="s">
        <v>11</v>
      </c>
      <c r="O16" s="11"/>
      <c r="P16" s="177"/>
      <c r="R16" s="160" t="s">
        <v>8</v>
      </c>
      <c r="S16" s="161" t="s">
        <v>11</v>
      </c>
      <c r="U16" s="11"/>
    </row>
    <row r="17" spans="1:21" x14ac:dyDescent="0.25">
      <c r="B17" s="2" t="s">
        <v>98</v>
      </c>
      <c r="D17" s="39">
        <f>BillDet!Q17</f>
        <v>118701594</v>
      </c>
      <c r="E17" s="163">
        <f>'Present and Proposed Rates'!F14</f>
        <v>0.100744</v>
      </c>
      <c r="F17" s="19"/>
      <c r="G17" s="18">
        <f>D17*E17</f>
        <v>11958473.385935999</v>
      </c>
      <c r="H17" s="177"/>
      <c r="J17" s="2" t="s">
        <v>98</v>
      </c>
      <c r="L17" s="39">
        <f>BillDet!P17*12</f>
        <v>106884804</v>
      </c>
      <c r="M17" s="163">
        <f>E17</f>
        <v>0.100744</v>
      </c>
      <c r="N17" s="19"/>
      <c r="O17" s="18">
        <f>L17*M17</f>
        <v>10768002.694176</v>
      </c>
      <c r="P17" s="177"/>
      <c r="R17" s="39">
        <f>L17</f>
        <v>106884804</v>
      </c>
      <c r="S17" s="163">
        <f>'Present and Proposed Rates'!G14</f>
        <v>0.100744</v>
      </c>
      <c r="T17" s="19"/>
      <c r="U17" s="18">
        <f>R17*S17</f>
        <v>10768002.694176</v>
      </c>
    </row>
    <row r="18" spans="1:21" x14ac:dyDescent="0.25">
      <c r="B18" s="19"/>
      <c r="C18" s="19"/>
      <c r="D18" s="39"/>
      <c r="E18" s="40"/>
      <c r="F18" s="19"/>
      <c r="G18" s="18"/>
      <c r="H18" s="177"/>
      <c r="J18" s="19"/>
      <c r="K18" s="19"/>
      <c r="L18" s="39"/>
      <c r="M18" s="40"/>
      <c r="N18" s="19"/>
      <c r="O18" s="18"/>
      <c r="P18" s="177"/>
      <c r="Q18" s="19"/>
      <c r="R18" s="39"/>
      <c r="S18" s="40"/>
      <c r="T18" s="19"/>
      <c r="U18" s="18"/>
    </row>
    <row r="19" spans="1:21" x14ac:dyDescent="0.25">
      <c r="A19" s="1" t="s">
        <v>99</v>
      </c>
      <c r="B19" s="19"/>
      <c r="C19" s="19"/>
      <c r="D19" s="39"/>
      <c r="E19" s="40"/>
      <c r="F19" s="19"/>
      <c r="G19" s="18"/>
      <c r="H19" s="177"/>
      <c r="I19" s="1" t="s">
        <v>99</v>
      </c>
      <c r="J19" s="19"/>
      <c r="K19" s="19"/>
      <c r="L19" s="39"/>
      <c r="M19" s="40"/>
      <c r="N19" s="19"/>
      <c r="O19" s="18"/>
      <c r="P19" s="177"/>
      <c r="Q19" s="19"/>
      <c r="R19" s="39"/>
      <c r="S19" s="40"/>
      <c r="T19" s="19"/>
      <c r="U19" s="18"/>
    </row>
    <row r="20" spans="1:21" x14ac:dyDescent="0.25">
      <c r="B20" s="2" t="s">
        <v>105</v>
      </c>
      <c r="C20" s="19"/>
      <c r="D20" s="39"/>
      <c r="E20" s="316">
        <f>G20/D$17</f>
        <v>7.4872844588759252E-4</v>
      </c>
      <c r="F20" s="19"/>
      <c r="G20" s="18">
        <f>BillDet!Q38</f>
        <v>88875.25999999998</v>
      </c>
      <c r="H20" s="177"/>
      <c r="J20" s="2" t="str">
        <f>B20</f>
        <v>Fuel Adjustment Clause</v>
      </c>
      <c r="K20" s="19"/>
      <c r="L20" s="39"/>
      <c r="M20" s="316">
        <f>E20</f>
        <v>7.4872844588759252E-4</v>
      </c>
      <c r="N20" s="19"/>
      <c r="O20" s="18">
        <f>L$17*M20</f>
        <v>80027.693187919926</v>
      </c>
      <c r="P20" s="177"/>
      <c r="Q20" s="19"/>
      <c r="R20" s="39"/>
      <c r="S20" s="316">
        <f>U20/R$17</f>
        <v>7.4872844588759241E-4</v>
      </c>
      <c r="T20" s="19"/>
      <c r="U20" s="18">
        <f>O20</f>
        <v>80027.693187919926</v>
      </c>
    </row>
    <row r="21" spans="1:21" x14ac:dyDescent="0.25">
      <c r="B21" s="2" t="s">
        <v>102</v>
      </c>
      <c r="C21" s="19"/>
      <c r="D21" s="39"/>
      <c r="E21" s="316">
        <f t="shared" ref="E21:E23" si="0">G21/D$17</f>
        <v>7.252925685227108E-3</v>
      </c>
      <c r="F21" s="19"/>
      <c r="G21" s="18">
        <f>BillDet!Q48</f>
        <v>860933.84</v>
      </c>
      <c r="H21" s="177"/>
      <c r="J21" s="2" t="str">
        <f t="shared" ref="J21:J23" si="1">B21</f>
        <v>Environmental Surcharge</v>
      </c>
      <c r="K21" s="19"/>
      <c r="L21" s="39"/>
      <c r="M21" s="316">
        <f t="shared" ref="M21:M23" si="2">E21</f>
        <v>7.252925685227108E-3</v>
      </c>
      <c r="N21" s="19"/>
      <c r="O21" s="18">
        <f t="shared" ref="O21:O23" si="3">L$17*M21</f>
        <v>775227.54029206512</v>
      </c>
      <c r="P21" s="177"/>
      <c r="Q21" s="19"/>
      <c r="R21" s="39"/>
      <c r="S21" s="316">
        <f t="shared" ref="S21:S23" si="4">U21/R$17</f>
        <v>7.252925685227108E-3</v>
      </c>
      <c r="T21" s="19"/>
      <c r="U21" s="18">
        <f t="shared" ref="U21:U23" si="5">O21</f>
        <v>775227.54029206512</v>
      </c>
    </row>
    <row r="22" spans="1:21" x14ac:dyDescent="0.25">
      <c r="B22" s="2" t="s">
        <v>103</v>
      </c>
      <c r="C22" s="19"/>
      <c r="D22" s="39"/>
      <c r="E22" s="316">
        <f t="shared" si="0"/>
        <v>-5.0399602468691367E-3</v>
      </c>
      <c r="F22" s="19"/>
      <c r="G22" s="18">
        <f>BillDet!Q58</f>
        <v>-598251.31500000006</v>
      </c>
      <c r="H22" s="177"/>
      <c r="J22" s="2" t="str">
        <f t="shared" si="1"/>
        <v>Member Rate Stability</v>
      </c>
      <c r="K22" s="19"/>
      <c r="L22" s="39"/>
      <c r="M22" s="316">
        <f t="shared" si="2"/>
        <v>-5.0399602468691367E-3</v>
      </c>
      <c r="N22" s="19"/>
      <c r="O22" s="18">
        <f t="shared" si="3"/>
        <v>-538695.16315439926</v>
      </c>
      <c r="P22" s="177"/>
      <c r="Q22" s="19"/>
      <c r="R22" s="39"/>
      <c r="S22" s="316">
        <f t="shared" si="4"/>
        <v>-5.0399602468691367E-3</v>
      </c>
      <c r="T22" s="19"/>
      <c r="U22" s="18">
        <f t="shared" si="5"/>
        <v>-538695.16315439926</v>
      </c>
    </row>
    <row r="23" spans="1:21" x14ac:dyDescent="0.25">
      <c r="B23" s="2" t="s">
        <v>104</v>
      </c>
      <c r="C23" s="19"/>
      <c r="D23" s="39"/>
      <c r="E23" s="316">
        <f t="shared" si="0"/>
        <v>1.7867155179061879E-3</v>
      </c>
      <c r="F23" s="19"/>
      <c r="G23" s="18">
        <f>BillDet!Q68</f>
        <v>212085.98000000004</v>
      </c>
      <c r="H23" s="178"/>
      <c r="J23" s="2" t="str">
        <f t="shared" si="1"/>
        <v>Non-FAC PPA</v>
      </c>
      <c r="K23" s="19"/>
      <c r="L23" s="39"/>
      <c r="M23" s="316">
        <f t="shared" si="2"/>
        <v>1.7867155179061879E-3</v>
      </c>
      <c r="N23" s="19"/>
      <c r="O23" s="18">
        <f t="shared" si="3"/>
        <v>190972.73793516139</v>
      </c>
      <c r="P23" s="177"/>
      <c r="Q23" s="19"/>
      <c r="R23" s="39"/>
      <c r="S23" s="316">
        <f t="shared" si="4"/>
        <v>1.7867155179061879E-3</v>
      </c>
      <c r="T23" s="19"/>
      <c r="U23" s="18">
        <f t="shared" si="5"/>
        <v>190972.73793516139</v>
      </c>
    </row>
    <row r="24" spans="1:21" x14ac:dyDescent="0.25">
      <c r="C24" s="131"/>
      <c r="D24" s="60"/>
      <c r="E24" s="317">
        <f>SUM(E20:E23)</f>
        <v>4.7484094021517523E-3</v>
      </c>
      <c r="F24" s="34"/>
      <c r="G24" s="62"/>
      <c r="H24" s="179"/>
      <c r="K24" s="131"/>
      <c r="L24" s="60"/>
      <c r="M24" s="317">
        <f>SUM(M20:M23)</f>
        <v>4.7484094021517523E-3</v>
      </c>
      <c r="N24" s="34"/>
      <c r="O24" s="18"/>
      <c r="P24" s="177"/>
      <c r="Q24" s="131"/>
      <c r="R24" s="60"/>
      <c r="S24" s="317">
        <f>SUM(S20:S23)</f>
        <v>4.7484094021517523E-3</v>
      </c>
      <c r="T24" s="34"/>
      <c r="U24" s="18"/>
    </row>
    <row r="25" spans="1:21" x14ac:dyDescent="0.25">
      <c r="C25" s="131"/>
      <c r="D25" s="60"/>
      <c r="E25" s="64"/>
      <c r="F25" s="34"/>
      <c r="G25" s="62"/>
      <c r="H25" s="179"/>
      <c r="K25" s="131"/>
      <c r="L25" s="60"/>
      <c r="M25" s="64"/>
      <c r="N25" s="34"/>
      <c r="O25" s="18"/>
      <c r="P25" s="177"/>
      <c r="Q25" s="131"/>
      <c r="R25" s="60"/>
      <c r="S25" s="64"/>
      <c r="T25" s="34"/>
      <c r="U25" s="18"/>
    </row>
    <row r="26" spans="1:21" ht="16.5" thickBot="1" x14ac:dyDescent="0.3">
      <c r="A26" s="1" t="s">
        <v>80</v>
      </c>
      <c r="G26" s="29">
        <f>SUM(G12:G25)</f>
        <v>15134801.250936</v>
      </c>
      <c r="H26" s="177"/>
      <c r="I26" s="1" t="s">
        <v>80</v>
      </c>
      <c r="O26" s="29">
        <f>SUM(O12:O25)</f>
        <v>13990918.302436749</v>
      </c>
      <c r="P26" s="177"/>
      <c r="U26" s="29">
        <f>SUM(U12:U25)</f>
        <v>13990918.302436749</v>
      </c>
    </row>
    <row r="27" spans="1:21" ht="16.5" thickTop="1" x14ac:dyDescent="0.25">
      <c r="A27" s="1"/>
      <c r="B27" s="1"/>
      <c r="G27" s="18"/>
      <c r="H27" s="177"/>
      <c r="I27" s="1"/>
      <c r="J27" s="1"/>
      <c r="O27" s="18"/>
      <c r="P27" s="177"/>
      <c r="U27" s="18"/>
    </row>
    <row r="28" spans="1:21" x14ac:dyDescent="0.25">
      <c r="A28" s="44" t="s">
        <v>19</v>
      </c>
      <c r="B28" s="10"/>
      <c r="G28" s="11">
        <v>15134862.542752001</v>
      </c>
      <c r="H28" s="177"/>
      <c r="I28" s="107" t="s">
        <v>85</v>
      </c>
      <c r="J28" s="10"/>
      <c r="O28" s="37">
        <f>O26-G26</f>
        <v>-1143882.9484992512</v>
      </c>
      <c r="P28" s="328"/>
      <c r="U28" s="37">
        <f>U26-O26</f>
        <v>0</v>
      </c>
    </row>
    <row r="29" spans="1:21" x14ac:dyDescent="0.25">
      <c r="A29" s="10"/>
      <c r="B29" s="10"/>
      <c r="G29" s="10"/>
      <c r="H29" s="180"/>
      <c r="I29" s="48"/>
      <c r="J29" s="10"/>
      <c r="O29" s="10"/>
      <c r="P29" s="180"/>
      <c r="U29" s="10"/>
    </row>
    <row r="30" spans="1:21" x14ac:dyDescent="0.25">
      <c r="A30" s="44" t="s">
        <v>13</v>
      </c>
      <c r="B30" s="10"/>
      <c r="G30" s="27">
        <f>G26-G28</f>
        <v>-61.291816001757979</v>
      </c>
      <c r="H30" s="181"/>
      <c r="I30" s="107" t="s">
        <v>86</v>
      </c>
      <c r="J30" s="10"/>
      <c r="O30" s="132">
        <f>O28/G26</f>
        <v>-7.5579647828444965E-2</v>
      </c>
      <c r="P30" s="329"/>
      <c r="U30" s="132">
        <f>U28/O26</f>
        <v>0</v>
      </c>
    </row>
    <row r="31" spans="1:21" x14ac:dyDescent="0.25">
      <c r="A31" s="10"/>
      <c r="B31" s="10"/>
      <c r="G31" s="11"/>
      <c r="H31" s="177"/>
      <c r="I31" s="34"/>
      <c r="J31" s="10"/>
      <c r="O31" s="11"/>
      <c r="P31" s="177"/>
      <c r="U31" s="11"/>
    </row>
    <row r="32" spans="1:21" x14ac:dyDescent="0.25">
      <c r="A32" s="44" t="s">
        <v>26</v>
      </c>
      <c r="B32" s="10"/>
      <c r="G32" s="28">
        <f>G30/G28</f>
        <v>-4.0497107805653827E-6</v>
      </c>
      <c r="H32" s="182"/>
      <c r="I32" s="58" t="s">
        <v>87</v>
      </c>
      <c r="J32" s="10"/>
      <c r="O32" s="50">
        <f>O28/L12</f>
        <v>-9.3098524310581361</v>
      </c>
      <c r="P32" s="328"/>
      <c r="U32" s="50">
        <f>U28/R12</f>
        <v>0</v>
      </c>
    </row>
    <row r="33" spans="1:21" x14ac:dyDescent="0.25">
      <c r="A33" s="44"/>
      <c r="B33" s="10"/>
      <c r="G33" s="28"/>
      <c r="H33" s="182"/>
      <c r="I33" s="44"/>
      <c r="J33" s="10"/>
      <c r="O33" s="28"/>
      <c r="P33" s="182"/>
      <c r="U33" s="28"/>
    </row>
    <row r="34" spans="1:21" x14ac:dyDescent="0.25">
      <c r="A34" s="44"/>
      <c r="B34" s="10"/>
      <c r="D34" s="14">
        <f>D17/D12</f>
        <v>1004.0652168396477</v>
      </c>
      <c r="G34" s="28"/>
      <c r="H34" s="28"/>
      <c r="I34" s="44"/>
      <c r="J34" s="10"/>
      <c r="O34" s="28"/>
      <c r="P34" s="28"/>
      <c r="U34" s="28"/>
    </row>
    <row r="35" spans="1:21" x14ac:dyDescent="0.25">
      <c r="A35" s="44"/>
      <c r="B35" s="10"/>
      <c r="G35" s="169">
        <f>G12+G17</f>
        <v>14571157.485935999</v>
      </c>
      <c r="H35" s="28"/>
      <c r="I35" s="44"/>
      <c r="J35" s="10"/>
      <c r="O35" s="28"/>
      <c r="P35" s="28"/>
      <c r="U35" s="28"/>
    </row>
    <row r="36" spans="1:21" x14ac:dyDescent="0.25">
      <c r="A36" s="44"/>
      <c r="B36" s="10"/>
      <c r="G36" s="28"/>
      <c r="H36" s="28"/>
      <c r="I36" s="44"/>
      <c r="J36" s="10"/>
      <c r="O36" s="28"/>
      <c r="P36" s="28"/>
      <c r="U36" s="28"/>
    </row>
    <row r="37" spans="1:21" x14ac:dyDescent="0.25">
      <c r="A37" s="44"/>
      <c r="B37" s="10"/>
      <c r="G37" s="28"/>
      <c r="H37" s="28"/>
      <c r="I37" s="44"/>
      <c r="J37" s="10"/>
      <c r="O37" s="28"/>
      <c r="P37" s="28"/>
      <c r="U37" s="28"/>
    </row>
    <row r="38" spans="1:21" x14ac:dyDescent="0.25">
      <c r="A38" s="44"/>
      <c r="B38" s="10"/>
      <c r="G38" s="28"/>
      <c r="H38" s="28"/>
      <c r="I38" s="44"/>
      <c r="J38" s="10"/>
      <c r="O38" s="28"/>
      <c r="P38" s="28"/>
      <c r="U38" s="28"/>
    </row>
    <row r="39" spans="1:21" ht="18.75" customHeight="1" x14ac:dyDescent="0.25">
      <c r="A39" s="44"/>
      <c r="B39" s="11"/>
      <c r="G39" s="28"/>
      <c r="H39" s="28"/>
      <c r="J39" s="34"/>
    </row>
    <row r="40" spans="1:21" x14ac:dyDescent="0.25">
      <c r="E40" s="11"/>
      <c r="J40" s="34"/>
    </row>
    <row r="41" spans="1:21" x14ac:dyDescent="0.25">
      <c r="I41" s="53"/>
      <c r="J41" s="53"/>
    </row>
    <row r="42" spans="1:21" x14ac:dyDescent="0.25">
      <c r="I42" s="53"/>
      <c r="J42" s="53"/>
    </row>
    <row r="43" spans="1:21" x14ac:dyDescent="0.25">
      <c r="I43" s="53"/>
      <c r="J43" s="53"/>
    </row>
    <row r="44" spans="1:21" x14ac:dyDescent="0.25">
      <c r="I44" s="53"/>
      <c r="J44" s="92"/>
    </row>
    <row r="45" spans="1:21" x14ac:dyDescent="0.25">
      <c r="I45" s="53"/>
      <c r="J45" s="92"/>
    </row>
    <row r="46" spans="1:21" x14ac:dyDescent="0.25">
      <c r="I46" s="53"/>
      <c r="J46" s="92"/>
    </row>
    <row r="47" spans="1:21" x14ac:dyDescent="0.25">
      <c r="I47" s="53"/>
      <c r="J47" s="92"/>
    </row>
    <row r="48" spans="1:21" x14ac:dyDescent="0.25">
      <c r="I48" s="53"/>
      <c r="J48" s="92"/>
    </row>
    <row r="49" spans="9:10" x14ac:dyDescent="0.25">
      <c r="I49" s="53"/>
      <c r="J49" s="92"/>
    </row>
    <row r="50" spans="9:10" x14ac:dyDescent="0.25">
      <c r="I50" s="53"/>
      <c r="J50" s="92"/>
    </row>
    <row r="51" spans="9:10" x14ac:dyDescent="0.25">
      <c r="I51" s="53"/>
      <c r="J51" s="92"/>
    </row>
    <row r="52" spans="9:10" x14ac:dyDescent="0.25">
      <c r="I52" s="53"/>
      <c r="J52" s="92"/>
    </row>
    <row r="53" spans="9:10" x14ac:dyDescent="0.25">
      <c r="I53" s="53"/>
      <c r="J53" s="92"/>
    </row>
    <row r="54" spans="9:10" ht="16.5" customHeight="1" x14ac:dyDescent="0.25">
      <c r="I54" s="53"/>
      <c r="J54" s="92"/>
    </row>
    <row r="55" spans="9:10" x14ac:dyDescent="0.25">
      <c r="I55" s="53"/>
      <c r="J55" s="92"/>
    </row>
    <row r="56" spans="9:10" x14ac:dyDescent="0.25">
      <c r="I56" s="53"/>
      <c r="J56" s="92"/>
    </row>
    <row r="57" spans="9:10" x14ac:dyDescent="0.25">
      <c r="I57" s="19"/>
      <c r="J57" s="19"/>
    </row>
    <row r="58" spans="9:10" x14ac:dyDescent="0.25">
      <c r="I58" s="19"/>
      <c r="J58" s="19"/>
    </row>
    <row r="59" spans="9:10" x14ac:dyDescent="0.25">
      <c r="I59" s="53"/>
      <c r="J59" s="53"/>
    </row>
    <row r="60" spans="9:10" x14ac:dyDescent="0.25">
      <c r="I60" s="53"/>
      <c r="J60" s="53"/>
    </row>
    <row r="61" spans="9:10" x14ac:dyDescent="0.25">
      <c r="I61" s="53"/>
      <c r="J61" s="53"/>
    </row>
    <row r="62" spans="9:10" x14ac:dyDescent="0.25">
      <c r="I62" s="90"/>
      <c r="J62" s="81"/>
    </row>
    <row r="63" spans="9:10" x14ac:dyDescent="0.25">
      <c r="I63" s="90"/>
      <c r="J63" s="81"/>
    </row>
    <row r="64" spans="9:10" x14ac:dyDescent="0.25">
      <c r="I64" s="90"/>
      <c r="J64" s="81"/>
    </row>
    <row r="65" spans="9:10" x14ac:dyDescent="0.25">
      <c r="I65" s="90"/>
      <c r="J65" s="81"/>
    </row>
    <row r="66" spans="9:10" x14ac:dyDescent="0.25">
      <c r="I66" s="90"/>
      <c r="J66" s="81"/>
    </row>
    <row r="67" spans="9:10" x14ac:dyDescent="0.25">
      <c r="I67" s="90"/>
      <c r="J67" s="81"/>
    </row>
    <row r="68" spans="9:10" x14ac:dyDescent="0.25">
      <c r="I68" s="90"/>
      <c r="J68" s="81"/>
    </row>
    <row r="69" spans="9:10" x14ac:dyDescent="0.25">
      <c r="I69" s="90"/>
      <c r="J69" s="81"/>
    </row>
    <row r="70" spans="9:10" x14ac:dyDescent="0.25">
      <c r="I70" s="90"/>
      <c r="J70" s="81"/>
    </row>
    <row r="71" spans="9:10" x14ac:dyDescent="0.25">
      <c r="I71" s="90"/>
      <c r="J71" s="81"/>
    </row>
    <row r="72" spans="9:10" x14ac:dyDescent="0.25">
      <c r="I72" s="90"/>
      <c r="J72" s="81"/>
    </row>
    <row r="73" spans="9:10" x14ac:dyDescent="0.25">
      <c r="I73" s="90"/>
      <c r="J73" s="81"/>
    </row>
    <row r="74" spans="9:10" x14ac:dyDescent="0.25">
      <c r="I74" s="53"/>
      <c r="J74" s="53"/>
    </row>
    <row r="75" spans="9:10" x14ac:dyDescent="0.25">
      <c r="I75" s="53"/>
      <c r="J75" s="53"/>
    </row>
    <row r="76" spans="9:10" x14ac:dyDescent="0.25">
      <c r="I76" s="53"/>
      <c r="J76" s="53"/>
    </row>
    <row r="77" spans="9:10" x14ac:dyDescent="0.25">
      <c r="I77" s="53"/>
      <c r="J77" s="53"/>
    </row>
    <row r="78" spans="9:10" x14ac:dyDescent="0.25">
      <c r="I78" s="53"/>
      <c r="J78" s="53"/>
    </row>
    <row r="79" spans="9:10" x14ac:dyDescent="0.25">
      <c r="I79" s="53"/>
      <c r="J79" s="53"/>
    </row>
    <row r="80" spans="9:10" x14ac:dyDescent="0.25">
      <c r="I80" s="53"/>
      <c r="J80" s="53"/>
    </row>
    <row r="81" spans="9:10" x14ac:dyDescent="0.25">
      <c r="I81" s="53"/>
      <c r="J81" s="53"/>
    </row>
    <row r="82" spans="9:10" x14ac:dyDescent="0.25">
      <c r="I82" s="53"/>
      <c r="J82" s="53"/>
    </row>
    <row r="83" spans="9:10" x14ac:dyDescent="0.25">
      <c r="I83" s="53"/>
      <c r="J83" s="53"/>
    </row>
    <row r="84" spans="9:10" x14ac:dyDescent="0.25">
      <c r="I84" s="53"/>
      <c r="J84" s="53"/>
    </row>
    <row r="85" spans="9:10" x14ac:dyDescent="0.25">
      <c r="I85" s="53"/>
      <c r="J85" s="53"/>
    </row>
    <row r="86" spans="9:10" x14ac:dyDescent="0.25">
      <c r="I86" s="53"/>
      <c r="J86" s="53"/>
    </row>
    <row r="87" spans="9:10" ht="15" customHeight="1" x14ac:dyDescent="0.25">
      <c r="I87" s="53"/>
      <c r="J87" s="53"/>
    </row>
    <row r="88" spans="9:10" x14ac:dyDescent="0.25">
      <c r="I88" s="53"/>
      <c r="J88" s="53"/>
    </row>
    <row r="89" spans="9:10" x14ac:dyDescent="0.25">
      <c r="I89" s="53"/>
      <c r="J89" s="53"/>
    </row>
    <row r="90" spans="9:10" x14ac:dyDescent="0.25">
      <c r="I90" s="53"/>
      <c r="J90" s="53"/>
    </row>
    <row r="91" spans="9:10" x14ac:dyDescent="0.25">
      <c r="I91" s="53"/>
      <c r="J91" s="53"/>
    </row>
    <row r="92" spans="9:10" x14ac:dyDescent="0.25">
      <c r="I92" s="53"/>
      <c r="J92" s="53"/>
    </row>
    <row r="93" spans="9:10" x14ac:dyDescent="0.25">
      <c r="I93" s="53"/>
      <c r="J93" s="53"/>
    </row>
    <row r="94" spans="9:10" x14ac:dyDescent="0.25">
      <c r="I94" s="53"/>
      <c r="J94" s="53"/>
    </row>
    <row r="95" spans="9:10" x14ac:dyDescent="0.25">
      <c r="I95" s="53"/>
      <c r="J95" s="53"/>
    </row>
    <row r="96" spans="9:10" x14ac:dyDescent="0.25">
      <c r="I96" s="53"/>
      <c r="J96" s="53"/>
    </row>
    <row r="97" spans="9:10" x14ac:dyDescent="0.25">
      <c r="I97" s="53"/>
      <c r="J97" s="53"/>
    </row>
    <row r="98" spans="9:10" x14ac:dyDescent="0.25">
      <c r="I98" s="53"/>
      <c r="J98" s="53"/>
    </row>
    <row r="99" spans="9:10" x14ac:dyDescent="0.25">
      <c r="I99" s="53"/>
      <c r="J99" s="53"/>
    </row>
    <row r="100" spans="9:10" x14ac:dyDescent="0.25">
      <c r="I100" s="53"/>
      <c r="J100" s="53"/>
    </row>
    <row r="101" spans="9:10" x14ac:dyDescent="0.25">
      <c r="I101" s="53"/>
      <c r="J101" s="53"/>
    </row>
    <row r="102" spans="9:10" x14ac:dyDescent="0.25">
      <c r="I102" s="53"/>
      <c r="J102" s="53"/>
    </row>
    <row r="103" spans="9:10" x14ac:dyDescent="0.25">
      <c r="I103" s="53"/>
      <c r="J103" s="53"/>
    </row>
    <row r="104" spans="9:10" x14ac:dyDescent="0.25">
      <c r="I104" s="53"/>
      <c r="J104" s="53"/>
    </row>
    <row r="105" spans="9:10" x14ac:dyDescent="0.25">
      <c r="I105" s="53"/>
      <c r="J105" s="53"/>
    </row>
    <row r="106" spans="9:10" x14ac:dyDescent="0.25">
      <c r="I106" s="53"/>
      <c r="J106" s="53"/>
    </row>
    <row r="107" spans="9:10" x14ac:dyDescent="0.25">
      <c r="I107" s="53"/>
      <c r="J107" s="53"/>
    </row>
    <row r="108" spans="9:10" x14ac:dyDescent="0.25">
      <c r="I108" s="53"/>
      <c r="J108" s="53"/>
    </row>
    <row r="109" spans="9:10" x14ac:dyDescent="0.25">
      <c r="I109" s="53"/>
      <c r="J109" s="53"/>
    </row>
    <row r="110" spans="9:10" x14ac:dyDescent="0.25">
      <c r="I110" s="53"/>
      <c r="J110" s="53"/>
    </row>
    <row r="111" spans="9:10" x14ac:dyDescent="0.25">
      <c r="I111" s="53"/>
      <c r="J111" s="53"/>
    </row>
    <row r="112" spans="9:10" x14ac:dyDescent="0.25">
      <c r="I112" s="53"/>
      <c r="J112" s="53"/>
    </row>
    <row r="113" spans="9:17" x14ac:dyDescent="0.25">
      <c r="I113" s="53"/>
      <c r="J113" s="53"/>
    </row>
    <row r="114" spans="9:17" x14ac:dyDescent="0.25">
      <c r="I114" s="53"/>
      <c r="J114" s="53"/>
    </row>
    <row r="115" spans="9:17" x14ac:dyDescent="0.25">
      <c r="I115" s="53"/>
      <c r="J115" s="53"/>
    </row>
    <row r="116" spans="9:17" x14ac:dyDescent="0.25">
      <c r="I116" s="53"/>
      <c r="J116" s="53"/>
    </row>
    <row r="117" spans="9:17" x14ac:dyDescent="0.25">
      <c r="I117" s="53"/>
      <c r="J117" s="53"/>
    </row>
    <row r="118" spans="9:17" x14ac:dyDescent="0.25">
      <c r="I118" s="53"/>
      <c r="J118" s="53"/>
    </row>
    <row r="119" spans="9:17" x14ac:dyDescent="0.25">
      <c r="I119" s="53"/>
      <c r="J119" s="53"/>
    </row>
    <row r="120" spans="9:17" x14ac:dyDescent="0.25">
      <c r="K120" s="19"/>
      <c r="Q120" s="19"/>
    </row>
    <row r="121" spans="9:17" x14ac:dyDescent="0.25">
      <c r="K121" s="19"/>
      <c r="Q121" s="19"/>
    </row>
    <row r="122" spans="9:17" x14ac:dyDescent="0.25">
      <c r="K122" s="19"/>
      <c r="Q122" s="19"/>
    </row>
    <row r="123" spans="9:17" x14ac:dyDescent="0.25">
      <c r="K123" s="19"/>
      <c r="Q123" s="19"/>
    </row>
    <row r="124" spans="9:17" x14ac:dyDescent="0.25">
      <c r="K124" s="19"/>
      <c r="Q124" s="19"/>
    </row>
    <row r="125" spans="9:17" x14ac:dyDescent="0.25">
      <c r="K125" s="19"/>
      <c r="Q125" s="19"/>
    </row>
    <row r="126" spans="9:17" x14ac:dyDescent="0.25">
      <c r="K126" s="19"/>
      <c r="Q126" s="19"/>
    </row>
    <row r="127" spans="9:17" x14ac:dyDescent="0.25">
      <c r="K127" s="19"/>
      <c r="Q127" s="19"/>
    </row>
    <row r="128" spans="9:17" x14ac:dyDescent="0.25">
      <c r="K128" s="19"/>
      <c r="Q128" s="19"/>
    </row>
    <row r="134" spans="2:8" x14ac:dyDescent="0.25">
      <c r="B134" s="19"/>
      <c r="C134" s="53"/>
      <c r="D134" s="53"/>
      <c r="E134" s="19"/>
      <c r="F134" s="19"/>
      <c r="G134" s="19"/>
      <c r="H134" s="19"/>
    </row>
    <row r="135" spans="2:8" x14ac:dyDescent="0.25">
      <c r="B135" s="19"/>
      <c r="C135" s="55"/>
      <c r="D135" s="69"/>
      <c r="E135" s="74"/>
      <c r="F135" s="19"/>
      <c r="G135" s="19"/>
      <c r="H135" s="19"/>
    </row>
    <row r="136" spans="2:8" x14ac:dyDescent="0.25">
      <c r="B136" s="19"/>
      <c r="C136" s="55"/>
      <c r="D136" s="69"/>
      <c r="E136" s="74"/>
      <c r="F136" s="19"/>
      <c r="G136" s="19"/>
      <c r="H136" s="19"/>
    </row>
    <row r="137" spans="2:8" x14ac:dyDescent="0.25">
      <c r="B137" s="19"/>
      <c r="C137" s="55"/>
      <c r="D137" s="69"/>
      <c r="E137" s="74"/>
      <c r="F137" s="19"/>
      <c r="G137" s="19"/>
      <c r="H137" s="19"/>
    </row>
  </sheetData>
  <mergeCells count="6">
    <mergeCell ref="D4:G5"/>
    <mergeCell ref="R4:U5"/>
    <mergeCell ref="E7:F7"/>
    <mergeCell ref="S7:T7"/>
    <mergeCell ref="L4:O5"/>
    <mergeCell ref="M7:N7"/>
  </mergeCells>
  <pageMargins left="0.75" right="0.75" top="1" bottom="1" header="0.5" footer="0.5"/>
  <pageSetup scale="65" orientation="landscape" r:id="rId1"/>
  <headerFooter alignWithMargins="0">
    <oddFooter>&amp;RExhibit JW-9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U143"/>
  <sheetViews>
    <sheetView view="pageBreakPreview" zoomScale="73" zoomScaleNormal="85" zoomScaleSheetLayoutView="73" workbookViewId="0">
      <selection activeCell="T17" sqref="T17"/>
    </sheetView>
  </sheetViews>
  <sheetFormatPr defaultColWidth="9.140625" defaultRowHeight="15.75" x14ac:dyDescent="0.25"/>
  <cols>
    <col min="1" max="1" width="4.7109375" style="2" customWidth="1"/>
    <col min="2" max="2" width="24" style="2" bestFit="1" customWidth="1"/>
    <col min="3" max="3" width="1.7109375" style="2" customWidth="1"/>
    <col min="4" max="4" width="13.7109375" style="2" bestFit="1" customWidth="1"/>
    <col min="5" max="5" width="12" style="2" bestFit="1" customWidth="1"/>
    <col min="6" max="6" width="3.140625" style="2" customWidth="1"/>
    <col min="7" max="7" width="13.7109375" style="2" bestFit="1" customWidth="1"/>
    <col min="8" max="8" width="2.85546875" style="2" customWidth="1"/>
    <col min="9" max="9" width="4.28515625" style="2" customWidth="1"/>
    <col min="10" max="10" width="23.85546875" style="2" customWidth="1"/>
    <col min="11" max="11" width="1.28515625" style="2" customWidth="1"/>
    <col min="12" max="12" width="13.7109375" style="2" bestFit="1" customWidth="1"/>
    <col min="13" max="13" width="12" style="2" bestFit="1" customWidth="1"/>
    <col min="14" max="14" width="1.85546875" style="2" customWidth="1"/>
    <col min="15" max="15" width="13.7109375" style="2" customWidth="1"/>
    <col min="16" max="16" width="4" style="2" customWidth="1"/>
    <col min="17" max="17" width="2.140625" style="2" customWidth="1"/>
    <col min="18" max="18" width="13.7109375" style="2" bestFit="1" customWidth="1"/>
    <col min="19" max="19" width="12" style="2" bestFit="1" customWidth="1"/>
    <col min="20" max="20" width="1.85546875" style="2" customWidth="1"/>
    <col min="21" max="21" width="13.7109375" style="2" customWidth="1"/>
    <col min="22" max="16384" width="9.140625" style="2"/>
  </cols>
  <sheetData>
    <row r="1" spans="1:21" x14ac:dyDescent="0.25">
      <c r="A1" s="1" t="str">
        <f>'Present and Proposed Rates'!A1</f>
        <v>KENERGY CORP.</v>
      </c>
      <c r="J1" s="1"/>
    </row>
    <row r="2" spans="1:21" x14ac:dyDescent="0.25">
      <c r="A2" s="34" t="str">
        <f>'Present and Proposed Rates'!A16</f>
        <v>Commercial &amp; Public Bldgs Three Phase (&lt; 1000 kW)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6.5" thickBot="1" x14ac:dyDescent="0.3">
      <c r="A3" s="34">
        <f>'Present and Proposed Rates'!B16</f>
        <v>5</v>
      </c>
      <c r="B3" s="34"/>
      <c r="C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x14ac:dyDescent="0.25">
      <c r="A4" s="34"/>
      <c r="B4" s="34"/>
      <c r="C4" s="34"/>
      <c r="D4" s="482" t="s">
        <v>30</v>
      </c>
      <c r="E4" s="483"/>
      <c r="F4" s="483"/>
      <c r="G4" s="484"/>
      <c r="H4" s="173"/>
      <c r="I4" s="34"/>
      <c r="J4" s="34"/>
      <c r="K4" s="34"/>
      <c r="L4" s="482" t="s">
        <v>223</v>
      </c>
      <c r="M4" s="483"/>
      <c r="N4" s="483"/>
      <c r="O4" s="484"/>
      <c r="P4" s="173"/>
      <c r="Q4" s="34"/>
      <c r="R4" s="482" t="s">
        <v>96</v>
      </c>
      <c r="S4" s="483"/>
      <c r="T4" s="483"/>
      <c r="U4" s="484"/>
    </row>
    <row r="5" spans="1:21" ht="16.5" thickBot="1" x14ac:dyDescent="0.3">
      <c r="A5" s="57"/>
      <c r="B5" s="99"/>
      <c r="C5" s="327"/>
      <c r="D5" s="485"/>
      <c r="E5" s="486"/>
      <c r="F5" s="486"/>
      <c r="G5" s="487"/>
      <c r="H5" s="173"/>
      <c r="I5" s="57"/>
      <c r="J5" s="99"/>
      <c r="K5" s="327"/>
      <c r="L5" s="485"/>
      <c r="M5" s="486"/>
      <c r="N5" s="486"/>
      <c r="O5" s="487"/>
      <c r="P5" s="173"/>
      <c r="Q5" s="327"/>
      <c r="R5" s="485"/>
      <c r="S5" s="486"/>
      <c r="T5" s="486"/>
      <c r="U5" s="487"/>
    </row>
    <row r="6" spans="1:21" x14ac:dyDescent="0.25">
      <c r="A6" s="4"/>
      <c r="B6" s="4"/>
      <c r="C6" s="4"/>
      <c r="D6" s="4" t="s">
        <v>1</v>
      </c>
      <c r="E6" s="4"/>
      <c r="F6" s="4"/>
      <c r="G6" s="4" t="s">
        <v>2</v>
      </c>
      <c r="H6" s="174"/>
      <c r="I6" s="4"/>
      <c r="J6" s="4"/>
      <c r="K6" s="4"/>
      <c r="L6" s="4" t="s">
        <v>1</v>
      </c>
      <c r="M6" s="4"/>
      <c r="N6" s="4"/>
      <c r="O6" s="4" t="s">
        <v>2</v>
      </c>
      <c r="P6" s="174"/>
      <c r="Q6" s="4"/>
      <c r="R6" s="4" t="s">
        <v>1</v>
      </c>
      <c r="S6" s="4"/>
      <c r="T6" s="4"/>
      <c r="U6" s="4" t="s">
        <v>2</v>
      </c>
    </row>
    <row r="7" spans="1:21" ht="16.5" thickBot="1" x14ac:dyDescent="0.3">
      <c r="A7" s="5"/>
      <c r="B7" s="5"/>
      <c r="C7" s="5"/>
      <c r="D7" s="5" t="s">
        <v>4</v>
      </c>
      <c r="E7" s="488" t="s">
        <v>5</v>
      </c>
      <c r="F7" s="488"/>
      <c r="G7" s="5" t="s">
        <v>6</v>
      </c>
      <c r="H7" s="175"/>
      <c r="I7" s="5"/>
      <c r="J7" s="5"/>
      <c r="K7" s="5"/>
      <c r="L7" s="5" t="s">
        <v>4</v>
      </c>
      <c r="M7" s="488" t="s">
        <v>5</v>
      </c>
      <c r="N7" s="488"/>
      <c r="O7" s="5" t="s">
        <v>6</v>
      </c>
      <c r="P7" s="175"/>
      <c r="Q7" s="5"/>
      <c r="R7" s="5" t="s">
        <v>4</v>
      </c>
      <c r="S7" s="488" t="s">
        <v>5</v>
      </c>
      <c r="T7" s="488"/>
      <c r="U7" s="5" t="s">
        <v>6</v>
      </c>
    </row>
    <row r="8" spans="1:21" x14ac:dyDescent="0.25">
      <c r="H8" s="176"/>
      <c r="P8" s="176"/>
    </row>
    <row r="9" spans="1:21" x14ac:dyDescent="0.25">
      <c r="H9" s="176"/>
      <c r="P9" s="176"/>
    </row>
    <row r="10" spans="1:21" x14ac:dyDescent="0.25">
      <c r="A10" s="140" t="s">
        <v>10</v>
      </c>
      <c r="H10" s="176"/>
      <c r="I10" s="140" t="s">
        <v>10</v>
      </c>
      <c r="P10" s="176"/>
    </row>
    <row r="11" spans="1:21" x14ac:dyDescent="0.25">
      <c r="D11" s="167" t="s">
        <v>101</v>
      </c>
      <c r="E11" s="167" t="s">
        <v>110</v>
      </c>
      <c r="H11" s="176"/>
      <c r="L11" s="167" t="s">
        <v>101</v>
      </c>
      <c r="M11" s="167" t="s">
        <v>110</v>
      </c>
      <c r="P11" s="176"/>
      <c r="R11" s="167" t="s">
        <v>101</v>
      </c>
      <c r="S11" s="167" t="s">
        <v>110</v>
      </c>
    </row>
    <row r="12" spans="1:21" x14ac:dyDescent="0.25">
      <c r="B12" s="2" t="s">
        <v>98</v>
      </c>
      <c r="D12" s="106">
        <f>BillDet!Q8</f>
        <v>14660</v>
      </c>
      <c r="E12" s="9">
        <f>'Present and Proposed Rates'!F16</f>
        <v>45.52</v>
      </c>
      <c r="G12" s="11">
        <f>D12*E12</f>
        <v>667323.20000000007</v>
      </c>
      <c r="H12" s="177"/>
      <c r="J12" s="2" t="s">
        <v>106</v>
      </c>
      <c r="L12" s="106">
        <f>BillDet!P8*12</f>
        <v>14796</v>
      </c>
      <c r="M12" s="164">
        <f>E12</f>
        <v>45.52</v>
      </c>
      <c r="O12" s="11">
        <f>L12*M12</f>
        <v>673513.92</v>
      </c>
      <c r="P12" s="177"/>
      <c r="R12" s="106">
        <f>L12</f>
        <v>14796</v>
      </c>
      <c r="S12" s="164">
        <f>'Present and Proposed Rates'!G16</f>
        <v>45.52</v>
      </c>
      <c r="U12" s="11">
        <f>R12*S12</f>
        <v>673513.92</v>
      </c>
    </row>
    <row r="13" spans="1:21" x14ac:dyDescent="0.25">
      <c r="D13" s="8"/>
      <c r="G13" s="11"/>
      <c r="H13" s="177"/>
      <c r="L13" s="8"/>
      <c r="O13" s="11"/>
      <c r="P13" s="177"/>
      <c r="R13" s="8"/>
      <c r="U13" s="11"/>
    </row>
    <row r="14" spans="1:21" x14ac:dyDescent="0.25">
      <c r="A14" s="1" t="s">
        <v>7</v>
      </c>
      <c r="D14" s="8"/>
      <c r="G14" s="11"/>
      <c r="H14" s="177"/>
      <c r="I14" s="1" t="s">
        <v>7</v>
      </c>
      <c r="L14" s="8"/>
      <c r="O14" s="11"/>
      <c r="P14" s="177"/>
      <c r="R14" s="8"/>
      <c r="U14" s="11"/>
    </row>
    <row r="15" spans="1:21" x14ac:dyDescent="0.25">
      <c r="D15" s="160" t="s">
        <v>8</v>
      </c>
      <c r="E15" s="161" t="s">
        <v>11</v>
      </c>
      <c r="G15" s="11"/>
      <c r="H15" s="177"/>
      <c r="L15" s="160" t="s">
        <v>8</v>
      </c>
      <c r="M15" s="161" t="s">
        <v>11</v>
      </c>
      <c r="O15" s="11"/>
      <c r="P15" s="177"/>
      <c r="R15" s="160" t="s">
        <v>8</v>
      </c>
      <c r="S15" s="161" t="s">
        <v>11</v>
      </c>
      <c r="U15" s="11"/>
    </row>
    <row r="16" spans="1:21" x14ac:dyDescent="0.25">
      <c r="B16" s="2" t="s">
        <v>208</v>
      </c>
      <c r="D16" s="39">
        <v>115063652</v>
      </c>
      <c r="E16" s="163">
        <f>'Present and Proposed Rates'!F17</f>
        <v>8.7489999999999998E-2</v>
      </c>
      <c r="F16" s="19"/>
      <c r="G16" s="18">
        <f>D16*E16</f>
        <v>10066918.913480001</v>
      </c>
      <c r="H16" s="177"/>
      <c r="J16" s="2" t="s">
        <v>98</v>
      </c>
      <c r="L16" s="39">
        <f>D16+(BillDet!Q18-'Com3Ph&lt;1000-5'!D19)</f>
        <v>115070252</v>
      </c>
      <c r="M16" s="163">
        <f>E16</f>
        <v>8.7489999999999998E-2</v>
      </c>
      <c r="N16" s="19"/>
      <c r="O16" s="18">
        <f>L16*M16</f>
        <v>10067496.347479999</v>
      </c>
      <c r="P16" s="177"/>
      <c r="R16" s="39">
        <f>L16</f>
        <v>115070252</v>
      </c>
      <c r="S16" s="163">
        <f>'Present and Proposed Rates'!G17</f>
        <v>8.7489999999999998E-2</v>
      </c>
      <c r="T16" s="19"/>
      <c r="U16" s="18">
        <f>R16*S16</f>
        <v>10067496.347479999</v>
      </c>
    </row>
    <row r="17" spans="1:21" x14ac:dyDescent="0.25">
      <c r="B17" s="2" t="s">
        <v>207</v>
      </c>
      <c r="D17" s="39">
        <v>58824249</v>
      </c>
      <c r="E17" s="163">
        <f>'Present and Proposed Rates'!F18</f>
        <v>6.7100000000000007E-2</v>
      </c>
      <c r="F17" s="19"/>
      <c r="G17" s="18">
        <f>D17*E17</f>
        <v>3947107.1079000002</v>
      </c>
      <c r="H17" s="177"/>
      <c r="J17" s="2" t="s">
        <v>98</v>
      </c>
      <c r="L17" s="39">
        <f>D17</f>
        <v>58824249</v>
      </c>
      <c r="M17" s="163">
        <f t="shared" ref="M17:M19" si="0">E17</f>
        <v>6.7100000000000007E-2</v>
      </c>
      <c r="N17" s="19"/>
      <c r="O17" s="18">
        <f>L17*M17</f>
        <v>3947107.1079000002</v>
      </c>
      <c r="P17" s="177"/>
      <c r="R17" s="39">
        <f>L17</f>
        <v>58824249</v>
      </c>
      <c r="S17" s="163">
        <f>'Present and Proposed Rates'!G18</f>
        <v>6.7100000000000007E-2</v>
      </c>
      <c r="T17" s="19"/>
      <c r="U17" s="18">
        <f>R17*S17</f>
        <v>3947107.1079000002</v>
      </c>
    </row>
    <row r="18" spans="1:21" x14ac:dyDescent="0.25">
      <c r="B18" s="2" t="s">
        <v>209</v>
      </c>
      <c r="D18" s="39">
        <v>13866844</v>
      </c>
      <c r="E18" s="163">
        <f>'Present and Proposed Rates'!F19</f>
        <v>5.9400000000000001E-2</v>
      </c>
      <c r="F18" s="19"/>
      <c r="G18" s="18">
        <f>D18*E18</f>
        <v>823690.53359999997</v>
      </c>
      <c r="H18" s="177"/>
      <c r="J18" s="2" t="s">
        <v>98</v>
      </c>
      <c r="L18" s="39">
        <f>D18</f>
        <v>13866844</v>
      </c>
      <c r="M18" s="163">
        <f t="shared" si="0"/>
        <v>5.9400000000000001E-2</v>
      </c>
      <c r="N18" s="19"/>
      <c r="O18" s="18">
        <f>L18*M18</f>
        <v>823690.53359999997</v>
      </c>
      <c r="P18" s="177"/>
      <c r="R18" s="39">
        <f>L18</f>
        <v>13866844</v>
      </c>
      <c r="S18" s="163">
        <f>'Present and Proposed Rates'!G19</f>
        <v>5.9400000000000001E-2</v>
      </c>
      <c r="T18" s="19"/>
      <c r="U18" s="18">
        <f>R18*S18</f>
        <v>823690.53359999997</v>
      </c>
    </row>
    <row r="19" spans="1:21" x14ac:dyDescent="0.25">
      <c r="B19" s="170" t="s">
        <v>212</v>
      </c>
      <c r="D19" s="172">
        <f>SUM(D16:D18)</f>
        <v>187754745</v>
      </c>
      <c r="E19" s="312">
        <f>G19/D19</f>
        <v>7.9027118888420109E-2</v>
      </c>
      <c r="F19" s="19"/>
      <c r="G19" s="171">
        <f>SUM(G16:G18)</f>
        <v>14837716.55498</v>
      </c>
      <c r="H19" s="177"/>
      <c r="J19" s="170" t="s">
        <v>212</v>
      </c>
      <c r="L19" s="172">
        <f>SUM(L16:L18)</f>
        <v>187761345</v>
      </c>
      <c r="M19" s="330">
        <f t="shared" si="0"/>
        <v>7.9027118888420109E-2</v>
      </c>
      <c r="N19" s="19"/>
      <c r="O19" s="171">
        <f>SUM(O16:O18)</f>
        <v>14838293.988980001</v>
      </c>
      <c r="P19" s="177"/>
      <c r="R19" s="172">
        <f>SUM(R16:R17)</f>
        <v>173894501</v>
      </c>
      <c r="S19" s="312">
        <f>U19/R19</f>
        <v>8.5329288181343929E-2</v>
      </c>
      <c r="T19" s="19"/>
      <c r="U19" s="171">
        <f>SUM(U16:U18)</f>
        <v>14838293.988980001</v>
      </c>
    </row>
    <row r="20" spans="1:21" x14ac:dyDescent="0.25">
      <c r="B20" s="19"/>
      <c r="C20" s="19"/>
      <c r="D20" s="39"/>
      <c r="E20" s="40"/>
      <c r="F20" s="19"/>
      <c r="G20" s="18"/>
      <c r="H20" s="177"/>
      <c r="J20" s="19"/>
      <c r="K20" s="19"/>
      <c r="L20" s="39"/>
      <c r="M20" s="40"/>
      <c r="N20" s="19"/>
      <c r="O20" s="18"/>
      <c r="P20" s="177"/>
      <c r="Q20" s="19"/>
      <c r="R20" s="39"/>
      <c r="S20" s="40"/>
      <c r="T20" s="19"/>
      <c r="U20" s="18"/>
    </row>
    <row r="21" spans="1:21" x14ac:dyDescent="0.25">
      <c r="A21" s="1" t="s">
        <v>107</v>
      </c>
      <c r="D21" s="8"/>
      <c r="G21" s="11"/>
      <c r="H21" s="177"/>
      <c r="I21" s="1" t="s">
        <v>107</v>
      </c>
      <c r="L21" s="8"/>
      <c r="O21" s="11"/>
      <c r="P21" s="177"/>
      <c r="R21" s="8"/>
      <c r="U21" s="11"/>
    </row>
    <row r="22" spans="1:21" x14ac:dyDescent="0.25">
      <c r="D22" s="160" t="s">
        <v>108</v>
      </c>
      <c r="E22" s="161" t="s">
        <v>109</v>
      </c>
      <c r="G22" s="11"/>
      <c r="H22" s="177"/>
      <c r="L22" s="160" t="s">
        <v>108</v>
      </c>
      <c r="M22" s="161" t="s">
        <v>109</v>
      </c>
      <c r="O22" s="11"/>
      <c r="P22" s="177"/>
      <c r="R22" s="160" t="s">
        <v>108</v>
      </c>
      <c r="S22" s="161" t="s">
        <v>109</v>
      </c>
      <c r="U22" s="11"/>
    </row>
    <row r="23" spans="1:21" x14ac:dyDescent="0.25">
      <c r="B23" s="2" t="s">
        <v>98</v>
      </c>
      <c r="D23" s="39">
        <f>BillDet!Q28</f>
        <v>670045.80500000005</v>
      </c>
      <c r="E23" s="168">
        <f>'Present and Proposed Rates'!F20</f>
        <v>5.78</v>
      </c>
      <c r="F23" s="19"/>
      <c r="G23" s="18">
        <f>D23*E23</f>
        <v>3872864.7529000007</v>
      </c>
      <c r="H23" s="177"/>
      <c r="J23" s="2" t="s">
        <v>98</v>
      </c>
      <c r="L23" s="39">
        <f>D23</f>
        <v>670045.80500000005</v>
      </c>
      <c r="M23" s="168">
        <f>E23</f>
        <v>5.78</v>
      </c>
      <c r="N23" s="19"/>
      <c r="O23" s="18">
        <f>L23*M23</f>
        <v>3872864.7529000007</v>
      </c>
      <c r="P23" s="177"/>
      <c r="R23" s="39">
        <f>L23</f>
        <v>670045.80500000005</v>
      </c>
      <c r="S23" s="168">
        <f>'Present and Proposed Rates'!G20</f>
        <v>5.78</v>
      </c>
      <c r="T23" s="19"/>
      <c r="U23" s="18">
        <f>R23*S23</f>
        <v>3872864.7529000007</v>
      </c>
    </row>
    <row r="24" spans="1:21" x14ac:dyDescent="0.25">
      <c r="D24" s="39"/>
      <c r="E24" s="163"/>
      <c r="F24" s="19"/>
      <c r="G24" s="18"/>
      <c r="H24" s="177"/>
      <c r="L24" s="39"/>
      <c r="M24" s="163"/>
      <c r="N24" s="19"/>
      <c r="O24" s="18"/>
      <c r="P24" s="177"/>
      <c r="R24" s="39"/>
      <c r="S24" s="163"/>
      <c r="T24" s="19"/>
      <c r="U24" s="18"/>
    </row>
    <row r="25" spans="1:21" x14ac:dyDescent="0.25">
      <c r="A25" s="1" t="s">
        <v>99</v>
      </c>
      <c r="B25" s="19"/>
      <c r="C25" s="19"/>
      <c r="D25" s="39"/>
      <c r="E25" s="40"/>
      <c r="F25" s="19"/>
      <c r="G25" s="18"/>
      <c r="H25" s="177"/>
      <c r="I25" s="1" t="s">
        <v>99</v>
      </c>
      <c r="J25" s="19"/>
      <c r="K25" s="19"/>
      <c r="L25" s="39"/>
      <c r="M25" s="40"/>
      <c r="N25" s="19"/>
      <c r="O25" s="18"/>
      <c r="P25" s="177"/>
      <c r="Q25" s="19"/>
      <c r="R25" s="39"/>
      <c r="S25" s="40"/>
      <c r="T25" s="19"/>
      <c r="U25" s="18"/>
    </row>
    <row r="26" spans="1:21" x14ac:dyDescent="0.25">
      <c r="B26" s="2" t="s">
        <v>105</v>
      </c>
      <c r="C26" s="19"/>
      <c r="D26" s="39"/>
      <c r="E26" s="316">
        <f>G26/D$19</f>
        <v>7.6118837902072723E-4</v>
      </c>
      <c r="F26" s="19"/>
      <c r="G26" s="18">
        <f>BillDet!Q39</f>
        <v>142916.72999999998</v>
      </c>
      <c r="H26" s="177"/>
      <c r="J26" s="2" t="str">
        <f>B26</f>
        <v>Fuel Adjustment Clause</v>
      </c>
      <c r="K26" s="19"/>
      <c r="L26" s="39"/>
      <c r="M26" s="316">
        <f>E26</f>
        <v>7.6118837902072723E-4</v>
      </c>
      <c r="N26" s="19"/>
      <c r="O26" s="18">
        <f>L$19*M26</f>
        <v>142921.75384330153</v>
      </c>
      <c r="P26" s="177"/>
      <c r="Q26" s="19"/>
      <c r="R26" s="39"/>
      <c r="S26" s="316">
        <f>U26/R$19</f>
        <v>8.2188771365059748E-4</v>
      </c>
      <c r="T26" s="19"/>
      <c r="U26" s="18">
        <f>O26</f>
        <v>142921.75384330153</v>
      </c>
    </row>
    <row r="27" spans="1:21" x14ac:dyDescent="0.25">
      <c r="B27" s="2" t="s">
        <v>102</v>
      </c>
      <c r="C27" s="19"/>
      <c r="D27" s="39"/>
      <c r="E27" s="316">
        <f t="shared" ref="E27:E29" si="1">G27/D$19</f>
        <v>7.2605494470991926E-3</v>
      </c>
      <c r="F27" s="19"/>
      <c r="G27" s="18">
        <f>BillDet!Q49</f>
        <v>1363202.6099999999</v>
      </c>
      <c r="H27" s="177"/>
      <c r="J27" s="2" t="str">
        <f t="shared" ref="J27:J29" si="2">B27</f>
        <v>Environmental Surcharge</v>
      </c>
      <c r="K27" s="19"/>
      <c r="L27" s="39"/>
      <c r="M27" s="316">
        <f t="shared" ref="M27:M29" si="3">E27</f>
        <v>7.2605494470991926E-3</v>
      </c>
      <c r="N27" s="19"/>
      <c r="O27" s="18">
        <f t="shared" ref="O27:O29" si="4">L$19*M27</f>
        <v>1363250.5296263508</v>
      </c>
      <c r="P27" s="177"/>
      <c r="Q27" s="19"/>
      <c r="R27" s="39"/>
      <c r="S27" s="316">
        <f t="shared" ref="S27:S29" si="5">U27/R$19</f>
        <v>7.8395263897755498E-3</v>
      </c>
      <c r="T27" s="19"/>
      <c r="U27" s="18">
        <f t="shared" ref="U27:U29" si="6">O27</f>
        <v>1363250.5296263508</v>
      </c>
    </row>
    <row r="28" spans="1:21" x14ac:dyDescent="0.25">
      <c r="B28" s="2" t="s">
        <v>103</v>
      </c>
      <c r="C28" s="19"/>
      <c r="D28" s="39"/>
      <c r="E28" s="316">
        <f t="shared" si="1"/>
        <v>-5.0138679584369487E-3</v>
      </c>
      <c r="F28" s="19"/>
      <c r="G28" s="18">
        <f>BillDet!Q59</f>
        <v>-941377.49999999988</v>
      </c>
      <c r="H28" s="177"/>
      <c r="J28" s="2" t="str">
        <f t="shared" si="2"/>
        <v>Member Rate Stability</v>
      </c>
      <c r="K28" s="19"/>
      <c r="L28" s="39"/>
      <c r="M28" s="316">
        <f t="shared" si="3"/>
        <v>-5.0138679584369487E-3</v>
      </c>
      <c r="N28" s="19"/>
      <c r="O28" s="18">
        <f t="shared" si="4"/>
        <v>-941410.59152852558</v>
      </c>
      <c r="P28" s="177"/>
      <c r="Q28" s="19"/>
      <c r="R28" s="39"/>
      <c r="S28" s="316">
        <f t="shared" si="5"/>
        <v>-5.4136881046544742E-3</v>
      </c>
      <c r="T28" s="19"/>
      <c r="U28" s="18">
        <f t="shared" si="6"/>
        <v>-941410.59152852558</v>
      </c>
    </row>
    <row r="29" spans="1:21" x14ac:dyDescent="0.25">
      <c r="B29" s="2" t="s">
        <v>104</v>
      </c>
      <c r="C29" s="19"/>
      <c r="D29" s="39"/>
      <c r="E29" s="316">
        <f t="shared" si="1"/>
        <v>1.792188261340612E-3</v>
      </c>
      <c r="F29" s="19"/>
      <c r="G29" s="18">
        <f>BillDet!Q69</f>
        <v>336491.85</v>
      </c>
      <c r="H29" s="178"/>
      <c r="J29" s="2" t="str">
        <f t="shared" si="2"/>
        <v>Non-FAC PPA</v>
      </c>
      <c r="K29" s="19"/>
      <c r="L29" s="39"/>
      <c r="M29" s="316">
        <f t="shared" si="3"/>
        <v>1.792188261340612E-3</v>
      </c>
      <c r="N29" s="19"/>
      <c r="O29" s="18">
        <f t="shared" si="4"/>
        <v>336503.6784425248</v>
      </c>
      <c r="P29" s="177"/>
      <c r="Q29" s="19"/>
      <c r="R29" s="39"/>
      <c r="S29" s="316">
        <f t="shared" si="5"/>
        <v>1.9351024702185654E-3</v>
      </c>
      <c r="T29" s="19"/>
      <c r="U29" s="18">
        <f t="shared" si="6"/>
        <v>336503.6784425248</v>
      </c>
    </row>
    <row r="30" spans="1:21" x14ac:dyDescent="0.25">
      <c r="C30" s="131"/>
      <c r="D30" s="60"/>
      <c r="E30" s="317">
        <f>SUM(E26:E29)</f>
        <v>4.8000581290235829E-3</v>
      </c>
      <c r="F30" s="34"/>
      <c r="G30" s="62"/>
      <c r="H30" s="179"/>
      <c r="K30" s="131"/>
      <c r="L30" s="60"/>
      <c r="M30" s="317">
        <f>SUM(M26:M29)</f>
        <v>4.8000581290235829E-3</v>
      </c>
      <c r="N30" s="34"/>
      <c r="O30" s="18"/>
      <c r="P30" s="177"/>
      <c r="Q30" s="131"/>
      <c r="R30" s="60"/>
      <c r="S30" s="317">
        <f>SUM(S26:S29)</f>
        <v>5.1828284689902386E-3</v>
      </c>
      <c r="T30" s="34"/>
      <c r="U30" s="18"/>
    </row>
    <row r="31" spans="1:21" x14ac:dyDescent="0.25">
      <c r="C31" s="131"/>
      <c r="D31" s="60"/>
      <c r="E31" s="64"/>
      <c r="F31" s="34"/>
      <c r="G31" s="62"/>
      <c r="H31" s="179"/>
      <c r="K31" s="131"/>
      <c r="L31" s="60"/>
      <c r="M31" s="64"/>
      <c r="N31" s="34"/>
      <c r="O31" s="18"/>
      <c r="P31" s="177"/>
      <c r="Q31" s="131"/>
      <c r="R31" s="60"/>
      <c r="S31" s="64"/>
      <c r="T31" s="34"/>
      <c r="U31" s="18"/>
    </row>
    <row r="32" spans="1:21" ht="16.5" thickBot="1" x14ac:dyDescent="0.3">
      <c r="A32" s="1" t="s">
        <v>80</v>
      </c>
      <c r="G32" s="29">
        <f>G12+G19+G23+G26+G27+G28+G29+G30</f>
        <v>20279138.197880004</v>
      </c>
      <c r="H32" s="177"/>
      <c r="I32" s="1" t="s">
        <v>80</v>
      </c>
      <c r="O32" s="29">
        <f>O12+O19+O23+O26+O27+O28+O29+O30</f>
        <v>20285938.032263655</v>
      </c>
      <c r="P32" s="177"/>
      <c r="U32" s="29">
        <f>U12+U19+U23+U26+U27+U28+U29+U30</f>
        <v>20285938.032263655</v>
      </c>
    </row>
    <row r="33" spans="1:21" ht="16.5" thickTop="1" x14ac:dyDescent="0.25">
      <c r="A33" s="1"/>
      <c r="B33" s="1"/>
      <c r="G33" s="18"/>
      <c r="H33" s="177"/>
      <c r="I33" s="1"/>
      <c r="J33" s="1"/>
      <c r="O33" s="18"/>
      <c r="P33" s="177"/>
      <c r="U33" s="18"/>
    </row>
    <row r="34" spans="1:21" x14ac:dyDescent="0.25">
      <c r="A34" s="44" t="s">
        <v>19</v>
      </c>
      <c r="B34" s="10"/>
      <c r="G34" s="11">
        <v>20312856.829246003</v>
      </c>
      <c r="H34" s="177"/>
      <c r="I34" s="107" t="s">
        <v>85</v>
      </c>
      <c r="J34" s="10"/>
      <c r="O34" s="37">
        <f>O32-G32</f>
        <v>6799.8343836516142</v>
      </c>
      <c r="P34" s="328"/>
      <c r="U34" s="37">
        <f>U32-O32</f>
        <v>0</v>
      </c>
    </row>
    <row r="35" spans="1:21" x14ac:dyDescent="0.25">
      <c r="A35" s="10"/>
      <c r="B35" s="10"/>
      <c r="G35" s="10"/>
      <c r="H35" s="180"/>
      <c r="I35" s="48"/>
      <c r="J35" s="10"/>
      <c r="O35" s="10"/>
      <c r="P35" s="180"/>
      <c r="U35" s="10"/>
    </row>
    <row r="36" spans="1:21" x14ac:dyDescent="0.25">
      <c r="A36" s="44" t="s">
        <v>13</v>
      </c>
      <c r="B36" s="10"/>
      <c r="G36" s="27">
        <f>G32-G34</f>
        <v>-33718.631365999579</v>
      </c>
      <c r="H36" s="181"/>
      <c r="I36" s="107" t="s">
        <v>86</v>
      </c>
      <c r="J36" s="10"/>
      <c r="O36" s="132">
        <f>O34/G32</f>
        <v>3.3531180256774786E-4</v>
      </c>
      <c r="P36" s="329"/>
      <c r="U36" s="132">
        <f>U34/O32</f>
        <v>0</v>
      </c>
    </row>
    <row r="37" spans="1:21" x14ac:dyDescent="0.25">
      <c r="A37" s="10"/>
      <c r="B37" s="10"/>
      <c r="G37" s="11"/>
      <c r="H37" s="177"/>
      <c r="I37" s="34"/>
      <c r="J37" s="10"/>
      <c r="O37" s="11"/>
      <c r="P37" s="177"/>
      <c r="U37" s="11"/>
    </row>
    <row r="38" spans="1:21" x14ac:dyDescent="0.25">
      <c r="A38" s="44" t="s">
        <v>26</v>
      </c>
      <c r="B38" s="10"/>
      <c r="G38" s="28">
        <f>G36/G34</f>
        <v>-1.6599649989878448E-3</v>
      </c>
      <c r="H38" s="182"/>
      <c r="I38" s="58" t="s">
        <v>87</v>
      </c>
      <c r="J38" s="10"/>
      <c r="O38" s="50">
        <f>O34/L12</f>
        <v>0.45957247794347217</v>
      </c>
      <c r="P38" s="328"/>
      <c r="U38" s="50">
        <f>U34/R12</f>
        <v>0</v>
      </c>
    </row>
    <row r="39" spans="1:21" x14ac:dyDescent="0.25">
      <c r="A39" s="44"/>
      <c r="B39" s="10"/>
      <c r="D39" s="14">
        <f>D19/D12</f>
        <v>12807.281377899046</v>
      </c>
      <c r="G39" s="28"/>
      <c r="H39" s="28"/>
      <c r="I39" s="44"/>
      <c r="J39" s="10"/>
      <c r="O39" s="28"/>
      <c r="P39" s="28"/>
      <c r="U39" s="28"/>
    </row>
    <row r="40" spans="1:21" x14ac:dyDescent="0.25">
      <c r="A40" s="44"/>
      <c r="B40" s="10"/>
      <c r="G40" s="50"/>
      <c r="H40" s="28"/>
      <c r="I40" s="44"/>
      <c r="J40" s="10"/>
      <c r="O40" s="28"/>
      <c r="P40" s="28"/>
      <c r="U40" s="28"/>
    </row>
    <row r="41" spans="1:21" x14ac:dyDescent="0.25">
      <c r="A41" s="44"/>
      <c r="B41" s="10"/>
      <c r="G41" s="169">
        <f>G12+G19+G23</f>
        <v>19377904.507880002</v>
      </c>
      <c r="H41" s="28"/>
      <c r="I41" s="44"/>
      <c r="J41" s="10"/>
      <c r="O41" s="28"/>
      <c r="P41" s="28"/>
      <c r="U41" s="28"/>
    </row>
    <row r="42" spans="1:21" x14ac:dyDescent="0.25">
      <c r="A42" s="44"/>
      <c r="B42" s="10"/>
      <c r="G42" s="169"/>
      <c r="H42" s="28"/>
      <c r="I42" s="44"/>
      <c r="J42" s="10"/>
      <c r="O42" s="28"/>
      <c r="P42" s="28"/>
      <c r="U42" s="28"/>
    </row>
    <row r="43" spans="1:21" x14ac:dyDescent="0.25">
      <c r="A43" s="44"/>
      <c r="B43" s="10"/>
      <c r="G43" s="28"/>
      <c r="H43" s="28"/>
      <c r="I43" s="44"/>
      <c r="J43" s="10"/>
      <c r="O43" s="28"/>
      <c r="P43" s="28"/>
      <c r="U43" s="28"/>
    </row>
    <row r="44" spans="1:21" x14ac:dyDescent="0.25">
      <c r="A44" s="44"/>
      <c r="B44" s="10"/>
      <c r="G44" s="28"/>
      <c r="H44" s="28"/>
      <c r="I44" s="44"/>
      <c r="J44" s="10"/>
      <c r="O44" s="28"/>
      <c r="P44" s="28"/>
      <c r="U44" s="28"/>
    </row>
    <row r="45" spans="1:21" ht="18.75" customHeight="1" x14ac:dyDescent="0.25">
      <c r="A45" s="44"/>
      <c r="B45" s="11"/>
      <c r="G45" s="28"/>
      <c r="H45" s="28"/>
      <c r="J45" s="34"/>
    </row>
    <row r="46" spans="1:21" x14ac:dyDescent="0.25">
      <c r="E46" s="11"/>
      <c r="J46" s="34"/>
    </row>
    <row r="47" spans="1:21" x14ac:dyDescent="0.25">
      <c r="I47" s="53"/>
      <c r="J47" s="53"/>
    </row>
    <row r="48" spans="1:21" x14ac:dyDescent="0.25">
      <c r="I48" s="53"/>
      <c r="J48" s="53"/>
    </row>
    <row r="49" spans="9:10" x14ac:dyDescent="0.25">
      <c r="I49" s="53"/>
      <c r="J49" s="53"/>
    </row>
    <row r="50" spans="9:10" x14ac:dyDescent="0.25">
      <c r="I50" s="53"/>
      <c r="J50" s="92"/>
    </row>
    <row r="51" spans="9:10" x14ac:dyDescent="0.25">
      <c r="I51" s="53"/>
      <c r="J51" s="92"/>
    </row>
    <row r="52" spans="9:10" x14ac:dyDescent="0.25">
      <c r="I52" s="53"/>
      <c r="J52" s="92"/>
    </row>
    <row r="53" spans="9:10" x14ac:dyDescent="0.25">
      <c r="I53" s="53"/>
      <c r="J53" s="92"/>
    </row>
    <row r="54" spans="9:10" x14ac:dyDescent="0.25">
      <c r="I54" s="53"/>
      <c r="J54" s="92"/>
    </row>
    <row r="55" spans="9:10" x14ac:dyDescent="0.25">
      <c r="I55" s="53"/>
      <c r="J55" s="92"/>
    </row>
    <row r="56" spans="9:10" x14ac:dyDescent="0.25">
      <c r="I56" s="53"/>
      <c r="J56" s="92"/>
    </row>
    <row r="57" spans="9:10" x14ac:dyDescent="0.25">
      <c r="I57" s="53"/>
      <c r="J57" s="92"/>
    </row>
    <row r="58" spans="9:10" x14ac:dyDescent="0.25">
      <c r="I58" s="53"/>
      <c r="J58" s="92"/>
    </row>
    <row r="59" spans="9:10" x14ac:dyDescent="0.25">
      <c r="I59" s="53"/>
      <c r="J59" s="92"/>
    </row>
    <row r="60" spans="9:10" ht="16.5" customHeight="1" x14ac:dyDescent="0.25">
      <c r="I60" s="53"/>
      <c r="J60" s="92"/>
    </row>
    <row r="61" spans="9:10" x14ac:dyDescent="0.25">
      <c r="I61" s="53"/>
      <c r="J61" s="92"/>
    </row>
    <row r="62" spans="9:10" x14ac:dyDescent="0.25">
      <c r="I62" s="53"/>
      <c r="J62" s="92"/>
    </row>
    <row r="63" spans="9:10" x14ac:dyDescent="0.25">
      <c r="I63" s="19"/>
      <c r="J63" s="19"/>
    </row>
    <row r="64" spans="9:10" x14ac:dyDescent="0.25">
      <c r="I64" s="19"/>
      <c r="J64" s="19"/>
    </row>
    <row r="65" spans="9:10" x14ac:dyDescent="0.25">
      <c r="I65" s="53"/>
      <c r="J65" s="53"/>
    </row>
    <row r="66" spans="9:10" x14ac:dyDescent="0.25">
      <c r="I66" s="53"/>
      <c r="J66" s="53"/>
    </row>
    <row r="67" spans="9:10" x14ac:dyDescent="0.25">
      <c r="I67" s="53"/>
      <c r="J67" s="53"/>
    </row>
    <row r="68" spans="9:10" x14ac:dyDescent="0.25">
      <c r="I68" s="90"/>
      <c r="J68" s="81"/>
    </row>
    <row r="69" spans="9:10" x14ac:dyDescent="0.25">
      <c r="I69" s="90"/>
      <c r="J69" s="81"/>
    </row>
    <row r="70" spans="9:10" x14ac:dyDescent="0.25">
      <c r="I70" s="90"/>
      <c r="J70" s="81"/>
    </row>
    <row r="71" spans="9:10" x14ac:dyDescent="0.25">
      <c r="I71" s="90"/>
      <c r="J71" s="81"/>
    </row>
    <row r="72" spans="9:10" x14ac:dyDescent="0.25">
      <c r="I72" s="90"/>
      <c r="J72" s="81"/>
    </row>
    <row r="73" spans="9:10" x14ac:dyDescent="0.25">
      <c r="I73" s="90"/>
      <c r="J73" s="81"/>
    </row>
    <row r="74" spans="9:10" x14ac:dyDescent="0.25">
      <c r="I74" s="90"/>
      <c r="J74" s="81"/>
    </row>
    <row r="75" spans="9:10" x14ac:dyDescent="0.25">
      <c r="I75" s="90"/>
      <c r="J75" s="81"/>
    </row>
    <row r="76" spans="9:10" x14ac:dyDescent="0.25">
      <c r="I76" s="90"/>
      <c r="J76" s="81"/>
    </row>
    <row r="77" spans="9:10" x14ac:dyDescent="0.25">
      <c r="I77" s="90"/>
      <c r="J77" s="81"/>
    </row>
    <row r="78" spans="9:10" x14ac:dyDescent="0.25">
      <c r="I78" s="90"/>
      <c r="J78" s="81"/>
    </row>
    <row r="79" spans="9:10" x14ac:dyDescent="0.25">
      <c r="I79" s="90"/>
      <c r="J79" s="81"/>
    </row>
    <row r="80" spans="9:10" x14ac:dyDescent="0.25">
      <c r="I80" s="53"/>
      <c r="J80" s="53"/>
    </row>
    <row r="81" spans="9:10" x14ac:dyDescent="0.25">
      <c r="I81" s="53"/>
      <c r="J81" s="53"/>
    </row>
    <row r="82" spans="9:10" x14ac:dyDescent="0.25">
      <c r="I82" s="53"/>
      <c r="J82" s="53"/>
    </row>
    <row r="83" spans="9:10" x14ac:dyDescent="0.25">
      <c r="I83" s="53"/>
      <c r="J83" s="53"/>
    </row>
    <row r="84" spans="9:10" x14ac:dyDescent="0.25">
      <c r="I84" s="53"/>
      <c r="J84" s="53"/>
    </row>
    <row r="85" spans="9:10" x14ac:dyDescent="0.25">
      <c r="I85" s="53"/>
      <c r="J85" s="53"/>
    </row>
    <row r="86" spans="9:10" x14ac:dyDescent="0.25">
      <c r="I86" s="53"/>
      <c r="J86" s="53"/>
    </row>
    <row r="87" spans="9:10" x14ac:dyDescent="0.25">
      <c r="I87" s="53"/>
      <c r="J87" s="53"/>
    </row>
    <row r="88" spans="9:10" x14ac:dyDescent="0.25">
      <c r="I88" s="53"/>
      <c r="J88" s="53"/>
    </row>
    <row r="89" spans="9:10" x14ac:dyDescent="0.25">
      <c r="I89" s="53"/>
      <c r="J89" s="53"/>
    </row>
    <row r="90" spans="9:10" x14ac:dyDescent="0.25">
      <c r="I90" s="53"/>
      <c r="J90" s="53"/>
    </row>
    <row r="91" spans="9:10" x14ac:dyDescent="0.25">
      <c r="I91" s="53"/>
      <c r="J91" s="53"/>
    </row>
    <row r="92" spans="9:10" x14ac:dyDescent="0.25">
      <c r="I92" s="53"/>
      <c r="J92" s="53"/>
    </row>
    <row r="93" spans="9:10" ht="15" customHeight="1" x14ac:dyDescent="0.25">
      <c r="I93" s="53"/>
      <c r="J93" s="53"/>
    </row>
    <row r="94" spans="9:10" x14ac:dyDescent="0.25">
      <c r="I94" s="53"/>
      <c r="J94" s="53"/>
    </row>
    <row r="95" spans="9:10" x14ac:dyDescent="0.25">
      <c r="I95" s="53"/>
      <c r="J95" s="53"/>
    </row>
    <row r="96" spans="9:10" x14ac:dyDescent="0.25">
      <c r="I96" s="53"/>
      <c r="J96" s="53"/>
    </row>
    <row r="97" spans="9:10" x14ac:dyDescent="0.25">
      <c r="I97" s="53"/>
      <c r="J97" s="53"/>
    </row>
    <row r="98" spans="9:10" x14ac:dyDescent="0.25">
      <c r="I98" s="53"/>
      <c r="J98" s="53"/>
    </row>
    <row r="99" spans="9:10" x14ac:dyDescent="0.25">
      <c r="I99" s="53"/>
      <c r="J99" s="53"/>
    </row>
    <row r="100" spans="9:10" x14ac:dyDescent="0.25">
      <c r="I100" s="53"/>
      <c r="J100" s="53"/>
    </row>
    <row r="101" spans="9:10" x14ac:dyDescent="0.25">
      <c r="I101" s="53"/>
      <c r="J101" s="53"/>
    </row>
    <row r="102" spans="9:10" x14ac:dyDescent="0.25">
      <c r="I102" s="53"/>
      <c r="J102" s="53"/>
    </row>
    <row r="103" spans="9:10" x14ac:dyDescent="0.25">
      <c r="I103" s="53"/>
      <c r="J103" s="53"/>
    </row>
    <row r="104" spans="9:10" x14ac:dyDescent="0.25">
      <c r="I104" s="53"/>
      <c r="J104" s="53"/>
    </row>
    <row r="105" spans="9:10" x14ac:dyDescent="0.25">
      <c r="I105" s="53"/>
      <c r="J105" s="53"/>
    </row>
    <row r="106" spans="9:10" x14ac:dyDescent="0.25">
      <c r="I106" s="53"/>
      <c r="J106" s="53"/>
    </row>
    <row r="107" spans="9:10" x14ac:dyDescent="0.25">
      <c r="I107" s="53"/>
      <c r="J107" s="53"/>
    </row>
    <row r="108" spans="9:10" x14ac:dyDescent="0.25">
      <c r="I108" s="53"/>
      <c r="J108" s="53"/>
    </row>
    <row r="109" spans="9:10" x14ac:dyDescent="0.25">
      <c r="I109" s="53"/>
      <c r="J109" s="53"/>
    </row>
    <row r="110" spans="9:10" x14ac:dyDescent="0.25">
      <c r="I110" s="53"/>
      <c r="J110" s="53"/>
    </row>
    <row r="111" spans="9:10" x14ac:dyDescent="0.25">
      <c r="I111" s="53"/>
      <c r="J111" s="53"/>
    </row>
    <row r="112" spans="9:10" x14ac:dyDescent="0.25">
      <c r="I112" s="53"/>
      <c r="J112" s="53"/>
    </row>
    <row r="113" spans="9:17" x14ac:dyDescent="0.25">
      <c r="I113" s="53"/>
      <c r="J113" s="53"/>
    </row>
    <row r="114" spans="9:17" x14ac:dyDescent="0.25">
      <c r="I114" s="53"/>
      <c r="J114" s="53"/>
    </row>
    <row r="115" spans="9:17" x14ac:dyDescent="0.25">
      <c r="I115" s="53"/>
      <c r="J115" s="53"/>
    </row>
    <row r="116" spans="9:17" x14ac:dyDescent="0.25">
      <c r="I116" s="53"/>
      <c r="J116" s="53"/>
    </row>
    <row r="117" spans="9:17" x14ac:dyDescent="0.25">
      <c r="I117" s="53"/>
      <c r="J117" s="53"/>
    </row>
    <row r="118" spans="9:17" x14ac:dyDescent="0.25">
      <c r="I118" s="53"/>
      <c r="J118" s="53"/>
    </row>
    <row r="119" spans="9:17" x14ac:dyDescent="0.25">
      <c r="I119" s="53"/>
      <c r="J119" s="53"/>
    </row>
    <row r="120" spans="9:17" x14ac:dyDescent="0.25">
      <c r="I120" s="53"/>
      <c r="J120" s="53"/>
    </row>
    <row r="121" spans="9:17" x14ac:dyDescent="0.25">
      <c r="I121" s="53"/>
      <c r="J121" s="53"/>
    </row>
    <row r="122" spans="9:17" x14ac:dyDescent="0.25">
      <c r="I122" s="53"/>
      <c r="J122" s="53"/>
    </row>
    <row r="123" spans="9:17" x14ac:dyDescent="0.25">
      <c r="I123" s="53"/>
      <c r="J123" s="53"/>
    </row>
    <row r="124" spans="9:17" x14ac:dyDescent="0.25">
      <c r="I124" s="53"/>
      <c r="J124" s="53"/>
    </row>
    <row r="125" spans="9:17" x14ac:dyDescent="0.25">
      <c r="I125" s="53"/>
      <c r="J125" s="53"/>
    </row>
    <row r="126" spans="9:17" x14ac:dyDescent="0.25">
      <c r="K126" s="19"/>
      <c r="Q126" s="19"/>
    </row>
    <row r="127" spans="9:17" x14ac:dyDescent="0.25">
      <c r="K127" s="19"/>
      <c r="Q127" s="19"/>
    </row>
    <row r="128" spans="9:17" x14ac:dyDescent="0.25">
      <c r="K128" s="19"/>
      <c r="Q128" s="19"/>
    </row>
    <row r="129" spans="2:17" x14ac:dyDescent="0.25">
      <c r="K129" s="19"/>
      <c r="Q129" s="19"/>
    </row>
    <row r="130" spans="2:17" x14ac:dyDescent="0.25">
      <c r="K130" s="19"/>
      <c r="Q130" s="19"/>
    </row>
    <row r="131" spans="2:17" x14ac:dyDescent="0.25">
      <c r="K131" s="19"/>
      <c r="Q131" s="19"/>
    </row>
    <row r="132" spans="2:17" x14ac:dyDescent="0.25">
      <c r="K132" s="19"/>
      <c r="Q132" s="19"/>
    </row>
    <row r="133" spans="2:17" x14ac:dyDescent="0.25">
      <c r="K133" s="19"/>
      <c r="Q133" s="19"/>
    </row>
    <row r="134" spans="2:17" x14ac:dyDescent="0.25">
      <c r="K134" s="19"/>
      <c r="Q134" s="19"/>
    </row>
    <row r="140" spans="2:17" x14ac:dyDescent="0.25">
      <c r="B140" s="19"/>
      <c r="C140" s="53"/>
      <c r="D140" s="53"/>
      <c r="E140" s="19"/>
      <c r="F140" s="19"/>
      <c r="G140" s="19"/>
      <c r="H140" s="19"/>
    </row>
    <row r="141" spans="2:17" x14ac:dyDescent="0.25">
      <c r="B141" s="19"/>
      <c r="C141" s="55"/>
      <c r="D141" s="69"/>
      <c r="E141" s="74"/>
      <c r="F141" s="19"/>
      <c r="G141" s="19"/>
      <c r="H141" s="19"/>
    </row>
    <row r="142" spans="2:17" x14ac:dyDescent="0.25">
      <c r="B142" s="19"/>
      <c r="C142" s="55"/>
      <c r="D142" s="69"/>
      <c r="E142" s="74"/>
      <c r="F142" s="19"/>
      <c r="G142" s="19"/>
      <c r="H142" s="19"/>
    </row>
    <row r="143" spans="2:17" x14ac:dyDescent="0.25">
      <c r="B143" s="19"/>
      <c r="C143" s="55"/>
      <c r="D143" s="69"/>
      <c r="E143" s="74"/>
      <c r="F143" s="19"/>
      <c r="G143" s="19"/>
      <c r="H143" s="19"/>
    </row>
  </sheetData>
  <mergeCells count="6">
    <mergeCell ref="D4:G5"/>
    <mergeCell ref="R4:U5"/>
    <mergeCell ref="E7:F7"/>
    <mergeCell ref="S7:T7"/>
    <mergeCell ref="L4:O5"/>
    <mergeCell ref="M7:N7"/>
  </mergeCells>
  <pageMargins left="0.75" right="0.75" top="1" bottom="1" header="0.5" footer="0.5"/>
  <pageSetup scale="63" orientation="landscape" r:id="rId1"/>
  <headerFooter alignWithMargins="0">
    <oddFooter>&amp;RExhibit JW-9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39F9-D961-4BD0-933F-4F8852DC951C}">
  <sheetPr codeName="Sheet7">
    <pageSetUpPr fitToPage="1"/>
  </sheetPr>
  <dimension ref="A1:U162"/>
  <sheetViews>
    <sheetView view="pageBreakPreview" zoomScale="75" zoomScaleNormal="85" zoomScaleSheetLayoutView="75" workbookViewId="0">
      <selection activeCell="T17" sqref="T17"/>
    </sheetView>
  </sheetViews>
  <sheetFormatPr defaultColWidth="9.140625" defaultRowHeight="15.75" x14ac:dyDescent="0.25"/>
  <cols>
    <col min="1" max="1" width="7" style="2" customWidth="1"/>
    <col min="2" max="2" width="23.42578125" style="2" bestFit="1" customWidth="1"/>
    <col min="3" max="3" width="1.7109375" style="2" customWidth="1"/>
    <col min="4" max="4" width="12.5703125" style="2" bestFit="1" customWidth="1"/>
    <col min="5" max="5" width="11.7109375" style="2" bestFit="1" customWidth="1"/>
    <col min="6" max="6" width="3.140625" style="2" customWidth="1"/>
    <col min="7" max="7" width="12.5703125" style="2" bestFit="1" customWidth="1"/>
    <col min="8" max="8" width="2.85546875" style="2" customWidth="1"/>
    <col min="9" max="9" width="9.85546875" style="2" customWidth="1"/>
    <col min="10" max="10" width="25.28515625" style="2" customWidth="1"/>
    <col min="11" max="11" width="2.140625" style="2" customWidth="1"/>
    <col min="12" max="12" width="12.5703125" style="2" bestFit="1" customWidth="1"/>
    <col min="13" max="13" width="11.7109375" style="2" bestFit="1" customWidth="1"/>
    <col min="14" max="14" width="4.28515625" style="2" customWidth="1"/>
    <col min="15" max="15" width="12.5703125" style="2" bestFit="1" customWidth="1"/>
    <col min="16" max="16" width="2.85546875" style="2" customWidth="1"/>
    <col min="17" max="17" width="2.140625" style="2" customWidth="1"/>
    <col min="18" max="18" width="12.5703125" style="2" bestFit="1" customWidth="1"/>
    <col min="19" max="19" width="11.7109375" style="2" bestFit="1" customWidth="1"/>
    <col min="20" max="20" width="4.28515625" style="2" customWidth="1"/>
    <col min="21" max="21" width="12.5703125" style="2" bestFit="1" customWidth="1"/>
    <col min="22" max="16384" width="9.140625" style="2"/>
  </cols>
  <sheetData>
    <row r="1" spans="1:21" x14ac:dyDescent="0.25">
      <c r="A1" s="1" t="str">
        <f>'Present and Proposed Rates'!A1</f>
        <v>KENERGY CORP.</v>
      </c>
      <c r="J1" s="1"/>
    </row>
    <row r="2" spans="1:21" x14ac:dyDescent="0.25">
      <c r="A2" s="34" t="str">
        <f>'Present and Proposed Rates'!A22</f>
        <v>Commercial Three Phase (1001 kW +)</v>
      </c>
      <c r="J2" s="34"/>
      <c r="K2" s="34"/>
      <c r="L2" s="34"/>
      <c r="M2" s="34"/>
      <c r="N2" s="34"/>
      <c r="O2" s="34"/>
      <c r="Q2" s="34"/>
      <c r="R2" s="34"/>
      <c r="S2" s="34"/>
      <c r="T2" s="34"/>
      <c r="U2" s="34"/>
    </row>
    <row r="3" spans="1:21" ht="16.5" thickBot="1" x14ac:dyDescent="0.3">
      <c r="A3" s="34">
        <f>'Present and Proposed Rates'!B22</f>
        <v>7</v>
      </c>
      <c r="B3" s="34"/>
      <c r="C3" s="34"/>
      <c r="J3" s="34"/>
      <c r="K3" s="34"/>
      <c r="L3" s="34"/>
      <c r="M3" s="34"/>
      <c r="N3" s="34"/>
      <c r="O3" s="34"/>
      <c r="Q3" s="34"/>
      <c r="R3" s="34"/>
      <c r="S3" s="34"/>
      <c r="T3" s="34"/>
      <c r="U3" s="34"/>
    </row>
    <row r="4" spans="1:21" x14ac:dyDescent="0.25">
      <c r="A4" s="34"/>
      <c r="B4" s="34"/>
      <c r="C4" s="34"/>
      <c r="D4" s="482" t="s">
        <v>30</v>
      </c>
      <c r="E4" s="483"/>
      <c r="F4" s="483"/>
      <c r="G4" s="484"/>
      <c r="H4" s="173"/>
      <c r="I4" s="34"/>
      <c r="J4" s="34"/>
      <c r="K4" s="34"/>
      <c r="L4" s="482" t="s">
        <v>223</v>
      </c>
      <c r="M4" s="483"/>
      <c r="N4" s="483"/>
      <c r="O4" s="484"/>
      <c r="P4" s="173"/>
      <c r="Q4" s="34"/>
      <c r="R4" s="482" t="s">
        <v>96</v>
      </c>
      <c r="S4" s="483"/>
      <c r="T4" s="483"/>
      <c r="U4" s="484"/>
    </row>
    <row r="5" spans="1:21" ht="16.5" thickBot="1" x14ac:dyDescent="0.3">
      <c r="A5" s="57"/>
      <c r="B5" s="99"/>
      <c r="C5" s="327"/>
      <c r="D5" s="485"/>
      <c r="E5" s="486"/>
      <c r="F5" s="486"/>
      <c r="G5" s="487"/>
      <c r="H5" s="173"/>
      <c r="I5" s="57"/>
      <c r="J5" s="99"/>
      <c r="K5" s="327"/>
      <c r="L5" s="485"/>
      <c r="M5" s="486"/>
      <c r="N5" s="486"/>
      <c r="O5" s="487"/>
      <c r="P5" s="173"/>
      <c r="Q5" s="327"/>
      <c r="R5" s="485"/>
      <c r="S5" s="486"/>
      <c r="T5" s="486"/>
      <c r="U5" s="487"/>
    </row>
    <row r="6" spans="1:21" x14ac:dyDescent="0.25">
      <c r="A6" s="4"/>
      <c r="B6" s="4"/>
      <c r="C6" s="4"/>
      <c r="D6" s="4" t="s">
        <v>1</v>
      </c>
      <c r="E6" s="4"/>
      <c r="F6" s="4"/>
      <c r="G6" s="4" t="s">
        <v>2</v>
      </c>
      <c r="H6" s="174"/>
      <c r="I6" s="4"/>
      <c r="J6" s="4"/>
      <c r="K6" s="4"/>
      <c r="L6" s="4" t="s">
        <v>1</v>
      </c>
      <c r="M6" s="4"/>
      <c r="N6" s="4"/>
      <c r="O6" s="4" t="s">
        <v>2</v>
      </c>
      <c r="P6" s="174"/>
      <c r="Q6" s="4"/>
      <c r="R6" s="4" t="s">
        <v>1</v>
      </c>
      <c r="S6" s="4"/>
      <c r="T6" s="4"/>
      <c r="U6" s="4" t="s">
        <v>2</v>
      </c>
    </row>
    <row r="7" spans="1:21" ht="16.5" thickBot="1" x14ac:dyDescent="0.3">
      <c r="A7" s="5"/>
      <c r="B7" s="5"/>
      <c r="C7" s="5"/>
      <c r="D7" s="5" t="s">
        <v>4</v>
      </c>
      <c r="E7" s="488" t="s">
        <v>5</v>
      </c>
      <c r="F7" s="488"/>
      <c r="G7" s="5" t="s">
        <v>6</v>
      </c>
      <c r="H7" s="175"/>
      <c r="I7" s="5"/>
      <c r="J7" s="5"/>
      <c r="K7" s="5"/>
      <c r="L7" s="5" t="s">
        <v>4</v>
      </c>
      <c r="M7" s="488" t="s">
        <v>5</v>
      </c>
      <c r="N7" s="488"/>
      <c r="O7" s="5" t="s">
        <v>6</v>
      </c>
      <c r="P7" s="175"/>
      <c r="Q7" s="5"/>
      <c r="R7" s="5" t="s">
        <v>4</v>
      </c>
      <c r="S7" s="488" t="s">
        <v>5</v>
      </c>
      <c r="T7" s="488"/>
      <c r="U7" s="5" t="s">
        <v>6</v>
      </c>
    </row>
    <row r="8" spans="1:21" x14ac:dyDescent="0.25">
      <c r="H8" s="176"/>
      <c r="P8" s="176"/>
    </row>
    <row r="9" spans="1:21" x14ac:dyDescent="0.25">
      <c r="H9" s="176"/>
      <c r="P9" s="176"/>
    </row>
    <row r="10" spans="1:21" x14ac:dyDescent="0.25">
      <c r="A10" s="140" t="s">
        <v>10</v>
      </c>
      <c r="H10" s="176"/>
      <c r="I10" s="140" t="s">
        <v>10</v>
      </c>
      <c r="P10" s="176"/>
    </row>
    <row r="11" spans="1:21" x14ac:dyDescent="0.25">
      <c r="D11" s="167" t="s">
        <v>101</v>
      </c>
      <c r="E11" s="167" t="s">
        <v>110</v>
      </c>
      <c r="H11" s="176"/>
      <c r="L11" s="167" t="s">
        <v>101</v>
      </c>
      <c r="M11" s="167" t="s">
        <v>110</v>
      </c>
      <c r="P11" s="176"/>
      <c r="R11" s="167" t="s">
        <v>101</v>
      </c>
      <c r="S11" s="167" t="s">
        <v>110</v>
      </c>
    </row>
    <row r="12" spans="1:21" x14ac:dyDescent="0.25">
      <c r="A12" s="2" t="s">
        <v>210</v>
      </c>
      <c r="B12" s="2" t="s">
        <v>98</v>
      </c>
      <c r="D12" s="106">
        <f>BillDet!Q9</f>
        <v>135</v>
      </c>
      <c r="E12" s="9">
        <f>'Present and Proposed Rates'!F22</f>
        <v>975.27</v>
      </c>
      <c r="G12" s="11">
        <f>D12*E12</f>
        <v>131661.45000000001</v>
      </c>
      <c r="H12" s="177"/>
      <c r="I12" s="2" t="str">
        <f>A12</f>
        <v>HLF</v>
      </c>
      <c r="J12" s="2" t="str">
        <f>B12</f>
        <v>Jan to Dec</v>
      </c>
      <c r="L12" s="106">
        <f>D12</f>
        <v>135</v>
      </c>
      <c r="M12" s="9">
        <f>E12</f>
        <v>975.27</v>
      </c>
      <c r="O12" s="11">
        <f>L12*M12</f>
        <v>131661.45000000001</v>
      </c>
      <c r="P12" s="177"/>
      <c r="R12" s="106">
        <f>L12</f>
        <v>135</v>
      </c>
      <c r="S12" s="9">
        <f>'Present and Proposed Rates'!G22</f>
        <v>975.27</v>
      </c>
      <c r="U12" s="11">
        <f>R12*S12</f>
        <v>131661.45000000001</v>
      </c>
    </row>
    <row r="13" spans="1:21" x14ac:dyDescent="0.25">
      <c r="A13" s="2" t="s">
        <v>211</v>
      </c>
      <c r="B13" s="2" t="s">
        <v>98</v>
      </c>
      <c r="D13" s="39">
        <f>BillDet!Q10</f>
        <v>12</v>
      </c>
      <c r="E13" s="9">
        <f>'Present and Proposed Rates'!F27</f>
        <v>975.27</v>
      </c>
      <c r="G13" s="11">
        <f>D13*E13</f>
        <v>11703.24</v>
      </c>
      <c r="H13" s="177"/>
      <c r="I13" s="2" t="str">
        <f>A13</f>
        <v>LLF</v>
      </c>
      <c r="J13" s="2" t="str">
        <f t="shared" ref="J13:J14" si="0">B13</f>
        <v>Jan to Dec</v>
      </c>
      <c r="L13" s="39">
        <f t="shared" ref="L13:L14" si="1">D13</f>
        <v>12</v>
      </c>
      <c r="M13" s="9">
        <f t="shared" ref="M13:M14" si="2">E13</f>
        <v>975.27</v>
      </c>
      <c r="O13" s="11">
        <f>L13*M13</f>
        <v>11703.24</v>
      </c>
      <c r="P13" s="177"/>
      <c r="R13" s="39">
        <f>L13</f>
        <v>12</v>
      </c>
      <c r="S13" s="9">
        <f>'Present and Proposed Rates'!G27</f>
        <v>975.27</v>
      </c>
      <c r="U13" s="11">
        <f>R13*S13</f>
        <v>11703.24</v>
      </c>
    </row>
    <row r="14" spans="1:21" x14ac:dyDescent="0.25">
      <c r="B14" s="170" t="s">
        <v>212</v>
      </c>
      <c r="D14" s="172">
        <f>SUM(D12:D13)</f>
        <v>147</v>
      </c>
      <c r="E14" s="313">
        <f>G14/D14</f>
        <v>975.27</v>
      </c>
      <c r="G14" s="171">
        <f>SUM(G12:G13)</f>
        <v>143364.69</v>
      </c>
      <c r="H14" s="177"/>
      <c r="J14" s="2" t="str">
        <f t="shared" si="0"/>
        <v>Subtotal</v>
      </c>
      <c r="L14" s="172">
        <f t="shared" si="1"/>
        <v>147</v>
      </c>
      <c r="M14" s="313">
        <f t="shared" si="2"/>
        <v>975.27</v>
      </c>
      <c r="O14" s="171">
        <f>SUM(O12:O13)</f>
        <v>143364.69</v>
      </c>
      <c r="P14" s="177"/>
      <c r="R14" s="172">
        <f>L14</f>
        <v>147</v>
      </c>
      <c r="S14" s="313">
        <f>U14/R14</f>
        <v>975.27</v>
      </c>
      <c r="U14" s="171">
        <f>SUM(U12:U13)</f>
        <v>143364.69</v>
      </c>
    </row>
    <row r="15" spans="1:21" x14ac:dyDescent="0.25">
      <c r="D15" s="8"/>
      <c r="G15" s="11"/>
      <c r="H15" s="177"/>
      <c r="L15" s="8"/>
      <c r="O15" s="11"/>
      <c r="P15" s="177"/>
      <c r="R15" s="8"/>
      <c r="U15" s="11"/>
    </row>
    <row r="16" spans="1:21" x14ac:dyDescent="0.25">
      <c r="A16" s="1" t="s">
        <v>7</v>
      </c>
      <c r="D16" s="8"/>
      <c r="G16" s="11"/>
      <c r="H16" s="177"/>
      <c r="I16" s="1" t="s">
        <v>7</v>
      </c>
      <c r="L16" s="8"/>
      <c r="O16" s="11"/>
      <c r="P16" s="177"/>
      <c r="R16" s="8"/>
      <c r="U16" s="11"/>
    </row>
    <row r="17" spans="1:21" x14ac:dyDescent="0.25">
      <c r="D17" s="160" t="s">
        <v>8</v>
      </c>
      <c r="E17" s="161" t="s">
        <v>11</v>
      </c>
      <c r="G17" s="11"/>
      <c r="H17" s="177"/>
      <c r="L17" s="160" t="s">
        <v>8</v>
      </c>
      <c r="M17" s="161" t="s">
        <v>11</v>
      </c>
      <c r="O17" s="11"/>
      <c r="P17" s="177"/>
      <c r="R17" s="160" t="s">
        <v>8</v>
      </c>
      <c r="S17" s="161" t="s">
        <v>11</v>
      </c>
      <c r="U17" s="11"/>
    </row>
    <row r="18" spans="1:21" x14ac:dyDescent="0.25">
      <c r="A18" s="2" t="s">
        <v>210</v>
      </c>
      <c r="B18" s="2" t="s">
        <v>208</v>
      </c>
      <c r="D18" s="39">
        <v>39393760</v>
      </c>
      <c r="E18" s="163">
        <f>'Present and Proposed Rates'!F23</f>
        <v>5.4068999999999999E-2</v>
      </c>
      <c r="F18" s="19"/>
      <c r="G18" s="18">
        <f>D18*E18</f>
        <v>2129981.2094399999</v>
      </c>
      <c r="H18" s="177"/>
      <c r="I18" s="2" t="str">
        <f>A18</f>
        <v>HLF</v>
      </c>
      <c r="J18" s="2" t="str">
        <f>B18</f>
        <v>1st 200 kWh per kW</v>
      </c>
      <c r="L18" s="39">
        <f>D18</f>
        <v>39393760</v>
      </c>
      <c r="M18" s="163">
        <f>E18</f>
        <v>5.4068999999999999E-2</v>
      </c>
      <c r="N18" s="19"/>
      <c r="O18" s="18">
        <f>L18*M18</f>
        <v>2129981.2094399999</v>
      </c>
      <c r="P18" s="177"/>
      <c r="R18" s="39">
        <f>L18</f>
        <v>39393760</v>
      </c>
      <c r="S18" s="163">
        <f>'Present and Proposed Rates'!G23</f>
        <v>5.4068999999999999E-2</v>
      </c>
      <c r="T18" s="19"/>
      <c r="U18" s="18">
        <f>R18*S18</f>
        <v>2129981.2094399999</v>
      </c>
    </row>
    <row r="19" spans="1:21" x14ac:dyDescent="0.25">
      <c r="B19" s="2" t="s">
        <v>207</v>
      </c>
      <c r="D19" s="39">
        <v>37632441</v>
      </c>
      <c r="E19" s="163">
        <f>'Present and Proposed Rates'!F24</f>
        <v>4.9666000000000002E-2</v>
      </c>
      <c r="F19" s="19"/>
      <c r="G19" s="18">
        <f>D19*E19</f>
        <v>1869052.814706</v>
      </c>
      <c r="H19" s="177"/>
      <c r="J19" s="2" t="str">
        <f t="shared" ref="J19:J20" si="3">B19</f>
        <v>Next 200 kWh per kW</v>
      </c>
      <c r="L19" s="39">
        <f t="shared" ref="L19:L24" si="4">D19</f>
        <v>37632441</v>
      </c>
      <c r="M19" s="163">
        <f t="shared" ref="M19:M24" si="5">E19</f>
        <v>4.9666000000000002E-2</v>
      </c>
      <c r="N19" s="19"/>
      <c r="O19" s="18">
        <f>L19*M19</f>
        <v>1869052.814706</v>
      </c>
      <c r="P19" s="177"/>
      <c r="R19" s="39">
        <f t="shared" ref="R19:R24" si="6">L19</f>
        <v>37632441</v>
      </c>
      <c r="S19" s="163">
        <f>'Present and Proposed Rates'!G24</f>
        <v>4.9666000000000002E-2</v>
      </c>
      <c r="T19" s="19"/>
      <c r="U19" s="18">
        <f>R19*S19</f>
        <v>1869052.814706</v>
      </c>
    </row>
    <row r="20" spans="1:21" x14ac:dyDescent="0.25">
      <c r="B20" s="2" t="s">
        <v>209</v>
      </c>
      <c r="D20" s="39">
        <v>15727080</v>
      </c>
      <c r="E20" s="163">
        <f>'Present and Proposed Rates'!F25</f>
        <v>4.7012999999999999E-2</v>
      </c>
      <c r="F20" s="19"/>
      <c r="G20" s="18">
        <f>D20*E20</f>
        <v>739377.21204000001</v>
      </c>
      <c r="H20" s="177"/>
      <c r="J20" s="2" t="str">
        <f t="shared" si="3"/>
        <v>Over 400 kWh per kW</v>
      </c>
      <c r="L20" s="39">
        <f t="shared" si="4"/>
        <v>15727080</v>
      </c>
      <c r="M20" s="163">
        <f t="shared" si="5"/>
        <v>4.7012999999999999E-2</v>
      </c>
      <c r="N20" s="19"/>
      <c r="O20" s="18">
        <f>L20*M20</f>
        <v>739377.21204000001</v>
      </c>
      <c r="P20" s="177"/>
      <c r="R20" s="39">
        <f t="shared" si="6"/>
        <v>15727080</v>
      </c>
      <c r="S20" s="163">
        <f>'Present and Proposed Rates'!G25</f>
        <v>4.7012999999999999E-2</v>
      </c>
      <c r="T20" s="19"/>
      <c r="U20" s="18">
        <f>R20*S20</f>
        <v>739377.21204000001</v>
      </c>
    </row>
    <row r="21" spans="1:21" x14ac:dyDescent="0.25">
      <c r="B21" s="170" t="s">
        <v>212</v>
      </c>
      <c r="D21" s="172">
        <f>SUM(D18:D20)</f>
        <v>92753281</v>
      </c>
      <c r="E21" s="312">
        <f>G21/D21</f>
        <v>5.108618460824043E-2</v>
      </c>
      <c r="F21" s="19"/>
      <c r="G21" s="171">
        <f>SUM(G18:G20)</f>
        <v>4738411.2361859996</v>
      </c>
      <c r="H21" s="177"/>
      <c r="J21" s="170" t="s">
        <v>212</v>
      </c>
      <c r="L21" s="172">
        <f t="shared" si="4"/>
        <v>92753281</v>
      </c>
      <c r="M21" s="312">
        <f t="shared" si="5"/>
        <v>5.108618460824043E-2</v>
      </c>
      <c r="N21" s="19"/>
      <c r="O21" s="171">
        <f>SUM(O18:O20)</f>
        <v>4738411.2361859996</v>
      </c>
      <c r="P21" s="177"/>
      <c r="R21" s="172">
        <f t="shared" si="6"/>
        <v>92753281</v>
      </c>
      <c r="S21" s="312">
        <f>U21/R21</f>
        <v>5.108618460824043E-2</v>
      </c>
      <c r="T21" s="19"/>
      <c r="U21" s="171">
        <f>SUM(U18:U20)</f>
        <v>4738411.2361859996</v>
      </c>
    </row>
    <row r="22" spans="1:21" x14ac:dyDescent="0.25">
      <c r="A22" s="2" t="s">
        <v>211</v>
      </c>
      <c r="B22" s="2" t="s">
        <v>213</v>
      </c>
      <c r="D22" s="39">
        <v>1671300</v>
      </c>
      <c r="E22" s="163">
        <f>'Present and Proposed Rates'!F28</f>
        <v>7.4912999999999993E-2</v>
      </c>
      <c r="F22" s="19"/>
      <c r="G22" s="18">
        <f>D22*E22</f>
        <v>125202.09689999999</v>
      </c>
      <c r="H22" s="177"/>
      <c r="I22" s="2" t="str">
        <f>A22</f>
        <v>LLF</v>
      </c>
      <c r="J22" s="2" t="str">
        <f>B22</f>
        <v>1st 150 kWh per kW</v>
      </c>
      <c r="L22" s="39">
        <f t="shared" si="4"/>
        <v>1671300</v>
      </c>
      <c r="M22" s="163">
        <f t="shared" si="5"/>
        <v>7.4912999999999993E-2</v>
      </c>
      <c r="N22" s="19"/>
      <c r="O22" s="18">
        <f>L22*M22</f>
        <v>125202.09689999999</v>
      </c>
      <c r="P22" s="177"/>
      <c r="R22" s="39">
        <f t="shared" si="6"/>
        <v>1671300</v>
      </c>
      <c r="S22" s="163">
        <f>'Present and Proposed Rates'!G28</f>
        <v>7.4912999999999993E-2</v>
      </c>
      <c r="T22" s="19"/>
      <c r="U22" s="18">
        <f>R22*S22</f>
        <v>125202.09689999999</v>
      </c>
    </row>
    <row r="23" spans="1:21" x14ac:dyDescent="0.25">
      <c r="B23" s="2" t="s">
        <v>214</v>
      </c>
      <c r="D23" s="39">
        <v>175500</v>
      </c>
      <c r="E23" s="163">
        <f>'Present and Proposed Rates'!F29</f>
        <v>6.5609000000000001E-2</v>
      </c>
      <c r="F23" s="19"/>
      <c r="G23" s="18">
        <f>D23*E23</f>
        <v>11514.379500000001</v>
      </c>
      <c r="H23" s="177"/>
      <c r="J23" s="2" t="str">
        <f>B23</f>
        <v>Over 150 kWh per kW</v>
      </c>
      <c r="L23" s="39">
        <f t="shared" si="4"/>
        <v>175500</v>
      </c>
      <c r="M23" s="163">
        <f t="shared" si="5"/>
        <v>6.5609000000000001E-2</v>
      </c>
      <c r="N23" s="19"/>
      <c r="O23" s="18">
        <f>L23*M23</f>
        <v>11514.379500000001</v>
      </c>
      <c r="P23" s="177"/>
      <c r="R23" s="39">
        <f t="shared" si="6"/>
        <v>175500</v>
      </c>
      <c r="S23" s="163">
        <f>'Present and Proposed Rates'!G29</f>
        <v>6.5609000000000001E-2</v>
      </c>
      <c r="T23" s="19"/>
      <c r="U23" s="18">
        <f>R23*S23</f>
        <v>11514.379500000001</v>
      </c>
    </row>
    <row r="24" spans="1:21" x14ac:dyDescent="0.25">
      <c r="B24" s="170" t="s">
        <v>212</v>
      </c>
      <c r="D24" s="172">
        <f>SUM(D22:D23)</f>
        <v>1846800</v>
      </c>
      <c r="E24" s="312">
        <f>G24/D24</f>
        <v>7.4028847953216362E-2</v>
      </c>
      <c r="F24" s="19"/>
      <c r="G24" s="171">
        <f>SUM(G22:G23)</f>
        <v>136716.47639999999</v>
      </c>
      <c r="H24" s="177"/>
      <c r="J24" s="170" t="s">
        <v>212</v>
      </c>
      <c r="L24" s="172">
        <f t="shared" si="4"/>
        <v>1846800</v>
      </c>
      <c r="M24" s="312">
        <f t="shared" si="5"/>
        <v>7.4028847953216362E-2</v>
      </c>
      <c r="N24" s="19"/>
      <c r="O24" s="171">
        <f>SUM(O22:O23)</f>
        <v>136716.47639999999</v>
      </c>
      <c r="P24" s="177"/>
      <c r="R24" s="172">
        <f t="shared" si="6"/>
        <v>1846800</v>
      </c>
      <c r="S24" s="312">
        <f>U24/R24</f>
        <v>7.4028847953216362E-2</v>
      </c>
      <c r="T24" s="19"/>
      <c r="U24" s="171">
        <f>SUM(U22:U23)</f>
        <v>136716.47639999999</v>
      </c>
    </row>
    <row r="25" spans="1:21" x14ac:dyDescent="0.25">
      <c r="B25" s="19"/>
      <c r="C25" s="19"/>
      <c r="D25" s="39"/>
      <c r="E25" s="40"/>
      <c r="F25" s="19"/>
      <c r="G25" s="18"/>
      <c r="H25" s="177"/>
      <c r="J25" s="19"/>
      <c r="K25" s="19"/>
      <c r="L25" s="39"/>
      <c r="M25" s="40"/>
      <c r="N25" s="19"/>
      <c r="O25" s="18"/>
      <c r="P25" s="177"/>
      <c r="Q25" s="19"/>
      <c r="R25" s="39"/>
      <c r="S25" s="40"/>
      <c r="T25" s="19"/>
      <c r="U25" s="18"/>
    </row>
    <row r="26" spans="1:21" x14ac:dyDescent="0.25">
      <c r="A26" s="1" t="s">
        <v>107</v>
      </c>
      <c r="D26" s="8"/>
      <c r="G26" s="11"/>
      <c r="H26" s="177"/>
      <c r="I26" s="1" t="s">
        <v>107</v>
      </c>
      <c r="L26" s="8"/>
      <c r="O26" s="11"/>
      <c r="P26" s="177"/>
      <c r="R26" s="8"/>
      <c r="U26" s="11"/>
    </row>
    <row r="27" spans="1:21" x14ac:dyDescent="0.25">
      <c r="D27" s="160" t="s">
        <v>108</v>
      </c>
      <c r="E27" s="161" t="s">
        <v>109</v>
      </c>
      <c r="G27" s="11"/>
      <c r="H27" s="177"/>
      <c r="L27" s="160" t="s">
        <v>108</v>
      </c>
      <c r="M27" s="161" t="s">
        <v>109</v>
      </c>
      <c r="O27" s="11"/>
      <c r="P27" s="177"/>
      <c r="R27" s="160" t="s">
        <v>108</v>
      </c>
      <c r="S27" s="161" t="s">
        <v>109</v>
      </c>
      <c r="U27" s="11"/>
    </row>
    <row r="28" spans="1:21" x14ac:dyDescent="0.25">
      <c r="A28" s="2" t="s">
        <v>210</v>
      </c>
      <c r="B28" s="2" t="s">
        <v>98</v>
      </c>
      <c r="D28" s="39">
        <f>BillDet!Q29</f>
        <v>196968.8</v>
      </c>
      <c r="E28" s="168">
        <f>'Present and Proposed Rates'!F26</f>
        <v>12.75</v>
      </c>
      <c r="F28" s="19"/>
      <c r="G28" s="18">
        <f>D28*E28</f>
        <v>2511352.1999999997</v>
      </c>
      <c r="H28" s="177"/>
      <c r="I28" s="2" t="str">
        <f>A28</f>
        <v>HLF</v>
      </c>
      <c r="J28" s="2" t="str">
        <f>B28</f>
        <v>Jan to Dec</v>
      </c>
      <c r="L28" s="39">
        <f>D28</f>
        <v>196968.8</v>
      </c>
      <c r="M28" s="168">
        <f>E28</f>
        <v>12.75</v>
      </c>
      <c r="N28" s="19"/>
      <c r="O28" s="18">
        <f>L28*M28</f>
        <v>2511352.1999999997</v>
      </c>
      <c r="P28" s="177"/>
      <c r="R28" s="39">
        <f>L28</f>
        <v>196968.8</v>
      </c>
      <c r="S28" s="168">
        <f>'Present and Proposed Rates'!G26</f>
        <v>12.75</v>
      </c>
      <c r="T28" s="19"/>
      <c r="U28" s="18">
        <f>R28*S28</f>
        <v>2511352.1999999997</v>
      </c>
    </row>
    <row r="29" spans="1:21" x14ac:dyDescent="0.25">
      <c r="A29" s="2" t="s">
        <v>211</v>
      </c>
      <c r="B29" s="2" t="s">
        <v>98</v>
      </c>
      <c r="D29" s="39">
        <f>BillDet!Q30</f>
        <v>12012</v>
      </c>
      <c r="E29" s="168">
        <f>'Present and Proposed Rates'!F30</f>
        <v>7.15</v>
      </c>
      <c r="F29" s="19"/>
      <c r="G29" s="18">
        <f>D29*E29</f>
        <v>85885.8</v>
      </c>
      <c r="H29" s="177"/>
      <c r="I29" s="2" t="str">
        <f>A29</f>
        <v>LLF</v>
      </c>
      <c r="J29" s="2" t="str">
        <f>B29</f>
        <v>Jan to Dec</v>
      </c>
      <c r="L29" s="39">
        <f t="shared" ref="L29:L30" si="7">D29</f>
        <v>12012</v>
      </c>
      <c r="M29" s="168">
        <f t="shared" ref="M29:M30" si="8">E29</f>
        <v>7.15</v>
      </c>
      <c r="N29" s="19"/>
      <c r="O29" s="18">
        <f>L29*M29</f>
        <v>85885.8</v>
      </c>
      <c r="P29" s="177"/>
      <c r="R29" s="39">
        <f t="shared" ref="R29:R30" si="9">L29</f>
        <v>12012</v>
      </c>
      <c r="S29" s="168">
        <f>'Present and Proposed Rates'!G30</f>
        <v>7.15</v>
      </c>
      <c r="T29" s="19"/>
      <c r="U29" s="18">
        <f>R29*S29</f>
        <v>85885.8</v>
      </c>
    </row>
    <row r="30" spans="1:21" x14ac:dyDescent="0.25">
      <c r="B30" s="170" t="s">
        <v>212</v>
      </c>
      <c r="D30" s="172">
        <f>SUM(D28:D29)</f>
        <v>208980.8</v>
      </c>
      <c r="E30" s="314">
        <f>G30/D30</f>
        <v>12.428117798381477</v>
      </c>
      <c r="F30" s="19"/>
      <c r="G30" s="171">
        <f>SUM(G28:G29)</f>
        <v>2597237.9999999995</v>
      </c>
      <c r="H30" s="177"/>
      <c r="J30" s="170" t="s">
        <v>212</v>
      </c>
      <c r="L30" s="172">
        <f t="shared" si="7"/>
        <v>208980.8</v>
      </c>
      <c r="M30" s="314">
        <f t="shared" si="8"/>
        <v>12.428117798381477</v>
      </c>
      <c r="N30" s="19"/>
      <c r="O30" s="171">
        <f>SUM(O28:O29)</f>
        <v>2597237.9999999995</v>
      </c>
      <c r="P30" s="177"/>
      <c r="R30" s="172">
        <f t="shared" si="9"/>
        <v>208980.8</v>
      </c>
      <c r="S30" s="314">
        <f>U30/R30</f>
        <v>12.428117798381477</v>
      </c>
      <c r="T30" s="19"/>
      <c r="U30" s="171">
        <f>SUM(U28:U29)</f>
        <v>2597237.9999999995</v>
      </c>
    </row>
    <row r="31" spans="1:21" x14ac:dyDescent="0.25">
      <c r="D31" s="39"/>
      <c r="E31" s="163"/>
      <c r="F31" s="19"/>
      <c r="G31" s="18"/>
      <c r="H31" s="177"/>
      <c r="L31" s="39"/>
      <c r="M31" s="163"/>
      <c r="N31" s="19"/>
      <c r="O31" s="18"/>
      <c r="P31" s="177"/>
      <c r="R31" s="39"/>
      <c r="S31" s="163"/>
      <c r="T31" s="19"/>
      <c r="U31" s="18"/>
    </row>
    <row r="32" spans="1:21" x14ac:dyDescent="0.25">
      <c r="A32" s="1" t="s">
        <v>99</v>
      </c>
      <c r="B32" s="19"/>
      <c r="C32" s="19"/>
      <c r="D32" s="39"/>
      <c r="E32" s="40"/>
      <c r="F32" s="19"/>
      <c r="G32" s="18"/>
      <c r="H32" s="177"/>
      <c r="I32" s="1" t="s">
        <v>99</v>
      </c>
      <c r="J32" s="19"/>
      <c r="K32" s="19"/>
      <c r="L32" s="39"/>
      <c r="M32" s="40"/>
      <c r="N32" s="19"/>
      <c r="O32" s="18"/>
      <c r="P32" s="177"/>
      <c r="Q32" s="19"/>
      <c r="R32" s="39"/>
      <c r="S32" s="40"/>
      <c r="T32" s="19"/>
      <c r="U32" s="18"/>
    </row>
    <row r="33" spans="1:21" x14ac:dyDescent="0.25">
      <c r="A33" s="2" t="s">
        <v>210</v>
      </c>
      <c r="B33" s="2" t="s">
        <v>105</v>
      </c>
      <c r="C33" s="19"/>
      <c r="D33" s="39"/>
      <c r="E33" s="316">
        <f>G33/D$21</f>
        <v>7.773909367152198E-4</v>
      </c>
      <c r="F33" s="19"/>
      <c r="G33" s="18">
        <f>BillDet!Q40</f>
        <v>72105.56</v>
      </c>
      <c r="H33" s="177"/>
      <c r="I33" s="2" t="str">
        <f>A33</f>
        <v>HLF</v>
      </c>
      <c r="J33" s="2" t="str">
        <f>B33</f>
        <v>Fuel Adjustment Clause</v>
      </c>
      <c r="K33" s="19"/>
      <c r="L33" s="39"/>
      <c r="M33" s="316">
        <f>E33</f>
        <v>7.773909367152198E-4</v>
      </c>
      <c r="N33" s="19"/>
      <c r="O33" s="18">
        <f>G33</f>
        <v>72105.56</v>
      </c>
      <c r="P33" s="177"/>
      <c r="Q33" s="19"/>
      <c r="R33" s="39"/>
      <c r="S33" s="316">
        <f>M33</f>
        <v>7.773909367152198E-4</v>
      </c>
      <c r="T33" s="19"/>
      <c r="U33" s="18">
        <f>O33</f>
        <v>72105.56</v>
      </c>
    </row>
    <row r="34" spans="1:21" x14ac:dyDescent="0.25">
      <c r="B34" s="2" t="s">
        <v>102</v>
      </c>
      <c r="C34" s="19"/>
      <c r="D34" s="39"/>
      <c r="E34" s="316">
        <f t="shared" ref="E34:E36" si="10">G34/D$21</f>
        <v>7.2801461330516161E-3</v>
      </c>
      <c r="F34" s="19"/>
      <c r="G34" s="18">
        <f>BillDet!Q50</f>
        <v>675257.44</v>
      </c>
      <c r="H34" s="177"/>
      <c r="J34" s="2" t="str">
        <f t="shared" ref="J34:J46" si="11">B34</f>
        <v>Environmental Surcharge</v>
      </c>
      <c r="K34" s="19"/>
      <c r="L34" s="39"/>
      <c r="M34" s="316">
        <f t="shared" ref="M34:M43" si="12">E34</f>
        <v>7.2801461330516161E-3</v>
      </c>
      <c r="N34" s="19"/>
      <c r="O34" s="18">
        <f t="shared" ref="O34:O49" si="13">G34</f>
        <v>675257.44</v>
      </c>
      <c r="P34" s="177"/>
      <c r="Q34" s="19"/>
      <c r="R34" s="39"/>
      <c r="S34" s="316">
        <f t="shared" ref="S34:S43" si="14">M34</f>
        <v>7.2801461330516161E-3</v>
      </c>
      <c r="T34" s="19"/>
      <c r="U34" s="18">
        <f t="shared" ref="U34:U46" si="15">O34</f>
        <v>675257.44</v>
      </c>
    </row>
    <row r="35" spans="1:21" x14ac:dyDescent="0.25">
      <c r="B35" s="2" t="s">
        <v>103</v>
      </c>
      <c r="C35" s="19"/>
      <c r="D35" s="39"/>
      <c r="E35" s="316">
        <f t="shared" si="10"/>
        <v>-5.0113005705965273E-3</v>
      </c>
      <c r="F35" s="19"/>
      <c r="G35" s="18">
        <f>BillDet!Q60</f>
        <v>-464814.57</v>
      </c>
      <c r="H35" s="177"/>
      <c r="J35" s="2" t="str">
        <f t="shared" si="11"/>
        <v>Member Rate Stability</v>
      </c>
      <c r="K35" s="19"/>
      <c r="L35" s="39"/>
      <c r="M35" s="316">
        <f t="shared" si="12"/>
        <v>-5.0113005705965273E-3</v>
      </c>
      <c r="N35" s="19"/>
      <c r="O35" s="18">
        <f t="shared" si="13"/>
        <v>-464814.57</v>
      </c>
      <c r="P35" s="177"/>
      <c r="Q35" s="19"/>
      <c r="R35" s="39"/>
      <c r="S35" s="316">
        <f t="shared" si="14"/>
        <v>-5.0113005705965273E-3</v>
      </c>
      <c r="T35" s="19"/>
      <c r="U35" s="18">
        <f t="shared" si="15"/>
        <v>-464814.57</v>
      </c>
    </row>
    <row r="36" spans="1:21" x14ac:dyDescent="0.25">
      <c r="B36" s="2" t="s">
        <v>104</v>
      </c>
      <c r="C36" s="19"/>
      <c r="D36" s="39"/>
      <c r="E36" s="316">
        <f t="shared" si="10"/>
        <v>1.7988869849250941E-3</v>
      </c>
      <c r="F36" s="19"/>
      <c r="G36" s="18">
        <f>BillDet!Q70</f>
        <v>166852.67000000001</v>
      </c>
      <c r="H36" s="178"/>
      <c r="J36" s="2" t="str">
        <f t="shared" si="11"/>
        <v>Non-FAC PPA</v>
      </c>
      <c r="K36" s="19"/>
      <c r="L36" s="39"/>
      <c r="M36" s="316">
        <f t="shared" si="12"/>
        <v>1.7988869849250941E-3</v>
      </c>
      <c r="N36" s="19"/>
      <c r="O36" s="18">
        <f t="shared" si="13"/>
        <v>166852.67000000001</v>
      </c>
      <c r="P36" s="178"/>
      <c r="Q36" s="19"/>
      <c r="R36" s="39"/>
      <c r="S36" s="316">
        <f t="shared" si="14"/>
        <v>1.7988869849250941E-3</v>
      </c>
      <c r="T36" s="19"/>
      <c r="U36" s="18">
        <f t="shared" si="15"/>
        <v>166852.67000000001</v>
      </c>
    </row>
    <row r="37" spans="1:21" x14ac:dyDescent="0.25">
      <c r="B37" s="2" t="s">
        <v>201</v>
      </c>
      <c r="C37" s="131"/>
      <c r="D37" s="60"/>
      <c r="E37" s="64"/>
      <c r="F37" s="34"/>
      <c r="G37" s="62">
        <v>-98652.45</v>
      </c>
      <c r="H37" s="179"/>
      <c r="J37" s="2" t="str">
        <f t="shared" si="11"/>
        <v>Primary Discount</v>
      </c>
      <c r="K37" s="131"/>
      <c r="L37" s="60"/>
      <c r="M37" s="64">
        <f t="shared" si="12"/>
        <v>0</v>
      </c>
      <c r="N37" s="34"/>
      <c r="O37" s="62">
        <f t="shared" si="13"/>
        <v>-98652.45</v>
      </c>
      <c r="P37" s="179"/>
      <c r="Q37" s="131"/>
      <c r="R37" s="60"/>
      <c r="S37" s="64">
        <f t="shared" si="14"/>
        <v>0</v>
      </c>
      <c r="T37" s="34"/>
      <c r="U37" s="62">
        <f t="shared" si="15"/>
        <v>-98652.45</v>
      </c>
    </row>
    <row r="38" spans="1:21" x14ac:dyDescent="0.25">
      <c r="B38" s="2" t="s">
        <v>215</v>
      </c>
      <c r="C38" s="131"/>
      <c r="D38" s="60"/>
      <c r="E38" s="64"/>
      <c r="F38" s="34"/>
      <c r="G38" s="62">
        <v>41232.890000000007</v>
      </c>
      <c r="H38" s="179"/>
      <c r="J38" s="2" t="str">
        <f t="shared" si="11"/>
        <v>Facilities Charge</v>
      </c>
      <c r="K38" s="131"/>
      <c r="L38" s="60"/>
      <c r="M38" s="64">
        <f t="shared" si="12"/>
        <v>0</v>
      </c>
      <c r="N38" s="34"/>
      <c r="O38" s="62">
        <f t="shared" si="13"/>
        <v>41232.890000000007</v>
      </c>
      <c r="P38" s="179"/>
      <c r="Q38" s="131"/>
      <c r="R38" s="60"/>
      <c r="S38" s="64">
        <f t="shared" si="14"/>
        <v>0</v>
      </c>
      <c r="T38" s="34"/>
      <c r="U38" s="62">
        <f t="shared" si="15"/>
        <v>41232.890000000007</v>
      </c>
    </row>
    <row r="39" spans="1:21" x14ac:dyDescent="0.25">
      <c r="B39" s="2" t="s">
        <v>216</v>
      </c>
      <c r="C39" s="131"/>
      <c r="D39" s="60"/>
      <c r="E39" s="64"/>
      <c r="F39" s="34"/>
      <c r="G39" s="62">
        <v>61555.500459999996</v>
      </c>
      <c r="H39" s="179"/>
      <c r="J39" s="2" t="str">
        <f t="shared" si="11"/>
        <v>Power Factor Adj</v>
      </c>
      <c r="K39" s="131"/>
      <c r="L39" s="60"/>
      <c r="M39" s="64">
        <f t="shared" si="12"/>
        <v>0</v>
      </c>
      <c r="N39" s="34"/>
      <c r="O39" s="62">
        <f t="shared" si="13"/>
        <v>61555.500459999996</v>
      </c>
      <c r="P39" s="179"/>
      <c r="Q39" s="131"/>
      <c r="R39" s="60"/>
      <c r="S39" s="64">
        <f t="shared" si="14"/>
        <v>0</v>
      </c>
      <c r="T39" s="34"/>
      <c r="U39" s="62">
        <f t="shared" si="15"/>
        <v>61555.500459999996</v>
      </c>
    </row>
    <row r="40" spans="1:21" x14ac:dyDescent="0.25">
      <c r="A40" s="2" t="s">
        <v>211</v>
      </c>
      <c r="B40" s="2" t="s">
        <v>105</v>
      </c>
      <c r="C40" s="19"/>
      <c r="D40" s="39"/>
      <c r="E40" s="316">
        <f>G40/D$24</f>
        <v>7.7702512453974449E-4</v>
      </c>
      <c r="F40" s="19"/>
      <c r="G40" s="18">
        <f>BillDet!Q41</f>
        <v>1435.0100000000002</v>
      </c>
      <c r="H40" s="177"/>
      <c r="I40" s="2" t="str">
        <f>A40</f>
        <v>LLF</v>
      </c>
      <c r="J40" s="2" t="str">
        <f t="shared" si="11"/>
        <v>Fuel Adjustment Clause</v>
      </c>
      <c r="K40" s="19"/>
      <c r="L40" s="39"/>
      <c r="M40" s="316">
        <f t="shared" si="12"/>
        <v>7.7702512453974449E-4</v>
      </c>
      <c r="N40" s="19"/>
      <c r="O40" s="18">
        <f t="shared" si="13"/>
        <v>1435.0100000000002</v>
      </c>
      <c r="P40" s="177"/>
      <c r="Q40" s="19"/>
      <c r="R40" s="39"/>
      <c r="S40" s="316">
        <f t="shared" si="14"/>
        <v>7.7702512453974449E-4</v>
      </c>
      <c r="T40" s="19"/>
      <c r="U40" s="18">
        <f t="shared" si="15"/>
        <v>1435.0100000000002</v>
      </c>
    </row>
    <row r="41" spans="1:21" x14ac:dyDescent="0.25">
      <c r="B41" s="2" t="s">
        <v>102</v>
      </c>
      <c r="C41" s="19"/>
      <c r="D41" s="39"/>
      <c r="E41" s="316">
        <f t="shared" ref="E41:E43" si="16">G41/D$24</f>
        <v>7.2462475633528261E-3</v>
      </c>
      <c r="F41" s="19"/>
      <c r="G41" s="18">
        <f>BillDet!Q51</f>
        <v>13382.369999999999</v>
      </c>
      <c r="H41" s="177"/>
      <c r="J41" s="2" t="str">
        <f t="shared" si="11"/>
        <v>Environmental Surcharge</v>
      </c>
      <c r="K41" s="19"/>
      <c r="L41" s="39"/>
      <c r="M41" s="316">
        <f t="shared" si="12"/>
        <v>7.2462475633528261E-3</v>
      </c>
      <c r="N41" s="19"/>
      <c r="O41" s="18">
        <f t="shared" si="13"/>
        <v>13382.369999999999</v>
      </c>
      <c r="P41" s="177"/>
      <c r="Q41" s="19"/>
      <c r="R41" s="39"/>
      <c r="S41" s="316">
        <f t="shared" si="14"/>
        <v>7.2462475633528261E-3</v>
      </c>
      <c r="T41" s="19"/>
      <c r="U41" s="18">
        <f t="shared" si="15"/>
        <v>13382.369999999999</v>
      </c>
    </row>
    <row r="42" spans="1:21" x14ac:dyDescent="0.25">
      <c r="B42" s="2" t="s">
        <v>103</v>
      </c>
      <c r="C42" s="19"/>
      <c r="D42" s="39"/>
      <c r="E42" s="316">
        <f t="shared" si="16"/>
        <v>-4.7275286982889318E-3</v>
      </c>
      <c r="F42" s="19"/>
      <c r="G42" s="18">
        <f>BillDet!Q61</f>
        <v>-8730.7999999999993</v>
      </c>
      <c r="H42" s="177"/>
      <c r="J42" s="2" t="str">
        <f t="shared" si="11"/>
        <v>Member Rate Stability</v>
      </c>
      <c r="K42" s="19"/>
      <c r="L42" s="39"/>
      <c r="M42" s="316">
        <f t="shared" si="12"/>
        <v>-4.7275286982889318E-3</v>
      </c>
      <c r="N42" s="19"/>
      <c r="O42" s="18">
        <f t="shared" si="13"/>
        <v>-8730.7999999999993</v>
      </c>
      <c r="P42" s="177"/>
      <c r="Q42" s="19"/>
      <c r="R42" s="39"/>
      <c r="S42" s="316">
        <f t="shared" si="14"/>
        <v>-4.7275286982889318E-3</v>
      </c>
      <c r="T42" s="19"/>
      <c r="U42" s="18">
        <f t="shared" si="15"/>
        <v>-8730.7999999999993</v>
      </c>
    </row>
    <row r="43" spans="1:21" x14ac:dyDescent="0.25">
      <c r="B43" s="2" t="s">
        <v>104</v>
      </c>
      <c r="C43" s="19"/>
      <c r="D43" s="39"/>
      <c r="E43" s="316">
        <f t="shared" si="16"/>
        <v>1.7811944985921589E-3</v>
      </c>
      <c r="F43" s="19"/>
      <c r="G43" s="18">
        <f>BillDet!Q71</f>
        <v>3289.5099999999993</v>
      </c>
      <c r="H43" s="178"/>
      <c r="J43" s="2" t="str">
        <f t="shared" si="11"/>
        <v>Non-FAC PPA</v>
      </c>
      <c r="K43" s="19"/>
      <c r="L43" s="39"/>
      <c r="M43" s="316">
        <f t="shared" si="12"/>
        <v>1.7811944985921589E-3</v>
      </c>
      <c r="N43" s="19"/>
      <c r="O43" s="18">
        <f t="shared" si="13"/>
        <v>3289.5099999999993</v>
      </c>
      <c r="P43" s="178"/>
      <c r="Q43" s="19"/>
      <c r="R43" s="39"/>
      <c r="S43" s="316">
        <f t="shared" si="14"/>
        <v>1.7811944985921589E-3</v>
      </c>
      <c r="T43" s="19"/>
      <c r="U43" s="18">
        <f t="shared" si="15"/>
        <v>3289.5099999999993</v>
      </c>
    </row>
    <row r="44" spans="1:21" x14ac:dyDescent="0.25">
      <c r="B44" s="2" t="s">
        <v>201</v>
      </c>
      <c r="C44" s="131"/>
      <c r="D44" s="60"/>
      <c r="E44" s="64"/>
      <c r="F44" s="34"/>
      <c r="G44" s="62">
        <v>0</v>
      </c>
      <c r="H44" s="179"/>
      <c r="J44" s="2" t="str">
        <f t="shared" si="11"/>
        <v>Primary Discount</v>
      </c>
      <c r="K44" s="131"/>
      <c r="L44" s="60"/>
      <c r="M44" s="64"/>
      <c r="N44" s="34"/>
      <c r="O44" s="62">
        <f t="shared" si="13"/>
        <v>0</v>
      </c>
      <c r="P44" s="179"/>
      <c r="Q44" s="131"/>
      <c r="R44" s="60"/>
      <c r="S44" s="64"/>
      <c r="T44" s="34"/>
      <c r="U44" s="62">
        <f t="shared" si="15"/>
        <v>0</v>
      </c>
    </row>
    <row r="45" spans="1:21" x14ac:dyDescent="0.25">
      <c r="B45" s="2" t="s">
        <v>215</v>
      </c>
      <c r="C45" s="131"/>
      <c r="D45" s="60"/>
      <c r="E45" s="64"/>
      <c r="F45" s="34"/>
      <c r="G45" s="62">
        <v>0</v>
      </c>
      <c r="H45" s="179"/>
      <c r="J45" s="2" t="str">
        <f t="shared" si="11"/>
        <v>Facilities Charge</v>
      </c>
      <c r="K45" s="131"/>
      <c r="L45" s="60"/>
      <c r="M45" s="64"/>
      <c r="N45" s="34"/>
      <c r="O45" s="62">
        <f t="shared" si="13"/>
        <v>0</v>
      </c>
      <c r="P45" s="179"/>
      <c r="Q45" s="131"/>
      <c r="R45" s="60"/>
      <c r="S45" s="64"/>
      <c r="T45" s="34"/>
      <c r="U45" s="62">
        <f t="shared" si="15"/>
        <v>0</v>
      </c>
    </row>
    <row r="46" spans="1:21" x14ac:dyDescent="0.25">
      <c r="B46" s="2" t="s">
        <v>216</v>
      </c>
      <c r="C46" s="131"/>
      <c r="D46" s="60"/>
      <c r="E46" s="64"/>
      <c r="F46" s="34"/>
      <c r="G46" s="62">
        <v>0</v>
      </c>
      <c r="H46" s="179"/>
      <c r="J46" s="2" t="str">
        <f t="shared" si="11"/>
        <v>Power Factor Adj</v>
      </c>
      <c r="K46" s="131"/>
      <c r="L46" s="60"/>
      <c r="M46" s="64"/>
      <c r="N46" s="34"/>
      <c r="O46" s="62">
        <f t="shared" si="13"/>
        <v>0</v>
      </c>
      <c r="P46" s="179"/>
      <c r="Q46" s="131"/>
      <c r="R46" s="60"/>
      <c r="S46" s="64"/>
      <c r="T46" s="34"/>
      <c r="U46" s="62">
        <f t="shared" si="15"/>
        <v>0</v>
      </c>
    </row>
    <row r="47" spans="1:21" x14ac:dyDescent="0.25">
      <c r="C47" s="131"/>
      <c r="D47" s="60"/>
      <c r="E47" s="64"/>
      <c r="F47" s="34"/>
      <c r="G47" s="62"/>
      <c r="H47" s="179"/>
      <c r="K47" s="131"/>
      <c r="L47" s="60"/>
      <c r="M47" s="64"/>
      <c r="N47" s="34"/>
      <c r="O47" s="62"/>
      <c r="P47" s="179"/>
      <c r="Q47" s="131"/>
      <c r="R47" s="60"/>
      <c r="S47" s="64"/>
      <c r="T47" s="34"/>
      <c r="U47" s="62"/>
    </row>
    <row r="48" spans="1:21" x14ac:dyDescent="0.25">
      <c r="A48" s="2" t="s">
        <v>210</v>
      </c>
      <c r="B48" s="2" t="s">
        <v>212</v>
      </c>
      <c r="C48" s="131"/>
      <c r="D48" s="60"/>
      <c r="E48" s="64"/>
      <c r="F48" s="34"/>
      <c r="G48" s="62">
        <f>G12+G18+G19+G20+G28+G33+G34+G35+G36+G37+G38+G39</f>
        <v>7834961.9266459988</v>
      </c>
      <c r="H48" s="179"/>
      <c r="I48" s="2" t="s">
        <v>210</v>
      </c>
      <c r="J48" s="2" t="s">
        <v>212</v>
      </c>
      <c r="K48" s="131"/>
      <c r="L48" s="60"/>
      <c r="M48" s="64"/>
      <c r="N48" s="34"/>
      <c r="O48" s="62">
        <f t="shared" si="13"/>
        <v>7834961.9266459988</v>
      </c>
      <c r="P48" s="179"/>
      <c r="Q48" s="131"/>
      <c r="R48" s="60"/>
      <c r="S48" s="64"/>
      <c r="T48" s="34"/>
      <c r="U48" s="62">
        <f>U12+U18+U19+U20+U28+U33+U34+U35+U36+U37+U38+U39</f>
        <v>7834961.9266459988</v>
      </c>
    </row>
    <row r="49" spans="1:21" x14ac:dyDescent="0.25">
      <c r="A49" s="2" t="s">
        <v>211</v>
      </c>
      <c r="B49" s="2" t="s">
        <v>212</v>
      </c>
      <c r="C49" s="131"/>
      <c r="D49" s="60"/>
      <c r="E49" s="64"/>
      <c r="F49" s="34"/>
      <c r="G49" s="62">
        <f>G13+G22+G23+G29+G40+G41+G42+G43+G44+G45+G46</f>
        <v>243681.60640000005</v>
      </c>
      <c r="H49" s="179"/>
      <c r="I49" s="2" t="s">
        <v>211</v>
      </c>
      <c r="J49" s="2" t="s">
        <v>212</v>
      </c>
      <c r="K49" s="131"/>
      <c r="L49" s="60"/>
      <c r="M49" s="64"/>
      <c r="N49" s="34"/>
      <c r="O49" s="62">
        <f t="shared" si="13"/>
        <v>243681.60640000005</v>
      </c>
      <c r="P49" s="179"/>
      <c r="Q49" s="131"/>
      <c r="R49" s="60"/>
      <c r="S49" s="64"/>
      <c r="T49" s="34"/>
      <c r="U49" s="62">
        <f>U13+U22+U23+U29+U40+U41+U42+U43+U44+U45+U46</f>
        <v>243681.60640000005</v>
      </c>
    </row>
    <row r="50" spans="1:21" x14ac:dyDescent="0.25">
      <c r="C50" s="131"/>
      <c r="D50" s="60"/>
      <c r="E50" s="64"/>
      <c r="F50" s="34"/>
      <c r="G50" s="62"/>
      <c r="H50" s="179"/>
      <c r="K50" s="131"/>
      <c r="L50" s="60"/>
      <c r="M50" s="64"/>
      <c r="N50" s="34"/>
      <c r="O50" s="62"/>
      <c r="P50" s="179"/>
      <c r="Q50" s="131"/>
      <c r="R50" s="60"/>
      <c r="S50" s="64"/>
      <c r="T50" s="34"/>
      <c r="U50" s="62"/>
    </row>
    <row r="51" spans="1:21" ht="16.5" thickBot="1" x14ac:dyDescent="0.3">
      <c r="A51" s="1" t="s">
        <v>80</v>
      </c>
      <c r="G51" s="29">
        <f>G48+G49</f>
        <v>8078643.5330459988</v>
      </c>
      <c r="H51" s="177"/>
      <c r="I51" s="1" t="s">
        <v>80</v>
      </c>
      <c r="O51" s="29">
        <f>O48+O49</f>
        <v>8078643.5330459988</v>
      </c>
      <c r="P51" s="177"/>
      <c r="U51" s="29">
        <f>U48+U49</f>
        <v>8078643.5330459988</v>
      </c>
    </row>
    <row r="52" spans="1:21" ht="16.5" thickTop="1" x14ac:dyDescent="0.25">
      <c r="A52" s="1"/>
      <c r="B52" s="1"/>
      <c r="G52" s="18"/>
      <c r="H52" s="177"/>
      <c r="I52" s="1"/>
      <c r="J52" s="1"/>
      <c r="O52" s="18"/>
      <c r="P52" s="177"/>
      <c r="U52" s="18"/>
    </row>
    <row r="53" spans="1:21" x14ac:dyDescent="0.25">
      <c r="A53" s="44" t="s">
        <v>19</v>
      </c>
      <c r="B53" s="10"/>
      <c r="G53" s="11">
        <v>8068795.0930459974</v>
      </c>
      <c r="H53" s="177"/>
      <c r="I53" s="107" t="s">
        <v>85</v>
      </c>
      <c r="J53" s="10"/>
      <c r="O53" s="11">
        <f>O51-G51</f>
        <v>0</v>
      </c>
      <c r="P53" s="177"/>
      <c r="U53" s="11">
        <f>U51-G51</f>
        <v>0</v>
      </c>
    </row>
    <row r="54" spans="1:21" x14ac:dyDescent="0.25">
      <c r="A54" s="10"/>
      <c r="B54" s="10"/>
      <c r="G54" s="10"/>
      <c r="H54" s="180"/>
      <c r="I54" s="48"/>
      <c r="J54" s="10"/>
      <c r="O54" s="10"/>
      <c r="P54" s="180"/>
      <c r="U54" s="10"/>
    </row>
    <row r="55" spans="1:21" x14ac:dyDescent="0.25">
      <c r="A55" s="44" t="s">
        <v>13</v>
      </c>
      <c r="B55" s="10"/>
      <c r="G55" s="27">
        <f>G51-G53</f>
        <v>9848.4400000013411</v>
      </c>
      <c r="H55" s="181"/>
      <c r="I55" s="107" t="s">
        <v>86</v>
      </c>
      <c r="J55" s="10"/>
      <c r="O55" s="27">
        <f>O53/G51</f>
        <v>0</v>
      </c>
      <c r="P55" s="181"/>
      <c r="U55" s="27">
        <f>U53/G51</f>
        <v>0</v>
      </c>
    </row>
    <row r="56" spans="1:21" x14ac:dyDescent="0.25">
      <c r="A56" s="10"/>
      <c r="B56" s="10"/>
      <c r="G56" s="11"/>
      <c r="H56" s="177"/>
      <c r="I56" s="34"/>
      <c r="J56" s="10"/>
      <c r="O56" s="11"/>
      <c r="P56" s="177"/>
      <c r="U56" s="11"/>
    </row>
    <row r="57" spans="1:21" x14ac:dyDescent="0.25">
      <c r="A57" s="44" t="s">
        <v>26</v>
      </c>
      <c r="B57" s="10"/>
      <c r="G57" s="28">
        <f>G55/G53</f>
        <v>1.2205589417544028E-3</v>
      </c>
      <c r="H57" s="182"/>
      <c r="I57" s="58" t="s">
        <v>87</v>
      </c>
      <c r="J57" s="10"/>
      <c r="O57" s="28">
        <f>O53/L14</f>
        <v>0</v>
      </c>
      <c r="P57" s="182"/>
      <c r="U57" s="28">
        <f>U53/R14</f>
        <v>0</v>
      </c>
    </row>
    <row r="58" spans="1:21" x14ac:dyDescent="0.25">
      <c r="A58" s="44"/>
      <c r="B58" s="10"/>
      <c r="D58" s="14">
        <f>D24/D14</f>
        <v>12563.265306122448</v>
      </c>
      <c r="G58" s="28"/>
      <c r="H58" s="28"/>
      <c r="I58" s="44"/>
      <c r="J58" s="10"/>
      <c r="O58" s="28"/>
      <c r="P58" s="28"/>
      <c r="U58" s="28"/>
    </row>
    <row r="59" spans="1:21" x14ac:dyDescent="0.25">
      <c r="A59" s="44"/>
      <c r="B59" s="10"/>
      <c r="G59" s="50"/>
      <c r="H59" s="28"/>
      <c r="I59" s="44"/>
      <c r="J59" s="10"/>
      <c r="O59" s="28"/>
      <c r="P59" s="28"/>
      <c r="U59" s="28"/>
    </row>
    <row r="60" spans="1:21" x14ac:dyDescent="0.25">
      <c r="A60" s="44"/>
      <c r="B60" s="10"/>
      <c r="G60" s="169">
        <f>G14+G24+G30</f>
        <v>2877319.1663999995</v>
      </c>
      <c r="H60" s="28"/>
      <c r="I60" s="44"/>
      <c r="J60" s="10"/>
      <c r="O60" s="28"/>
      <c r="P60" s="28"/>
      <c r="U60" s="28"/>
    </row>
    <row r="61" spans="1:21" x14ac:dyDescent="0.25">
      <c r="A61" s="44"/>
      <c r="B61" s="10"/>
      <c r="G61" s="169"/>
      <c r="H61" s="28"/>
      <c r="I61" s="44"/>
      <c r="J61" s="10"/>
      <c r="O61" s="28"/>
      <c r="P61" s="28"/>
      <c r="U61" s="28"/>
    </row>
    <row r="62" spans="1:21" x14ac:dyDescent="0.25">
      <c r="A62" s="44"/>
      <c r="B62" s="10"/>
      <c r="G62" s="28"/>
      <c r="H62" s="28"/>
      <c r="I62" s="44"/>
      <c r="J62" s="10"/>
      <c r="O62" s="28"/>
      <c r="P62" s="28"/>
      <c r="U62" s="28"/>
    </row>
    <row r="63" spans="1:21" x14ac:dyDescent="0.25">
      <c r="A63" s="44"/>
      <c r="B63" s="10"/>
      <c r="E63" s="21">
        <f>SUM(E33:E36)</f>
        <v>4.8451234840954033E-3</v>
      </c>
      <c r="G63" s="28"/>
      <c r="H63" s="28"/>
      <c r="I63" s="44"/>
      <c r="J63" s="10"/>
      <c r="M63" s="21">
        <f>SUM(M33:M36)</f>
        <v>4.8451234840954033E-3</v>
      </c>
      <c r="O63" s="28"/>
      <c r="P63" s="28"/>
      <c r="S63" s="21">
        <f>SUM(S33:S36)</f>
        <v>4.8451234840954033E-3</v>
      </c>
      <c r="U63" s="28"/>
    </row>
    <row r="64" spans="1:21" ht="18.75" customHeight="1" x14ac:dyDescent="0.25">
      <c r="A64" s="44"/>
      <c r="B64" s="11"/>
      <c r="E64" s="21">
        <f>SUM(E40:E43)</f>
        <v>5.0769384881957976E-3</v>
      </c>
      <c r="G64" s="28"/>
      <c r="H64" s="28"/>
      <c r="J64" s="34"/>
      <c r="M64" s="21">
        <f>SUM(M40:M43)</f>
        <v>5.0769384881957976E-3</v>
      </c>
      <c r="P64" s="28"/>
      <c r="S64" s="21">
        <f>SUM(S40:S43)</f>
        <v>5.0769384881957976E-3</v>
      </c>
    </row>
    <row r="65" spans="5:10" x14ac:dyDescent="0.25">
      <c r="E65" s="11"/>
      <c r="J65" s="34"/>
    </row>
    <row r="66" spans="5:10" x14ac:dyDescent="0.25">
      <c r="I66" s="53"/>
      <c r="J66" s="53"/>
    </row>
    <row r="67" spans="5:10" x14ac:dyDescent="0.25">
      <c r="I67" s="53"/>
      <c r="J67" s="53"/>
    </row>
    <row r="68" spans="5:10" x14ac:dyDescent="0.25">
      <c r="I68" s="53"/>
      <c r="J68" s="53"/>
    </row>
    <row r="69" spans="5:10" x14ac:dyDescent="0.25">
      <c r="I69" s="53"/>
      <c r="J69" s="92"/>
    </row>
    <row r="70" spans="5:10" x14ac:dyDescent="0.25">
      <c r="I70" s="53"/>
      <c r="J70" s="92"/>
    </row>
    <row r="71" spans="5:10" x14ac:dyDescent="0.25">
      <c r="I71" s="53"/>
      <c r="J71" s="92"/>
    </row>
    <row r="72" spans="5:10" x14ac:dyDescent="0.25">
      <c r="I72" s="53"/>
      <c r="J72" s="92"/>
    </row>
    <row r="73" spans="5:10" x14ac:dyDescent="0.25">
      <c r="I73" s="53"/>
      <c r="J73" s="92"/>
    </row>
    <row r="74" spans="5:10" x14ac:dyDescent="0.25">
      <c r="I74" s="53"/>
      <c r="J74" s="92"/>
    </row>
    <row r="75" spans="5:10" x14ac:dyDescent="0.25">
      <c r="I75" s="53"/>
      <c r="J75" s="92"/>
    </row>
    <row r="76" spans="5:10" x14ac:dyDescent="0.25">
      <c r="I76" s="53"/>
      <c r="J76" s="92"/>
    </row>
    <row r="77" spans="5:10" x14ac:dyDescent="0.25">
      <c r="I77" s="53"/>
      <c r="J77" s="92"/>
    </row>
    <row r="78" spans="5:10" x14ac:dyDescent="0.25">
      <c r="I78" s="53"/>
      <c r="J78" s="92"/>
    </row>
    <row r="79" spans="5:10" ht="16.5" customHeight="1" x14ac:dyDescent="0.25">
      <c r="I79" s="53"/>
      <c r="J79" s="92"/>
    </row>
    <row r="80" spans="5:10" x14ac:dyDescent="0.25">
      <c r="I80" s="53"/>
      <c r="J80" s="92"/>
    </row>
    <row r="81" spans="9:10" x14ac:dyDescent="0.25">
      <c r="I81" s="53"/>
      <c r="J81" s="92"/>
    </row>
    <row r="82" spans="9:10" x14ac:dyDescent="0.25">
      <c r="I82" s="19"/>
      <c r="J82" s="19"/>
    </row>
    <row r="83" spans="9:10" x14ac:dyDescent="0.25">
      <c r="I83" s="19"/>
      <c r="J83" s="19"/>
    </row>
    <row r="84" spans="9:10" x14ac:dyDescent="0.25">
      <c r="I84" s="53"/>
      <c r="J84" s="53"/>
    </row>
    <row r="85" spans="9:10" x14ac:dyDescent="0.25">
      <c r="I85" s="53"/>
      <c r="J85" s="53"/>
    </row>
    <row r="86" spans="9:10" x14ac:dyDescent="0.25">
      <c r="I86" s="53"/>
      <c r="J86" s="53"/>
    </row>
    <row r="87" spans="9:10" x14ac:dyDescent="0.25">
      <c r="I87" s="90"/>
      <c r="J87" s="81"/>
    </row>
    <row r="88" spans="9:10" x14ac:dyDescent="0.25">
      <c r="I88" s="90"/>
      <c r="J88" s="81"/>
    </row>
    <row r="89" spans="9:10" x14ac:dyDescent="0.25">
      <c r="I89" s="90"/>
      <c r="J89" s="81"/>
    </row>
    <row r="90" spans="9:10" x14ac:dyDescent="0.25">
      <c r="I90" s="90"/>
      <c r="J90" s="81"/>
    </row>
    <row r="91" spans="9:10" x14ac:dyDescent="0.25">
      <c r="I91" s="90"/>
      <c r="J91" s="81"/>
    </row>
    <row r="92" spans="9:10" x14ac:dyDescent="0.25">
      <c r="I92" s="90"/>
      <c r="J92" s="81"/>
    </row>
    <row r="93" spans="9:10" x14ac:dyDescent="0.25">
      <c r="I93" s="90"/>
      <c r="J93" s="81"/>
    </row>
    <row r="94" spans="9:10" x14ac:dyDescent="0.25">
      <c r="I94" s="90"/>
      <c r="J94" s="81"/>
    </row>
    <row r="95" spans="9:10" x14ac:dyDescent="0.25">
      <c r="I95" s="90"/>
      <c r="J95" s="81"/>
    </row>
    <row r="96" spans="9:10" x14ac:dyDescent="0.25">
      <c r="I96" s="90"/>
      <c r="J96" s="81"/>
    </row>
    <row r="97" spans="9:10" x14ac:dyDescent="0.25">
      <c r="I97" s="90"/>
      <c r="J97" s="81"/>
    </row>
    <row r="98" spans="9:10" x14ac:dyDescent="0.25">
      <c r="I98" s="90"/>
      <c r="J98" s="81"/>
    </row>
    <row r="99" spans="9:10" x14ac:dyDescent="0.25">
      <c r="I99" s="53"/>
      <c r="J99" s="53"/>
    </row>
    <row r="100" spans="9:10" x14ac:dyDescent="0.25">
      <c r="I100" s="53"/>
      <c r="J100" s="53"/>
    </row>
    <row r="101" spans="9:10" x14ac:dyDescent="0.25">
      <c r="I101" s="53"/>
      <c r="J101" s="53"/>
    </row>
    <row r="102" spans="9:10" x14ac:dyDescent="0.25">
      <c r="I102" s="53"/>
      <c r="J102" s="53"/>
    </row>
    <row r="103" spans="9:10" x14ac:dyDescent="0.25">
      <c r="I103" s="53"/>
      <c r="J103" s="53"/>
    </row>
    <row r="104" spans="9:10" x14ac:dyDescent="0.25">
      <c r="I104" s="53"/>
      <c r="J104" s="53"/>
    </row>
    <row r="105" spans="9:10" x14ac:dyDescent="0.25">
      <c r="I105" s="53"/>
      <c r="J105" s="53"/>
    </row>
    <row r="106" spans="9:10" x14ac:dyDescent="0.25">
      <c r="I106" s="53"/>
      <c r="J106" s="53"/>
    </row>
    <row r="107" spans="9:10" x14ac:dyDescent="0.25">
      <c r="I107" s="53"/>
      <c r="J107" s="53"/>
    </row>
    <row r="108" spans="9:10" x14ac:dyDescent="0.25">
      <c r="I108" s="53"/>
      <c r="J108" s="53"/>
    </row>
    <row r="109" spans="9:10" x14ac:dyDescent="0.25">
      <c r="I109" s="53"/>
      <c r="J109" s="53"/>
    </row>
    <row r="110" spans="9:10" x14ac:dyDescent="0.25">
      <c r="I110" s="53"/>
      <c r="J110" s="53"/>
    </row>
    <row r="111" spans="9:10" x14ac:dyDescent="0.25">
      <c r="I111" s="53"/>
      <c r="J111" s="53"/>
    </row>
    <row r="112" spans="9:10" ht="15" customHeight="1" x14ac:dyDescent="0.25">
      <c r="I112" s="53"/>
      <c r="J112" s="53"/>
    </row>
    <row r="113" spans="9:10" x14ac:dyDescent="0.25">
      <c r="I113" s="53"/>
      <c r="J113" s="53"/>
    </row>
    <row r="114" spans="9:10" x14ac:dyDescent="0.25">
      <c r="I114" s="53"/>
      <c r="J114" s="53"/>
    </row>
    <row r="115" spans="9:10" x14ac:dyDescent="0.25">
      <c r="I115" s="53"/>
      <c r="J115" s="53"/>
    </row>
    <row r="116" spans="9:10" x14ac:dyDescent="0.25">
      <c r="I116" s="53"/>
      <c r="J116" s="53"/>
    </row>
    <row r="117" spans="9:10" x14ac:dyDescent="0.25">
      <c r="I117" s="53"/>
      <c r="J117" s="53"/>
    </row>
    <row r="118" spans="9:10" x14ac:dyDescent="0.25">
      <c r="I118" s="53"/>
      <c r="J118" s="53"/>
    </row>
    <row r="119" spans="9:10" x14ac:dyDescent="0.25">
      <c r="I119" s="53"/>
      <c r="J119" s="53"/>
    </row>
    <row r="120" spans="9:10" x14ac:dyDescent="0.25">
      <c r="I120" s="53"/>
      <c r="J120" s="53"/>
    </row>
    <row r="121" spans="9:10" x14ac:dyDescent="0.25">
      <c r="I121" s="53"/>
      <c r="J121" s="53"/>
    </row>
    <row r="122" spans="9:10" x14ac:dyDescent="0.25">
      <c r="I122" s="53"/>
      <c r="J122" s="53"/>
    </row>
    <row r="123" spans="9:10" x14ac:dyDescent="0.25">
      <c r="I123" s="53"/>
      <c r="J123" s="53"/>
    </row>
    <row r="124" spans="9:10" x14ac:dyDescent="0.25">
      <c r="I124" s="53"/>
      <c r="J124" s="53"/>
    </row>
    <row r="125" spans="9:10" x14ac:dyDescent="0.25">
      <c r="I125" s="53"/>
      <c r="J125" s="53"/>
    </row>
    <row r="126" spans="9:10" x14ac:dyDescent="0.25">
      <c r="I126" s="53"/>
      <c r="J126" s="53"/>
    </row>
    <row r="127" spans="9:10" x14ac:dyDescent="0.25">
      <c r="I127" s="53"/>
      <c r="J127" s="53"/>
    </row>
    <row r="128" spans="9:10" x14ac:dyDescent="0.25">
      <c r="I128" s="53"/>
      <c r="J128" s="53"/>
    </row>
    <row r="129" spans="9:10" x14ac:dyDescent="0.25">
      <c r="I129" s="53"/>
      <c r="J129" s="53"/>
    </row>
    <row r="130" spans="9:10" x14ac:dyDescent="0.25">
      <c r="I130" s="53"/>
      <c r="J130" s="53"/>
    </row>
    <row r="131" spans="9:10" x14ac:dyDescent="0.25">
      <c r="I131" s="53"/>
      <c r="J131" s="53"/>
    </row>
    <row r="132" spans="9:10" x14ac:dyDescent="0.25">
      <c r="I132" s="53"/>
      <c r="J132" s="53"/>
    </row>
    <row r="133" spans="9:10" x14ac:dyDescent="0.25">
      <c r="I133" s="53"/>
      <c r="J133" s="53"/>
    </row>
    <row r="134" spans="9:10" x14ac:dyDescent="0.25">
      <c r="I134" s="53"/>
      <c r="J134" s="53"/>
    </row>
    <row r="135" spans="9:10" x14ac:dyDescent="0.25">
      <c r="I135" s="53"/>
      <c r="J135" s="53"/>
    </row>
    <row r="136" spans="9:10" x14ac:dyDescent="0.25">
      <c r="I136" s="53"/>
      <c r="J136" s="53"/>
    </row>
    <row r="137" spans="9:10" x14ac:dyDescent="0.25">
      <c r="I137" s="53"/>
      <c r="J137" s="53"/>
    </row>
    <row r="138" spans="9:10" x14ac:dyDescent="0.25">
      <c r="I138" s="53"/>
      <c r="J138" s="53"/>
    </row>
    <row r="139" spans="9:10" x14ac:dyDescent="0.25">
      <c r="I139" s="53"/>
      <c r="J139" s="53"/>
    </row>
    <row r="140" spans="9:10" x14ac:dyDescent="0.25">
      <c r="I140" s="53"/>
      <c r="J140" s="53"/>
    </row>
    <row r="141" spans="9:10" x14ac:dyDescent="0.25">
      <c r="I141" s="53"/>
      <c r="J141" s="53"/>
    </row>
    <row r="142" spans="9:10" x14ac:dyDescent="0.25">
      <c r="I142" s="53"/>
      <c r="J142" s="53"/>
    </row>
    <row r="143" spans="9:10" x14ac:dyDescent="0.25">
      <c r="I143" s="53"/>
      <c r="J143" s="53"/>
    </row>
    <row r="144" spans="9:10" x14ac:dyDescent="0.25">
      <c r="I144" s="53"/>
      <c r="J144" s="53"/>
    </row>
    <row r="145" spans="2:17" x14ac:dyDescent="0.25">
      <c r="K145" s="19"/>
      <c r="Q145" s="19"/>
    </row>
    <row r="146" spans="2:17" x14ac:dyDescent="0.25">
      <c r="K146" s="19"/>
      <c r="Q146" s="19"/>
    </row>
    <row r="147" spans="2:17" x14ac:dyDescent="0.25">
      <c r="K147" s="19"/>
      <c r="Q147" s="19"/>
    </row>
    <row r="148" spans="2:17" x14ac:dyDescent="0.25">
      <c r="K148" s="19"/>
      <c r="Q148" s="19"/>
    </row>
    <row r="149" spans="2:17" x14ac:dyDescent="0.25">
      <c r="K149" s="19"/>
      <c r="Q149" s="19"/>
    </row>
    <row r="150" spans="2:17" x14ac:dyDescent="0.25">
      <c r="K150" s="19"/>
      <c r="Q150" s="19"/>
    </row>
    <row r="151" spans="2:17" x14ac:dyDescent="0.25">
      <c r="K151" s="19"/>
      <c r="Q151" s="19"/>
    </row>
    <row r="152" spans="2:17" x14ac:dyDescent="0.25">
      <c r="K152" s="19"/>
      <c r="Q152" s="19"/>
    </row>
    <row r="153" spans="2:17" x14ac:dyDescent="0.25">
      <c r="K153" s="19"/>
      <c r="Q153" s="19"/>
    </row>
    <row r="159" spans="2:17" x14ac:dyDescent="0.25">
      <c r="B159" s="19"/>
      <c r="C159" s="53"/>
      <c r="D159" s="53"/>
      <c r="E159" s="19"/>
      <c r="F159" s="19"/>
      <c r="G159" s="19"/>
      <c r="H159" s="19"/>
      <c r="P159" s="19"/>
    </row>
    <row r="160" spans="2:17" x14ac:dyDescent="0.25">
      <c r="B160" s="19"/>
      <c r="C160" s="55"/>
      <c r="D160" s="69"/>
      <c r="E160" s="74"/>
      <c r="F160" s="19"/>
      <c r="G160" s="19"/>
      <c r="H160" s="19"/>
      <c r="P160" s="19"/>
    </row>
    <row r="161" spans="2:16" x14ac:dyDescent="0.25">
      <c r="B161" s="19"/>
      <c r="C161" s="55"/>
      <c r="D161" s="69"/>
      <c r="E161" s="74"/>
      <c r="F161" s="19"/>
      <c r="G161" s="19"/>
      <c r="H161" s="19"/>
      <c r="P161" s="19"/>
    </row>
    <row r="162" spans="2:16" x14ac:dyDescent="0.25">
      <c r="B162" s="19"/>
      <c r="C162" s="55"/>
      <c r="D162" s="69"/>
      <c r="E162" s="74"/>
      <c r="F162" s="19"/>
      <c r="G162" s="19"/>
      <c r="H162" s="19"/>
      <c r="P162" s="19"/>
    </row>
  </sheetData>
  <mergeCells count="6">
    <mergeCell ref="D4:G5"/>
    <mergeCell ref="R4:U5"/>
    <mergeCell ref="E7:F7"/>
    <mergeCell ref="S7:T7"/>
    <mergeCell ref="L4:O5"/>
    <mergeCell ref="M7:N7"/>
  </mergeCells>
  <pageMargins left="0.75" right="0.75" top="1" bottom="1" header="0.5" footer="0.5"/>
  <pageSetup scale="53" orientation="landscape" r:id="rId1"/>
  <headerFooter alignWithMargins="0">
    <oddFooter>&amp;RExhibit JW-9
Page &amp;P of &amp;N</oddFooter>
  </headerFooter>
  <ignoredErrors>
    <ignoredError sqref="S21:U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E124"/>
  <sheetViews>
    <sheetView view="pageBreakPreview" topLeftCell="A63" zoomScale="85" zoomScaleNormal="100" zoomScaleSheetLayoutView="85" workbookViewId="0">
      <selection activeCell="T17" sqref="T17"/>
    </sheetView>
  </sheetViews>
  <sheetFormatPr defaultColWidth="9.140625" defaultRowHeight="12.75" x14ac:dyDescent="0.2"/>
  <cols>
    <col min="1" max="1" width="4.28515625" style="289" customWidth="1"/>
    <col min="2" max="2" width="53.140625" style="289" customWidth="1"/>
    <col min="3" max="3" width="2.28515625" style="289" customWidth="1"/>
    <col min="4" max="4" width="10.5703125" style="413" bestFit="1" customWidth="1"/>
    <col min="5" max="5" width="12.140625" style="289" bestFit="1" customWidth="1"/>
    <col min="6" max="6" width="13.28515625" style="289" bestFit="1" customWidth="1"/>
    <col min="7" max="7" width="2.7109375" style="289" customWidth="1"/>
    <col min="8" max="8" width="13.28515625" style="289" bestFit="1" customWidth="1"/>
    <col min="9" max="9" width="3" style="289" customWidth="1"/>
    <col min="10" max="10" width="5.140625" style="289" customWidth="1"/>
    <col min="11" max="11" width="13.7109375" style="413" bestFit="1" customWidth="1"/>
    <col min="12" max="13" width="12.140625" style="289" bestFit="1" customWidth="1"/>
    <col min="14" max="14" width="2.42578125" style="289" customWidth="1"/>
    <col min="15" max="15" width="13.28515625" style="289" bestFit="1" customWidth="1"/>
    <col min="16" max="16" width="6.7109375" style="289" customWidth="1"/>
    <col min="17" max="17" width="27.5703125" style="289" customWidth="1"/>
    <col min="18" max="18" width="11.7109375" style="289" customWidth="1"/>
    <col min="19" max="19" width="13" style="289" customWidth="1"/>
    <col min="20" max="20" width="10.5703125" style="289" customWidth="1"/>
    <col min="21" max="21" width="2.7109375" style="289" customWidth="1"/>
    <col min="22" max="22" width="16.7109375" style="289" customWidth="1"/>
    <col min="23" max="23" width="9.140625" style="289"/>
    <col min="24" max="25" width="6.7109375" style="289" customWidth="1"/>
    <col min="26" max="26" width="27.5703125" style="289" customWidth="1"/>
    <col min="27" max="27" width="11.7109375" style="289" customWidth="1"/>
    <col min="28" max="28" width="13" style="289" customWidth="1"/>
    <col min="29" max="29" width="10.5703125" style="289" customWidth="1"/>
    <col min="30" max="30" width="2.7109375" style="289" customWidth="1"/>
    <col min="31" max="31" width="16.7109375" style="289" customWidth="1"/>
    <col min="32" max="16384" width="9.140625" style="289"/>
  </cols>
  <sheetData>
    <row r="1" spans="1:31" x14ac:dyDescent="0.2">
      <c r="A1" s="297" t="str">
        <f>'Present and Proposed Rates'!A1</f>
        <v>KENERGY CORP.</v>
      </c>
      <c r="B1" s="413"/>
      <c r="C1" s="413"/>
      <c r="E1" s="413"/>
      <c r="F1" s="413"/>
      <c r="G1" s="413"/>
      <c r="H1" s="413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5"/>
      <c r="X1" s="414"/>
      <c r="Y1" s="414"/>
      <c r="Z1" s="414"/>
      <c r="AA1" s="414"/>
      <c r="AB1" s="414"/>
      <c r="AC1" s="414"/>
      <c r="AD1" s="414"/>
      <c r="AE1" s="414"/>
    </row>
    <row r="2" spans="1:31" x14ac:dyDescent="0.2">
      <c r="A2" s="413" t="str">
        <f>'Present and Proposed Rates'!A32</f>
        <v>Unmetered Lighting</v>
      </c>
      <c r="B2" s="413"/>
      <c r="C2" s="413"/>
      <c r="E2" s="413"/>
      <c r="F2" s="413"/>
      <c r="G2" s="413"/>
      <c r="H2" s="413"/>
      <c r="I2" s="414"/>
      <c r="J2" s="414"/>
      <c r="K2" s="414"/>
      <c r="L2" s="414"/>
      <c r="M2" s="282"/>
      <c r="N2" s="414"/>
      <c r="O2" s="414"/>
      <c r="P2" s="414"/>
      <c r="Q2" s="414"/>
      <c r="R2" s="414"/>
      <c r="S2" s="414"/>
      <c r="T2" s="414"/>
      <c r="U2" s="414"/>
      <c r="V2" s="414"/>
      <c r="W2" s="415"/>
      <c r="X2" s="414"/>
      <c r="Y2" s="414"/>
      <c r="Z2" s="414"/>
      <c r="AA2" s="414"/>
      <c r="AB2" s="414"/>
      <c r="AC2" s="414"/>
      <c r="AD2" s="414"/>
      <c r="AE2" s="414"/>
    </row>
    <row r="3" spans="1:31" ht="13.5" thickBot="1" x14ac:dyDescent="0.25">
      <c r="A3" s="413">
        <f>'Present and Proposed Rates'!B32</f>
        <v>15</v>
      </c>
      <c r="B3" s="413"/>
      <c r="C3" s="413"/>
      <c r="E3" s="413"/>
      <c r="F3" s="413"/>
      <c r="G3" s="413"/>
      <c r="H3" s="413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  <c r="X3" s="414"/>
      <c r="Y3" s="414"/>
      <c r="Z3" s="414"/>
      <c r="AA3" s="414"/>
      <c r="AB3" s="414"/>
      <c r="AC3" s="414"/>
      <c r="AD3" s="414"/>
      <c r="AE3" s="414"/>
    </row>
    <row r="4" spans="1:31" x14ac:dyDescent="0.2">
      <c r="A4" s="413"/>
      <c r="B4" s="413"/>
      <c r="C4" s="413"/>
      <c r="E4" s="494" t="s">
        <v>30</v>
      </c>
      <c r="F4" s="495"/>
      <c r="G4" s="495"/>
      <c r="H4" s="496"/>
      <c r="I4" s="416"/>
      <c r="J4" s="413"/>
      <c r="L4" s="494" t="s">
        <v>96</v>
      </c>
      <c r="M4" s="495"/>
      <c r="N4" s="495"/>
      <c r="O4" s="496"/>
      <c r="P4" s="413"/>
      <c r="Q4" s="413"/>
      <c r="R4" s="414"/>
      <c r="S4" s="500"/>
      <c r="T4" s="500"/>
      <c r="U4" s="500"/>
      <c r="V4" s="500"/>
      <c r="W4" s="415"/>
      <c r="X4" s="414"/>
      <c r="Y4" s="414"/>
      <c r="Z4" s="414"/>
      <c r="AA4" s="414"/>
      <c r="AB4" s="500"/>
      <c r="AC4" s="500"/>
      <c r="AD4" s="500"/>
      <c r="AE4" s="500"/>
    </row>
    <row r="5" spans="1:31" ht="13.5" thickBot="1" x14ac:dyDescent="0.25">
      <c r="A5" s="413"/>
      <c r="B5" s="413"/>
      <c r="C5" s="413"/>
      <c r="E5" s="497"/>
      <c r="F5" s="498"/>
      <c r="G5" s="498"/>
      <c r="H5" s="499"/>
      <c r="I5" s="417"/>
      <c r="J5" s="415"/>
      <c r="K5" s="414"/>
      <c r="L5" s="497"/>
      <c r="M5" s="498"/>
      <c r="N5" s="498"/>
      <c r="O5" s="499"/>
      <c r="P5" s="415"/>
      <c r="Q5" s="415"/>
      <c r="R5" s="418"/>
      <c r="S5" s="500"/>
      <c r="T5" s="500"/>
      <c r="U5" s="500"/>
      <c r="V5" s="500"/>
      <c r="W5" s="415"/>
      <c r="X5" s="418"/>
      <c r="Y5" s="418"/>
      <c r="Z5" s="418"/>
      <c r="AA5" s="418"/>
      <c r="AB5" s="500"/>
      <c r="AC5" s="500"/>
      <c r="AD5" s="500"/>
      <c r="AE5" s="500"/>
    </row>
    <row r="6" spans="1:31" x14ac:dyDescent="0.2">
      <c r="A6" s="413"/>
      <c r="B6" s="413"/>
      <c r="C6" s="413"/>
      <c r="E6" s="419" t="s">
        <v>1</v>
      </c>
      <c r="F6" s="419"/>
      <c r="G6" s="419"/>
      <c r="H6" s="419" t="s">
        <v>2</v>
      </c>
      <c r="I6" s="420"/>
      <c r="J6" s="413"/>
      <c r="L6" s="419" t="s">
        <v>1</v>
      </c>
      <c r="M6" s="419"/>
      <c r="N6" s="419"/>
      <c r="O6" s="419" t="s">
        <v>2</v>
      </c>
      <c r="P6" s="421"/>
      <c r="Q6" s="421"/>
      <c r="R6" s="422"/>
      <c r="S6" s="422"/>
      <c r="T6" s="422"/>
      <c r="U6" s="422"/>
      <c r="V6" s="422"/>
      <c r="W6" s="415"/>
      <c r="X6" s="422"/>
      <c r="Y6" s="422"/>
      <c r="Z6" s="422"/>
      <c r="AA6" s="422"/>
      <c r="AB6" s="422"/>
      <c r="AC6" s="422"/>
      <c r="AD6" s="422"/>
      <c r="AE6" s="422"/>
    </row>
    <row r="7" spans="1:31" ht="13.5" thickBot="1" x14ac:dyDescent="0.25">
      <c r="A7" s="423" t="s">
        <v>3</v>
      </c>
      <c r="B7" s="424"/>
      <c r="C7" s="424"/>
      <c r="D7" s="424"/>
      <c r="E7" s="425" t="s">
        <v>4</v>
      </c>
      <c r="F7" s="501" t="s">
        <v>5</v>
      </c>
      <c r="G7" s="501"/>
      <c r="H7" s="425" t="s">
        <v>6</v>
      </c>
      <c r="I7" s="420"/>
      <c r="J7" s="423" t="s">
        <v>3</v>
      </c>
      <c r="K7" s="424"/>
      <c r="L7" s="425" t="s">
        <v>4</v>
      </c>
      <c r="M7" s="501" t="s">
        <v>5</v>
      </c>
      <c r="N7" s="501"/>
      <c r="O7" s="425" t="s">
        <v>6</v>
      </c>
      <c r="P7" s="421"/>
      <c r="Q7" s="421"/>
      <c r="R7" s="422"/>
      <c r="S7" s="422"/>
      <c r="T7" s="502"/>
      <c r="U7" s="502"/>
      <c r="V7" s="422"/>
      <c r="W7" s="415"/>
      <c r="X7" s="422"/>
      <c r="Y7" s="422"/>
      <c r="Z7" s="422"/>
      <c r="AA7" s="422"/>
      <c r="AB7" s="422"/>
      <c r="AC7" s="502"/>
      <c r="AD7" s="502"/>
      <c r="AE7" s="422"/>
    </row>
    <row r="8" spans="1:31" x14ac:dyDescent="0.2">
      <c r="A8" s="413"/>
      <c r="B8" s="413"/>
      <c r="C8" s="413"/>
      <c r="E8" s="413"/>
      <c r="F8" s="413"/>
      <c r="G8" s="413"/>
      <c r="H8" s="413"/>
      <c r="I8" s="416"/>
      <c r="J8" s="421"/>
      <c r="L8" s="421"/>
      <c r="M8" s="421"/>
      <c r="N8" s="421"/>
      <c r="O8" s="421"/>
      <c r="P8" s="421"/>
      <c r="Q8" s="421"/>
      <c r="R8" s="414"/>
      <c r="S8" s="414"/>
      <c r="T8" s="414"/>
      <c r="U8" s="414"/>
      <c r="V8" s="414"/>
      <c r="W8" s="415"/>
      <c r="X8" s="414"/>
      <c r="Y8" s="414"/>
      <c r="Z8" s="414"/>
      <c r="AA8" s="414"/>
      <c r="AB8" s="414"/>
      <c r="AC8" s="414"/>
      <c r="AD8" s="414"/>
      <c r="AE8" s="414"/>
    </row>
    <row r="9" spans="1:31" x14ac:dyDescent="0.2">
      <c r="A9" s="236"/>
      <c r="B9" s="413"/>
      <c r="C9" s="413"/>
      <c r="E9" s="426"/>
      <c r="F9" s="413"/>
      <c r="G9" s="413"/>
      <c r="H9" s="426" t="s">
        <v>113</v>
      </c>
      <c r="I9" s="416"/>
      <c r="J9" s="236"/>
      <c r="L9" s="426"/>
      <c r="M9" s="413"/>
      <c r="N9" s="413"/>
      <c r="O9" s="426" t="s">
        <v>113</v>
      </c>
      <c r="P9" s="430"/>
      <c r="Q9" s="430"/>
      <c r="R9" s="414"/>
      <c r="S9" s="428"/>
      <c r="T9" s="414"/>
      <c r="U9" s="414"/>
      <c r="V9" s="431"/>
      <c r="W9" s="415"/>
      <c r="X9" s="432"/>
      <c r="Y9" s="414"/>
      <c r="Z9" s="414"/>
      <c r="AA9" s="414"/>
      <c r="AB9" s="428"/>
      <c r="AC9" s="414"/>
      <c r="AD9" s="414"/>
      <c r="AE9" s="431"/>
    </row>
    <row r="10" spans="1:31" x14ac:dyDescent="0.2">
      <c r="A10" s="413"/>
      <c r="B10" s="413"/>
      <c r="C10" s="413"/>
      <c r="D10" s="434" t="s">
        <v>8</v>
      </c>
      <c r="E10" s="433" t="s">
        <v>459</v>
      </c>
      <c r="F10" s="434" t="s">
        <v>17</v>
      </c>
      <c r="G10" s="413"/>
      <c r="H10" s="433" t="s">
        <v>6</v>
      </c>
      <c r="I10" s="416"/>
      <c r="J10" s="413"/>
      <c r="K10" s="434" t="s">
        <v>8</v>
      </c>
      <c r="L10" s="433" t="s">
        <v>459</v>
      </c>
      <c r="M10" s="434" t="s">
        <v>17</v>
      </c>
      <c r="N10" s="413"/>
      <c r="O10" s="433" t="s">
        <v>6</v>
      </c>
      <c r="Q10" s="430"/>
      <c r="R10" s="435"/>
      <c r="S10" s="436"/>
      <c r="T10" s="437"/>
      <c r="U10" s="414"/>
      <c r="V10" s="431"/>
      <c r="W10" s="415"/>
      <c r="X10" s="414"/>
      <c r="Y10" s="414"/>
      <c r="Z10" s="414"/>
      <c r="AA10" s="435"/>
      <c r="AB10" s="436"/>
      <c r="AC10" s="437"/>
      <c r="AD10" s="414"/>
      <c r="AE10" s="431"/>
    </row>
    <row r="11" spans="1:31" x14ac:dyDescent="0.2">
      <c r="A11" s="413"/>
      <c r="B11" s="236" t="str">
        <f>BillDetLt!B10</f>
        <v>Private Outdoor Lighting</v>
      </c>
      <c r="C11" s="413"/>
      <c r="D11" s="438"/>
      <c r="E11" s="439"/>
      <c r="F11" s="442"/>
      <c r="G11" s="413"/>
      <c r="H11" s="443"/>
      <c r="I11" s="416"/>
      <c r="J11" s="413"/>
      <c r="K11" s="438"/>
      <c r="L11" s="439"/>
      <c r="M11" s="442"/>
      <c r="N11" s="413"/>
      <c r="O11" s="443"/>
      <c r="Q11" s="430"/>
      <c r="R11" s="428"/>
      <c r="S11" s="440"/>
      <c r="T11" s="441"/>
      <c r="U11" s="414"/>
      <c r="V11" s="429"/>
      <c r="W11" s="415"/>
      <c r="X11" s="414"/>
      <c r="Y11" s="414"/>
      <c r="Z11" s="414"/>
      <c r="AA11" s="428"/>
      <c r="AB11" s="440"/>
      <c r="AC11" s="441"/>
      <c r="AD11" s="414"/>
      <c r="AE11" s="429"/>
    </row>
    <row r="12" spans="1:31" x14ac:dyDescent="0.2">
      <c r="A12" s="413"/>
      <c r="B12" s="236" t="str">
        <f>BillDetLt!B11</f>
        <v>Tariff sheet 15</v>
      </c>
      <c r="C12" s="413"/>
      <c r="D12" s="438"/>
      <c r="E12" s="439"/>
      <c r="F12" s="442"/>
      <c r="G12" s="413"/>
      <c r="H12" s="443"/>
      <c r="I12" s="416"/>
      <c r="J12" s="413"/>
      <c r="K12" s="438"/>
      <c r="L12" s="439"/>
      <c r="M12" s="442"/>
      <c r="N12" s="413"/>
      <c r="O12" s="443"/>
      <c r="Q12" s="430"/>
      <c r="R12" s="428"/>
      <c r="S12" s="440"/>
      <c r="T12" s="441"/>
      <c r="U12" s="414"/>
      <c r="V12" s="429"/>
      <c r="W12" s="415"/>
      <c r="X12" s="414"/>
      <c r="Y12" s="414"/>
      <c r="Z12" s="414"/>
      <c r="AA12" s="428"/>
      <c r="AB12" s="440"/>
      <c r="AC12" s="441"/>
      <c r="AD12" s="414"/>
      <c r="AE12" s="429"/>
    </row>
    <row r="13" spans="1:31" x14ac:dyDescent="0.2">
      <c r="A13" s="413"/>
      <c r="B13" s="236" t="str">
        <f>BillDetLt!B12</f>
        <v xml:space="preserve">Standard(served overhead) </v>
      </c>
      <c r="C13" s="413"/>
      <c r="D13" s="438"/>
      <c r="E13" s="439"/>
      <c r="F13" s="442"/>
      <c r="G13" s="413"/>
      <c r="H13" s="443"/>
      <c r="I13" s="416"/>
      <c r="J13" s="413"/>
      <c r="K13" s="438"/>
      <c r="L13" s="439"/>
      <c r="M13" s="442"/>
      <c r="N13" s="413"/>
      <c r="O13" s="443"/>
      <c r="P13" s="414"/>
      <c r="Q13" s="430"/>
      <c r="R13" s="428"/>
      <c r="S13" s="440"/>
      <c r="T13" s="441"/>
      <c r="U13" s="414"/>
      <c r="V13" s="429"/>
      <c r="W13" s="415"/>
      <c r="X13" s="414"/>
      <c r="Y13" s="414"/>
      <c r="Z13" s="414"/>
      <c r="AA13" s="428"/>
      <c r="AB13" s="440"/>
      <c r="AC13" s="441"/>
      <c r="AD13" s="414"/>
      <c r="AE13" s="429"/>
    </row>
    <row r="14" spans="1:31" x14ac:dyDescent="0.2">
      <c r="A14" s="413"/>
      <c r="B14" s="236" t="str">
        <f>BillDetLt!B13</f>
        <v>Not available for New Installations after December 1, 2012:</v>
      </c>
      <c r="C14" s="413"/>
      <c r="D14" s="438"/>
      <c r="E14" s="439"/>
      <c r="F14" s="442"/>
      <c r="G14" s="413"/>
      <c r="H14" s="443"/>
      <c r="I14" s="416"/>
      <c r="J14" s="413"/>
      <c r="K14" s="438"/>
      <c r="L14" s="439"/>
      <c r="M14" s="442"/>
      <c r="N14" s="413"/>
      <c r="O14" s="443"/>
      <c r="P14" s="414"/>
      <c r="Q14" s="430"/>
      <c r="R14" s="428"/>
      <c r="S14" s="440"/>
      <c r="T14" s="441"/>
      <c r="U14" s="414"/>
      <c r="V14" s="429"/>
      <c r="W14" s="415"/>
      <c r="X14" s="414"/>
      <c r="Y14" s="414"/>
      <c r="Z14" s="414"/>
      <c r="AA14" s="428"/>
      <c r="AB14" s="440"/>
      <c r="AC14" s="441"/>
      <c r="AD14" s="414"/>
      <c r="AE14" s="429"/>
    </row>
    <row r="15" spans="1:31" x14ac:dyDescent="0.2">
      <c r="A15" s="413"/>
      <c r="B15" s="477" t="str">
        <f>BillDetLt!B14</f>
        <v>7000 LUMEN-175W-MERCURY VAPOR</v>
      </c>
      <c r="C15" s="413"/>
      <c r="D15" s="438">
        <v>4736613</v>
      </c>
      <c r="E15" s="439">
        <v>67665.899999999994</v>
      </c>
      <c r="F15" s="442">
        <v>11.28</v>
      </c>
      <c r="G15" s="413"/>
      <c r="H15" s="443">
        <f t="shared" ref="H15:H75" si="0">E15*F15</f>
        <v>763271.35199999984</v>
      </c>
      <c r="I15" s="416"/>
      <c r="J15" s="413"/>
      <c r="K15" s="438">
        <f t="shared" ref="K15:K75" si="1">D15</f>
        <v>4736613</v>
      </c>
      <c r="L15" s="439">
        <f>E15</f>
        <v>67665.899999999994</v>
      </c>
      <c r="M15" s="442">
        <f>F15</f>
        <v>11.28</v>
      </c>
      <c r="N15" s="413"/>
      <c r="O15" s="443">
        <f t="shared" ref="O15:O75" si="2">L15*M15</f>
        <v>763271.35199999984</v>
      </c>
      <c r="Q15" s="430"/>
      <c r="R15" s="428"/>
      <c r="S15" s="440"/>
      <c r="T15" s="441"/>
      <c r="U15" s="414"/>
      <c r="V15" s="429"/>
      <c r="W15" s="415"/>
      <c r="X15" s="414"/>
      <c r="Y15" s="414"/>
      <c r="Z15" s="414"/>
      <c r="AA15" s="428"/>
      <c r="AB15" s="440"/>
      <c r="AC15" s="441"/>
      <c r="AD15" s="414"/>
      <c r="AE15" s="429"/>
    </row>
    <row r="16" spans="1:31" x14ac:dyDescent="0.2">
      <c r="A16" s="413"/>
      <c r="B16" s="477" t="str">
        <f>BillDetLt!B15</f>
        <v>12000 LUMEN-250W-MERCURY VAPOR</v>
      </c>
      <c r="C16" s="413"/>
      <c r="D16" s="438">
        <v>110289</v>
      </c>
      <c r="E16" s="439">
        <v>1137</v>
      </c>
      <c r="F16" s="442">
        <v>13.74</v>
      </c>
      <c r="G16" s="413"/>
      <c r="H16" s="443">
        <f t="shared" si="0"/>
        <v>15622.380000000001</v>
      </c>
      <c r="I16" s="416"/>
      <c r="J16" s="413"/>
      <c r="K16" s="438">
        <f t="shared" si="1"/>
        <v>110289</v>
      </c>
      <c r="L16" s="439">
        <f>E16</f>
        <v>1137</v>
      </c>
      <c r="M16" s="442">
        <f t="shared" ref="M16:M79" si="3">F16</f>
        <v>13.74</v>
      </c>
      <c r="N16" s="413"/>
      <c r="O16" s="443">
        <f t="shared" si="2"/>
        <v>15622.380000000001</v>
      </c>
      <c r="Q16" s="430"/>
      <c r="R16" s="428"/>
      <c r="S16" s="440"/>
      <c r="T16" s="441"/>
      <c r="U16" s="414"/>
      <c r="V16" s="429"/>
      <c r="W16" s="415"/>
      <c r="X16" s="414"/>
      <c r="Y16" s="414"/>
      <c r="Z16" s="414"/>
      <c r="AA16" s="428"/>
      <c r="AB16" s="440"/>
      <c r="AC16" s="441"/>
      <c r="AD16" s="414"/>
      <c r="AE16" s="429"/>
    </row>
    <row r="17" spans="1:31" x14ac:dyDescent="0.2">
      <c r="A17" s="413"/>
      <c r="B17" s="477" t="str">
        <f>BillDetLt!B16</f>
        <v>20000 LUMEN-400W-MERCURY VAPOR</v>
      </c>
      <c r="C17" s="413"/>
      <c r="D17" s="438">
        <v>387345</v>
      </c>
      <c r="E17" s="439">
        <v>2499</v>
      </c>
      <c r="F17" s="442">
        <v>16.809999999999999</v>
      </c>
      <c r="G17" s="413"/>
      <c r="H17" s="443">
        <f t="shared" si="0"/>
        <v>42008.189999999995</v>
      </c>
      <c r="I17" s="416"/>
      <c r="J17" s="413"/>
      <c r="K17" s="438">
        <f t="shared" si="1"/>
        <v>387345</v>
      </c>
      <c r="L17" s="439">
        <f>E17</f>
        <v>2499</v>
      </c>
      <c r="M17" s="442">
        <f t="shared" si="3"/>
        <v>16.809999999999999</v>
      </c>
      <c r="N17" s="413"/>
      <c r="O17" s="443">
        <f t="shared" si="2"/>
        <v>42008.189999999995</v>
      </c>
      <c r="P17" s="414"/>
      <c r="Q17" s="430"/>
      <c r="R17" s="428"/>
      <c r="S17" s="440"/>
      <c r="T17" s="441"/>
      <c r="U17" s="414"/>
      <c r="V17" s="429"/>
      <c r="W17" s="415"/>
      <c r="X17" s="414"/>
      <c r="Y17" s="414"/>
      <c r="Z17" s="414"/>
      <c r="AA17" s="428"/>
      <c r="AB17" s="440"/>
      <c r="AC17" s="441"/>
      <c r="AD17" s="414"/>
      <c r="AE17" s="429"/>
    </row>
    <row r="18" spans="1:31" x14ac:dyDescent="0.2">
      <c r="A18" s="413"/>
      <c r="B18" s="477" t="str">
        <f>BillDetLt!B17</f>
        <v>9500 LUMEN-100W-HPS</v>
      </c>
      <c r="C18" s="413"/>
      <c r="D18" s="438">
        <v>89628</v>
      </c>
      <c r="E18" s="439">
        <v>2037</v>
      </c>
      <c r="F18" s="442">
        <v>10.02</v>
      </c>
      <c r="G18" s="413"/>
      <c r="H18" s="443">
        <f t="shared" si="0"/>
        <v>20410.739999999998</v>
      </c>
      <c r="I18" s="416"/>
      <c r="J18" s="413"/>
      <c r="K18" s="438">
        <f t="shared" si="1"/>
        <v>89628</v>
      </c>
      <c r="L18" s="439">
        <f>E18</f>
        <v>2037</v>
      </c>
      <c r="M18" s="442">
        <f t="shared" si="3"/>
        <v>10.02</v>
      </c>
      <c r="N18" s="413"/>
      <c r="O18" s="443">
        <f t="shared" si="2"/>
        <v>20410.739999999998</v>
      </c>
      <c r="P18" s="414"/>
      <c r="Q18" s="430"/>
      <c r="R18" s="428"/>
      <c r="S18" s="440"/>
      <c r="T18" s="441"/>
      <c r="U18" s="414"/>
      <c r="V18" s="429"/>
      <c r="W18" s="415"/>
      <c r="X18" s="414"/>
      <c r="Y18" s="414"/>
      <c r="Z18" s="414"/>
      <c r="AA18" s="428"/>
      <c r="AB18" s="440"/>
      <c r="AC18" s="441"/>
      <c r="AD18" s="414"/>
      <c r="AE18" s="429"/>
    </row>
    <row r="19" spans="1:31" x14ac:dyDescent="0.2">
      <c r="A19" s="413"/>
      <c r="B19" s="477" t="str">
        <f>BillDetLt!B18</f>
        <v>9000 LUMEN-100W METAL HALIDE (MH)</v>
      </c>
      <c r="C19" s="413"/>
      <c r="D19" s="438">
        <v>136248</v>
      </c>
      <c r="E19" s="439">
        <v>3244</v>
      </c>
      <c r="F19" s="442">
        <v>9.4499999999999993</v>
      </c>
      <c r="G19" s="413"/>
      <c r="H19" s="443">
        <f t="shared" si="0"/>
        <v>30655.8</v>
      </c>
      <c r="I19" s="416"/>
      <c r="J19" s="413"/>
      <c r="K19" s="438">
        <f t="shared" si="1"/>
        <v>136248</v>
      </c>
      <c r="L19" s="439">
        <f>E19</f>
        <v>3244</v>
      </c>
      <c r="M19" s="442">
        <f t="shared" si="3"/>
        <v>9.4499999999999993</v>
      </c>
      <c r="N19" s="413"/>
      <c r="O19" s="443">
        <f t="shared" si="2"/>
        <v>30655.8</v>
      </c>
      <c r="Q19" s="430"/>
      <c r="R19" s="428"/>
      <c r="S19" s="440"/>
      <c r="T19" s="441"/>
      <c r="U19" s="414"/>
      <c r="V19" s="429"/>
      <c r="W19" s="415"/>
      <c r="X19" s="414"/>
      <c r="Y19" s="414"/>
      <c r="Z19" s="414"/>
      <c r="AA19" s="428"/>
      <c r="AB19" s="440"/>
      <c r="AC19" s="441"/>
      <c r="AD19" s="414"/>
      <c r="AE19" s="429"/>
    </row>
    <row r="20" spans="1:31" x14ac:dyDescent="0.2">
      <c r="A20" s="413"/>
      <c r="B20" s="477" t="str">
        <f>BillDetLt!B19</f>
        <v>24000 LUMEN-400W METAL HALIDE (MH)</v>
      </c>
      <c r="C20" s="413"/>
      <c r="D20" s="438">
        <v>43056</v>
      </c>
      <c r="E20" s="439">
        <v>276</v>
      </c>
      <c r="F20" s="442">
        <v>20.32</v>
      </c>
      <c r="G20" s="413"/>
      <c r="H20" s="443">
        <f t="shared" si="0"/>
        <v>5608.32</v>
      </c>
      <c r="I20" s="416"/>
      <c r="J20" s="413"/>
      <c r="K20" s="438">
        <f t="shared" si="1"/>
        <v>43056</v>
      </c>
      <c r="L20" s="439">
        <f>E20</f>
        <v>276</v>
      </c>
      <c r="M20" s="442">
        <f t="shared" si="3"/>
        <v>20.32</v>
      </c>
      <c r="N20" s="413"/>
      <c r="O20" s="443">
        <f t="shared" si="2"/>
        <v>5608.32</v>
      </c>
      <c r="Q20" s="430"/>
      <c r="R20" s="428"/>
      <c r="S20" s="440"/>
      <c r="T20" s="441"/>
      <c r="U20" s="414"/>
      <c r="V20" s="429"/>
      <c r="W20" s="415"/>
      <c r="X20" s="414"/>
      <c r="Y20" s="414"/>
      <c r="Z20" s="414"/>
      <c r="AA20" s="428"/>
      <c r="AB20" s="440"/>
      <c r="AC20" s="441"/>
      <c r="AD20" s="414"/>
      <c r="AE20" s="429"/>
    </row>
    <row r="21" spans="1:31" x14ac:dyDescent="0.2">
      <c r="A21" s="413"/>
      <c r="B21" s="236" t="str">
        <f>BillDetLt!B20</f>
        <v>Not available for New Installations after November 2014:</v>
      </c>
      <c r="C21" s="413"/>
      <c r="D21" s="438"/>
      <c r="E21" s="439"/>
      <c r="F21" s="442"/>
      <c r="G21" s="413"/>
      <c r="H21" s="443"/>
      <c r="I21" s="416"/>
      <c r="J21" s="413"/>
      <c r="K21" s="438"/>
      <c r="L21" s="439"/>
      <c r="M21" s="442"/>
      <c r="N21" s="413"/>
      <c r="O21" s="443"/>
      <c r="P21" s="414"/>
      <c r="Q21" s="430"/>
      <c r="R21" s="428"/>
      <c r="S21" s="440"/>
      <c r="T21" s="441"/>
      <c r="U21" s="414"/>
      <c r="V21" s="429"/>
      <c r="W21" s="415"/>
      <c r="X21" s="414"/>
      <c r="Y21" s="414"/>
      <c r="Z21" s="414"/>
      <c r="AA21" s="428"/>
      <c r="AB21" s="440"/>
      <c r="AC21" s="441"/>
      <c r="AD21" s="414"/>
      <c r="AE21" s="429"/>
    </row>
    <row r="22" spans="1:31" x14ac:dyDescent="0.2">
      <c r="A22" s="413"/>
      <c r="B22" s="477" t="str">
        <f>BillDetLt!B21</f>
        <v>20000/27000 LUMEN-200/250W- HPS</v>
      </c>
      <c r="C22" s="413"/>
      <c r="D22" s="438">
        <v>202707</v>
      </c>
      <c r="E22" s="439">
        <v>2007</v>
      </c>
      <c r="F22" s="442">
        <v>15.06</v>
      </c>
      <c r="G22" s="413"/>
      <c r="H22" s="443">
        <f t="shared" si="0"/>
        <v>30225.420000000002</v>
      </c>
      <c r="I22" s="416"/>
      <c r="J22" s="413"/>
      <c r="K22" s="438">
        <f t="shared" si="1"/>
        <v>202707</v>
      </c>
      <c r="L22" s="439">
        <f>E22</f>
        <v>2007</v>
      </c>
      <c r="M22" s="442">
        <f t="shared" si="3"/>
        <v>15.06</v>
      </c>
      <c r="N22" s="413"/>
      <c r="O22" s="443">
        <f t="shared" si="2"/>
        <v>30225.420000000002</v>
      </c>
      <c r="P22" s="414"/>
      <c r="Q22" s="430"/>
      <c r="R22" s="428"/>
      <c r="S22" s="440"/>
      <c r="T22" s="441"/>
      <c r="U22" s="414"/>
      <c r="V22" s="429"/>
      <c r="W22" s="415"/>
      <c r="X22" s="414"/>
      <c r="Y22" s="414"/>
      <c r="Z22" s="414"/>
      <c r="AA22" s="428"/>
      <c r="AB22" s="440"/>
      <c r="AC22" s="441"/>
      <c r="AD22" s="414"/>
      <c r="AE22" s="429"/>
    </row>
    <row r="23" spans="1:31" x14ac:dyDescent="0.2">
      <c r="A23" s="413"/>
      <c r="B23" s="477" t="str">
        <f>BillDetLt!B22</f>
        <v>61000 LUMEN-400W-HPS-FLOOD LGT</v>
      </c>
      <c r="C23" s="413"/>
      <c r="D23" s="438">
        <v>84270</v>
      </c>
      <c r="E23" s="439">
        <v>530</v>
      </c>
      <c r="F23" s="442">
        <v>18.88</v>
      </c>
      <c r="G23" s="413"/>
      <c r="H23" s="443">
        <f t="shared" si="0"/>
        <v>10006.4</v>
      </c>
      <c r="I23" s="416"/>
      <c r="J23" s="413"/>
      <c r="K23" s="438">
        <f t="shared" si="1"/>
        <v>84270</v>
      </c>
      <c r="L23" s="439">
        <f>E23</f>
        <v>530</v>
      </c>
      <c r="M23" s="442">
        <f t="shared" si="3"/>
        <v>18.88</v>
      </c>
      <c r="N23" s="413"/>
      <c r="O23" s="443">
        <f t="shared" si="2"/>
        <v>10006.4</v>
      </c>
      <c r="Q23" s="430"/>
      <c r="R23" s="428"/>
      <c r="S23" s="440"/>
      <c r="T23" s="441"/>
      <c r="U23" s="414"/>
      <c r="V23" s="429"/>
      <c r="W23" s="415"/>
      <c r="X23" s="414"/>
      <c r="Y23" s="414"/>
      <c r="Z23" s="414"/>
      <c r="AA23" s="428"/>
      <c r="AB23" s="440"/>
      <c r="AC23" s="441"/>
      <c r="AD23" s="414"/>
      <c r="AE23" s="429"/>
    </row>
    <row r="24" spans="1:31" x14ac:dyDescent="0.2">
      <c r="A24" s="413"/>
      <c r="B24" s="236" t="str">
        <f>BillDetLt!B23</f>
        <v>Available for New Installations after November 2014:</v>
      </c>
      <c r="C24" s="413"/>
      <c r="D24" s="438"/>
      <c r="E24" s="439"/>
      <c r="F24" s="442"/>
      <c r="G24" s="413"/>
      <c r="H24" s="443"/>
      <c r="I24" s="416"/>
      <c r="J24" s="413"/>
      <c r="K24" s="438"/>
      <c r="L24" s="439"/>
      <c r="M24" s="442"/>
      <c r="N24" s="413"/>
      <c r="O24" s="443"/>
      <c r="Q24" s="430"/>
      <c r="R24" s="428"/>
      <c r="S24" s="440"/>
      <c r="T24" s="441"/>
      <c r="U24" s="414"/>
      <c r="V24" s="429"/>
      <c r="W24" s="415"/>
      <c r="X24" s="414"/>
      <c r="Y24" s="414"/>
      <c r="Z24" s="414"/>
      <c r="AA24" s="428"/>
      <c r="AB24" s="440"/>
      <c r="AC24" s="441"/>
      <c r="AD24" s="414"/>
      <c r="AE24" s="429"/>
    </row>
    <row r="25" spans="1:31" x14ac:dyDescent="0.2">
      <c r="A25" s="413"/>
      <c r="B25" s="477" t="str">
        <f>BillDetLt!B24</f>
        <v>5200 LUMEN-60W-LED NEMA HEAD</v>
      </c>
      <c r="C25" s="413"/>
      <c r="D25" s="438">
        <v>1379805</v>
      </c>
      <c r="E25" s="439">
        <v>65705</v>
      </c>
      <c r="F25" s="442">
        <v>8.56</v>
      </c>
      <c r="G25" s="413"/>
      <c r="H25" s="443">
        <f t="shared" si="0"/>
        <v>562434.80000000005</v>
      </c>
      <c r="I25" s="416"/>
      <c r="J25" s="413"/>
      <c r="K25" s="438">
        <f t="shared" si="1"/>
        <v>1379805</v>
      </c>
      <c r="L25" s="439">
        <f>E25</f>
        <v>65705</v>
      </c>
      <c r="M25" s="442">
        <f t="shared" si="3"/>
        <v>8.56</v>
      </c>
      <c r="N25" s="413"/>
      <c r="O25" s="443">
        <f t="shared" si="2"/>
        <v>562434.80000000005</v>
      </c>
      <c r="P25" s="414"/>
      <c r="Q25" s="430"/>
      <c r="R25" s="428"/>
      <c r="S25" s="440"/>
      <c r="T25" s="441"/>
      <c r="U25" s="414"/>
      <c r="V25" s="429"/>
      <c r="W25" s="415"/>
      <c r="X25" s="414"/>
      <c r="Y25" s="414"/>
      <c r="Z25" s="414"/>
      <c r="AA25" s="428"/>
      <c r="AB25" s="440"/>
      <c r="AC25" s="441"/>
      <c r="AD25" s="414"/>
      <c r="AE25" s="429"/>
    </row>
    <row r="26" spans="1:31" x14ac:dyDescent="0.2">
      <c r="A26" s="413"/>
      <c r="B26" s="477" t="str">
        <f>BillDetLt!B25</f>
        <v>9500 LUMEN-108W-LED MID OUTPUT</v>
      </c>
      <c r="C26" s="413"/>
      <c r="D26" s="438">
        <v>341960.179</v>
      </c>
      <c r="E26" s="439">
        <v>9242.1669999999995</v>
      </c>
      <c r="F26" s="442">
        <v>10.86</v>
      </c>
      <c r="G26" s="413"/>
      <c r="H26" s="443">
        <f t="shared" si="0"/>
        <v>100369.93362</v>
      </c>
      <c r="I26" s="416"/>
      <c r="J26" s="413"/>
      <c r="K26" s="438">
        <f t="shared" si="1"/>
        <v>341960.179</v>
      </c>
      <c r="L26" s="439">
        <f>E26</f>
        <v>9242.1669999999995</v>
      </c>
      <c r="M26" s="442">
        <f t="shared" si="3"/>
        <v>10.86</v>
      </c>
      <c r="N26" s="413"/>
      <c r="O26" s="443">
        <f t="shared" si="2"/>
        <v>100369.93362</v>
      </c>
      <c r="P26" s="414"/>
      <c r="Q26" s="430"/>
      <c r="R26" s="428"/>
      <c r="S26" s="440"/>
      <c r="T26" s="441"/>
      <c r="U26" s="414"/>
      <c r="V26" s="429"/>
      <c r="W26" s="415"/>
      <c r="X26" s="414"/>
      <c r="Y26" s="414"/>
      <c r="Z26" s="414"/>
      <c r="AA26" s="428"/>
      <c r="AB26" s="440"/>
      <c r="AC26" s="441"/>
      <c r="AD26" s="414"/>
      <c r="AE26" s="429"/>
    </row>
    <row r="27" spans="1:31" x14ac:dyDescent="0.2">
      <c r="A27" s="413"/>
      <c r="B27" s="477" t="str">
        <f>BillDetLt!B26</f>
        <v>11000 LUMEN-135W-LED HIGH OUTPUT</v>
      </c>
      <c r="C27" s="413"/>
      <c r="D27" s="438">
        <v>242650</v>
      </c>
      <c r="E27" s="439">
        <v>5275</v>
      </c>
      <c r="F27" s="442">
        <v>13.28</v>
      </c>
      <c r="G27" s="413"/>
      <c r="H27" s="443">
        <f t="shared" si="0"/>
        <v>70052</v>
      </c>
      <c r="I27" s="416"/>
      <c r="J27" s="413"/>
      <c r="K27" s="438">
        <f t="shared" si="1"/>
        <v>242650</v>
      </c>
      <c r="L27" s="439">
        <f>E27</f>
        <v>5275</v>
      </c>
      <c r="M27" s="442">
        <f t="shared" si="3"/>
        <v>13.28</v>
      </c>
      <c r="N27" s="413"/>
      <c r="O27" s="443">
        <f t="shared" si="2"/>
        <v>70052</v>
      </c>
      <c r="Q27" s="430"/>
      <c r="R27" s="428"/>
      <c r="S27" s="440"/>
      <c r="T27" s="441"/>
      <c r="U27" s="414"/>
      <c r="V27" s="429"/>
      <c r="W27" s="415"/>
      <c r="X27" s="414"/>
      <c r="Y27" s="414"/>
      <c r="Z27" s="414"/>
      <c r="AA27" s="428"/>
      <c r="AB27" s="440"/>
      <c r="AC27" s="441"/>
      <c r="AD27" s="414"/>
      <c r="AE27" s="429"/>
    </row>
    <row r="28" spans="1:31" x14ac:dyDescent="0.2">
      <c r="A28" s="413"/>
      <c r="B28" s="236" t="str">
        <f>BillDetLt!B27</f>
        <v>Tariff sheet 15A</v>
      </c>
      <c r="C28" s="413"/>
      <c r="D28" s="438"/>
      <c r="E28" s="439"/>
      <c r="F28" s="442"/>
      <c r="G28" s="413"/>
      <c r="H28" s="443"/>
      <c r="I28" s="416"/>
      <c r="J28" s="413"/>
      <c r="K28" s="438"/>
      <c r="L28" s="439"/>
      <c r="M28" s="442"/>
      <c r="N28" s="413"/>
      <c r="O28" s="443"/>
      <c r="Q28" s="430"/>
      <c r="R28" s="428"/>
      <c r="S28" s="440"/>
      <c r="T28" s="441"/>
      <c r="U28" s="414"/>
      <c r="V28" s="429"/>
      <c r="W28" s="415"/>
      <c r="X28" s="414"/>
      <c r="Y28" s="414"/>
      <c r="Z28" s="414"/>
      <c r="AA28" s="428"/>
      <c r="AB28" s="440"/>
      <c r="AC28" s="441"/>
      <c r="AD28" s="414"/>
      <c r="AE28" s="429"/>
    </row>
    <row r="29" spans="1:31" x14ac:dyDescent="0.2">
      <c r="A29" s="413"/>
      <c r="B29" s="236" t="str">
        <f>BillDetLt!B28</f>
        <v>Commercial and Industrial Lighting</v>
      </c>
      <c r="C29" s="413"/>
      <c r="D29" s="438"/>
      <c r="E29" s="439"/>
      <c r="F29" s="442"/>
      <c r="G29" s="413"/>
      <c r="H29" s="443"/>
      <c r="I29" s="416"/>
      <c r="J29" s="413"/>
      <c r="K29" s="438"/>
      <c r="L29" s="439"/>
      <c r="M29" s="442"/>
      <c r="N29" s="413"/>
      <c r="O29" s="443"/>
      <c r="P29" s="414"/>
      <c r="Q29" s="430"/>
      <c r="R29" s="428"/>
      <c r="S29" s="440"/>
      <c r="T29" s="441"/>
      <c r="U29" s="414"/>
      <c r="V29" s="429"/>
      <c r="W29" s="415"/>
      <c r="X29" s="414"/>
      <c r="Y29" s="414"/>
      <c r="Z29" s="414"/>
      <c r="AA29" s="428"/>
      <c r="AB29" s="440"/>
      <c r="AC29" s="441"/>
      <c r="AD29" s="414"/>
      <c r="AE29" s="429"/>
    </row>
    <row r="30" spans="1:31" x14ac:dyDescent="0.2">
      <c r="A30" s="413"/>
      <c r="B30" s="236" t="str">
        <f>BillDetLt!B29</f>
        <v>Available for New Installations after November 2014:</v>
      </c>
      <c r="C30" s="413"/>
      <c r="D30" s="438"/>
      <c r="E30" s="439"/>
      <c r="F30" s="442"/>
      <c r="G30" s="413"/>
      <c r="H30" s="443"/>
      <c r="I30" s="416"/>
      <c r="J30" s="413"/>
      <c r="K30" s="438"/>
      <c r="L30" s="439"/>
      <c r="M30" s="442"/>
      <c r="N30" s="413"/>
      <c r="O30" s="443"/>
      <c r="P30" s="414"/>
      <c r="Q30" s="430"/>
      <c r="R30" s="428"/>
      <c r="S30" s="440"/>
      <c r="T30" s="441"/>
      <c r="U30" s="414"/>
      <c r="V30" s="429"/>
      <c r="W30" s="415"/>
      <c r="X30" s="414"/>
      <c r="Y30" s="414"/>
      <c r="Z30" s="414"/>
      <c r="AA30" s="428"/>
      <c r="AB30" s="440"/>
      <c r="AC30" s="441"/>
      <c r="AD30" s="414"/>
      <c r="AE30" s="429"/>
    </row>
    <row r="31" spans="1:31" x14ac:dyDescent="0.2">
      <c r="A31" s="413"/>
      <c r="B31" s="236" t="str">
        <f>BillDetLt!B30</f>
        <v>Flood Lighting Fixture</v>
      </c>
      <c r="C31" s="413"/>
      <c r="D31" s="438"/>
      <c r="E31" s="439"/>
      <c r="F31" s="442"/>
      <c r="G31" s="413"/>
      <c r="H31" s="443"/>
      <c r="I31" s="416"/>
      <c r="J31" s="413"/>
      <c r="K31" s="438"/>
      <c r="L31" s="439"/>
      <c r="M31" s="442"/>
      <c r="N31" s="413"/>
      <c r="O31" s="443"/>
      <c r="Q31" s="430"/>
      <c r="R31" s="428"/>
      <c r="S31" s="440"/>
      <c r="T31" s="441"/>
      <c r="U31" s="414"/>
      <c r="V31" s="429"/>
      <c r="W31" s="415"/>
      <c r="X31" s="414"/>
      <c r="Y31" s="414"/>
      <c r="Z31" s="414"/>
      <c r="AA31" s="428"/>
      <c r="AB31" s="440"/>
      <c r="AC31" s="441"/>
      <c r="AD31" s="414"/>
      <c r="AE31" s="429"/>
    </row>
    <row r="32" spans="1:31" x14ac:dyDescent="0.2">
      <c r="A32" s="413"/>
      <c r="B32" s="477" t="str">
        <f>BillDetLt!B31</f>
        <v>18500 LUMEN 192W-LED FLOOD</v>
      </c>
      <c r="C32" s="413"/>
      <c r="D32" s="438">
        <v>292446</v>
      </c>
      <c r="E32" s="439">
        <v>4431</v>
      </c>
      <c r="F32" s="442">
        <v>17.260000000000002</v>
      </c>
      <c r="G32" s="413"/>
      <c r="H32" s="443">
        <f t="shared" si="0"/>
        <v>76479.060000000012</v>
      </c>
      <c r="I32" s="416"/>
      <c r="J32" s="413"/>
      <c r="K32" s="438">
        <f t="shared" si="1"/>
        <v>292446</v>
      </c>
      <c r="L32" s="439">
        <f>E32</f>
        <v>4431</v>
      </c>
      <c r="M32" s="442">
        <f t="shared" si="3"/>
        <v>17.260000000000002</v>
      </c>
      <c r="N32" s="413"/>
      <c r="O32" s="443">
        <f t="shared" si="2"/>
        <v>76479.060000000012</v>
      </c>
      <c r="Q32" s="430"/>
      <c r="R32" s="428"/>
      <c r="S32" s="440"/>
      <c r="T32" s="441"/>
      <c r="U32" s="414"/>
      <c r="V32" s="429"/>
      <c r="W32" s="415"/>
      <c r="X32" s="414"/>
      <c r="Y32" s="414"/>
      <c r="Z32" s="414"/>
      <c r="AA32" s="428"/>
      <c r="AB32" s="440"/>
      <c r="AC32" s="441"/>
      <c r="AD32" s="414"/>
      <c r="AE32" s="429"/>
    </row>
    <row r="33" spans="1:31" x14ac:dyDescent="0.2">
      <c r="A33" s="413"/>
      <c r="B33" s="236" t="str">
        <f>BillDetLt!B32</f>
        <v>Not available for New Installations after December 1, 2012:</v>
      </c>
      <c r="C33" s="413"/>
      <c r="D33" s="438"/>
      <c r="E33" s="439"/>
      <c r="F33" s="442"/>
      <c r="G33" s="413"/>
      <c r="H33" s="443"/>
      <c r="I33" s="416"/>
      <c r="J33" s="413"/>
      <c r="K33" s="438"/>
      <c r="L33" s="439"/>
      <c r="M33" s="442"/>
      <c r="N33" s="413"/>
      <c r="O33" s="443"/>
      <c r="P33" s="414"/>
      <c r="Q33" s="430"/>
      <c r="R33" s="428"/>
      <c r="S33" s="440"/>
      <c r="T33" s="441"/>
      <c r="U33" s="414"/>
      <c r="V33" s="429"/>
      <c r="W33" s="415"/>
      <c r="X33" s="414"/>
      <c r="Y33" s="414"/>
      <c r="Z33" s="414"/>
      <c r="AA33" s="428"/>
      <c r="AB33" s="440"/>
      <c r="AC33" s="441"/>
      <c r="AD33" s="414"/>
      <c r="AE33" s="429"/>
    </row>
    <row r="34" spans="1:31" x14ac:dyDescent="0.2">
      <c r="A34" s="413"/>
      <c r="B34" s="477" t="str">
        <f>BillDetLt!B33</f>
        <v>28000 LUMEN HPS-250W-FLOOD LGT</v>
      </c>
      <c r="C34" s="413"/>
      <c r="D34" s="438">
        <v>85387</v>
      </c>
      <c r="E34" s="439">
        <v>829</v>
      </c>
      <c r="F34" s="442">
        <v>14.6</v>
      </c>
      <c r="G34" s="413"/>
      <c r="H34" s="443">
        <f t="shared" si="0"/>
        <v>12103.4</v>
      </c>
      <c r="I34" s="416"/>
      <c r="J34" s="413"/>
      <c r="K34" s="438">
        <f t="shared" si="1"/>
        <v>85387</v>
      </c>
      <c r="L34" s="439">
        <f t="shared" ref="L34:L39" si="4">E34</f>
        <v>829</v>
      </c>
      <c r="M34" s="442">
        <f t="shared" si="3"/>
        <v>14.6</v>
      </c>
      <c r="N34" s="413"/>
      <c r="O34" s="443">
        <f t="shared" si="2"/>
        <v>12103.4</v>
      </c>
      <c r="P34" s="414"/>
      <c r="Q34" s="430"/>
      <c r="R34" s="428"/>
      <c r="S34" s="440"/>
      <c r="T34" s="441"/>
      <c r="U34" s="414"/>
      <c r="V34" s="429"/>
      <c r="W34" s="415"/>
      <c r="X34" s="414"/>
      <c r="Y34" s="414"/>
      <c r="Z34" s="414"/>
      <c r="AA34" s="428"/>
      <c r="AB34" s="440"/>
      <c r="AC34" s="441"/>
      <c r="AD34" s="414"/>
      <c r="AE34" s="429"/>
    </row>
    <row r="35" spans="1:31" x14ac:dyDescent="0.2">
      <c r="A35" s="413"/>
      <c r="B35" s="477" t="str">
        <f>BillDetLt!B34</f>
        <v>61000 LUMEN-400W-HPS-FLOOD LGT</v>
      </c>
      <c r="C35" s="413"/>
      <c r="D35" s="438">
        <v>97920</v>
      </c>
      <c r="E35" s="439">
        <v>612</v>
      </c>
      <c r="F35" s="442">
        <v>18.88</v>
      </c>
      <c r="G35" s="413"/>
      <c r="H35" s="443">
        <f t="shared" si="0"/>
        <v>11554.56</v>
      </c>
      <c r="I35" s="416"/>
      <c r="J35" s="413"/>
      <c r="K35" s="438">
        <f t="shared" si="1"/>
        <v>97920</v>
      </c>
      <c r="L35" s="439">
        <f t="shared" si="4"/>
        <v>612</v>
      </c>
      <c r="M35" s="442">
        <f t="shared" si="3"/>
        <v>18.88</v>
      </c>
      <c r="N35" s="413"/>
      <c r="O35" s="443">
        <f t="shared" si="2"/>
        <v>11554.56</v>
      </c>
      <c r="Q35" s="430"/>
      <c r="R35" s="428"/>
      <c r="S35" s="440"/>
      <c r="T35" s="441"/>
      <c r="U35" s="414"/>
      <c r="V35" s="429"/>
      <c r="W35" s="415"/>
      <c r="X35" s="414"/>
      <c r="Y35" s="414"/>
      <c r="Z35" s="414"/>
      <c r="AA35" s="428"/>
      <c r="AB35" s="440"/>
      <c r="AC35" s="441"/>
      <c r="AD35" s="414"/>
      <c r="AE35" s="429"/>
    </row>
    <row r="36" spans="1:31" x14ac:dyDescent="0.2">
      <c r="A36" s="413"/>
      <c r="B36" s="477" t="str">
        <f>BillDetLt!B35</f>
        <v>140000 LUM-1000W-HPS-FLOOD LGT</v>
      </c>
      <c r="C36" s="413"/>
      <c r="D36" s="438">
        <v>4524</v>
      </c>
      <c r="E36" s="439">
        <v>12</v>
      </c>
      <c r="F36" s="442">
        <v>41.78</v>
      </c>
      <c r="G36" s="413"/>
      <c r="H36" s="443">
        <f t="shared" si="0"/>
        <v>501.36</v>
      </c>
      <c r="I36" s="416"/>
      <c r="J36" s="413"/>
      <c r="K36" s="438">
        <f t="shared" si="1"/>
        <v>4524</v>
      </c>
      <c r="L36" s="439">
        <f t="shared" si="4"/>
        <v>12</v>
      </c>
      <c r="M36" s="442">
        <f t="shared" si="3"/>
        <v>41.78</v>
      </c>
      <c r="N36" s="413"/>
      <c r="O36" s="443">
        <f t="shared" si="2"/>
        <v>501.36</v>
      </c>
      <c r="Q36" s="430"/>
      <c r="R36" s="428"/>
      <c r="S36" s="440"/>
      <c r="T36" s="441"/>
      <c r="U36" s="414"/>
      <c r="V36" s="429"/>
      <c r="W36" s="415"/>
      <c r="X36" s="414"/>
      <c r="Y36" s="414"/>
      <c r="Z36" s="414"/>
      <c r="AA36" s="428"/>
      <c r="AB36" s="440"/>
      <c r="AC36" s="441"/>
      <c r="AD36" s="414"/>
      <c r="AE36" s="429"/>
    </row>
    <row r="37" spans="1:31" x14ac:dyDescent="0.2">
      <c r="A37" s="413"/>
      <c r="B37" s="477" t="str">
        <f>BillDetLt!B36</f>
        <v>19500 LUMEN-250W-MH-FLOOD LGT</v>
      </c>
      <c r="C37" s="413"/>
      <c r="D37" s="438">
        <v>19110</v>
      </c>
      <c r="E37" s="439">
        <v>195</v>
      </c>
      <c r="F37" s="442">
        <v>13.97</v>
      </c>
      <c r="G37" s="413"/>
      <c r="H37" s="443">
        <f t="shared" si="0"/>
        <v>2724.15</v>
      </c>
      <c r="I37" s="416"/>
      <c r="J37" s="413"/>
      <c r="K37" s="438">
        <f t="shared" si="1"/>
        <v>19110</v>
      </c>
      <c r="L37" s="439">
        <f t="shared" si="4"/>
        <v>195</v>
      </c>
      <c r="M37" s="442">
        <f t="shared" si="3"/>
        <v>13.97</v>
      </c>
      <c r="N37" s="413"/>
      <c r="O37" s="443">
        <f t="shared" si="2"/>
        <v>2724.15</v>
      </c>
      <c r="P37" s="414"/>
      <c r="Q37" s="430"/>
      <c r="R37" s="428"/>
      <c r="S37" s="440"/>
      <c r="T37" s="441"/>
      <c r="U37" s="414"/>
      <c r="V37" s="429"/>
      <c r="W37" s="415"/>
      <c r="X37" s="414"/>
      <c r="Y37" s="414"/>
      <c r="Z37" s="414"/>
      <c r="AA37" s="428"/>
      <c r="AB37" s="440"/>
      <c r="AC37" s="441"/>
      <c r="AD37" s="414"/>
      <c r="AE37" s="429"/>
    </row>
    <row r="38" spans="1:31" x14ac:dyDescent="0.2">
      <c r="A38" s="413"/>
      <c r="B38" s="477" t="str">
        <f>BillDetLt!B37</f>
        <v>32000 LUMEN-400W-MH-FLOOD LGT</v>
      </c>
      <c r="C38" s="413"/>
      <c r="D38" s="438">
        <v>104832</v>
      </c>
      <c r="E38" s="439">
        <v>672</v>
      </c>
      <c r="F38" s="442">
        <v>18.8</v>
      </c>
      <c r="G38" s="413"/>
      <c r="H38" s="443">
        <f t="shared" si="0"/>
        <v>12633.6</v>
      </c>
      <c r="I38" s="416"/>
      <c r="J38" s="413"/>
      <c r="K38" s="438">
        <f t="shared" si="1"/>
        <v>104832</v>
      </c>
      <c r="L38" s="439">
        <f t="shared" si="4"/>
        <v>672</v>
      </c>
      <c r="M38" s="442">
        <f t="shared" si="3"/>
        <v>18.8</v>
      </c>
      <c r="N38" s="413"/>
      <c r="O38" s="443">
        <f t="shared" si="2"/>
        <v>12633.6</v>
      </c>
      <c r="P38" s="414"/>
      <c r="Q38" s="430"/>
      <c r="R38" s="428"/>
      <c r="S38" s="440"/>
      <c r="T38" s="441"/>
      <c r="U38" s="414"/>
      <c r="V38" s="429"/>
      <c r="W38" s="415"/>
      <c r="X38" s="414"/>
      <c r="Y38" s="414"/>
      <c r="Z38" s="414"/>
      <c r="AA38" s="428"/>
      <c r="AB38" s="440"/>
      <c r="AC38" s="441"/>
      <c r="AD38" s="414"/>
      <c r="AE38" s="429"/>
    </row>
    <row r="39" spans="1:31" x14ac:dyDescent="0.2">
      <c r="A39" s="413"/>
      <c r="B39" s="477" t="str">
        <f>BillDetLt!B38</f>
        <v>107000 LUM-1000W-MH-FLOOD LGT</v>
      </c>
      <c r="C39" s="413"/>
      <c r="D39" s="438">
        <v>92504</v>
      </c>
      <c r="E39" s="439">
        <v>248</v>
      </c>
      <c r="F39" s="442">
        <v>41.16</v>
      </c>
      <c r="G39" s="413"/>
      <c r="H39" s="443">
        <f t="shared" si="0"/>
        <v>10207.679999999998</v>
      </c>
      <c r="I39" s="416"/>
      <c r="J39" s="413"/>
      <c r="K39" s="438">
        <f t="shared" si="1"/>
        <v>92504</v>
      </c>
      <c r="L39" s="439">
        <f t="shared" si="4"/>
        <v>248</v>
      </c>
      <c r="M39" s="442">
        <f t="shared" si="3"/>
        <v>41.16</v>
      </c>
      <c r="N39" s="413"/>
      <c r="O39" s="443">
        <f t="shared" si="2"/>
        <v>10207.679999999998</v>
      </c>
      <c r="Q39" s="430"/>
      <c r="R39" s="428"/>
      <c r="S39" s="440"/>
      <c r="T39" s="441"/>
      <c r="U39" s="414"/>
      <c r="V39" s="429"/>
      <c r="W39" s="415"/>
      <c r="X39" s="414"/>
      <c r="Y39" s="414"/>
      <c r="Z39" s="414"/>
      <c r="AA39" s="428"/>
      <c r="AB39" s="440"/>
      <c r="AC39" s="441"/>
      <c r="AD39" s="414"/>
      <c r="AE39" s="429"/>
    </row>
    <row r="40" spans="1:31" x14ac:dyDescent="0.2">
      <c r="A40" s="413"/>
      <c r="B40" s="236" t="str">
        <f>BillDetLt!B39</f>
        <v>Not Available for New Installations after April 1 , 2011:</v>
      </c>
      <c r="C40" s="413"/>
      <c r="D40" s="438"/>
      <c r="E40" s="439"/>
      <c r="F40" s="442"/>
      <c r="G40" s="413"/>
      <c r="H40" s="443"/>
      <c r="I40" s="416"/>
      <c r="J40" s="413"/>
      <c r="K40" s="438"/>
      <c r="L40" s="439"/>
      <c r="M40" s="442"/>
      <c r="N40" s="413"/>
      <c r="O40" s="443"/>
      <c r="Q40" s="430"/>
      <c r="R40" s="428"/>
      <c r="S40" s="440"/>
      <c r="T40" s="441"/>
      <c r="U40" s="414"/>
      <c r="V40" s="429"/>
      <c r="W40" s="415"/>
      <c r="X40" s="414"/>
      <c r="Y40" s="414"/>
      <c r="Z40" s="414"/>
      <c r="AA40" s="428"/>
      <c r="AB40" s="440"/>
      <c r="AC40" s="441"/>
      <c r="AD40" s="414"/>
      <c r="AE40" s="429"/>
    </row>
    <row r="41" spans="1:31" x14ac:dyDescent="0.2">
      <c r="A41" s="413"/>
      <c r="B41" s="478" t="str">
        <f>BillDetLt!B40</f>
        <v>Contemporary(Shoebox)</v>
      </c>
      <c r="C41" s="413"/>
      <c r="D41" s="438"/>
      <c r="E41" s="439"/>
      <c r="F41" s="442"/>
      <c r="G41" s="413"/>
      <c r="H41" s="443"/>
      <c r="I41" s="416"/>
      <c r="J41" s="413"/>
      <c r="K41" s="438"/>
      <c r="L41" s="439"/>
      <c r="M41" s="442"/>
      <c r="N41" s="413"/>
      <c r="O41" s="443"/>
      <c r="P41" s="414"/>
      <c r="Q41" s="430"/>
      <c r="R41" s="428"/>
      <c r="S41" s="440"/>
      <c r="T41" s="441"/>
      <c r="U41" s="414"/>
      <c r="V41" s="429"/>
      <c r="W41" s="415"/>
      <c r="X41" s="414"/>
      <c r="Y41" s="414"/>
      <c r="Z41" s="414"/>
      <c r="AA41" s="428"/>
      <c r="AB41" s="440"/>
      <c r="AC41" s="441"/>
      <c r="AD41" s="414"/>
      <c r="AE41" s="429"/>
    </row>
    <row r="42" spans="1:31" x14ac:dyDescent="0.2">
      <c r="A42" s="413"/>
      <c r="B42" s="477" t="str">
        <f>BillDetLt!B41</f>
        <v>28000 LUMEN-250W-HPS SHOEBOX</v>
      </c>
      <c r="C42" s="413"/>
      <c r="D42" s="438">
        <v>3708</v>
      </c>
      <c r="E42" s="439">
        <v>36</v>
      </c>
      <c r="F42" s="442">
        <v>15.96</v>
      </c>
      <c r="G42" s="413"/>
      <c r="H42" s="443">
        <f t="shared" si="0"/>
        <v>574.56000000000006</v>
      </c>
      <c r="I42" s="416"/>
      <c r="J42" s="413"/>
      <c r="K42" s="438">
        <f t="shared" si="1"/>
        <v>3708</v>
      </c>
      <c r="L42" s="439">
        <f t="shared" ref="L42:L47" si="5">E42</f>
        <v>36</v>
      </c>
      <c r="M42" s="442">
        <f t="shared" si="3"/>
        <v>15.96</v>
      </c>
      <c r="N42" s="413"/>
      <c r="O42" s="443">
        <f t="shared" si="2"/>
        <v>574.56000000000006</v>
      </c>
      <c r="P42" s="414"/>
      <c r="Q42" s="430"/>
      <c r="R42" s="428"/>
      <c r="S42" s="440"/>
      <c r="T42" s="441"/>
      <c r="U42" s="414"/>
      <c r="V42" s="429"/>
      <c r="W42" s="415"/>
      <c r="X42" s="414"/>
      <c r="Y42" s="414"/>
      <c r="Z42" s="414"/>
      <c r="AA42" s="428"/>
      <c r="AB42" s="440"/>
      <c r="AC42" s="441"/>
      <c r="AD42" s="414"/>
      <c r="AE42" s="429"/>
    </row>
    <row r="43" spans="1:31" x14ac:dyDescent="0.2">
      <c r="A43" s="413"/>
      <c r="B43" s="477" t="str">
        <f>BillDetLt!B42</f>
        <v>61000 LUMEN-400W-HPS SHOEBOX</v>
      </c>
      <c r="C43" s="413"/>
      <c r="D43" s="438">
        <v>3840</v>
      </c>
      <c r="E43" s="439">
        <v>24</v>
      </c>
      <c r="F43" s="442">
        <v>20.9</v>
      </c>
      <c r="G43" s="413"/>
      <c r="H43" s="443">
        <f t="shared" si="0"/>
        <v>501.59999999999997</v>
      </c>
      <c r="I43" s="416"/>
      <c r="J43" s="413"/>
      <c r="K43" s="438">
        <f t="shared" si="1"/>
        <v>3840</v>
      </c>
      <c r="L43" s="439">
        <f t="shared" si="5"/>
        <v>24</v>
      </c>
      <c r="M43" s="442">
        <f t="shared" si="3"/>
        <v>20.9</v>
      </c>
      <c r="N43" s="413"/>
      <c r="O43" s="443">
        <f t="shared" si="2"/>
        <v>501.59999999999997</v>
      </c>
      <c r="Q43" s="430"/>
      <c r="R43" s="428"/>
      <c r="S43" s="440"/>
      <c r="T43" s="441"/>
      <c r="U43" s="414"/>
      <c r="V43" s="429"/>
      <c r="W43" s="415"/>
      <c r="X43" s="414"/>
      <c r="Y43" s="414"/>
      <c r="Z43" s="414"/>
      <c r="AA43" s="428"/>
      <c r="AB43" s="440"/>
      <c r="AC43" s="441"/>
      <c r="AD43" s="414"/>
      <c r="AE43" s="429"/>
    </row>
    <row r="44" spans="1:31" x14ac:dyDescent="0.2">
      <c r="A44" s="413"/>
      <c r="B44" s="477" t="str">
        <f>BillDetLt!B43</f>
        <v>140000 LUMENS-1000W-HPS SHOEBOX</v>
      </c>
      <c r="C44" s="413"/>
      <c r="D44" s="438">
        <v>0</v>
      </c>
      <c r="E44" s="439">
        <v>0</v>
      </c>
      <c r="F44" s="442">
        <v>41.98</v>
      </c>
      <c r="G44" s="413"/>
      <c r="H44" s="443">
        <f t="shared" si="0"/>
        <v>0</v>
      </c>
      <c r="I44" s="416"/>
      <c r="J44" s="413"/>
      <c r="K44" s="438">
        <f t="shared" si="1"/>
        <v>0</v>
      </c>
      <c r="L44" s="439">
        <f t="shared" si="5"/>
        <v>0</v>
      </c>
      <c r="M44" s="442">
        <f t="shared" si="3"/>
        <v>41.98</v>
      </c>
      <c r="N44" s="413"/>
      <c r="O44" s="443">
        <f t="shared" si="2"/>
        <v>0</v>
      </c>
      <c r="Q44" s="430"/>
      <c r="R44" s="428"/>
      <c r="S44" s="440"/>
      <c r="T44" s="441"/>
      <c r="U44" s="414"/>
      <c r="V44" s="429"/>
      <c r="W44" s="415"/>
      <c r="X44" s="414"/>
      <c r="Y44" s="414"/>
      <c r="Z44" s="414"/>
      <c r="AA44" s="428"/>
      <c r="AB44" s="440"/>
      <c r="AC44" s="441"/>
      <c r="AD44" s="414"/>
      <c r="AE44" s="429"/>
    </row>
    <row r="45" spans="1:31" x14ac:dyDescent="0.2">
      <c r="A45" s="413"/>
      <c r="B45" s="477" t="str">
        <f>BillDetLt!B44</f>
        <v>19500 LUMEN-250W-MH SHOEBOX</v>
      </c>
      <c r="C45" s="413"/>
      <c r="D45" s="438">
        <v>0</v>
      </c>
      <c r="E45" s="439">
        <v>0</v>
      </c>
      <c r="F45" s="442">
        <v>15.79</v>
      </c>
      <c r="G45" s="413"/>
      <c r="H45" s="443">
        <f t="shared" si="0"/>
        <v>0</v>
      </c>
      <c r="I45" s="416"/>
      <c r="J45" s="413"/>
      <c r="K45" s="438">
        <f t="shared" si="1"/>
        <v>0</v>
      </c>
      <c r="L45" s="439">
        <f t="shared" si="5"/>
        <v>0</v>
      </c>
      <c r="M45" s="442">
        <f t="shared" si="3"/>
        <v>15.79</v>
      </c>
      <c r="N45" s="413"/>
      <c r="O45" s="443">
        <f t="shared" si="2"/>
        <v>0</v>
      </c>
      <c r="P45" s="414"/>
      <c r="Q45" s="430"/>
      <c r="R45" s="428"/>
      <c r="S45" s="440"/>
      <c r="T45" s="441"/>
      <c r="U45" s="414"/>
      <c r="V45" s="429"/>
      <c r="W45" s="415"/>
      <c r="X45" s="414"/>
      <c r="Y45" s="414"/>
      <c r="Z45" s="414"/>
      <c r="AA45" s="428"/>
      <c r="AB45" s="440"/>
      <c r="AC45" s="441"/>
      <c r="AD45" s="414"/>
      <c r="AE45" s="429"/>
    </row>
    <row r="46" spans="1:31" x14ac:dyDescent="0.2">
      <c r="A46" s="413"/>
      <c r="B46" s="477" t="str">
        <f>BillDetLt!B45</f>
        <v>32000 LUMENS-400W-MH SHOEBOX</v>
      </c>
      <c r="C46" s="413"/>
      <c r="D46" s="438">
        <v>17628</v>
      </c>
      <c r="E46" s="439">
        <v>113</v>
      </c>
      <c r="F46" s="442">
        <v>20.49</v>
      </c>
      <c r="G46" s="413"/>
      <c r="H46" s="443">
        <f t="shared" si="0"/>
        <v>2315.37</v>
      </c>
      <c r="I46" s="416"/>
      <c r="J46" s="413"/>
      <c r="K46" s="438">
        <f t="shared" si="1"/>
        <v>17628</v>
      </c>
      <c r="L46" s="439">
        <f t="shared" si="5"/>
        <v>113</v>
      </c>
      <c r="M46" s="442">
        <f t="shared" si="3"/>
        <v>20.49</v>
      </c>
      <c r="N46" s="413"/>
      <c r="O46" s="443">
        <f t="shared" si="2"/>
        <v>2315.37</v>
      </c>
      <c r="P46" s="414"/>
      <c r="Q46" s="430"/>
      <c r="R46" s="428"/>
      <c r="S46" s="440"/>
      <c r="T46" s="441"/>
      <c r="U46" s="414"/>
      <c r="V46" s="429"/>
      <c r="W46" s="415"/>
      <c r="X46" s="414"/>
      <c r="Y46" s="414"/>
      <c r="Z46" s="414"/>
      <c r="AA46" s="428"/>
      <c r="AB46" s="440"/>
      <c r="AC46" s="441"/>
      <c r="AD46" s="414"/>
      <c r="AE46" s="429"/>
    </row>
    <row r="47" spans="1:31" x14ac:dyDescent="0.2">
      <c r="A47" s="413"/>
      <c r="B47" s="477" t="str">
        <f>BillDetLt!B46</f>
        <v>107000 LUMENS-1000W-MH SHOEBOX</v>
      </c>
      <c r="C47" s="413"/>
      <c r="D47" s="438">
        <v>4476</v>
      </c>
      <c r="E47" s="439">
        <v>12</v>
      </c>
      <c r="F47" s="442">
        <v>43.47</v>
      </c>
      <c r="G47" s="413"/>
      <c r="H47" s="443">
        <f t="shared" si="0"/>
        <v>521.64</v>
      </c>
      <c r="I47" s="416"/>
      <c r="J47" s="413"/>
      <c r="K47" s="438">
        <f t="shared" si="1"/>
        <v>4476</v>
      </c>
      <c r="L47" s="439">
        <f t="shared" si="5"/>
        <v>12</v>
      </c>
      <c r="M47" s="442">
        <f t="shared" si="3"/>
        <v>43.47</v>
      </c>
      <c r="N47" s="413"/>
      <c r="O47" s="443">
        <f t="shared" si="2"/>
        <v>521.64</v>
      </c>
      <c r="Q47" s="430"/>
      <c r="R47" s="428"/>
      <c r="S47" s="440"/>
      <c r="T47" s="441"/>
      <c r="U47" s="414"/>
      <c r="V47" s="429"/>
      <c r="W47" s="415"/>
      <c r="X47" s="414"/>
      <c r="Y47" s="414"/>
      <c r="Z47" s="414"/>
      <c r="AA47" s="428"/>
      <c r="AB47" s="440"/>
      <c r="AC47" s="441"/>
      <c r="AD47" s="414"/>
      <c r="AE47" s="429"/>
    </row>
    <row r="48" spans="1:31" x14ac:dyDescent="0.2">
      <c r="A48" s="413"/>
      <c r="B48" s="236" t="str">
        <f>BillDetLt!B47</f>
        <v>Not Available for New Installations after April 1 , 2011:</v>
      </c>
      <c r="C48" s="413"/>
      <c r="D48" s="438"/>
      <c r="E48" s="439"/>
      <c r="F48" s="442"/>
      <c r="G48" s="413"/>
      <c r="H48" s="443"/>
      <c r="I48" s="416"/>
      <c r="J48" s="413"/>
      <c r="K48" s="438"/>
      <c r="L48" s="439"/>
      <c r="M48" s="442"/>
      <c r="N48" s="413"/>
      <c r="O48" s="443"/>
      <c r="Q48" s="430"/>
      <c r="R48" s="428"/>
      <c r="S48" s="440"/>
      <c r="T48" s="441"/>
      <c r="U48" s="414"/>
      <c r="V48" s="429"/>
      <c r="W48" s="415"/>
      <c r="X48" s="414"/>
      <c r="Y48" s="414"/>
      <c r="Z48" s="414"/>
      <c r="AA48" s="428"/>
      <c r="AB48" s="440"/>
      <c r="AC48" s="441"/>
      <c r="AD48" s="414"/>
      <c r="AE48" s="429"/>
    </row>
    <row r="49" spans="1:31" x14ac:dyDescent="0.2">
      <c r="A49" s="413"/>
      <c r="B49" s="236" t="str">
        <f>BillDetLt!B48</f>
        <v>Decorative Lighting</v>
      </c>
      <c r="C49" s="413"/>
      <c r="D49" s="438"/>
      <c r="E49" s="439"/>
      <c r="F49" s="442"/>
      <c r="G49" s="413"/>
      <c r="H49" s="443"/>
      <c r="I49" s="416"/>
      <c r="J49" s="413"/>
      <c r="K49" s="438"/>
      <c r="L49" s="439"/>
      <c r="M49" s="442"/>
      <c r="N49" s="413"/>
      <c r="O49" s="443"/>
      <c r="P49" s="414"/>
      <c r="Q49" s="430"/>
      <c r="R49" s="428"/>
      <c r="S49" s="440"/>
      <c r="T49" s="441"/>
      <c r="U49" s="414"/>
      <c r="V49" s="429"/>
      <c r="W49" s="415"/>
      <c r="X49" s="414"/>
      <c r="Y49" s="414"/>
      <c r="Z49" s="414"/>
      <c r="AA49" s="428"/>
      <c r="AB49" s="440"/>
      <c r="AC49" s="441"/>
      <c r="AD49" s="414"/>
      <c r="AE49" s="429"/>
    </row>
    <row r="50" spans="1:31" x14ac:dyDescent="0.2">
      <c r="A50" s="413"/>
      <c r="B50" s="477" t="str">
        <f>BillDetLt!B49</f>
        <v>9000 LUM-100W-MH ACORN GLOBE</v>
      </c>
      <c r="C50" s="413"/>
      <c r="D50" s="438">
        <v>5040</v>
      </c>
      <c r="E50" s="439">
        <v>120</v>
      </c>
      <c r="F50" s="442">
        <v>13.73</v>
      </c>
      <c r="G50" s="413"/>
      <c r="H50" s="443">
        <f t="shared" si="0"/>
        <v>1647.6000000000001</v>
      </c>
      <c r="I50" s="416"/>
      <c r="J50" s="413"/>
      <c r="K50" s="438">
        <f t="shared" si="1"/>
        <v>5040</v>
      </c>
      <c r="L50" s="439">
        <f t="shared" ref="L50:L55" si="6">E50</f>
        <v>120</v>
      </c>
      <c r="M50" s="442">
        <f t="shared" si="3"/>
        <v>13.73</v>
      </c>
      <c r="N50" s="413"/>
      <c r="O50" s="443">
        <f t="shared" si="2"/>
        <v>1647.6000000000001</v>
      </c>
      <c r="P50" s="414"/>
      <c r="Q50" s="430"/>
      <c r="R50" s="428"/>
      <c r="S50" s="440"/>
      <c r="T50" s="441"/>
      <c r="U50" s="414"/>
      <c r="V50" s="429"/>
      <c r="W50" s="415"/>
      <c r="X50" s="414"/>
      <c r="Y50" s="414"/>
      <c r="Z50" s="414"/>
      <c r="AA50" s="428"/>
      <c r="AB50" s="440"/>
      <c r="AC50" s="441"/>
      <c r="AD50" s="414"/>
      <c r="AE50" s="429"/>
    </row>
    <row r="51" spans="1:31" x14ac:dyDescent="0.2">
      <c r="A51" s="413"/>
      <c r="B51" s="477" t="str">
        <f>BillDetLt!B50</f>
        <v>16600 LUM-175W-MH ACORN GLOBE</v>
      </c>
      <c r="C51" s="413"/>
      <c r="D51" s="438">
        <v>16188</v>
      </c>
      <c r="E51" s="439">
        <v>228</v>
      </c>
      <c r="F51" s="442">
        <v>16.91</v>
      </c>
      <c r="G51" s="413"/>
      <c r="H51" s="443">
        <f t="shared" si="0"/>
        <v>3855.48</v>
      </c>
      <c r="I51" s="416"/>
      <c r="J51" s="413"/>
      <c r="K51" s="438">
        <f t="shared" si="1"/>
        <v>16188</v>
      </c>
      <c r="L51" s="439">
        <f t="shared" si="6"/>
        <v>228</v>
      </c>
      <c r="M51" s="442">
        <f t="shared" si="3"/>
        <v>16.91</v>
      </c>
      <c r="N51" s="413"/>
      <c r="O51" s="443">
        <f t="shared" si="2"/>
        <v>3855.48</v>
      </c>
      <c r="Q51" s="430"/>
      <c r="R51" s="428"/>
      <c r="S51" s="440"/>
      <c r="T51" s="441"/>
      <c r="U51" s="414"/>
      <c r="V51" s="429"/>
      <c r="W51" s="415"/>
      <c r="X51" s="414"/>
      <c r="Y51" s="414"/>
      <c r="Z51" s="414"/>
      <c r="AA51" s="428"/>
      <c r="AB51" s="440"/>
      <c r="AC51" s="441"/>
      <c r="AD51" s="414"/>
      <c r="AE51" s="429"/>
    </row>
    <row r="52" spans="1:31" x14ac:dyDescent="0.2">
      <c r="A52" s="413"/>
      <c r="B52" s="477" t="str">
        <f>BillDetLt!B51</f>
        <v>9000 LUM-100W-MH ROUND GLOBE</v>
      </c>
      <c r="C52" s="413"/>
      <c r="D52" s="438">
        <v>0</v>
      </c>
      <c r="E52" s="439">
        <v>0</v>
      </c>
      <c r="F52" s="442">
        <v>13.47</v>
      </c>
      <c r="G52" s="413"/>
      <c r="H52" s="443">
        <f t="shared" si="0"/>
        <v>0</v>
      </c>
      <c r="I52" s="416"/>
      <c r="J52" s="413"/>
      <c r="K52" s="438">
        <f t="shared" si="1"/>
        <v>0</v>
      </c>
      <c r="L52" s="439">
        <f t="shared" si="6"/>
        <v>0</v>
      </c>
      <c r="M52" s="442">
        <f t="shared" si="3"/>
        <v>13.47</v>
      </c>
      <c r="N52" s="413"/>
      <c r="O52" s="443">
        <f t="shared" si="2"/>
        <v>0</v>
      </c>
      <c r="Q52" s="430"/>
      <c r="R52" s="428"/>
      <c r="S52" s="440"/>
      <c r="T52" s="441"/>
      <c r="U52" s="414"/>
      <c r="V52" s="429"/>
      <c r="W52" s="415"/>
      <c r="X52" s="414"/>
      <c r="Y52" s="414"/>
      <c r="Z52" s="414"/>
      <c r="AA52" s="428"/>
      <c r="AB52" s="440"/>
      <c r="AC52" s="441"/>
      <c r="AD52" s="414"/>
      <c r="AE52" s="429"/>
    </row>
    <row r="53" spans="1:31" x14ac:dyDescent="0.2">
      <c r="A53" s="413"/>
      <c r="B53" s="477" t="str">
        <f>BillDetLt!B52</f>
        <v>16600 LUM-175W-MH ROUND GLOBE</v>
      </c>
      <c r="C53" s="413"/>
      <c r="D53" s="438">
        <v>4260</v>
      </c>
      <c r="E53" s="439">
        <v>60</v>
      </c>
      <c r="F53" s="442">
        <v>16.440000000000001</v>
      </c>
      <c r="G53" s="413"/>
      <c r="H53" s="443">
        <f t="shared" si="0"/>
        <v>986.40000000000009</v>
      </c>
      <c r="I53" s="416"/>
      <c r="J53" s="413"/>
      <c r="K53" s="438">
        <f t="shared" si="1"/>
        <v>4260</v>
      </c>
      <c r="L53" s="439">
        <f t="shared" si="6"/>
        <v>60</v>
      </c>
      <c r="M53" s="442">
        <f t="shared" si="3"/>
        <v>16.440000000000001</v>
      </c>
      <c r="N53" s="413"/>
      <c r="O53" s="443">
        <f t="shared" si="2"/>
        <v>986.40000000000009</v>
      </c>
      <c r="P53" s="414"/>
      <c r="Q53" s="430"/>
      <c r="R53" s="428"/>
      <c r="S53" s="440"/>
      <c r="T53" s="441"/>
      <c r="U53" s="414"/>
      <c r="V53" s="429"/>
      <c r="W53" s="415"/>
      <c r="X53" s="414"/>
      <c r="Y53" s="414"/>
      <c r="Z53" s="414"/>
      <c r="AA53" s="428"/>
      <c r="AB53" s="440"/>
      <c r="AC53" s="441"/>
      <c r="AD53" s="414"/>
      <c r="AE53" s="429"/>
    </row>
    <row r="54" spans="1:31" x14ac:dyDescent="0.2">
      <c r="A54" s="413"/>
      <c r="B54" s="477" t="str">
        <f>BillDetLt!B53</f>
        <v>16600 LUM-175W-MH LANTERN GLOBE</v>
      </c>
      <c r="C54" s="413"/>
      <c r="D54" s="438">
        <v>0</v>
      </c>
      <c r="E54" s="439">
        <v>0</v>
      </c>
      <c r="F54" s="442">
        <v>15.85</v>
      </c>
      <c r="G54" s="413"/>
      <c r="H54" s="443">
        <f t="shared" si="0"/>
        <v>0</v>
      </c>
      <c r="I54" s="416"/>
      <c r="J54" s="413"/>
      <c r="K54" s="438">
        <f t="shared" si="1"/>
        <v>0</v>
      </c>
      <c r="L54" s="439">
        <f t="shared" si="6"/>
        <v>0</v>
      </c>
      <c r="M54" s="442">
        <f t="shared" si="3"/>
        <v>15.85</v>
      </c>
      <c r="N54" s="413"/>
      <c r="O54" s="443">
        <f t="shared" si="2"/>
        <v>0</v>
      </c>
      <c r="P54" s="414"/>
      <c r="Q54" s="430"/>
      <c r="R54" s="428"/>
      <c r="S54" s="440"/>
      <c r="T54" s="441"/>
      <c r="U54" s="414"/>
      <c r="V54" s="429"/>
      <c r="W54" s="415"/>
      <c r="X54" s="414"/>
      <c r="Y54" s="414"/>
      <c r="Z54" s="414"/>
      <c r="AA54" s="428"/>
      <c r="AB54" s="440"/>
      <c r="AC54" s="441"/>
      <c r="AD54" s="414"/>
      <c r="AE54" s="429"/>
    </row>
    <row r="55" spans="1:31" x14ac:dyDescent="0.2">
      <c r="A55" s="413"/>
      <c r="B55" s="477" t="str">
        <f>BillDetLt!B54</f>
        <v>9500 LUM-100W-HPS ACORN GLOBE</v>
      </c>
      <c r="C55" s="413"/>
      <c r="D55" s="438">
        <v>84</v>
      </c>
      <c r="E55" s="439">
        <v>2</v>
      </c>
      <c r="F55" s="442">
        <v>15.49</v>
      </c>
      <c r="G55" s="413"/>
      <c r="H55" s="443">
        <f t="shared" si="0"/>
        <v>30.98</v>
      </c>
      <c r="I55" s="416"/>
      <c r="J55" s="413"/>
      <c r="K55" s="438">
        <f t="shared" si="1"/>
        <v>84</v>
      </c>
      <c r="L55" s="439">
        <f t="shared" si="6"/>
        <v>2</v>
      </c>
      <c r="M55" s="442">
        <f t="shared" si="3"/>
        <v>15.49</v>
      </c>
      <c r="N55" s="413"/>
      <c r="O55" s="443">
        <f t="shared" si="2"/>
        <v>30.98</v>
      </c>
      <c r="Q55" s="430"/>
      <c r="R55" s="428"/>
      <c r="S55" s="440"/>
      <c r="T55" s="441"/>
      <c r="U55" s="414"/>
      <c r="V55" s="429"/>
      <c r="W55" s="415"/>
      <c r="X55" s="414"/>
      <c r="Y55" s="414"/>
      <c r="Z55" s="414"/>
      <c r="AA55" s="428"/>
      <c r="AB55" s="440"/>
      <c r="AC55" s="441"/>
      <c r="AD55" s="414"/>
      <c r="AE55" s="429"/>
    </row>
    <row r="56" spans="1:31" x14ac:dyDescent="0.2">
      <c r="A56" s="413"/>
      <c r="B56" s="236" t="str">
        <f>BillDetLt!B55</f>
        <v>Tariff sheet 15B</v>
      </c>
      <c r="C56" s="413"/>
      <c r="D56" s="438"/>
      <c r="E56" s="439"/>
      <c r="F56" s="442"/>
      <c r="G56" s="413"/>
      <c r="H56" s="443"/>
      <c r="I56" s="416"/>
      <c r="J56" s="413"/>
      <c r="K56" s="438"/>
      <c r="L56" s="439"/>
      <c r="M56" s="442"/>
      <c r="N56" s="413"/>
      <c r="O56" s="443"/>
      <c r="Q56" s="430"/>
      <c r="R56" s="428"/>
      <c r="S56" s="440"/>
      <c r="T56" s="441"/>
      <c r="U56" s="414"/>
      <c r="V56" s="429"/>
      <c r="W56" s="415"/>
      <c r="X56" s="414"/>
      <c r="Y56" s="414"/>
      <c r="Z56" s="414"/>
      <c r="AA56" s="428"/>
      <c r="AB56" s="440"/>
      <c r="AC56" s="441"/>
      <c r="AD56" s="414"/>
      <c r="AE56" s="429"/>
    </row>
    <row r="57" spans="1:31" x14ac:dyDescent="0.2">
      <c r="A57" s="413"/>
      <c r="B57" s="236" t="str">
        <f>BillDetLt!B56</f>
        <v>Pedestal Mounted Pole</v>
      </c>
      <c r="C57" s="413"/>
      <c r="D57" s="438"/>
      <c r="E57" s="439"/>
      <c r="F57" s="442"/>
      <c r="G57" s="413"/>
      <c r="H57" s="443"/>
      <c r="I57" s="416"/>
      <c r="J57" s="413"/>
      <c r="K57" s="438"/>
      <c r="L57" s="439"/>
      <c r="M57" s="442"/>
      <c r="N57" s="413"/>
      <c r="O57" s="443"/>
      <c r="P57" s="414"/>
      <c r="Q57" s="430"/>
      <c r="R57" s="428"/>
      <c r="S57" s="440"/>
      <c r="T57" s="441"/>
      <c r="U57" s="414"/>
      <c r="V57" s="429"/>
      <c r="W57" s="415"/>
      <c r="X57" s="414"/>
      <c r="Y57" s="414"/>
      <c r="Z57" s="414"/>
      <c r="AA57" s="428"/>
      <c r="AB57" s="440"/>
      <c r="AC57" s="441"/>
      <c r="AD57" s="414"/>
      <c r="AE57" s="429"/>
    </row>
    <row r="58" spans="1:31" x14ac:dyDescent="0.2">
      <c r="A58" s="413"/>
      <c r="B58" s="236" t="str">
        <f>BillDetLt!B57</f>
        <v>Not Available for New Installations after April 1 , 2011:</v>
      </c>
      <c r="C58" s="413"/>
      <c r="D58" s="438"/>
      <c r="E58" s="439"/>
      <c r="F58" s="442"/>
      <c r="G58" s="413"/>
      <c r="H58" s="443"/>
      <c r="I58" s="416"/>
      <c r="J58" s="413"/>
      <c r="K58" s="438"/>
      <c r="L58" s="439"/>
      <c r="M58" s="442"/>
      <c r="N58" s="413"/>
      <c r="O58" s="443"/>
      <c r="P58" s="414"/>
      <c r="Q58" s="430"/>
      <c r="R58" s="428"/>
      <c r="S58" s="440"/>
      <c r="T58" s="441"/>
      <c r="U58" s="414"/>
      <c r="V58" s="429"/>
      <c r="W58" s="415"/>
      <c r="X58" s="414"/>
      <c r="Y58" s="414"/>
      <c r="Z58" s="414"/>
      <c r="AA58" s="428"/>
      <c r="AB58" s="440"/>
      <c r="AC58" s="441"/>
      <c r="AD58" s="414"/>
      <c r="AE58" s="429"/>
    </row>
    <row r="59" spans="1:31" x14ac:dyDescent="0.2">
      <c r="A59" s="413"/>
      <c r="B59" s="477" t="str">
        <f>BillDetLt!B58</f>
        <v>STEEL 25 FT PEDESTAL MT POLE</v>
      </c>
      <c r="C59" s="413"/>
      <c r="D59" s="438"/>
      <c r="E59" s="439">
        <v>384</v>
      </c>
      <c r="F59" s="442">
        <v>9.36</v>
      </c>
      <c r="G59" s="413"/>
      <c r="H59" s="443">
        <f t="shared" si="0"/>
        <v>3594.24</v>
      </c>
      <c r="I59" s="416"/>
      <c r="J59" s="413"/>
      <c r="K59" s="438">
        <f t="shared" si="1"/>
        <v>0</v>
      </c>
      <c r="L59" s="439">
        <f>E59</f>
        <v>384</v>
      </c>
      <c r="M59" s="442">
        <f t="shared" si="3"/>
        <v>9.36</v>
      </c>
      <c r="N59" s="413"/>
      <c r="O59" s="443">
        <f t="shared" si="2"/>
        <v>3594.24</v>
      </c>
      <c r="Q59" s="430"/>
      <c r="R59" s="428"/>
      <c r="S59" s="440"/>
      <c r="T59" s="441"/>
      <c r="U59" s="414"/>
      <c r="V59" s="429"/>
      <c r="W59" s="415"/>
      <c r="X59" s="414"/>
      <c r="Y59" s="414"/>
      <c r="Z59" s="414"/>
      <c r="AA59" s="428"/>
      <c r="AB59" s="440"/>
      <c r="AC59" s="441"/>
      <c r="AD59" s="414"/>
      <c r="AE59" s="429"/>
    </row>
    <row r="60" spans="1:31" x14ac:dyDescent="0.2">
      <c r="A60" s="413"/>
      <c r="B60" s="477" t="str">
        <f>BillDetLt!B59</f>
        <v>STEEL 30 FT PEDESTAL MT POLE</v>
      </c>
      <c r="C60" s="413"/>
      <c r="D60" s="438"/>
      <c r="E60" s="439">
        <v>1104</v>
      </c>
      <c r="F60" s="442">
        <v>10.52</v>
      </c>
      <c r="G60" s="413"/>
      <c r="H60" s="443">
        <f t="shared" si="0"/>
        <v>11614.08</v>
      </c>
      <c r="I60" s="416"/>
      <c r="J60" s="413"/>
      <c r="K60" s="438">
        <f t="shared" si="1"/>
        <v>0</v>
      </c>
      <c r="L60" s="439">
        <f>E60</f>
        <v>1104</v>
      </c>
      <c r="M60" s="442">
        <f t="shared" si="3"/>
        <v>10.52</v>
      </c>
      <c r="N60" s="413"/>
      <c r="O60" s="443">
        <f t="shared" si="2"/>
        <v>11614.08</v>
      </c>
      <c r="Q60" s="430"/>
      <c r="R60" s="428"/>
      <c r="S60" s="440"/>
      <c r="T60" s="441"/>
      <c r="U60" s="414"/>
      <c r="V60" s="429"/>
      <c r="W60" s="415"/>
      <c r="X60" s="414"/>
      <c r="Y60" s="414"/>
      <c r="Z60" s="414"/>
      <c r="AA60" s="428"/>
      <c r="AB60" s="440"/>
      <c r="AC60" s="441"/>
      <c r="AD60" s="414"/>
      <c r="AE60" s="429"/>
    </row>
    <row r="61" spans="1:31" x14ac:dyDescent="0.2">
      <c r="A61" s="413"/>
      <c r="B61" s="477" t="str">
        <f>BillDetLt!B60</f>
        <v>STEEL 39 FT PEDESTAL MT POLE</v>
      </c>
      <c r="C61" s="413"/>
      <c r="D61" s="438"/>
      <c r="E61" s="439">
        <v>132</v>
      </c>
      <c r="F61" s="442">
        <v>16.440000000000001</v>
      </c>
      <c r="G61" s="413"/>
      <c r="H61" s="443">
        <f t="shared" si="0"/>
        <v>2170.0800000000004</v>
      </c>
      <c r="I61" s="416"/>
      <c r="J61" s="413"/>
      <c r="K61" s="438">
        <f t="shared" si="1"/>
        <v>0</v>
      </c>
      <c r="L61" s="439">
        <f>E61</f>
        <v>132</v>
      </c>
      <c r="M61" s="442">
        <f t="shared" si="3"/>
        <v>16.440000000000001</v>
      </c>
      <c r="N61" s="413"/>
      <c r="O61" s="443">
        <f t="shared" si="2"/>
        <v>2170.0800000000004</v>
      </c>
      <c r="P61" s="414"/>
      <c r="Q61" s="430"/>
      <c r="R61" s="428"/>
      <c r="S61" s="440"/>
      <c r="T61" s="441"/>
      <c r="U61" s="414"/>
      <c r="V61" s="429"/>
      <c r="W61" s="415"/>
      <c r="X61" s="414"/>
      <c r="Y61" s="414"/>
      <c r="Z61" s="414"/>
      <c r="AA61" s="428"/>
      <c r="AB61" s="440"/>
      <c r="AC61" s="441"/>
      <c r="AD61" s="414"/>
      <c r="AE61" s="429"/>
    </row>
    <row r="62" spans="1:31" x14ac:dyDescent="0.2">
      <c r="A62" s="413"/>
      <c r="B62" s="236" t="str">
        <f>BillDetLt!B61</f>
        <v>Not Available for New Installations after January 1, 2017:</v>
      </c>
      <c r="C62" s="413"/>
      <c r="D62" s="438"/>
      <c r="E62" s="439"/>
      <c r="F62" s="442"/>
      <c r="G62" s="413"/>
      <c r="H62" s="443"/>
      <c r="I62" s="416"/>
      <c r="J62" s="413"/>
      <c r="K62" s="438"/>
      <c r="L62" s="439"/>
      <c r="M62" s="442"/>
      <c r="N62" s="413"/>
      <c r="O62" s="443"/>
      <c r="P62" s="414"/>
      <c r="Q62" s="430"/>
      <c r="R62" s="428"/>
      <c r="S62" s="440"/>
      <c r="T62" s="441"/>
      <c r="U62" s="414"/>
      <c r="V62" s="429"/>
      <c r="W62" s="415"/>
      <c r="X62" s="414"/>
      <c r="Y62" s="414"/>
      <c r="Z62" s="414"/>
      <c r="AA62" s="428"/>
      <c r="AB62" s="440"/>
      <c r="AC62" s="441"/>
      <c r="AD62" s="414"/>
      <c r="AE62" s="429"/>
    </row>
    <row r="63" spans="1:31" x14ac:dyDescent="0.2">
      <c r="A63" s="413"/>
      <c r="B63" s="477" t="str">
        <f>BillDetLt!B62</f>
        <v>WOOD 30 FT DIRECT BURIAL POLE</v>
      </c>
      <c r="C63" s="413"/>
      <c r="D63" s="438"/>
      <c r="E63" s="439">
        <v>899</v>
      </c>
      <c r="F63" s="442">
        <v>5.44</v>
      </c>
      <c r="G63" s="413"/>
      <c r="H63" s="443">
        <f t="shared" si="0"/>
        <v>4890.5600000000004</v>
      </c>
      <c r="I63" s="416"/>
      <c r="J63" s="413"/>
      <c r="K63" s="438">
        <f t="shared" si="1"/>
        <v>0</v>
      </c>
      <c r="L63" s="439">
        <f>E63</f>
        <v>899</v>
      </c>
      <c r="M63" s="442">
        <f t="shared" si="3"/>
        <v>5.44</v>
      </c>
      <c r="N63" s="413"/>
      <c r="O63" s="443">
        <f t="shared" si="2"/>
        <v>4890.5600000000004</v>
      </c>
      <c r="Q63" s="430"/>
      <c r="R63" s="428"/>
      <c r="S63" s="440"/>
      <c r="T63" s="441"/>
      <c r="U63" s="414"/>
      <c r="V63" s="429"/>
      <c r="W63" s="415"/>
      <c r="X63" s="414"/>
      <c r="Y63" s="414"/>
      <c r="Z63" s="414"/>
      <c r="AA63" s="428"/>
      <c r="AB63" s="440"/>
      <c r="AC63" s="441"/>
      <c r="AD63" s="414"/>
      <c r="AE63" s="429"/>
    </row>
    <row r="64" spans="1:31" x14ac:dyDescent="0.2">
      <c r="A64" s="413"/>
      <c r="B64" s="477" t="str">
        <f>BillDetLt!B63</f>
        <v>ALUMINUM 28 FT DIRECT BURIAL</v>
      </c>
      <c r="C64" s="413"/>
      <c r="D64" s="438"/>
      <c r="E64" s="439">
        <v>60</v>
      </c>
      <c r="F64" s="442">
        <v>12.05</v>
      </c>
      <c r="G64" s="413"/>
      <c r="H64" s="443">
        <f t="shared" si="0"/>
        <v>723</v>
      </c>
      <c r="I64" s="416"/>
      <c r="J64" s="413"/>
      <c r="K64" s="438">
        <f t="shared" si="1"/>
        <v>0</v>
      </c>
      <c r="L64" s="439">
        <f>E64</f>
        <v>60</v>
      </c>
      <c r="M64" s="442">
        <f t="shared" si="3"/>
        <v>12.05</v>
      </c>
      <c r="N64" s="413"/>
      <c r="O64" s="443">
        <f t="shared" si="2"/>
        <v>723</v>
      </c>
      <c r="Q64" s="430"/>
      <c r="R64" s="428"/>
      <c r="S64" s="440"/>
      <c r="T64" s="441"/>
      <c r="U64" s="414"/>
      <c r="V64" s="429"/>
      <c r="W64" s="415"/>
      <c r="X64" s="414"/>
      <c r="Y64" s="414"/>
      <c r="Z64" s="414"/>
      <c r="AA64" s="428"/>
      <c r="AB64" s="440"/>
      <c r="AC64" s="441"/>
      <c r="AD64" s="414"/>
      <c r="AE64" s="429"/>
    </row>
    <row r="65" spans="1:31" x14ac:dyDescent="0.2">
      <c r="A65" s="413"/>
      <c r="B65" s="236" t="str">
        <f>BillDetLt!B64</f>
        <v>Not Available for New Installations after April 1 , 2011:</v>
      </c>
      <c r="C65" s="413"/>
      <c r="D65" s="438"/>
      <c r="E65" s="439"/>
      <c r="F65" s="442"/>
      <c r="G65" s="413"/>
      <c r="H65" s="443"/>
      <c r="I65" s="416"/>
      <c r="J65" s="413"/>
      <c r="K65" s="438"/>
      <c r="L65" s="439"/>
      <c r="M65" s="442"/>
      <c r="N65" s="413"/>
      <c r="O65" s="443"/>
      <c r="P65" s="414"/>
      <c r="Q65" s="430"/>
      <c r="R65" s="428"/>
      <c r="S65" s="440"/>
      <c r="T65" s="441"/>
      <c r="U65" s="414"/>
      <c r="V65" s="429"/>
      <c r="W65" s="415"/>
      <c r="X65" s="414"/>
      <c r="Y65" s="414"/>
      <c r="Z65" s="414"/>
      <c r="AA65" s="428"/>
      <c r="AB65" s="440"/>
      <c r="AC65" s="441"/>
      <c r="AD65" s="414"/>
      <c r="AE65" s="429"/>
    </row>
    <row r="66" spans="1:31" x14ac:dyDescent="0.2">
      <c r="A66" s="413"/>
      <c r="B66" s="477" t="str">
        <f>BillDetLt!B65</f>
        <v>FLUTED FIBERGLASS 15 FT POLE</v>
      </c>
      <c r="C66" s="413"/>
      <c r="D66" s="438"/>
      <c r="E66" s="439">
        <v>327</v>
      </c>
      <c r="F66" s="442">
        <v>12.88</v>
      </c>
      <c r="G66" s="413"/>
      <c r="H66" s="443">
        <f t="shared" si="0"/>
        <v>4211.76</v>
      </c>
      <c r="I66" s="416"/>
      <c r="J66" s="413"/>
      <c r="K66" s="438">
        <f t="shared" si="1"/>
        <v>0</v>
      </c>
      <c r="L66" s="439">
        <f>E66</f>
        <v>327</v>
      </c>
      <c r="M66" s="442">
        <f t="shared" si="3"/>
        <v>12.88</v>
      </c>
      <c r="N66" s="413"/>
      <c r="O66" s="443">
        <f t="shared" si="2"/>
        <v>4211.76</v>
      </c>
      <c r="P66" s="414"/>
      <c r="Q66" s="430"/>
      <c r="R66" s="428"/>
      <c r="S66" s="440"/>
      <c r="T66" s="441"/>
      <c r="U66" s="414"/>
      <c r="V66" s="429"/>
      <c r="W66" s="415"/>
      <c r="X66" s="414"/>
      <c r="Y66" s="414"/>
      <c r="Z66" s="414"/>
      <c r="AA66" s="428"/>
      <c r="AB66" s="440"/>
      <c r="AC66" s="441"/>
      <c r="AD66" s="414"/>
      <c r="AE66" s="429"/>
    </row>
    <row r="67" spans="1:31" x14ac:dyDescent="0.2">
      <c r="A67" s="413"/>
      <c r="B67" s="477" t="str">
        <f>BillDetLt!B66</f>
        <v>FLUTED ALUMINUM 14FT POLE</v>
      </c>
      <c r="C67" s="413"/>
      <c r="D67" s="438"/>
      <c r="E67" s="439">
        <v>120</v>
      </c>
      <c r="F67" s="442">
        <v>14.14</v>
      </c>
      <c r="G67" s="413"/>
      <c r="H67" s="443">
        <f t="shared" si="0"/>
        <v>1696.8000000000002</v>
      </c>
      <c r="I67" s="416"/>
      <c r="J67" s="413"/>
      <c r="K67" s="438">
        <f t="shared" si="1"/>
        <v>0</v>
      </c>
      <c r="L67" s="439">
        <f>E67</f>
        <v>120</v>
      </c>
      <c r="M67" s="442">
        <f t="shared" si="3"/>
        <v>14.14</v>
      </c>
      <c r="N67" s="413"/>
      <c r="O67" s="443">
        <f t="shared" si="2"/>
        <v>1696.8000000000002</v>
      </c>
      <c r="Q67" s="430"/>
      <c r="R67" s="428"/>
      <c r="S67" s="440"/>
      <c r="T67" s="441"/>
      <c r="U67" s="414"/>
      <c r="V67" s="429"/>
      <c r="W67" s="415"/>
      <c r="X67" s="414"/>
      <c r="Y67" s="414"/>
      <c r="Z67" s="414"/>
      <c r="AA67" s="428"/>
      <c r="AB67" s="440"/>
      <c r="AC67" s="441"/>
      <c r="AD67" s="414"/>
      <c r="AE67" s="429"/>
    </row>
    <row r="68" spans="1:31" x14ac:dyDescent="0.2">
      <c r="A68" s="413"/>
      <c r="B68" s="236" t="str">
        <f>BillDetLt!B67</f>
        <v>Street Lighting Service</v>
      </c>
      <c r="C68" s="413"/>
      <c r="D68" s="438"/>
      <c r="E68" s="439"/>
      <c r="F68" s="442"/>
      <c r="G68" s="413"/>
      <c r="H68" s="443"/>
      <c r="I68" s="416"/>
      <c r="J68" s="413"/>
      <c r="K68" s="438"/>
      <c r="L68" s="439"/>
      <c r="M68" s="442"/>
      <c r="N68" s="413"/>
      <c r="O68" s="443"/>
      <c r="Q68" s="430"/>
      <c r="R68" s="428"/>
      <c r="S68" s="440"/>
      <c r="T68" s="441"/>
      <c r="U68" s="414"/>
      <c r="V68" s="429"/>
      <c r="W68" s="415"/>
      <c r="X68" s="414"/>
      <c r="Y68" s="414"/>
      <c r="Z68" s="414"/>
      <c r="AA68" s="428"/>
      <c r="AB68" s="440"/>
      <c r="AC68" s="441"/>
      <c r="AD68" s="414"/>
      <c r="AE68" s="429"/>
    </row>
    <row r="69" spans="1:31" x14ac:dyDescent="0.2">
      <c r="A69" s="413"/>
      <c r="B69" s="236" t="str">
        <f>BillDetLt!B68</f>
        <v>Tariff sheet 16</v>
      </c>
      <c r="C69" s="413"/>
      <c r="D69" s="438"/>
      <c r="E69" s="439"/>
      <c r="F69" s="442"/>
      <c r="G69" s="413"/>
      <c r="H69" s="443"/>
      <c r="I69" s="416"/>
      <c r="J69" s="413"/>
      <c r="K69" s="438"/>
      <c r="L69" s="439"/>
      <c r="M69" s="442"/>
      <c r="N69" s="413"/>
      <c r="O69" s="443"/>
      <c r="P69" s="414"/>
      <c r="Q69" s="430"/>
      <c r="R69" s="428"/>
      <c r="S69" s="440"/>
      <c r="T69" s="441"/>
      <c r="U69" s="414"/>
      <c r="V69" s="429"/>
      <c r="W69" s="415"/>
      <c r="X69" s="414"/>
      <c r="Y69" s="414"/>
      <c r="Z69" s="414"/>
      <c r="AA69" s="428"/>
      <c r="AB69" s="440"/>
      <c r="AC69" s="441"/>
      <c r="AD69" s="414"/>
      <c r="AE69" s="429"/>
    </row>
    <row r="70" spans="1:31" x14ac:dyDescent="0.2">
      <c r="A70" s="413"/>
      <c r="B70" s="236" t="str">
        <f>BillDetLt!B69</f>
        <v>Special street lighting districts</v>
      </c>
      <c r="C70" s="413"/>
      <c r="D70" s="438"/>
      <c r="E70" s="439"/>
      <c r="F70" s="442"/>
      <c r="G70" s="413"/>
      <c r="H70" s="443"/>
      <c r="I70" s="416"/>
      <c r="J70" s="413"/>
      <c r="K70" s="438"/>
      <c r="L70" s="439"/>
      <c r="M70" s="442"/>
      <c r="N70" s="413"/>
      <c r="O70" s="443"/>
      <c r="Q70" s="430"/>
      <c r="R70" s="428"/>
      <c r="S70" s="440"/>
      <c r="T70" s="441"/>
      <c r="U70" s="414"/>
      <c r="V70" s="429"/>
      <c r="W70" s="415"/>
      <c r="X70" s="414"/>
      <c r="Y70" s="414"/>
      <c r="Z70" s="414"/>
      <c r="AA70" s="428"/>
      <c r="AB70" s="440"/>
      <c r="AC70" s="441"/>
      <c r="AD70" s="414"/>
      <c r="AE70" s="429"/>
    </row>
    <row r="71" spans="1:31" x14ac:dyDescent="0.2">
      <c r="A71" s="413"/>
      <c r="B71" s="477" t="str">
        <f>BillDetLt!B70</f>
        <v>BASKETT STREET LIGHTING</v>
      </c>
      <c r="C71" s="413"/>
      <c r="D71" s="438">
        <v>17365</v>
      </c>
      <c r="E71" s="439">
        <v>755</v>
      </c>
      <c r="F71" s="442">
        <v>3.87</v>
      </c>
      <c r="G71" s="413"/>
      <c r="H71" s="443">
        <f t="shared" si="0"/>
        <v>2921.85</v>
      </c>
      <c r="I71" s="416"/>
      <c r="J71" s="413"/>
      <c r="K71" s="438">
        <f t="shared" si="1"/>
        <v>17365</v>
      </c>
      <c r="L71" s="439">
        <f>E71</f>
        <v>755</v>
      </c>
      <c r="M71" s="442">
        <f t="shared" si="3"/>
        <v>3.87</v>
      </c>
      <c r="N71" s="413"/>
      <c r="O71" s="443">
        <f t="shared" si="2"/>
        <v>2921.85</v>
      </c>
      <c r="P71" s="414"/>
      <c r="Q71" s="430"/>
      <c r="R71" s="428"/>
      <c r="S71" s="440"/>
      <c r="T71" s="441"/>
      <c r="U71" s="414"/>
      <c r="V71" s="429"/>
      <c r="W71" s="415"/>
      <c r="X71" s="414"/>
      <c r="Y71" s="414"/>
      <c r="Z71" s="414"/>
      <c r="AA71" s="428"/>
      <c r="AB71" s="440"/>
      <c r="AC71" s="441"/>
      <c r="AD71" s="414"/>
      <c r="AE71" s="429"/>
    </row>
    <row r="72" spans="1:31" x14ac:dyDescent="0.2">
      <c r="A72" s="413"/>
      <c r="B72" s="477" t="str">
        <f>BillDetLt!B71</f>
        <v>MEADOW HILL STREET LIGHTING</v>
      </c>
      <c r="C72" s="413"/>
      <c r="D72" s="438">
        <v>8257</v>
      </c>
      <c r="E72" s="439">
        <v>359</v>
      </c>
      <c r="F72" s="442">
        <v>3.52</v>
      </c>
      <c r="G72" s="413"/>
      <c r="H72" s="443">
        <f t="shared" si="0"/>
        <v>1263.68</v>
      </c>
      <c r="I72" s="416"/>
      <c r="J72" s="413"/>
      <c r="K72" s="438">
        <f t="shared" si="1"/>
        <v>8257</v>
      </c>
      <c r="L72" s="439">
        <f>E72</f>
        <v>359</v>
      </c>
      <c r="M72" s="442">
        <f t="shared" si="3"/>
        <v>3.52</v>
      </c>
      <c r="N72" s="413"/>
      <c r="O72" s="443">
        <f t="shared" si="2"/>
        <v>1263.68</v>
      </c>
      <c r="P72" s="414"/>
      <c r="Q72" s="430"/>
      <c r="R72" s="428"/>
      <c r="S72" s="440"/>
      <c r="T72" s="441"/>
      <c r="U72" s="414"/>
      <c r="V72" s="429"/>
      <c r="W72" s="415"/>
      <c r="X72" s="414"/>
      <c r="Y72" s="414"/>
      <c r="Z72" s="414"/>
      <c r="AA72" s="428"/>
      <c r="AB72" s="440"/>
      <c r="AC72" s="441"/>
      <c r="AD72" s="414"/>
      <c r="AE72" s="429"/>
    </row>
    <row r="73" spans="1:31" x14ac:dyDescent="0.2">
      <c r="A73" s="413"/>
      <c r="B73" s="477" t="str">
        <f>BillDetLt!B72</f>
        <v>SPOTTSVILLE STREET LIGHTING</v>
      </c>
      <c r="C73" s="413"/>
      <c r="D73" s="438">
        <v>16008</v>
      </c>
      <c r="E73" s="439">
        <v>696</v>
      </c>
      <c r="F73" s="442">
        <v>4.3600000000000003</v>
      </c>
      <c r="G73" s="413"/>
      <c r="H73" s="443">
        <f t="shared" si="0"/>
        <v>3034.5600000000004</v>
      </c>
      <c r="I73" s="416"/>
      <c r="J73" s="413"/>
      <c r="K73" s="438">
        <f t="shared" si="1"/>
        <v>16008</v>
      </c>
      <c r="L73" s="439">
        <f>E73</f>
        <v>696</v>
      </c>
      <c r="M73" s="442">
        <f t="shared" si="3"/>
        <v>4.3600000000000003</v>
      </c>
      <c r="N73" s="413"/>
      <c r="O73" s="443">
        <f t="shared" si="2"/>
        <v>3034.5600000000004</v>
      </c>
      <c r="Q73" s="430"/>
      <c r="R73" s="428"/>
      <c r="S73" s="440"/>
      <c r="T73" s="441"/>
      <c r="U73" s="414"/>
      <c r="V73" s="429"/>
      <c r="W73" s="415"/>
      <c r="X73" s="414"/>
      <c r="Y73" s="414"/>
      <c r="Z73" s="414"/>
      <c r="AA73" s="428"/>
      <c r="AB73" s="440"/>
      <c r="AC73" s="441"/>
      <c r="AD73" s="414"/>
      <c r="AE73" s="429"/>
    </row>
    <row r="74" spans="1:31" x14ac:dyDescent="0.2">
      <c r="A74" s="413"/>
      <c r="B74" s="236" t="str">
        <f>BillDetLt!B73</f>
        <v>Not Available for New Installations after April 1 , 2011:</v>
      </c>
      <c r="C74" s="413"/>
      <c r="D74" s="438"/>
      <c r="E74" s="439"/>
      <c r="F74" s="442"/>
      <c r="G74" s="413"/>
      <c r="H74" s="443"/>
      <c r="I74" s="416"/>
      <c r="J74" s="413"/>
      <c r="K74" s="438"/>
      <c r="L74" s="439"/>
      <c r="M74" s="442"/>
      <c r="N74" s="413"/>
      <c r="O74" s="443"/>
      <c r="Q74" s="430"/>
      <c r="R74" s="428"/>
      <c r="S74" s="440"/>
      <c r="T74" s="441"/>
      <c r="U74" s="414"/>
      <c r="V74" s="429"/>
      <c r="W74" s="415"/>
      <c r="X74" s="414"/>
      <c r="Y74" s="414"/>
      <c r="Z74" s="414"/>
      <c r="AA74" s="428"/>
      <c r="AB74" s="440"/>
      <c r="AC74" s="441"/>
      <c r="AD74" s="414"/>
      <c r="AE74" s="429"/>
    </row>
    <row r="75" spans="1:31" x14ac:dyDescent="0.2">
      <c r="A75" s="413"/>
      <c r="B75" s="477" t="str">
        <f>BillDetLt!B74</f>
        <v>7000 LUMEN-175W-MERCURY VAPOR</v>
      </c>
      <c r="C75" s="413"/>
      <c r="D75" s="438">
        <v>208880</v>
      </c>
      <c r="E75" s="439">
        <v>2984</v>
      </c>
      <c r="F75" s="442">
        <v>11.15</v>
      </c>
      <c r="G75" s="413"/>
      <c r="H75" s="443">
        <f t="shared" si="0"/>
        <v>33271.599999999999</v>
      </c>
      <c r="I75" s="416"/>
      <c r="J75" s="413"/>
      <c r="K75" s="438">
        <f t="shared" si="1"/>
        <v>208880</v>
      </c>
      <c r="L75" s="439">
        <f>E75</f>
        <v>2984</v>
      </c>
      <c r="M75" s="442">
        <f t="shared" si="3"/>
        <v>11.15</v>
      </c>
      <c r="N75" s="413"/>
      <c r="O75" s="443">
        <f t="shared" si="2"/>
        <v>33271.599999999999</v>
      </c>
      <c r="P75" s="414"/>
      <c r="Q75" s="430"/>
      <c r="R75" s="428"/>
      <c r="S75" s="440"/>
      <c r="T75" s="441"/>
      <c r="U75" s="414"/>
      <c r="V75" s="429"/>
      <c r="W75" s="415"/>
      <c r="X75" s="414"/>
      <c r="Y75" s="414"/>
      <c r="Z75" s="414"/>
      <c r="AA75" s="428"/>
      <c r="AB75" s="440"/>
      <c r="AC75" s="441"/>
      <c r="AD75" s="414"/>
      <c r="AE75" s="429"/>
    </row>
    <row r="76" spans="1:31" x14ac:dyDescent="0.2">
      <c r="A76" s="413"/>
      <c r="B76" s="477" t="str">
        <f>BillDetLt!B75</f>
        <v>20000 LUMEN-400W-MERCURY VAPOR</v>
      </c>
      <c r="C76" s="413"/>
      <c r="D76" s="438">
        <v>233430</v>
      </c>
      <c r="E76" s="439">
        <v>1506</v>
      </c>
      <c r="F76" s="442">
        <v>16.809999999999999</v>
      </c>
      <c r="G76" s="413"/>
      <c r="H76" s="443">
        <f t="shared" ref="H76:H101" si="7">E76*F76</f>
        <v>25315.859999999997</v>
      </c>
      <c r="I76" s="416"/>
      <c r="J76" s="413"/>
      <c r="K76" s="438">
        <f>D76</f>
        <v>233430</v>
      </c>
      <c r="L76" s="439">
        <f>E76</f>
        <v>1506</v>
      </c>
      <c r="M76" s="442">
        <f t="shared" si="3"/>
        <v>16.809999999999999</v>
      </c>
      <c r="N76" s="413"/>
      <c r="O76" s="443">
        <f t="shared" ref="O76:O101" si="8">L76*M76</f>
        <v>25315.859999999997</v>
      </c>
      <c r="P76" s="414"/>
      <c r="Q76" s="430"/>
      <c r="R76" s="428"/>
      <c r="S76" s="440"/>
      <c r="T76" s="441"/>
      <c r="U76" s="414"/>
      <c r="V76" s="429"/>
      <c r="W76" s="415"/>
      <c r="X76" s="414"/>
      <c r="Y76" s="414"/>
      <c r="Z76" s="414"/>
      <c r="AA76" s="428"/>
      <c r="AB76" s="440"/>
      <c r="AC76" s="441"/>
      <c r="AD76" s="414"/>
      <c r="AE76" s="429"/>
    </row>
    <row r="77" spans="1:31" x14ac:dyDescent="0.2">
      <c r="A77" s="413"/>
      <c r="B77" s="236" t="str">
        <f>BillDetLt!B76</f>
        <v>Not available for New Installations after November 2014:</v>
      </c>
      <c r="C77" s="413"/>
      <c r="D77" s="438"/>
      <c r="E77" s="439"/>
      <c r="F77" s="442"/>
      <c r="G77" s="413"/>
      <c r="H77" s="443"/>
      <c r="I77" s="416"/>
      <c r="J77" s="413"/>
      <c r="K77" s="438"/>
      <c r="L77" s="439"/>
      <c r="M77" s="442"/>
      <c r="N77" s="413"/>
      <c r="O77" s="443"/>
      <c r="Q77" s="430"/>
      <c r="R77" s="428"/>
      <c r="S77" s="440"/>
      <c r="T77" s="441"/>
      <c r="U77" s="414"/>
      <c r="V77" s="429"/>
      <c r="W77" s="415"/>
      <c r="X77" s="414"/>
      <c r="Y77" s="414"/>
      <c r="Z77" s="414"/>
      <c r="AA77" s="428"/>
      <c r="AB77" s="440"/>
      <c r="AC77" s="441"/>
      <c r="AD77" s="414"/>
      <c r="AE77" s="429"/>
    </row>
    <row r="78" spans="1:31" x14ac:dyDescent="0.2">
      <c r="A78" s="413"/>
      <c r="B78" s="477" t="str">
        <f>BillDetLt!B77</f>
        <v>9500 LUMEN-100W-HPS STREET LGT</v>
      </c>
      <c r="C78" s="413"/>
      <c r="D78" s="438">
        <v>219171</v>
      </c>
      <c r="E78" s="439">
        <v>5097</v>
      </c>
      <c r="F78" s="442">
        <v>10.02</v>
      </c>
      <c r="G78" s="413"/>
      <c r="H78" s="443">
        <f t="shared" si="7"/>
        <v>51071.939999999995</v>
      </c>
      <c r="I78" s="416"/>
      <c r="J78" s="413"/>
      <c r="K78" s="438">
        <f>D78</f>
        <v>219171</v>
      </c>
      <c r="L78" s="439">
        <f>E78</f>
        <v>5097</v>
      </c>
      <c r="M78" s="442">
        <f t="shared" si="3"/>
        <v>10.02</v>
      </c>
      <c r="N78" s="413"/>
      <c r="O78" s="443">
        <f t="shared" si="8"/>
        <v>51071.939999999995</v>
      </c>
      <c r="Q78" s="430"/>
      <c r="R78" s="428"/>
      <c r="S78" s="440"/>
      <c r="T78" s="441"/>
      <c r="U78" s="414"/>
      <c r="V78" s="429"/>
      <c r="W78" s="415"/>
      <c r="X78" s="414"/>
      <c r="Y78" s="414"/>
      <c r="Z78" s="414"/>
      <c r="AA78" s="428"/>
      <c r="AB78" s="440"/>
      <c r="AC78" s="441"/>
      <c r="AD78" s="414"/>
      <c r="AE78" s="429"/>
    </row>
    <row r="79" spans="1:31" x14ac:dyDescent="0.2">
      <c r="A79" s="413"/>
      <c r="B79" s="477" t="str">
        <f>BillDetLt!B78</f>
        <v>27000 LUMEN-250W-HPS ST LIGHT</v>
      </c>
      <c r="C79" s="413"/>
      <c r="D79" s="438">
        <v>32470</v>
      </c>
      <c r="E79" s="439">
        <v>382</v>
      </c>
      <c r="F79" s="442">
        <v>15.65</v>
      </c>
      <c r="G79" s="413"/>
      <c r="H79" s="443">
        <f t="shared" si="7"/>
        <v>5978.3</v>
      </c>
      <c r="I79" s="416"/>
      <c r="J79" s="413"/>
      <c r="K79" s="438">
        <f>D79</f>
        <v>32470</v>
      </c>
      <c r="L79" s="439">
        <f>E79</f>
        <v>382</v>
      </c>
      <c r="M79" s="442">
        <f t="shared" si="3"/>
        <v>15.65</v>
      </c>
      <c r="N79" s="413"/>
      <c r="O79" s="443">
        <f t="shared" si="8"/>
        <v>5978.3</v>
      </c>
      <c r="P79" s="414"/>
      <c r="Q79" s="430"/>
      <c r="R79" s="428"/>
      <c r="S79" s="440"/>
      <c r="T79" s="441"/>
      <c r="U79" s="414"/>
      <c r="V79" s="429"/>
      <c r="W79" s="415"/>
      <c r="X79" s="414"/>
      <c r="Y79" s="414"/>
      <c r="Z79" s="414"/>
      <c r="AA79" s="428"/>
      <c r="AB79" s="440"/>
      <c r="AC79" s="441"/>
      <c r="AD79" s="414"/>
      <c r="AE79" s="429"/>
    </row>
    <row r="80" spans="1:31" x14ac:dyDescent="0.2">
      <c r="A80" s="413"/>
      <c r="B80" s="236" t="str">
        <f>BillDetLt!B79</f>
        <v>Not Available for New Installations after April 1 , 2011:</v>
      </c>
      <c r="C80" s="413"/>
      <c r="D80" s="438"/>
      <c r="E80" s="439"/>
      <c r="F80" s="442"/>
      <c r="G80" s="413"/>
      <c r="H80" s="443"/>
      <c r="I80" s="416"/>
      <c r="J80" s="413"/>
      <c r="K80" s="438"/>
      <c r="L80" s="439"/>
      <c r="M80" s="442"/>
      <c r="N80" s="413"/>
      <c r="O80" s="443"/>
      <c r="P80" s="414"/>
      <c r="Q80" s="430"/>
      <c r="R80" s="428"/>
      <c r="S80" s="440"/>
      <c r="T80" s="441"/>
      <c r="U80" s="414"/>
      <c r="V80" s="429"/>
      <c r="W80" s="415"/>
      <c r="X80" s="414"/>
      <c r="Y80" s="414"/>
      <c r="Z80" s="414"/>
      <c r="AA80" s="428"/>
      <c r="AB80" s="440"/>
      <c r="AC80" s="441"/>
      <c r="AD80" s="414"/>
      <c r="AE80" s="429"/>
    </row>
    <row r="81" spans="1:31" x14ac:dyDescent="0.2">
      <c r="A81" s="413"/>
      <c r="B81" s="477" t="str">
        <f>BillDetLt!B80</f>
        <v>9000 LUMEN-100W MH</v>
      </c>
      <c r="C81" s="413"/>
      <c r="D81" s="438">
        <v>504</v>
      </c>
      <c r="E81" s="439">
        <v>12</v>
      </c>
      <c r="F81" s="442">
        <v>9.4499999999999993</v>
      </c>
      <c r="G81" s="413"/>
      <c r="H81" s="443">
        <f t="shared" si="7"/>
        <v>113.39999999999999</v>
      </c>
      <c r="I81" s="416"/>
      <c r="J81" s="413"/>
      <c r="K81" s="438">
        <f>D81</f>
        <v>504</v>
      </c>
      <c r="L81" s="439">
        <f>E81</f>
        <v>12</v>
      </c>
      <c r="M81" s="442">
        <f t="shared" ref="M81:M101" si="9">F81</f>
        <v>9.4499999999999993</v>
      </c>
      <c r="N81" s="413"/>
      <c r="O81" s="443">
        <f t="shared" si="8"/>
        <v>113.39999999999999</v>
      </c>
      <c r="Q81" s="430"/>
      <c r="R81" s="428"/>
      <c r="S81" s="440"/>
      <c r="T81" s="441"/>
      <c r="U81" s="414"/>
      <c r="V81" s="429"/>
      <c r="W81" s="415"/>
      <c r="X81" s="414"/>
      <c r="Y81" s="414"/>
      <c r="Z81" s="414"/>
      <c r="AA81" s="428"/>
      <c r="AB81" s="440"/>
      <c r="AC81" s="441"/>
      <c r="AD81" s="414"/>
      <c r="AE81" s="429"/>
    </row>
    <row r="82" spans="1:31" x14ac:dyDescent="0.2">
      <c r="A82" s="413"/>
      <c r="B82" s="477" t="str">
        <f>BillDetLt!B81</f>
        <v>24000 LUMEN-400W MH</v>
      </c>
      <c r="C82" s="413"/>
      <c r="D82" s="438">
        <v>2808</v>
      </c>
      <c r="E82" s="439">
        <v>18</v>
      </c>
      <c r="F82" s="442">
        <v>20.61</v>
      </c>
      <c r="G82" s="413"/>
      <c r="H82" s="443">
        <f t="shared" si="7"/>
        <v>370.98</v>
      </c>
      <c r="I82" s="416"/>
      <c r="J82" s="413"/>
      <c r="K82" s="438">
        <f>D82</f>
        <v>2808</v>
      </c>
      <c r="L82" s="439">
        <f>E82</f>
        <v>18</v>
      </c>
      <c r="M82" s="442">
        <f t="shared" si="9"/>
        <v>20.61</v>
      </c>
      <c r="N82" s="413"/>
      <c r="O82" s="443">
        <f t="shared" si="8"/>
        <v>370.98</v>
      </c>
      <c r="Q82" s="430"/>
      <c r="R82" s="428"/>
      <c r="S82" s="440"/>
      <c r="T82" s="441"/>
      <c r="U82" s="414"/>
      <c r="V82" s="429"/>
      <c r="W82" s="415"/>
      <c r="X82" s="414"/>
      <c r="Y82" s="414"/>
      <c r="Z82" s="414"/>
      <c r="AA82" s="428"/>
      <c r="AB82" s="440"/>
      <c r="AC82" s="441"/>
      <c r="AD82" s="414"/>
      <c r="AE82" s="429"/>
    </row>
    <row r="83" spans="1:31" x14ac:dyDescent="0.2">
      <c r="A83" s="413"/>
      <c r="B83" s="236" t="str">
        <f>BillDetLt!B82</f>
        <v>Tariff sheet 16A</v>
      </c>
      <c r="C83" s="413"/>
      <c r="D83" s="438"/>
      <c r="E83" s="439"/>
      <c r="F83" s="442"/>
      <c r="G83" s="413"/>
      <c r="H83" s="443"/>
      <c r="I83" s="416"/>
      <c r="J83" s="413"/>
      <c r="K83" s="438"/>
      <c r="L83" s="439"/>
      <c r="M83" s="442"/>
      <c r="N83" s="413"/>
      <c r="O83" s="443"/>
      <c r="P83" s="414"/>
      <c r="Q83" s="430"/>
      <c r="R83" s="428"/>
      <c r="S83" s="440"/>
      <c r="T83" s="441"/>
      <c r="U83" s="414"/>
      <c r="V83" s="429"/>
      <c r="W83" s="415"/>
      <c r="X83" s="414"/>
      <c r="Y83" s="414"/>
      <c r="Z83" s="414"/>
      <c r="AA83" s="428"/>
      <c r="AB83" s="440"/>
      <c r="AC83" s="441"/>
      <c r="AD83" s="414"/>
      <c r="AE83" s="429"/>
    </row>
    <row r="84" spans="1:31" x14ac:dyDescent="0.2">
      <c r="A84" s="413"/>
      <c r="B84" s="236" t="str">
        <f>BillDetLt!B83</f>
        <v>Available for New Installations after November 2014:</v>
      </c>
      <c r="C84" s="413"/>
      <c r="D84" s="438"/>
      <c r="E84" s="439"/>
      <c r="F84" s="442"/>
      <c r="G84" s="413"/>
      <c r="H84" s="443"/>
      <c r="I84" s="416"/>
      <c r="J84" s="413"/>
      <c r="K84" s="438"/>
      <c r="L84" s="439"/>
      <c r="M84" s="442"/>
      <c r="N84" s="413"/>
      <c r="O84" s="443"/>
      <c r="P84" s="414"/>
      <c r="Q84" s="430"/>
      <c r="R84" s="428"/>
      <c r="S84" s="440"/>
      <c r="T84" s="441"/>
      <c r="U84" s="414"/>
      <c r="V84" s="429"/>
      <c r="W84" s="415"/>
      <c r="X84" s="414"/>
      <c r="Y84" s="414"/>
      <c r="Z84" s="414"/>
      <c r="AA84" s="428"/>
      <c r="AB84" s="440"/>
      <c r="AC84" s="441"/>
      <c r="AD84" s="414"/>
      <c r="AE84" s="429"/>
    </row>
    <row r="85" spans="1:31" x14ac:dyDescent="0.2">
      <c r="A85" s="413"/>
      <c r="B85" s="477" t="str">
        <f>BillDetLt!B84</f>
        <v>5200 LUMEN-60W-LED NEMA HEAD</v>
      </c>
      <c r="C85" s="413"/>
      <c r="D85" s="438">
        <v>0</v>
      </c>
      <c r="E85" s="439">
        <v>0</v>
      </c>
      <c r="F85" s="442">
        <v>8.56</v>
      </c>
      <c r="G85" s="413"/>
      <c r="H85" s="443">
        <f t="shared" si="7"/>
        <v>0</v>
      </c>
      <c r="I85" s="416"/>
      <c r="J85" s="413"/>
      <c r="K85" s="438">
        <f t="shared" ref="K85:L87" si="10">D85</f>
        <v>0</v>
      </c>
      <c r="L85" s="439">
        <f t="shared" si="10"/>
        <v>0</v>
      </c>
      <c r="M85" s="442">
        <f t="shared" si="9"/>
        <v>8.56</v>
      </c>
      <c r="N85" s="413"/>
      <c r="O85" s="443">
        <f t="shared" si="8"/>
        <v>0</v>
      </c>
      <c r="Q85" s="430"/>
      <c r="R85" s="428"/>
      <c r="S85" s="440"/>
      <c r="T85" s="441"/>
      <c r="U85" s="414"/>
      <c r="V85" s="429"/>
      <c r="W85" s="415"/>
      <c r="X85" s="414"/>
      <c r="Y85" s="414"/>
      <c r="Z85" s="414"/>
      <c r="AA85" s="428"/>
      <c r="AB85" s="440"/>
      <c r="AC85" s="441"/>
      <c r="AD85" s="414"/>
      <c r="AE85" s="429"/>
    </row>
    <row r="86" spans="1:31" x14ac:dyDescent="0.2">
      <c r="A86" s="413"/>
      <c r="B86" s="477" t="str">
        <f>BillDetLt!B85</f>
        <v>9500 LUMEN-108W-LED MID OUTPUT</v>
      </c>
      <c r="C86" s="413"/>
      <c r="D86" s="438">
        <v>0</v>
      </c>
      <c r="E86" s="439">
        <v>0</v>
      </c>
      <c r="F86" s="442">
        <v>10.86</v>
      </c>
      <c r="G86" s="413"/>
      <c r="H86" s="443">
        <f t="shared" si="7"/>
        <v>0</v>
      </c>
      <c r="I86" s="416"/>
      <c r="J86" s="413"/>
      <c r="K86" s="438">
        <f t="shared" si="10"/>
        <v>0</v>
      </c>
      <c r="L86" s="439">
        <f t="shared" si="10"/>
        <v>0</v>
      </c>
      <c r="M86" s="442">
        <f t="shared" si="9"/>
        <v>10.86</v>
      </c>
      <c r="N86" s="413"/>
      <c r="O86" s="443">
        <f t="shared" si="8"/>
        <v>0</v>
      </c>
      <c r="Q86" s="430"/>
      <c r="R86" s="428"/>
      <c r="S86" s="440"/>
      <c r="T86" s="441"/>
      <c r="U86" s="414"/>
      <c r="V86" s="429"/>
      <c r="W86" s="415"/>
      <c r="X86" s="414"/>
      <c r="Y86" s="414"/>
      <c r="Z86" s="414"/>
      <c r="AA86" s="428"/>
      <c r="AB86" s="440"/>
      <c r="AC86" s="441"/>
      <c r="AD86" s="414"/>
      <c r="AE86" s="429"/>
    </row>
    <row r="87" spans="1:31" x14ac:dyDescent="0.2">
      <c r="A87" s="413"/>
      <c r="B87" s="477" t="str">
        <f>BillDetLt!B86</f>
        <v>11000 LUMEN-135W-LED HIGH OUTPUT</v>
      </c>
      <c r="C87" s="413"/>
      <c r="D87" s="438">
        <v>0</v>
      </c>
      <c r="E87" s="439">
        <v>0</v>
      </c>
      <c r="F87" s="442">
        <v>13.28</v>
      </c>
      <c r="G87" s="413"/>
      <c r="H87" s="443">
        <f t="shared" si="7"/>
        <v>0</v>
      </c>
      <c r="I87" s="416"/>
      <c r="J87" s="413"/>
      <c r="K87" s="438">
        <f t="shared" si="10"/>
        <v>0</v>
      </c>
      <c r="L87" s="439">
        <f t="shared" si="10"/>
        <v>0</v>
      </c>
      <c r="M87" s="442">
        <f t="shared" si="9"/>
        <v>13.28</v>
      </c>
      <c r="N87" s="413"/>
      <c r="O87" s="443">
        <f t="shared" si="8"/>
        <v>0</v>
      </c>
      <c r="P87" s="414"/>
      <c r="Q87" s="430"/>
      <c r="R87" s="428"/>
      <c r="S87" s="440"/>
      <c r="T87" s="441"/>
      <c r="U87" s="414"/>
      <c r="V87" s="429"/>
      <c r="W87" s="415"/>
      <c r="X87" s="414"/>
      <c r="Y87" s="414"/>
      <c r="Z87" s="414"/>
      <c r="AA87" s="428"/>
      <c r="AB87" s="440"/>
      <c r="AC87" s="441"/>
      <c r="AD87" s="414"/>
      <c r="AE87" s="429"/>
    </row>
    <row r="88" spans="1:31" x14ac:dyDescent="0.2">
      <c r="A88" s="413"/>
      <c r="B88" s="236" t="str">
        <f>BillDetLt!B87</f>
        <v>Underground service with non-std. pole</v>
      </c>
      <c r="C88" s="413"/>
      <c r="D88" s="438"/>
      <c r="E88" s="439"/>
      <c r="F88" s="442"/>
      <c r="G88" s="413"/>
      <c r="H88" s="443"/>
      <c r="I88" s="416"/>
      <c r="J88" s="413"/>
      <c r="K88" s="438"/>
      <c r="L88" s="439"/>
      <c r="M88" s="442"/>
      <c r="N88" s="413"/>
      <c r="O88" s="443"/>
      <c r="P88" s="414"/>
      <c r="Q88" s="430"/>
      <c r="R88" s="428"/>
      <c r="S88" s="440"/>
      <c r="T88" s="441"/>
      <c r="U88" s="414"/>
      <c r="V88" s="429"/>
      <c r="W88" s="415"/>
      <c r="X88" s="414"/>
      <c r="Y88" s="414"/>
      <c r="Z88" s="414"/>
      <c r="AA88" s="428"/>
      <c r="AB88" s="440"/>
      <c r="AC88" s="441"/>
      <c r="AD88" s="414"/>
      <c r="AE88" s="429"/>
    </row>
    <row r="89" spans="1:31" x14ac:dyDescent="0.2">
      <c r="A89" s="413"/>
      <c r="B89" s="477" t="str">
        <f>BillDetLt!B88</f>
        <v>UG NON-STD POLE-GOVT &amp; DISTRICT</v>
      </c>
      <c r="C89" s="413"/>
      <c r="D89" s="438"/>
      <c r="E89" s="439">
        <v>6564</v>
      </c>
      <c r="F89" s="442">
        <v>7.33</v>
      </c>
      <c r="G89" s="413"/>
      <c r="H89" s="443">
        <f t="shared" si="7"/>
        <v>48114.12</v>
      </c>
      <c r="I89" s="416"/>
      <c r="J89" s="413"/>
      <c r="K89" s="438">
        <f>D89</f>
        <v>0</v>
      </c>
      <c r="L89" s="439">
        <f>E89</f>
        <v>6564</v>
      </c>
      <c r="M89" s="442">
        <f t="shared" si="9"/>
        <v>7.33</v>
      </c>
      <c r="N89" s="413"/>
      <c r="O89" s="443">
        <f t="shared" si="8"/>
        <v>48114.12</v>
      </c>
      <c r="Q89" s="430"/>
      <c r="R89" s="428"/>
      <c r="S89" s="440"/>
      <c r="T89" s="441"/>
      <c r="U89" s="414"/>
      <c r="V89" s="429"/>
      <c r="W89" s="415"/>
      <c r="X89" s="414"/>
      <c r="Y89" s="414"/>
      <c r="Z89" s="414"/>
      <c r="AA89" s="428"/>
      <c r="AB89" s="440"/>
      <c r="AC89" s="441"/>
      <c r="AD89" s="414"/>
      <c r="AE89" s="429"/>
    </row>
    <row r="90" spans="1:31" x14ac:dyDescent="0.2">
      <c r="A90" s="413"/>
      <c r="B90" s="236" t="str">
        <f>BillDetLt!B89</f>
        <v>Overhead service to street lighting districts</v>
      </c>
      <c r="C90" s="413"/>
      <c r="D90" s="438"/>
      <c r="E90" s="439"/>
      <c r="F90" s="442"/>
      <c r="G90" s="413"/>
      <c r="H90" s="443"/>
      <c r="I90" s="416"/>
      <c r="J90" s="413"/>
      <c r="K90" s="438"/>
      <c r="L90" s="439"/>
      <c r="M90" s="442"/>
      <c r="N90" s="413"/>
      <c r="O90" s="443"/>
      <c r="Q90" s="430"/>
      <c r="R90" s="428"/>
      <c r="S90" s="440"/>
      <c r="T90" s="441"/>
      <c r="U90" s="414"/>
      <c r="V90" s="429"/>
      <c r="W90" s="415"/>
      <c r="X90" s="414"/>
      <c r="Y90" s="414"/>
      <c r="Z90" s="414"/>
      <c r="AA90" s="428"/>
      <c r="AB90" s="440"/>
      <c r="AC90" s="441"/>
      <c r="AD90" s="414"/>
      <c r="AE90" s="429"/>
    </row>
    <row r="91" spans="1:31" x14ac:dyDescent="0.2">
      <c r="A91" s="413"/>
      <c r="B91" s="477" t="str">
        <f>BillDetLt!B90</f>
        <v>OH FAC-STREET LIGHT DISTRICT</v>
      </c>
      <c r="C91" s="413"/>
      <c r="D91" s="438"/>
      <c r="E91" s="439">
        <v>144</v>
      </c>
      <c r="F91" s="442">
        <v>3.07</v>
      </c>
      <c r="G91" s="413"/>
      <c r="H91" s="443">
        <f t="shared" si="7"/>
        <v>442.08</v>
      </c>
      <c r="I91" s="416"/>
      <c r="J91" s="413"/>
      <c r="K91" s="438">
        <f>D91</f>
        <v>0</v>
      </c>
      <c r="L91" s="439">
        <f>E91</f>
        <v>144</v>
      </c>
      <c r="M91" s="442">
        <f t="shared" si="9"/>
        <v>3.07</v>
      </c>
      <c r="N91" s="413"/>
      <c r="O91" s="443">
        <f t="shared" si="8"/>
        <v>442.08</v>
      </c>
      <c r="P91" s="414"/>
      <c r="Q91" s="430"/>
      <c r="R91" s="428"/>
      <c r="S91" s="440"/>
      <c r="T91" s="441"/>
      <c r="U91" s="414"/>
      <c r="V91" s="429"/>
      <c r="W91" s="415"/>
      <c r="X91" s="414"/>
      <c r="Y91" s="414"/>
      <c r="Z91" s="414"/>
      <c r="AA91" s="428"/>
      <c r="AB91" s="440"/>
      <c r="AC91" s="441"/>
      <c r="AD91" s="414"/>
      <c r="AE91" s="429"/>
    </row>
    <row r="92" spans="1:31" x14ac:dyDescent="0.2">
      <c r="A92" s="413"/>
      <c r="B92" s="236" t="str">
        <f>BillDetLt!B91</f>
        <v>Decorative Underground service</v>
      </c>
      <c r="C92" s="413"/>
      <c r="D92" s="438"/>
      <c r="E92" s="439"/>
      <c r="F92" s="442"/>
      <c r="G92" s="413"/>
      <c r="H92" s="443"/>
      <c r="I92" s="416"/>
      <c r="J92" s="413"/>
      <c r="K92" s="438"/>
      <c r="L92" s="439"/>
      <c r="M92" s="442"/>
      <c r="N92" s="413"/>
      <c r="O92" s="443"/>
      <c r="P92" s="414"/>
      <c r="Q92" s="430"/>
      <c r="R92" s="428"/>
      <c r="S92" s="440"/>
      <c r="T92" s="441"/>
      <c r="U92" s="414"/>
      <c r="V92" s="429"/>
      <c r="W92" s="415"/>
      <c r="X92" s="414"/>
      <c r="Y92" s="414"/>
      <c r="Z92" s="414"/>
      <c r="AA92" s="428"/>
      <c r="AB92" s="440"/>
      <c r="AC92" s="441"/>
      <c r="AD92" s="414"/>
      <c r="AE92" s="429"/>
    </row>
    <row r="93" spans="1:31" x14ac:dyDescent="0.2">
      <c r="A93" s="413"/>
      <c r="B93" s="236" t="str">
        <f>BillDetLt!B92</f>
        <v>Not Available for New Installations after April 1 , 2011:</v>
      </c>
      <c r="C93" s="413"/>
      <c r="D93" s="438"/>
      <c r="E93" s="439"/>
      <c r="F93" s="442"/>
      <c r="G93" s="413"/>
      <c r="H93" s="443"/>
      <c r="I93" s="416"/>
      <c r="J93" s="413"/>
      <c r="K93" s="438"/>
      <c r="L93" s="439"/>
      <c r="M93" s="442"/>
      <c r="N93" s="413"/>
      <c r="O93" s="443"/>
      <c r="Q93" s="430"/>
      <c r="R93" s="428"/>
      <c r="S93" s="440"/>
      <c r="T93" s="441"/>
      <c r="U93" s="414"/>
      <c r="V93" s="429"/>
      <c r="W93" s="415"/>
      <c r="X93" s="414"/>
      <c r="Y93" s="414"/>
      <c r="Z93" s="414"/>
      <c r="AA93" s="428"/>
      <c r="AB93" s="440"/>
      <c r="AC93" s="441"/>
      <c r="AD93" s="414"/>
      <c r="AE93" s="429"/>
    </row>
    <row r="94" spans="1:31" x14ac:dyDescent="0.2">
      <c r="A94" s="413"/>
      <c r="B94" s="477" t="str">
        <f>BillDetLt!B93</f>
        <v>6300 LUMEN-DECOR-70W-HPS ACORN</v>
      </c>
      <c r="C94" s="413"/>
      <c r="D94" s="438">
        <v>98370</v>
      </c>
      <c r="E94" s="439">
        <v>3279</v>
      </c>
      <c r="F94" s="442">
        <v>14.89</v>
      </c>
      <c r="G94" s="413"/>
      <c r="H94" s="443">
        <f t="shared" si="7"/>
        <v>48824.310000000005</v>
      </c>
      <c r="I94" s="416"/>
      <c r="J94" s="413"/>
      <c r="K94" s="438">
        <f t="shared" ref="K94:L97" si="11">D94</f>
        <v>98370</v>
      </c>
      <c r="L94" s="439">
        <f t="shared" si="11"/>
        <v>3279</v>
      </c>
      <c r="M94" s="442">
        <f t="shared" si="9"/>
        <v>14.89</v>
      </c>
      <c r="N94" s="413"/>
      <c r="O94" s="443">
        <f t="shared" si="8"/>
        <v>48824.310000000005</v>
      </c>
      <c r="Q94" s="430"/>
      <c r="R94" s="428"/>
      <c r="S94" s="440"/>
      <c r="T94" s="441"/>
      <c r="U94" s="414"/>
      <c r="V94" s="429"/>
      <c r="W94" s="415"/>
      <c r="X94" s="414"/>
      <c r="Y94" s="414"/>
      <c r="Z94" s="414"/>
      <c r="AA94" s="428"/>
      <c r="AB94" s="440"/>
      <c r="AC94" s="441"/>
      <c r="AD94" s="414"/>
      <c r="AE94" s="429"/>
    </row>
    <row r="95" spans="1:31" x14ac:dyDescent="0.2">
      <c r="A95" s="413"/>
      <c r="B95" s="477" t="str">
        <f>BillDetLt!B94</f>
        <v>6300 LUM DECOR-70W-HPS LANTERN</v>
      </c>
      <c r="C95" s="413"/>
      <c r="D95" s="438">
        <v>66000</v>
      </c>
      <c r="E95" s="439">
        <v>2200</v>
      </c>
      <c r="F95" s="442">
        <v>14.89</v>
      </c>
      <c r="G95" s="413"/>
      <c r="H95" s="443">
        <f t="shared" si="7"/>
        <v>32758</v>
      </c>
      <c r="I95" s="416"/>
      <c r="J95" s="413"/>
      <c r="K95" s="438">
        <f t="shared" si="11"/>
        <v>66000</v>
      </c>
      <c r="L95" s="439">
        <f t="shared" si="11"/>
        <v>2200</v>
      </c>
      <c r="M95" s="442">
        <f t="shared" si="9"/>
        <v>14.89</v>
      </c>
      <c r="N95" s="413"/>
      <c r="O95" s="443">
        <f t="shared" si="8"/>
        <v>32758</v>
      </c>
      <c r="P95" s="414"/>
      <c r="Q95" s="430"/>
      <c r="R95" s="428"/>
      <c r="S95" s="440"/>
      <c r="T95" s="441"/>
      <c r="U95" s="414"/>
      <c r="V95" s="429"/>
      <c r="W95" s="415"/>
      <c r="X95" s="414"/>
      <c r="Y95" s="414"/>
      <c r="Z95" s="414"/>
      <c r="AA95" s="428"/>
      <c r="AB95" s="440"/>
      <c r="AC95" s="441"/>
      <c r="AD95" s="414"/>
      <c r="AE95" s="429"/>
    </row>
    <row r="96" spans="1:31" x14ac:dyDescent="0.2">
      <c r="A96" s="413"/>
      <c r="B96" s="477" t="str">
        <f>BillDetLt!B95</f>
        <v>12600 LUM HPS-70W-2 DECOR FIX</v>
      </c>
      <c r="C96" s="413"/>
      <c r="D96" s="438">
        <v>13020</v>
      </c>
      <c r="E96" s="439">
        <v>217</v>
      </c>
      <c r="F96" s="442">
        <v>24.49</v>
      </c>
      <c r="G96" s="413"/>
      <c r="H96" s="443">
        <f t="shared" si="7"/>
        <v>5314.33</v>
      </c>
      <c r="I96" s="416"/>
      <c r="J96" s="413"/>
      <c r="K96" s="438">
        <f t="shared" si="11"/>
        <v>13020</v>
      </c>
      <c r="L96" s="439">
        <f t="shared" si="11"/>
        <v>217</v>
      </c>
      <c r="M96" s="442">
        <f t="shared" si="9"/>
        <v>24.49</v>
      </c>
      <c r="N96" s="413"/>
      <c r="O96" s="443">
        <f t="shared" si="8"/>
        <v>5314.33</v>
      </c>
      <c r="P96" s="414"/>
      <c r="Q96" s="430"/>
      <c r="R96" s="428"/>
      <c r="S96" s="440"/>
      <c r="T96" s="441"/>
      <c r="U96" s="414"/>
      <c r="V96" s="429"/>
      <c r="W96" s="415"/>
      <c r="X96" s="414"/>
      <c r="Y96" s="414"/>
      <c r="Z96" s="414"/>
      <c r="AA96" s="428"/>
      <c r="AB96" s="440"/>
      <c r="AC96" s="441"/>
      <c r="AD96" s="414"/>
      <c r="AE96" s="429"/>
    </row>
    <row r="97" spans="1:31" x14ac:dyDescent="0.2">
      <c r="A97" s="413"/>
      <c r="B97" s="236" t="str">
        <f>BillDetLt!B96</f>
        <v>Tariff sheet 16B</v>
      </c>
      <c r="C97" s="413"/>
      <c r="D97" s="438"/>
      <c r="E97" s="439"/>
      <c r="F97" s="442"/>
      <c r="G97" s="413"/>
      <c r="H97" s="443">
        <f t="shared" si="7"/>
        <v>0</v>
      </c>
      <c r="I97" s="416"/>
      <c r="J97" s="413"/>
      <c r="K97" s="438">
        <f t="shared" si="11"/>
        <v>0</v>
      </c>
      <c r="L97" s="439">
        <f t="shared" si="11"/>
        <v>0</v>
      </c>
      <c r="M97" s="442">
        <f t="shared" si="9"/>
        <v>0</v>
      </c>
      <c r="N97" s="413"/>
      <c r="O97" s="443">
        <f t="shared" si="8"/>
        <v>0</v>
      </c>
      <c r="P97" s="414"/>
      <c r="Q97" s="430"/>
      <c r="R97" s="428"/>
      <c r="S97" s="440"/>
      <c r="T97" s="441"/>
      <c r="U97" s="414"/>
      <c r="V97" s="429"/>
      <c r="W97" s="415"/>
      <c r="X97" s="414"/>
      <c r="Y97" s="414"/>
      <c r="Z97" s="414"/>
      <c r="AA97" s="428"/>
      <c r="AB97" s="440"/>
      <c r="AC97" s="441"/>
      <c r="AD97" s="414"/>
      <c r="AE97" s="429"/>
    </row>
    <row r="98" spans="1:31" x14ac:dyDescent="0.2">
      <c r="A98" s="413"/>
      <c r="B98" s="236" t="str">
        <f>BillDetLt!B97</f>
        <v>Not available for New Installations after November 2014:</v>
      </c>
      <c r="C98" s="413"/>
      <c r="D98" s="438"/>
      <c r="E98" s="439"/>
      <c r="F98" s="442"/>
      <c r="G98" s="413"/>
      <c r="H98" s="443"/>
      <c r="I98" s="416"/>
      <c r="J98" s="413"/>
      <c r="K98" s="438"/>
      <c r="L98" s="439"/>
      <c r="M98" s="442"/>
      <c r="N98" s="413"/>
      <c r="O98" s="443"/>
      <c r="P98" s="414"/>
      <c r="Q98" s="430"/>
      <c r="R98" s="428"/>
      <c r="S98" s="440"/>
      <c r="T98" s="441"/>
      <c r="U98" s="414"/>
      <c r="V98" s="429"/>
      <c r="W98" s="415"/>
      <c r="X98" s="414"/>
      <c r="Y98" s="414"/>
      <c r="Z98" s="414"/>
      <c r="AA98" s="428"/>
      <c r="AB98" s="440"/>
      <c r="AC98" s="441"/>
      <c r="AD98" s="414"/>
      <c r="AE98" s="429"/>
    </row>
    <row r="99" spans="1:31" x14ac:dyDescent="0.2">
      <c r="A99" s="413"/>
      <c r="B99" s="477" t="str">
        <f>BillDetLt!B98</f>
        <v>9500 LUM - HPS ACORN GL 14 FT POLE</v>
      </c>
      <c r="C99" s="413"/>
      <c r="D99" s="438">
        <v>44032</v>
      </c>
      <c r="E99" s="439">
        <v>1024</v>
      </c>
      <c r="F99" s="442">
        <v>26.75</v>
      </c>
      <c r="G99" s="413"/>
      <c r="H99" s="443">
        <f t="shared" si="7"/>
        <v>27392</v>
      </c>
      <c r="I99" s="416"/>
      <c r="J99" s="413"/>
      <c r="K99" s="438">
        <f>D99</f>
        <v>44032</v>
      </c>
      <c r="L99" s="439">
        <f>E99</f>
        <v>1024</v>
      </c>
      <c r="M99" s="442">
        <f t="shared" si="9"/>
        <v>26.75</v>
      </c>
      <c r="N99" s="413"/>
      <c r="O99" s="443">
        <f t="shared" si="8"/>
        <v>27392</v>
      </c>
      <c r="Q99" s="430"/>
      <c r="R99" s="428"/>
      <c r="S99" s="440"/>
      <c r="T99" s="441"/>
      <c r="U99" s="414"/>
      <c r="V99" s="429"/>
      <c r="W99" s="415"/>
      <c r="X99" s="414"/>
      <c r="Y99" s="414"/>
      <c r="Z99" s="414"/>
      <c r="AA99" s="428"/>
      <c r="AB99" s="440"/>
      <c r="AC99" s="441"/>
      <c r="AD99" s="414"/>
      <c r="AE99" s="429"/>
    </row>
    <row r="100" spans="1:31" x14ac:dyDescent="0.2">
      <c r="A100" s="413"/>
      <c r="B100" s="236" t="str">
        <f>BillDetLt!B99</f>
        <v>Available for New Installations after November 2014:</v>
      </c>
      <c r="C100" s="413"/>
      <c r="D100" s="438"/>
      <c r="E100" s="439"/>
      <c r="F100" s="442"/>
      <c r="G100" s="413"/>
      <c r="H100" s="443"/>
      <c r="I100" s="416"/>
      <c r="J100" s="413"/>
      <c r="K100" s="438"/>
      <c r="L100" s="439"/>
      <c r="M100" s="442"/>
      <c r="N100" s="413"/>
      <c r="O100" s="443"/>
      <c r="Q100" s="430"/>
      <c r="R100" s="428"/>
      <c r="S100" s="440"/>
      <c r="T100" s="441"/>
      <c r="U100" s="414"/>
      <c r="V100" s="429"/>
      <c r="W100" s="415"/>
      <c r="X100" s="414"/>
      <c r="Y100" s="414"/>
      <c r="Z100" s="414"/>
      <c r="AA100" s="428"/>
      <c r="AB100" s="440"/>
      <c r="AC100" s="441"/>
      <c r="AD100" s="414"/>
      <c r="AE100" s="429"/>
    </row>
    <row r="101" spans="1:31" x14ac:dyDescent="0.2">
      <c r="A101" s="413"/>
      <c r="B101" s="477" t="str">
        <f>BillDetLt!B100</f>
        <v>2900 LUM - LED ACORN GL 14 FT POLE</v>
      </c>
      <c r="C101" s="413"/>
      <c r="D101" s="438">
        <v>47588.813999999998</v>
      </c>
      <c r="E101" s="439">
        <v>3399.201</v>
      </c>
      <c r="F101" s="442">
        <v>23.13</v>
      </c>
      <c r="G101" s="413"/>
      <c r="H101" s="443">
        <f t="shared" si="7"/>
        <v>78623.519130000001</v>
      </c>
      <c r="I101" s="416"/>
      <c r="J101" s="413"/>
      <c r="K101" s="438">
        <f>D101</f>
        <v>47588.813999999998</v>
      </c>
      <c r="L101" s="439">
        <f>E101</f>
        <v>3399.201</v>
      </c>
      <c r="M101" s="442">
        <f t="shared" si="9"/>
        <v>23.13</v>
      </c>
      <c r="N101" s="413"/>
      <c r="O101" s="443">
        <f t="shared" si="8"/>
        <v>78623.519130000001</v>
      </c>
      <c r="P101" s="414"/>
      <c r="Q101" s="430"/>
      <c r="R101" s="428"/>
      <c r="S101" s="440"/>
      <c r="T101" s="441"/>
      <c r="U101" s="414"/>
      <c r="V101" s="429"/>
      <c r="W101" s="415"/>
      <c r="X101" s="414"/>
      <c r="Y101" s="414"/>
      <c r="Z101" s="414"/>
      <c r="AA101" s="428"/>
      <c r="AB101" s="440"/>
      <c r="AC101" s="441"/>
      <c r="AD101" s="414"/>
      <c r="AE101" s="429"/>
    </row>
    <row r="102" spans="1:31" x14ac:dyDescent="0.2">
      <c r="A102" s="413"/>
      <c r="B102" s="479" t="s">
        <v>321</v>
      </c>
      <c r="C102" s="413"/>
      <c r="D102" s="471"/>
      <c r="E102" s="472"/>
      <c r="F102" s="473"/>
      <c r="G102" s="413"/>
      <c r="H102" s="412">
        <f>SUM(H15:H101)</f>
        <v>2181013.8247500006</v>
      </c>
      <c r="I102" s="416"/>
      <c r="J102" s="413"/>
      <c r="K102" s="471"/>
      <c r="L102" s="472"/>
      <c r="M102" s="473"/>
      <c r="N102" s="413"/>
      <c r="O102" s="412">
        <f>SUM(O15:O101)</f>
        <v>2181013.8247500006</v>
      </c>
      <c r="P102" s="414"/>
      <c r="Q102" s="430"/>
      <c r="R102" s="428"/>
      <c r="S102" s="440"/>
      <c r="T102" s="441"/>
      <c r="U102" s="414"/>
      <c r="V102" s="429"/>
      <c r="W102" s="415"/>
      <c r="X102" s="414"/>
      <c r="Y102" s="414"/>
      <c r="Z102" s="414"/>
      <c r="AA102" s="428"/>
      <c r="AB102" s="440"/>
      <c r="AC102" s="441"/>
      <c r="AD102" s="414"/>
      <c r="AE102" s="429"/>
    </row>
    <row r="103" spans="1:31" x14ac:dyDescent="0.2">
      <c r="A103" s="413"/>
      <c r="B103" s="303" t="s">
        <v>323</v>
      </c>
      <c r="C103" s="413"/>
      <c r="D103" s="438">
        <f>SUM(D15:D101)</f>
        <v>9514421.9929999989</v>
      </c>
      <c r="E103" s="444"/>
      <c r="F103" s="382">
        <v>4.2023800000000004E-3</v>
      </c>
      <c r="G103" s="413"/>
      <c r="H103" s="474">
        <f>F103*D103</f>
        <v>39983.216694943338</v>
      </c>
      <c r="I103" s="416"/>
      <c r="J103" s="413"/>
      <c r="K103" s="438">
        <f>SUM(K15:K101)</f>
        <v>9514421.9929999989</v>
      </c>
      <c r="L103" s="439"/>
      <c r="M103" s="445">
        <f>L106</f>
        <v>4.2023800000000004E-3</v>
      </c>
      <c r="N103" s="413"/>
      <c r="O103" s="474">
        <f>M103*K103</f>
        <v>39983.216694943338</v>
      </c>
      <c r="Q103" s="430"/>
      <c r="R103" s="428"/>
      <c r="S103" s="440"/>
      <c r="T103" s="441"/>
      <c r="U103" s="414"/>
      <c r="V103" s="429"/>
      <c r="W103" s="415"/>
      <c r="X103" s="414"/>
      <c r="Y103" s="414"/>
      <c r="Z103" s="414"/>
      <c r="AA103" s="428"/>
      <c r="AB103" s="440"/>
      <c r="AC103" s="441"/>
      <c r="AD103" s="414"/>
      <c r="AE103" s="429"/>
    </row>
    <row r="104" spans="1:31" x14ac:dyDescent="0.2">
      <c r="A104" s="413"/>
      <c r="B104" s="303"/>
      <c r="C104" s="413"/>
      <c r="D104" s="438"/>
      <c r="E104" s="444"/>
      <c r="F104" s="442"/>
      <c r="G104" s="413"/>
      <c r="H104" s="379">
        <f>SUM(H102:H103)</f>
        <v>2220997.0414449438</v>
      </c>
      <c r="I104" s="416"/>
      <c r="J104" s="413"/>
      <c r="K104" s="438"/>
      <c r="L104" s="439"/>
      <c r="M104" s="442"/>
      <c r="N104" s="413"/>
      <c r="O104" s="379">
        <f>SUM(O102:O103)</f>
        <v>2220997.0414449438</v>
      </c>
      <c r="Q104" s="430"/>
      <c r="R104" s="428"/>
      <c r="S104" s="440"/>
      <c r="T104" s="441"/>
      <c r="U104" s="414"/>
      <c r="V104" s="429"/>
      <c r="W104" s="415"/>
      <c r="X104" s="414"/>
      <c r="Y104" s="414"/>
      <c r="Z104" s="414"/>
      <c r="AA104" s="428"/>
      <c r="AB104" s="440"/>
      <c r="AC104" s="441"/>
      <c r="AD104" s="414"/>
      <c r="AE104" s="429"/>
    </row>
    <row r="105" spans="1:31" x14ac:dyDescent="0.2">
      <c r="A105" s="413"/>
      <c r="B105" s="303" t="s">
        <v>326</v>
      </c>
      <c r="C105" s="413"/>
      <c r="D105" s="438">
        <v>-29546</v>
      </c>
      <c r="E105" s="444"/>
      <c r="F105" s="442"/>
      <c r="G105" s="413"/>
      <c r="H105" s="385">
        <v>-4351.630000000001</v>
      </c>
      <c r="I105" s="416"/>
      <c r="J105" s="413"/>
      <c r="K105" s="438">
        <v>-29546</v>
      </c>
      <c r="L105" s="439"/>
      <c r="M105" s="442"/>
      <c r="N105" s="413"/>
      <c r="O105" s="385">
        <v>-4351.630000000001</v>
      </c>
      <c r="P105" s="414"/>
      <c r="Q105" s="430"/>
      <c r="R105" s="428"/>
      <c r="S105" s="440"/>
      <c r="T105" s="441"/>
      <c r="U105" s="414"/>
      <c r="V105" s="429"/>
      <c r="W105" s="415"/>
      <c r="X105" s="414"/>
      <c r="Y105" s="414"/>
      <c r="Z105" s="414"/>
      <c r="AA105" s="428"/>
      <c r="AB105" s="440"/>
      <c r="AC105" s="441"/>
      <c r="AD105" s="414"/>
      <c r="AE105" s="429"/>
    </row>
    <row r="106" spans="1:31" x14ac:dyDescent="0.2">
      <c r="A106" s="413"/>
      <c r="B106" s="303" t="s">
        <v>328</v>
      </c>
      <c r="C106" s="413"/>
      <c r="D106" s="386"/>
      <c r="E106" s="445">
        <v>4.2023800000000004E-3</v>
      </c>
      <c r="F106" s="442"/>
      <c r="G106" s="413"/>
      <c r="H106" s="379">
        <v>-124.16366026233339</v>
      </c>
      <c r="I106" s="416"/>
      <c r="J106" s="413"/>
      <c r="K106" s="438"/>
      <c r="L106" s="445">
        <v>4.2023800000000004E-3</v>
      </c>
      <c r="M106" s="442"/>
      <c r="N106" s="413"/>
      <c r="O106" s="379">
        <v>-124.16366026233339</v>
      </c>
      <c r="P106" s="414"/>
      <c r="Q106" s="430"/>
      <c r="R106" s="428"/>
      <c r="S106" s="440"/>
      <c r="T106" s="441"/>
      <c r="U106" s="414"/>
      <c r="V106" s="429"/>
      <c r="W106" s="415"/>
      <c r="X106" s="414"/>
      <c r="Y106" s="414"/>
      <c r="Z106" s="414"/>
      <c r="AA106" s="428"/>
      <c r="AB106" s="440"/>
      <c r="AC106" s="441"/>
      <c r="AD106" s="414"/>
      <c r="AE106" s="429"/>
    </row>
    <row r="107" spans="1:31" x14ac:dyDescent="0.2">
      <c r="A107" s="413"/>
      <c r="B107" s="446"/>
      <c r="C107" s="446"/>
      <c r="D107" s="447"/>
      <c r="E107" s="447"/>
      <c r="F107" s="448"/>
      <c r="G107" s="413"/>
      <c r="I107" s="416"/>
      <c r="J107" s="413"/>
      <c r="K107" s="447"/>
      <c r="L107" s="447"/>
      <c r="M107" s="448"/>
      <c r="N107" s="413"/>
      <c r="O107" s="449"/>
      <c r="P107" s="414"/>
      <c r="Q107" s="430"/>
      <c r="R107" s="428"/>
      <c r="S107" s="428"/>
      <c r="T107" s="441"/>
      <c r="U107" s="414"/>
      <c r="V107" s="429"/>
      <c r="W107" s="415"/>
      <c r="X107" s="414"/>
      <c r="Y107" s="414"/>
      <c r="Z107" s="414"/>
      <c r="AA107" s="428"/>
      <c r="AB107" s="428"/>
      <c r="AC107" s="441"/>
      <c r="AD107" s="414"/>
      <c r="AE107" s="429"/>
    </row>
    <row r="108" spans="1:31" x14ac:dyDescent="0.2">
      <c r="A108" s="413"/>
      <c r="B108" s="236" t="s">
        <v>84</v>
      </c>
      <c r="C108" s="413"/>
      <c r="D108" s="450">
        <f>D103+D105</f>
        <v>9484875.9929999989</v>
      </c>
      <c r="E108" s="450">
        <f t="shared" ref="E108" si="12">SUM(E15:E101)</f>
        <v>198874.26799999998</v>
      </c>
      <c r="F108" s="450"/>
      <c r="G108" s="413"/>
      <c r="H108" s="470">
        <f>H104+H105+H106</f>
        <v>2216521.2477846816</v>
      </c>
      <c r="I108" s="451"/>
      <c r="J108" s="413"/>
      <c r="K108" s="450">
        <f>K103+K105</f>
        <v>9484875.9929999989</v>
      </c>
      <c r="L108" s="450">
        <f t="shared" ref="L108" si="13">SUM(L15:L101)</f>
        <v>198874.26799999998</v>
      </c>
      <c r="M108" s="452"/>
      <c r="N108" s="413"/>
      <c r="O108" s="470">
        <f>O104+O105+O106</f>
        <v>2216521.2477846816</v>
      </c>
      <c r="P108" s="453"/>
      <c r="Q108" s="414"/>
      <c r="R108" s="454"/>
      <c r="S108" s="428"/>
      <c r="T108" s="455"/>
      <c r="U108" s="414"/>
      <c r="V108" s="429"/>
      <c r="W108" s="415"/>
      <c r="X108" s="414"/>
      <c r="Y108" s="453"/>
      <c r="Z108" s="414"/>
      <c r="AA108" s="454"/>
      <c r="AB108" s="428"/>
      <c r="AC108" s="455"/>
      <c r="AD108" s="414"/>
      <c r="AE108" s="429"/>
    </row>
    <row r="109" spans="1:31" x14ac:dyDescent="0.2">
      <c r="A109" s="413"/>
      <c r="B109" s="413"/>
      <c r="C109" s="413"/>
      <c r="E109" s="456"/>
      <c r="F109" s="413"/>
      <c r="G109" s="413"/>
      <c r="H109" s="457"/>
      <c r="I109" s="416"/>
      <c r="J109" s="413"/>
      <c r="L109" s="456"/>
      <c r="M109" s="413"/>
      <c r="N109" s="413"/>
      <c r="O109" s="457"/>
      <c r="P109" s="414"/>
      <c r="Q109" s="414"/>
      <c r="R109" s="414"/>
      <c r="S109" s="428"/>
      <c r="T109" s="414"/>
      <c r="U109" s="414"/>
      <c r="V109" s="429"/>
      <c r="W109" s="415"/>
      <c r="X109" s="414"/>
      <c r="Y109" s="414"/>
      <c r="Z109" s="414"/>
      <c r="AA109" s="414"/>
      <c r="AB109" s="428"/>
      <c r="AC109" s="414"/>
      <c r="AD109" s="414"/>
      <c r="AE109" s="429"/>
    </row>
    <row r="110" spans="1:31" ht="13.5" thickBot="1" x14ac:dyDescent="0.25">
      <c r="A110" s="236" t="s">
        <v>84</v>
      </c>
      <c r="B110" s="413"/>
      <c r="C110" s="413"/>
      <c r="D110" s="450"/>
      <c r="E110" s="413"/>
      <c r="F110" s="413"/>
      <c r="G110" s="413"/>
      <c r="H110" s="458">
        <f>H108</f>
        <v>2216521.2477846816</v>
      </c>
      <c r="I110" s="416"/>
      <c r="J110" s="297" t="s">
        <v>80</v>
      </c>
      <c r="K110" s="450"/>
      <c r="L110" s="413"/>
      <c r="M110" s="413"/>
      <c r="N110" s="413"/>
      <c r="O110" s="458">
        <f>O108+R109</f>
        <v>2216521.2477846816</v>
      </c>
      <c r="P110" s="414"/>
      <c r="Q110" s="414"/>
      <c r="R110" s="429"/>
      <c r="S110" s="414"/>
      <c r="T110" s="414"/>
      <c r="U110" s="414"/>
      <c r="V110" s="443"/>
      <c r="W110" s="415"/>
      <c r="X110" s="432"/>
      <c r="Y110" s="414"/>
      <c r="Z110" s="414"/>
      <c r="AA110" s="414"/>
      <c r="AB110" s="414"/>
      <c r="AC110" s="414"/>
      <c r="AD110" s="414"/>
      <c r="AE110" s="443"/>
    </row>
    <row r="111" spans="1:31" ht="13.5" thickTop="1" x14ac:dyDescent="0.2">
      <c r="A111" s="236"/>
      <c r="B111" s="413"/>
      <c r="C111" s="413"/>
      <c r="E111" s="413"/>
      <c r="F111" s="413"/>
      <c r="G111" s="413"/>
      <c r="H111" s="429"/>
      <c r="I111" s="416"/>
      <c r="J111" s="297"/>
      <c r="L111" s="413"/>
      <c r="M111" s="413"/>
      <c r="N111" s="413"/>
      <c r="O111" s="429"/>
      <c r="P111" s="414"/>
      <c r="Q111" s="414"/>
      <c r="R111" s="414"/>
      <c r="S111" s="414"/>
      <c r="T111" s="414"/>
      <c r="U111" s="414"/>
      <c r="V111" s="429"/>
      <c r="W111" s="415"/>
      <c r="X111" s="432"/>
      <c r="Y111" s="414"/>
      <c r="Z111" s="414"/>
      <c r="AA111" s="414"/>
      <c r="AB111" s="414"/>
      <c r="AC111" s="414"/>
      <c r="AD111" s="414"/>
      <c r="AE111" s="429"/>
    </row>
    <row r="112" spans="1:31" x14ac:dyDescent="0.2">
      <c r="A112" s="459" t="s">
        <v>19</v>
      </c>
      <c r="B112" s="413"/>
      <c r="C112" s="413"/>
      <c r="E112" s="440"/>
      <c r="F112" s="413"/>
      <c r="G112" s="413"/>
      <c r="H112" s="457">
        <v>2223858.2147500007</v>
      </c>
      <c r="I112" s="416"/>
      <c r="J112" s="432" t="s">
        <v>85</v>
      </c>
      <c r="L112" s="440"/>
      <c r="M112" s="413"/>
      <c r="N112" s="413"/>
      <c r="O112" s="457">
        <f>O110-H110</f>
        <v>0</v>
      </c>
      <c r="P112" s="414"/>
      <c r="Q112" s="414"/>
      <c r="R112" s="414"/>
      <c r="S112" s="460"/>
      <c r="T112" s="414"/>
      <c r="U112" s="414"/>
      <c r="V112" s="460"/>
      <c r="W112" s="415"/>
      <c r="X112" s="459"/>
      <c r="Y112" s="414"/>
      <c r="Z112" s="414"/>
      <c r="AA112" s="414"/>
      <c r="AB112" s="460"/>
      <c r="AC112" s="414"/>
      <c r="AD112" s="414"/>
      <c r="AE112" s="460"/>
    </row>
    <row r="113" spans="1:31" x14ac:dyDescent="0.2">
      <c r="A113" s="354"/>
      <c r="B113" s="413"/>
      <c r="C113" s="413"/>
      <c r="E113" s="414"/>
      <c r="F113" s="413"/>
      <c r="G113" s="413"/>
      <c r="H113" s="427"/>
      <c r="I113" s="416"/>
      <c r="J113" s="414"/>
      <c r="L113" s="414"/>
      <c r="M113" s="413"/>
      <c r="N113" s="413"/>
      <c r="O113" s="427"/>
      <c r="P113" s="414"/>
      <c r="Q113" s="414"/>
      <c r="R113" s="414"/>
      <c r="S113" s="429"/>
      <c r="T113" s="414"/>
      <c r="U113" s="414"/>
      <c r="V113" s="429"/>
      <c r="W113" s="415"/>
      <c r="X113" s="461"/>
      <c r="Y113" s="414"/>
      <c r="Z113" s="414"/>
      <c r="AA113" s="414"/>
      <c r="AB113" s="429"/>
      <c r="AC113" s="414"/>
      <c r="AD113" s="414"/>
      <c r="AE113" s="429"/>
    </row>
    <row r="114" spans="1:31" x14ac:dyDescent="0.2">
      <c r="A114" s="459" t="s">
        <v>13</v>
      </c>
      <c r="B114" s="413"/>
      <c r="C114" s="413"/>
      <c r="E114" s="460"/>
      <c r="F114" s="413"/>
      <c r="G114" s="413"/>
      <c r="H114" s="462">
        <f>H110-H112</f>
        <v>-7336.9669653191231</v>
      </c>
      <c r="I114" s="416"/>
      <c r="J114" s="432" t="s">
        <v>86</v>
      </c>
      <c r="L114" s="460"/>
      <c r="M114" s="413"/>
      <c r="N114" s="413"/>
      <c r="O114" s="463">
        <f>O112/H110</f>
        <v>0</v>
      </c>
      <c r="P114" s="414"/>
      <c r="Q114" s="414"/>
      <c r="R114" s="414"/>
      <c r="S114" s="464"/>
      <c r="T114" s="414"/>
      <c r="U114" s="414"/>
      <c r="V114" s="464"/>
      <c r="W114" s="415"/>
      <c r="X114" s="459"/>
      <c r="Y114" s="414"/>
      <c r="Z114" s="414"/>
      <c r="AA114" s="414"/>
      <c r="AB114" s="464"/>
      <c r="AC114" s="414"/>
      <c r="AD114" s="414"/>
      <c r="AE114" s="464"/>
    </row>
    <row r="115" spans="1:31" x14ac:dyDescent="0.2">
      <c r="A115" s="354"/>
      <c r="B115" s="413"/>
      <c r="C115" s="413"/>
      <c r="E115" s="429"/>
      <c r="F115" s="413"/>
      <c r="G115" s="413"/>
      <c r="H115" s="457"/>
      <c r="I115" s="465"/>
      <c r="J115" s="413"/>
      <c r="L115" s="429"/>
      <c r="M115" s="413"/>
      <c r="N115" s="413"/>
      <c r="O115" s="457"/>
      <c r="P115" s="415"/>
      <c r="Q115" s="415"/>
      <c r="R115" s="415"/>
      <c r="S115" s="415"/>
      <c r="T115" s="415"/>
      <c r="U115" s="415"/>
      <c r="V115" s="415"/>
      <c r="W115" s="415"/>
      <c r="X115" s="415"/>
      <c r="Y115" s="415"/>
      <c r="Z115" s="415"/>
      <c r="AA115" s="415"/>
      <c r="AB115" s="415"/>
      <c r="AC115" s="415"/>
      <c r="AD115" s="415"/>
      <c r="AE115" s="415"/>
    </row>
    <row r="116" spans="1:31" x14ac:dyDescent="0.2">
      <c r="A116" s="459" t="s">
        <v>26</v>
      </c>
      <c r="B116" s="413"/>
      <c r="C116" s="413"/>
      <c r="E116" s="464"/>
      <c r="F116" s="413"/>
      <c r="G116" s="413"/>
      <c r="H116" s="464">
        <f>(H110-H112)/H112</f>
        <v>-3.2992062698313355E-3</v>
      </c>
      <c r="I116" s="465"/>
      <c r="J116" s="236" t="s">
        <v>87</v>
      </c>
      <c r="L116" s="464"/>
      <c r="M116" s="413"/>
      <c r="N116" s="413"/>
      <c r="O116" s="466">
        <f>O112/L108</f>
        <v>0</v>
      </c>
      <c r="P116" s="415"/>
      <c r="Q116" s="415"/>
      <c r="R116" s="415"/>
      <c r="S116" s="415"/>
      <c r="T116" s="415"/>
      <c r="U116" s="415"/>
      <c r="V116" s="415"/>
      <c r="W116" s="415"/>
      <c r="X116" s="415"/>
      <c r="Y116" s="415"/>
      <c r="Z116" s="415"/>
      <c r="AA116" s="415"/>
      <c r="AB116" s="415"/>
      <c r="AC116" s="415"/>
      <c r="AD116" s="415"/>
      <c r="AE116" s="415"/>
    </row>
    <row r="117" spans="1:31" x14ac:dyDescent="0.2">
      <c r="A117" s="355"/>
      <c r="B117" s="413"/>
      <c r="C117" s="413"/>
      <c r="E117" s="413"/>
      <c r="F117" s="413"/>
      <c r="G117" s="413"/>
      <c r="H117" s="429"/>
      <c r="I117" s="467"/>
      <c r="J117" s="429"/>
      <c r="P117" s="429"/>
      <c r="Q117" s="429"/>
      <c r="R117" s="414"/>
      <c r="S117" s="414"/>
      <c r="T117" s="414"/>
      <c r="U117" s="414"/>
      <c r="V117" s="468"/>
      <c r="W117" s="415"/>
      <c r="X117" s="429"/>
      <c r="Y117" s="429"/>
      <c r="Z117" s="429"/>
      <c r="AA117" s="414"/>
      <c r="AB117" s="414"/>
      <c r="AC117" s="414"/>
      <c r="AD117" s="414"/>
      <c r="AE117" s="468"/>
    </row>
    <row r="118" spans="1:31" ht="15" customHeight="1" x14ac:dyDescent="0.2">
      <c r="H118" s="354"/>
      <c r="I118" s="354"/>
      <c r="J118" s="461"/>
      <c r="P118" s="354"/>
      <c r="Q118" s="354"/>
      <c r="X118" s="354"/>
      <c r="Y118" s="354"/>
      <c r="Z118" s="354"/>
    </row>
    <row r="119" spans="1:31" x14ac:dyDescent="0.2">
      <c r="H119" s="469"/>
      <c r="I119" s="421"/>
      <c r="J119" s="421"/>
    </row>
    <row r="120" spans="1:31" x14ac:dyDescent="0.2">
      <c r="H120" s="469"/>
      <c r="I120" s="421"/>
      <c r="J120" s="421"/>
    </row>
    <row r="121" spans="1:31" x14ac:dyDescent="0.2">
      <c r="H121" s="469"/>
      <c r="I121" s="421"/>
      <c r="J121" s="421"/>
    </row>
    <row r="122" spans="1:31" x14ac:dyDescent="0.2">
      <c r="H122" s="469"/>
      <c r="I122" s="421"/>
      <c r="J122" s="421"/>
    </row>
    <row r="123" spans="1:31" x14ac:dyDescent="0.2">
      <c r="H123" s="469"/>
      <c r="I123" s="421"/>
      <c r="J123" s="421"/>
    </row>
    <row r="124" spans="1:31" x14ac:dyDescent="0.2">
      <c r="H124" s="415"/>
      <c r="I124" s="430"/>
      <c r="J124" s="430"/>
    </row>
  </sheetData>
  <mergeCells count="8">
    <mergeCell ref="E4:H5"/>
    <mergeCell ref="S4:V5"/>
    <mergeCell ref="AB4:AE5"/>
    <mergeCell ref="F7:G7"/>
    <mergeCell ref="T7:U7"/>
    <mergeCell ref="AC7:AD7"/>
    <mergeCell ref="M7:N7"/>
    <mergeCell ref="L4:O5"/>
  </mergeCells>
  <printOptions horizontalCentered="1"/>
  <pageMargins left="0.75" right="0.75" top="0.75" bottom="0.75" header="0.5" footer="0.5"/>
  <pageSetup scale="60" fitToHeight="2" orientation="landscape" r:id="rId1"/>
  <headerFooter alignWithMargins="0">
    <oddFooter>&amp;RExhibit JW-9
Page &amp;P of &amp;N</oddFooter>
  </headerFooter>
  <rowBreaks count="1" manualBreakCount="1">
    <brk id="6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M37"/>
  <sheetViews>
    <sheetView view="pageBreakPreview" zoomScale="85" zoomScaleNormal="75" zoomScaleSheetLayoutView="85" workbookViewId="0">
      <selection activeCell="T17" sqref="T17"/>
    </sheetView>
  </sheetViews>
  <sheetFormatPr defaultColWidth="9.140625" defaultRowHeight="15.75" x14ac:dyDescent="0.25"/>
  <cols>
    <col min="1" max="1" width="34.7109375" style="2" bestFit="1" customWidth="1"/>
    <col min="2" max="2" width="11.85546875" style="82" bestFit="1" customWidth="1"/>
    <col min="3" max="3" width="17" style="2" customWidth="1"/>
    <col min="4" max="4" width="17.140625" style="2" customWidth="1"/>
    <col min="5" max="5" width="19.140625" style="2" customWidth="1"/>
    <col min="6" max="6" width="14.7109375" style="2" customWidth="1"/>
    <col min="7" max="7" width="12.5703125" style="2" bestFit="1" customWidth="1"/>
    <col min="8" max="8" width="19.140625" style="2" hidden="1" customWidth="1"/>
    <col min="9" max="9" width="15.85546875" style="2" hidden="1" customWidth="1"/>
    <col min="10" max="10" width="15.7109375" style="2" hidden="1" customWidth="1"/>
    <col min="11" max="11" width="4.5703125" style="2" customWidth="1"/>
    <col min="12" max="12" width="20" style="2" customWidth="1"/>
    <col min="13" max="13" width="13.7109375" style="2" bestFit="1" customWidth="1"/>
    <col min="14" max="16384" width="9.140625" style="2"/>
  </cols>
  <sheetData>
    <row r="1" spans="1:13" ht="18.75" x14ac:dyDescent="0.3">
      <c r="A1" s="1" t="str">
        <f>'Present and Proposed Rates'!A1</f>
        <v>KENERGY CORP.</v>
      </c>
      <c r="B1" s="130"/>
    </row>
    <row r="2" spans="1:13" x14ac:dyDescent="0.25">
      <c r="A2" s="34" t="s">
        <v>111</v>
      </c>
    </row>
    <row r="3" spans="1:13" x14ac:dyDescent="0.25">
      <c r="A3" s="34"/>
    </row>
    <row r="5" spans="1:13" ht="57" customHeight="1" x14ac:dyDescent="0.25">
      <c r="A5" s="35" t="s">
        <v>14</v>
      </c>
      <c r="B5" s="109" t="s">
        <v>81</v>
      </c>
      <c r="C5" s="475" t="s">
        <v>8</v>
      </c>
      <c r="D5" s="475" t="s">
        <v>19</v>
      </c>
      <c r="E5" s="475" t="s">
        <v>33</v>
      </c>
      <c r="F5" s="475" t="s">
        <v>13</v>
      </c>
      <c r="G5" s="475" t="s">
        <v>20</v>
      </c>
      <c r="H5" s="36" t="s">
        <v>15</v>
      </c>
      <c r="I5" s="36" t="s">
        <v>13</v>
      </c>
      <c r="J5" s="36" t="s">
        <v>20</v>
      </c>
    </row>
    <row r="6" spans="1:13" x14ac:dyDescent="0.25">
      <c r="A6" s="34"/>
      <c r="B6" s="112"/>
    </row>
    <row r="7" spans="1:13" s="34" customFormat="1" x14ac:dyDescent="0.25">
      <c r="A7" s="34" t="str">
        <f>'Res-1'!A2</f>
        <v>Residential (Single and Three Phase)</v>
      </c>
      <c r="B7" s="112">
        <f>'Res-1'!A3</f>
        <v>1</v>
      </c>
      <c r="C7" s="114">
        <f>'Res-1'!D17</f>
        <v>696591621</v>
      </c>
      <c r="D7" s="115">
        <f>'Res-1'!G28</f>
        <v>84732647.243597999</v>
      </c>
      <c r="E7" s="116">
        <f>'Res-1'!G26</f>
        <v>84732678.183597997</v>
      </c>
      <c r="F7" s="116">
        <f t="shared" ref="F7:F10" si="0">E7-D7</f>
        <v>30.939999997615814</v>
      </c>
      <c r="G7" s="117">
        <f t="shared" ref="G7:G10" si="1">F7/D7</f>
        <v>3.6514851127767043E-7</v>
      </c>
      <c r="H7" s="116">
        <v>0</v>
      </c>
      <c r="I7" s="116">
        <f t="shared" ref="I7:I11" si="2">H7-E7</f>
        <v>-84732678.183597997</v>
      </c>
      <c r="J7" s="117">
        <f t="shared" ref="J7:J12" si="3">I7/E7</f>
        <v>-1</v>
      </c>
      <c r="L7" s="2"/>
      <c r="M7" s="2"/>
    </row>
    <row r="8" spans="1:13" s="34" customFormat="1" x14ac:dyDescent="0.25">
      <c r="A8" s="34" t="str">
        <f>'Com1Ph-3'!A2</f>
        <v>Commercial &amp; All Other Single Phase</v>
      </c>
      <c r="B8" s="112">
        <f>'Com1Ph-3'!A3</f>
        <v>3</v>
      </c>
      <c r="C8" s="114">
        <f>'Com1Ph-3'!D17</f>
        <v>118701594</v>
      </c>
      <c r="D8" s="84">
        <f>'Com1Ph-3'!G28</f>
        <v>15134862.542752001</v>
      </c>
      <c r="E8" s="61">
        <f>'Com1Ph-3'!G26</f>
        <v>15134801.250936</v>
      </c>
      <c r="F8" s="61">
        <f t="shared" si="0"/>
        <v>-61.291816001757979</v>
      </c>
      <c r="G8" s="117">
        <f t="shared" si="1"/>
        <v>-4.0497107805653827E-6</v>
      </c>
      <c r="H8" s="61">
        <v>0</v>
      </c>
      <c r="I8" s="61">
        <f t="shared" si="2"/>
        <v>-15134801.250936</v>
      </c>
      <c r="J8" s="117">
        <f t="shared" si="3"/>
        <v>-1</v>
      </c>
      <c r="L8" s="2"/>
      <c r="M8" s="2"/>
    </row>
    <row r="9" spans="1:13" s="34" customFormat="1" x14ac:dyDescent="0.25">
      <c r="A9" s="34" t="str">
        <f>'Com3Ph&lt;1000-5'!A2</f>
        <v>Commercial &amp; Public Bldgs Three Phase (&lt; 1000 kW)</v>
      </c>
      <c r="B9" s="112">
        <f>'Com3Ph&lt;1000-5'!A3</f>
        <v>5</v>
      </c>
      <c r="C9" s="114">
        <f>'Com3Ph&lt;1000-5'!D16</f>
        <v>115063652</v>
      </c>
      <c r="D9" s="84">
        <f>'Com3Ph&lt;1000-5'!G34</f>
        <v>20312856.829246003</v>
      </c>
      <c r="E9" s="61">
        <f>'Com3Ph&lt;1000-5'!G32</f>
        <v>20279138.197880004</v>
      </c>
      <c r="F9" s="61">
        <f>E9-D9</f>
        <v>-33718.631365999579</v>
      </c>
      <c r="G9" s="117">
        <f>F9/D9</f>
        <v>-1.6599649989878448E-3</v>
      </c>
      <c r="H9" s="61">
        <v>0</v>
      </c>
      <c r="I9" s="61">
        <f>H9-E9</f>
        <v>-20279138.197880004</v>
      </c>
      <c r="J9" s="117">
        <f>I9/E9</f>
        <v>-1</v>
      </c>
      <c r="L9" s="2"/>
      <c r="M9" s="2"/>
    </row>
    <row r="10" spans="1:13" s="34" customFormat="1" x14ac:dyDescent="0.25">
      <c r="A10" s="34" t="str">
        <f>'Com3Ph1000-7'!A2</f>
        <v>Commercial Three Phase (1001 kW +)</v>
      </c>
      <c r="B10" s="112">
        <f>'Com3Ph1000-7'!A3</f>
        <v>7</v>
      </c>
      <c r="C10" s="118">
        <f>'Com3Ph1000-7'!D21+'Com3Ph1000-7'!D24</f>
        <v>94600081</v>
      </c>
      <c r="D10" s="83">
        <f>'Com3Ph1000-7'!G53</f>
        <v>8068795.0930459974</v>
      </c>
      <c r="E10" s="63">
        <f>'Com3Ph1000-7'!G51</f>
        <v>8078643.5330459988</v>
      </c>
      <c r="F10" s="63">
        <f t="shared" si="0"/>
        <v>9848.4400000013411</v>
      </c>
      <c r="G10" s="65">
        <f t="shared" si="1"/>
        <v>1.2205589417544028E-3</v>
      </c>
      <c r="H10" s="63">
        <v>0</v>
      </c>
      <c r="I10" s="63">
        <f t="shared" si="2"/>
        <v>-8078643.5330459988</v>
      </c>
      <c r="J10" s="65">
        <f t="shared" si="3"/>
        <v>-1</v>
      </c>
      <c r="L10" s="2"/>
      <c r="M10" s="2"/>
    </row>
    <row r="11" spans="1:13" s="34" customFormat="1" x14ac:dyDescent="0.25">
      <c r="A11" s="34" t="str">
        <f>Lighting!A2</f>
        <v>Unmetered Lighting</v>
      </c>
      <c r="B11" s="112">
        <f>Lighting!A3</f>
        <v>15</v>
      </c>
      <c r="C11" s="118">
        <f>Lighting!D108</f>
        <v>9484875.9929999989</v>
      </c>
      <c r="D11" s="83">
        <f>Lighting!H112</f>
        <v>2223858.2147500007</v>
      </c>
      <c r="E11" s="63">
        <f>Lighting!H110</f>
        <v>2216521.2477846816</v>
      </c>
      <c r="F11" s="63">
        <f t="shared" ref="F11" si="4">E11-D11</f>
        <v>-7336.9669653191231</v>
      </c>
      <c r="G11" s="65">
        <f t="shared" ref="G11" si="5">F11/D11</f>
        <v>-3.2992062698313355E-3</v>
      </c>
      <c r="H11" s="63">
        <v>0</v>
      </c>
      <c r="I11" s="63">
        <f t="shared" si="2"/>
        <v>-2216521.2477846816</v>
      </c>
      <c r="J11" s="65">
        <f t="shared" si="3"/>
        <v>-1</v>
      </c>
      <c r="L11" s="2"/>
      <c r="M11" s="2"/>
    </row>
    <row r="12" spans="1:13" s="34" customFormat="1" ht="16.5" thickBot="1" x14ac:dyDescent="0.3">
      <c r="A12" s="283" t="s">
        <v>65</v>
      </c>
      <c r="B12" s="284"/>
      <c r="C12" s="76">
        <f>SUM(C7:C11)</f>
        <v>1034441823.993</v>
      </c>
      <c r="D12" s="79">
        <f>SUM(D7:D11)</f>
        <v>130473019.923392</v>
      </c>
      <c r="E12" s="278">
        <f>SUM(E7:E11)</f>
        <v>130441782.41324466</v>
      </c>
      <c r="F12" s="77">
        <f>SUM(F7:F11)</f>
        <v>-31237.510147321504</v>
      </c>
      <c r="G12" s="78">
        <f>F12/D12</f>
        <v>-2.3941739193024573E-4</v>
      </c>
      <c r="H12" s="79">
        <f>SUM(H7:H11)</f>
        <v>0</v>
      </c>
      <c r="I12" s="77">
        <f>SUM(I7:I11)</f>
        <v>-130441782.41324466</v>
      </c>
      <c r="J12" s="78">
        <f t="shared" si="3"/>
        <v>-1</v>
      </c>
      <c r="L12" s="331"/>
      <c r="M12" s="2"/>
    </row>
    <row r="13" spans="1:13" ht="16.5" thickTop="1" x14ac:dyDescent="0.25">
      <c r="E13" s="11"/>
      <c r="H13" s="11"/>
    </row>
    <row r="14" spans="1:13" ht="15.75" customHeight="1" x14ac:dyDescent="0.25">
      <c r="C14" s="61"/>
      <c r="D14" s="14"/>
      <c r="E14" s="57"/>
      <c r="H14" s="57"/>
    </row>
    <row r="15" spans="1:13" ht="15.75" customHeight="1" x14ac:dyDescent="0.25">
      <c r="C15" s="61"/>
      <c r="D15" s="14"/>
      <c r="E15" s="57"/>
      <c r="G15" s="22"/>
      <c r="H15" s="97"/>
    </row>
    <row r="16" spans="1:13" ht="15.75" customHeight="1" x14ac:dyDescent="0.25">
      <c r="C16" s="61"/>
      <c r="D16" s="14"/>
      <c r="E16" s="57"/>
      <c r="F16" s="22"/>
      <c r="H16" s="98"/>
    </row>
    <row r="17" spans="1:10" ht="15.75" customHeight="1" x14ac:dyDescent="0.25">
      <c r="C17" s="30"/>
      <c r="D17" s="30"/>
      <c r="F17" s="96"/>
      <c r="G17" s="30"/>
      <c r="H17" s="39"/>
    </row>
    <row r="18" spans="1:10" ht="15.75" customHeight="1" x14ac:dyDescent="0.25">
      <c r="F18" s="22"/>
    </row>
    <row r="19" spans="1:10" x14ac:dyDescent="0.25">
      <c r="A19" s="52"/>
      <c r="C19" s="61"/>
      <c r="D19" s="61"/>
      <c r="E19" s="113"/>
      <c r="F19" s="19"/>
      <c r="G19" s="19"/>
      <c r="H19" s="19"/>
      <c r="I19" s="19"/>
      <c r="J19" s="19"/>
    </row>
    <row r="20" spans="1:10" x14ac:dyDescent="0.25">
      <c r="A20" s="44"/>
      <c r="B20" s="3"/>
      <c r="C20" s="89"/>
      <c r="D20" s="89"/>
      <c r="E20" s="89"/>
      <c r="F20" s="89"/>
      <c r="G20" s="89"/>
      <c r="H20" s="89"/>
      <c r="I20" s="89"/>
      <c r="J20" s="89"/>
    </row>
    <row r="21" spans="1:10" x14ac:dyDescent="0.25">
      <c r="C21" s="110"/>
      <c r="D21" s="110"/>
      <c r="E21" s="110"/>
      <c r="F21" s="110"/>
      <c r="G21" s="110"/>
      <c r="H21" s="110"/>
      <c r="I21" s="19"/>
      <c r="J21" s="19"/>
    </row>
    <row r="22" spans="1:10" x14ac:dyDescent="0.25">
      <c r="A22" s="93"/>
      <c r="B22" s="99"/>
      <c r="C22" s="49"/>
      <c r="D22" s="51"/>
      <c r="E22" s="28"/>
      <c r="F22" s="50"/>
      <c r="G22" s="50"/>
      <c r="H22" s="28"/>
      <c r="I22" s="50"/>
      <c r="J22" s="28"/>
    </row>
    <row r="23" spans="1:10" x14ac:dyDescent="0.25">
      <c r="A23" s="93"/>
      <c r="B23" s="99"/>
      <c r="C23" s="49"/>
      <c r="D23" s="43"/>
      <c r="E23" s="63"/>
      <c r="F23" s="71"/>
      <c r="G23" s="65"/>
      <c r="H23" s="63"/>
      <c r="I23" s="71"/>
      <c r="J23" s="65"/>
    </row>
    <row r="24" spans="1:10" x14ac:dyDescent="0.25">
      <c r="A24" s="93"/>
      <c r="B24" s="99"/>
      <c r="C24" s="49"/>
      <c r="D24" s="51"/>
      <c r="E24" s="28"/>
      <c r="F24" s="63"/>
      <c r="G24" s="63"/>
      <c r="H24" s="28"/>
      <c r="I24" s="71"/>
      <c r="J24" s="65"/>
    </row>
    <row r="25" spans="1:10" x14ac:dyDescent="0.25">
      <c r="A25" s="93"/>
      <c r="B25" s="99"/>
      <c r="C25" s="49"/>
      <c r="D25" s="43"/>
      <c r="E25" s="63"/>
      <c r="F25" s="63"/>
      <c r="G25" s="63"/>
      <c r="H25" s="63"/>
      <c r="I25" s="71"/>
      <c r="J25" s="65"/>
    </row>
    <row r="26" spans="1:10" x14ac:dyDescent="0.25">
      <c r="A26" s="93"/>
      <c r="B26" s="99"/>
      <c r="C26" s="49"/>
      <c r="D26" s="51"/>
      <c r="E26" s="28"/>
      <c r="F26" s="63"/>
      <c r="G26" s="63"/>
      <c r="H26" s="28"/>
      <c r="I26" s="71"/>
      <c r="J26" s="65"/>
    </row>
    <row r="27" spans="1:10" x14ac:dyDescent="0.25">
      <c r="A27" s="93"/>
      <c r="B27" s="99"/>
      <c r="C27" s="49"/>
      <c r="D27" s="43"/>
      <c r="E27" s="63"/>
      <c r="F27" s="63"/>
      <c r="G27" s="63"/>
      <c r="H27" s="63"/>
      <c r="I27" s="71"/>
      <c r="J27" s="65"/>
    </row>
    <row r="28" spans="1:10" x14ac:dyDescent="0.25">
      <c r="A28" s="93"/>
      <c r="B28" s="99"/>
      <c r="C28" s="51"/>
      <c r="D28" s="51"/>
      <c r="E28" s="28"/>
      <c r="F28" s="63"/>
      <c r="G28" s="63"/>
      <c r="H28" s="28"/>
      <c r="I28" s="71"/>
      <c r="J28" s="65"/>
    </row>
    <row r="29" spans="1:10" x14ac:dyDescent="0.25">
      <c r="A29" s="53"/>
      <c r="B29" s="73"/>
      <c r="C29" s="39"/>
      <c r="D29" s="45"/>
      <c r="E29" s="42"/>
      <c r="F29" s="46"/>
      <c r="G29" s="46"/>
      <c r="H29" s="42"/>
      <c r="I29" s="18"/>
      <c r="J29" s="28"/>
    </row>
    <row r="30" spans="1:10" x14ac:dyDescent="0.25">
      <c r="A30" s="52"/>
      <c r="C30" s="8"/>
      <c r="D30" s="51"/>
      <c r="E30" s="28"/>
      <c r="F30" s="14"/>
      <c r="G30" s="14"/>
      <c r="H30" s="28"/>
    </row>
    <row r="31" spans="1:10" x14ac:dyDescent="0.25">
      <c r="C31" s="8"/>
      <c r="E31" s="31"/>
      <c r="F31" s="26"/>
      <c r="H31" s="70"/>
    </row>
    <row r="32" spans="1:10" x14ac:dyDescent="0.25">
      <c r="C32" s="8"/>
      <c r="F32" s="8"/>
      <c r="G32" s="8"/>
    </row>
    <row r="34" spans="1:7" x14ac:dyDescent="0.25">
      <c r="G34" s="30"/>
    </row>
    <row r="36" spans="1:7" x14ac:dyDescent="0.25">
      <c r="A36" s="52"/>
      <c r="C36" s="66"/>
    </row>
    <row r="37" spans="1:7" x14ac:dyDescent="0.25">
      <c r="A37" s="52"/>
    </row>
  </sheetData>
  <phoneticPr fontId="0" type="noConversion"/>
  <pageMargins left="0.75" right="0.35" top="1" bottom="1" header="0.5" footer="0.5"/>
  <pageSetup scale="97" orientation="landscape" r:id="rId1"/>
  <headerFooter alignWithMargins="0">
    <oddFooter>&amp;RExhibit JW-9
Page &amp;P of &amp;N</oddFooter>
  </headerFooter>
  <ignoredErrors>
    <ignoredError sqref="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Present and Proposed Rates</vt:lpstr>
      <vt:lpstr>Res-1</vt:lpstr>
      <vt:lpstr>Residential NonTOU</vt:lpstr>
      <vt:lpstr>Resid. - TOU</vt:lpstr>
      <vt:lpstr>Com1Ph-3</vt:lpstr>
      <vt:lpstr>Com3Ph&lt;1000-5</vt:lpstr>
      <vt:lpstr>Com3Ph1000-7</vt:lpstr>
      <vt:lpstr>Lighting</vt:lpstr>
      <vt:lpstr>Summary</vt:lpstr>
      <vt:lpstr>ResIncr</vt:lpstr>
      <vt:lpstr>Notice-Abbrev</vt:lpstr>
      <vt:lpstr>Notice-Full</vt:lpstr>
      <vt:lpstr>BillDet</vt:lpstr>
      <vt:lpstr>BillDetLt</vt:lpstr>
      <vt:lpstr>List</vt:lpstr>
      <vt:lpstr>'Com1Ph-3'!Print_Area</vt:lpstr>
      <vt:lpstr>'Com3Ph&lt;1000-5'!Print_Area</vt:lpstr>
      <vt:lpstr>'Com3Ph1000-7'!Print_Area</vt:lpstr>
      <vt:lpstr>Lighting!Print_Area</vt:lpstr>
      <vt:lpstr>'Notice-Abbrev'!Print_Area</vt:lpstr>
      <vt:lpstr>'Notice-Full'!Print_Area</vt:lpstr>
      <vt:lpstr>'Present and Proposed Rates'!Print_Area</vt:lpstr>
      <vt:lpstr>'Res-1'!Print_Area</vt:lpstr>
      <vt:lpstr>'Resid. - TOU'!Print_Area</vt:lpstr>
      <vt:lpstr>'Residential NonTOU'!Print_Area</vt:lpstr>
      <vt:lpstr>Summary!Print_Area</vt:lpstr>
      <vt:lpstr>Lighting!Print_Titles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Travis Siewert</cp:lastModifiedBy>
  <cp:lastPrinted>2021-03-02T00:39:03Z</cp:lastPrinted>
  <dcterms:created xsi:type="dcterms:W3CDTF">2000-07-10T18:54:31Z</dcterms:created>
  <dcterms:modified xsi:type="dcterms:W3CDTF">2021-03-09T14:33:24Z</dcterms:modified>
</cp:coreProperties>
</file>