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4616" windowHeight="11760" firstSheet="4" activeTab="4"/>
  </bookViews>
  <sheets>
    <sheet name="Usage" sheetId="1" r:id="rId1"/>
    <sheet name="Sewer Forecast" sheetId="2" r:id="rId2"/>
    <sheet name="Water Forecast" sheetId="3" r:id="rId3"/>
    <sheet name="Sewer Budget" sheetId="4" r:id="rId4"/>
    <sheet name="Water Budget" sheetId="5" r:id="rId5"/>
    <sheet name="Proposed Rates" sheetId="6" r:id="rId6"/>
    <sheet name="Existing Rates" sheetId="7" r:id="rId7"/>
    <sheet name="Debt" sheetId="8" r:id="rId8"/>
  </sheets>
  <externalReferences>
    <externalReference r:id="rId9"/>
  </externalReferences>
  <definedNames>
    <definedName name="_xlnm.Print_Area" localSheetId="0">Usage!$Q$1:$X$35</definedName>
    <definedName name="_xlnm.Print_Area" localSheetId="2">'Water Forecast'!$A$1:$AF$18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5" l="1"/>
  <c r="I27" i="5"/>
  <c r="Q25" i="5"/>
  <c r="N15" i="6"/>
  <c r="N16" i="6"/>
  <c r="N17" i="6"/>
  <c r="N18" i="6"/>
  <c r="B3" i="7"/>
  <c r="B4" i="7"/>
  <c r="B5" i="7"/>
  <c r="B6" i="7"/>
  <c r="B7" i="7"/>
  <c r="B8" i="7"/>
  <c r="O11" i="3"/>
  <c r="R11" i="3"/>
  <c r="O10" i="3"/>
  <c r="Z10" i="3"/>
  <c r="AF10" i="3"/>
  <c r="O9" i="3"/>
  <c r="U9" i="3"/>
  <c r="E8" i="3"/>
  <c r="E9" i="3"/>
  <c r="E10" i="3"/>
  <c r="H8" i="3"/>
  <c r="H9" i="3"/>
  <c r="I9" i="3"/>
  <c r="I14" i="3"/>
  <c r="H10" i="3"/>
  <c r="H12" i="3"/>
  <c r="H13" i="3"/>
  <c r="E13" i="3"/>
  <c r="E12" i="3"/>
  <c r="E11" i="3"/>
  <c r="D12" i="3"/>
  <c r="G12" i="3"/>
  <c r="D9" i="3"/>
  <c r="J9" i="3"/>
  <c r="D8" i="3"/>
  <c r="G8" i="3"/>
  <c r="D10" i="3"/>
  <c r="J10" i="3"/>
  <c r="D13" i="3"/>
  <c r="J13" i="3"/>
  <c r="D11" i="3"/>
  <c r="J11" i="3"/>
  <c r="U15" i="1"/>
  <c r="Q47" i="5"/>
  <c r="Q51" i="5"/>
  <c r="AN27" i="1"/>
  <c r="AO27" i="1"/>
  <c r="AN26" i="1"/>
  <c r="AO26" i="1"/>
  <c r="AN25" i="1"/>
  <c r="AO25" i="1"/>
  <c r="AN24" i="1"/>
  <c r="AO24" i="1"/>
  <c r="AN23" i="1"/>
  <c r="AO23" i="1"/>
  <c r="AN22" i="1"/>
  <c r="AO22" i="1"/>
  <c r="AN21" i="1"/>
  <c r="AO21" i="1"/>
  <c r="AN9" i="1"/>
  <c r="AO9" i="1"/>
  <c r="AN10" i="1"/>
  <c r="AO10" i="1"/>
  <c r="AN11" i="1"/>
  <c r="AO11" i="1"/>
  <c r="AN12" i="1"/>
  <c r="AO12" i="1"/>
  <c r="AN13" i="1"/>
  <c r="AO13" i="1"/>
  <c r="AN14" i="1"/>
  <c r="AO14" i="1"/>
  <c r="AN8" i="1"/>
  <c r="AO8" i="1"/>
  <c r="AD12" i="3"/>
  <c r="AD16" i="3"/>
  <c r="AA12" i="3"/>
  <c r="AA16" i="3"/>
  <c r="Z4" i="3"/>
  <c r="AB4" i="3"/>
  <c r="AE4" i="3"/>
  <c r="W5" i="3"/>
  <c r="Z5" i="3"/>
  <c r="AA5" i="3"/>
  <c r="AB5" i="3"/>
  <c r="AC5" i="3"/>
  <c r="AD5" i="3"/>
  <c r="AE5" i="3"/>
  <c r="AF5" i="3"/>
  <c r="W6" i="3"/>
  <c r="Y6" i="3"/>
  <c r="Z6" i="3"/>
  <c r="AA6" i="3"/>
  <c r="AB6" i="3"/>
  <c r="AD6" i="3"/>
  <c r="AE6" i="3"/>
  <c r="W7" i="3"/>
  <c r="W8" i="3"/>
  <c r="Y8" i="3"/>
  <c r="AE8" i="3"/>
  <c r="AB8" i="3"/>
  <c r="W9" i="3"/>
  <c r="Y9" i="3"/>
  <c r="AE9" i="3"/>
  <c r="W10" i="3"/>
  <c r="Y10" i="3"/>
  <c r="AE10" i="3"/>
  <c r="AB10" i="3"/>
  <c r="W11" i="3"/>
  <c r="Y11" i="3"/>
  <c r="Y12" i="3"/>
  <c r="W13" i="3"/>
  <c r="W14" i="3"/>
  <c r="Y15" i="3"/>
  <c r="Z15" i="3"/>
  <c r="AA15" i="3"/>
  <c r="AB15" i="3"/>
  <c r="AC15" i="3"/>
  <c r="AD15" i="3"/>
  <c r="AE15" i="3"/>
  <c r="AF15" i="3"/>
  <c r="Y16" i="3"/>
  <c r="O8" i="3"/>
  <c r="R8" i="3"/>
  <c r="S10" i="3"/>
  <c r="S11" i="3"/>
  <c r="T11" i="3"/>
  <c r="T8" i="3"/>
  <c r="Q10" i="3"/>
  <c r="Q11" i="3"/>
  <c r="Q8" i="3"/>
  <c r="Q12" i="3"/>
  <c r="W33" i="1"/>
  <c r="U33" i="1"/>
  <c r="X31" i="1"/>
  <c r="W28" i="1"/>
  <c r="U28" i="1"/>
  <c r="X26" i="1"/>
  <c r="V26" i="1"/>
  <c r="I25" i="5"/>
  <c r="Q6" i="4"/>
  <c r="Q12" i="4"/>
  <c r="Q27" i="4"/>
  <c r="Q36" i="4"/>
  <c r="AA6" i="4"/>
  <c r="AA12" i="4"/>
  <c r="AA27" i="4"/>
  <c r="AA36" i="4"/>
  <c r="AA49" i="4"/>
  <c r="H23" i="4"/>
  <c r="Q23" i="4"/>
  <c r="AA23" i="4"/>
  <c r="H34" i="4"/>
  <c r="Q34" i="4"/>
  <c r="AA34" i="4"/>
  <c r="H47" i="4"/>
  <c r="Q47" i="4"/>
  <c r="AA47" i="4"/>
  <c r="E8" i="2"/>
  <c r="F8" i="2"/>
  <c r="H8" i="2"/>
  <c r="J8" i="2"/>
  <c r="O8" i="2"/>
  <c r="R8" i="2"/>
  <c r="Q8" i="2"/>
  <c r="T8" i="2"/>
  <c r="T29" i="2"/>
  <c r="E9" i="2"/>
  <c r="H9" i="2"/>
  <c r="I9" i="2"/>
  <c r="O9" i="2"/>
  <c r="Q9" i="2"/>
  <c r="T9" i="2"/>
  <c r="E10" i="2"/>
  <c r="G10" i="2"/>
  <c r="F10" i="2"/>
  <c r="H10" i="2"/>
  <c r="I10" i="2"/>
  <c r="O10" i="2"/>
  <c r="U10" i="2"/>
  <c r="R10" i="2"/>
  <c r="Q10" i="2"/>
  <c r="T10" i="2"/>
  <c r="E11" i="2"/>
  <c r="F11" i="2"/>
  <c r="H11" i="2"/>
  <c r="O11" i="2"/>
  <c r="R11" i="2"/>
  <c r="Q11" i="2"/>
  <c r="T11" i="2"/>
  <c r="U11" i="2"/>
  <c r="E12" i="2"/>
  <c r="G12" i="2"/>
  <c r="H12" i="2"/>
  <c r="O12" i="2"/>
  <c r="R12" i="2"/>
  <c r="Q12" i="2"/>
  <c r="T12" i="2"/>
  <c r="U12" i="2"/>
  <c r="E13" i="2"/>
  <c r="G13" i="2"/>
  <c r="H13" i="2"/>
  <c r="I13" i="2"/>
  <c r="O13" i="2"/>
  <c r="Q13" i="2"/>
  <c r="R13" i="2"/>
  <c r="T13" i="2"/>
  <c r="U13" i="2"/>
  <c r="E14" i="2"/>
  <c r="H14" i="2"/>
  <c r="I14" i="2"/>
  <c r="O14" i="2"/>
  <c r="R14" i="2"/>
  <c r="Q14" i="2"/>
  <c r="T14" i="2"/>
  <c r="E15" i="2"/>
  <c r="H15" i="2"/>
  <c r="J15" i="2"/>
  <c r="O15" i="2"/>
  <c r="R15" i="2"/>
  <c r="Q15" i="2"/>
  <c r="T15" i="2"/>
  <c r="U15" i="2"/>
  <c r="E16" i="2"/>
  <c r="F16" i="2"/>
  <c r="H16" i="2"/>
  <c r="O16" i="2"/>
  <c r="Q16" i="2"/>
  <c r="R16" i="2"/>
  <c r="T16" i="2"/>
  <c r="U16" i="2"/>
  <c r="E17" i="2"/>
  <c r="F17" i="2"/>
  <c r="H17" i="2"/>
  <c r="J17" i="2"/>
  <c r="O17" i="2"/>
  <c r="U17" i="2"/>
  <c r="R17" i="2"/>
  <c r="Q17" i="2"/>
  <c r="T17" i="2"/>
  <c r="E18" i="2"/>
  <c r="G18" i="2"/>
  <c r="H18" i="2"/>
  <c r="I18" i="2"/>
  <c r="O18" i="2"/>
  <c r="U18" i="2"/>
  <c r="R18" i="2"/>
  <c r="Q18" i="2"/>
  <c r="T18" i="2"/>
  <c r="E19" i="2"/>
  <c r="F19" i="2"/>
  <c r="H19" i="2"/>
  <c r="O19" i="2"/>
  <c r="U19" i="2"/>
  <c r="Q19" i="2"/>
  <c r="R19" i="2"/>
  <c r="T19" i="2"/>
  <c r="E20" i="2"/>
  <c r="G20" i="2"/>
  <c r="H20" i="2"/>
  <c r="I20" i="2"/>
  <c r="O20" i="2"/>
  <c r="R20" i="2"/>
  <c r="Q20" i="2"/>
  <c r="T20" i="2"/>
  <c r="E21" i="2"/>
  <c r="F21" i="2"/>
  <c r="H21" i="2"/>
  <c r="I21" i="2"/>
  <c r="O21" i="2"/>
  <c r="Q21" i="2"/>
  <c r="T21" i="2"/>
  <c r="E22" i="2"/>
  <c r="F22" i="2"/>
  <c r="H22" i="2"/>
  <c r="I22" i="2"/>
  <c r="O22" i="2"/>
  <c r="Q22" i="2"/>
  <c r="T22" i="2"/>
  <c r="E23" i="2"/>
  <c r="F23" i="2"/>
  <c r="H23" i="2"/>
  <c r="O23" i="2"/>
  <c r="Q23" i="2"/>
  <c r="T23" i="2"/>
  <c r="E24" i="2"/>
  <c r="G24" i="2"/>
  <c r="F24" i="2"/>
  <c r="H24" i="2"/>
  <c r="J24" i="2"/>
  <c r="I24" i="2"/>
  <c r="O24" i="2"/>
  <c r="R24" i="2"/>
  <c r="Q24" i="2"/>
  <c r="T24" i="2"/>
  <c r="E25" i="2"/>
  <c r="F25" i="2"/>
  <c r="H25" i="2"/>
  <c r="I25" i="2"/>
  <c r="J25" i="2"/>
  <c r="O25" i="2"/>
  <c r="R25" i="2"/>
  <c r="Q25" i="2"/>
  <c r="T25" i="2"/>
  <c r="E26" i="2"/>
  <c r="F26" i="2"/>
  <c r="G26" i="2"/>
  <c r="H26" i="2"/>
  <c r="O26" i="2"/>
  <c r="U26" i="2"/>
  <c r="Q26" i="2"/>
  <c r="T26" i="2"/>
  <c r="E27" i="2"/>
  <c r="G27" i="2"/>
  <c r="F27" i="2"/>
  <c r="H27" i="2"/>
  <c r="J27" i="2"/>
  <c r="O27" i="2"/>
  <c r="R27" i="2"/>
  <c r="Q27" i="2"/>
  <c r="T27" i="2"/>
  <c r="E28" i="2"/>
  <c r="G28" i="2"/>
  <c r="F28" i="2"/>
  <c r="H28" i="2"/>
  <c r="J28" i="2"/>
  <c r="O28" i="2"/>
  <c r="R28" i="2"/>
  <c r="Q28" i="2"/>
  <c r="T28" i="2"/>
  <c r="U28" i="2"/>
  <c r="P29" i="2"/>
  <c r="S29" i="2"/>
  <c r="E34" i="2"/>
  <c r="F34" i="2"/>
  <c r="G34" i="2"/>
  <c r="H34" i="2"/>
  <c r="I34" i="2"/>
  <c r="J34" i="2"/>
  <c r="P34" i="2"/>
  <c r="Q34" i="2"/>
  <c r="R34" i="2"/>
  <c r="S34" i="2"/>
  <c r="S52" i="2"/>
  <c r="T34" i="2"/>
  <c r="U34" i="2"/>
  <c r="F37" i="2"/>
  <c r="F38" i="2"/>
  <c r="G37" i="2"/>
  <c r="G38" i="2"/>
  <c r="I37" i="2"/>
  <c r="I38" i="2"/>
  <c r="J37" i="2"/>
  <c r="J38" i="2"/>
  <c r="Q37" i="2"/>
  <c r="Q38" i="2"/>
  <c r="R37" i="2"/>
  <c r="R38" i="2"/>
  <c r="T37" i="2"/>
  <c r="T38" i="2"/>
  <c r="U37" i="2"/>
  <c r="U38" i="2"/>
  <c r="E38" i="2"/>
  <c r="H38" i="2"/>
  <c r="P38" i="2"/>
  <c r="S38" i="2"/>
  <c r="F41" i="2"/>
  <c r="F42" i="2"/>
  <c r="G41" i="2"/>
  <c r="G42" i="2"/>
  <c r="I41" i="2"/>
  <c r="I42" i="2"/>
  <c r="J41" i="2"/>
  <c r="J42" i="2"/>
  <c r="Q41" i="2"/>
  <c r="Q42" i="2"/>
  <c r="R41" i="2"/>
  <c r="R42" i="2"/>
  <c r="T41" i="2"/>
  <c r="T42" i="2"/>
  <c r="U41" i="2"/>
  <c r="U42" i="2"/>
  <c r="E42" i="2"/>
  <c r="H42" i="2"/>
  <c r="P42" i="2"/>
  <c r="P52" i="2"/>
  <c r="S42" i="2"/>
  <c r="F45" i="2"/>
  <c r="F46" i="2"/>
  <c r="G45" i="2"/>
  <c r="G46" i="2"/>
  <c r="I45" i="2"/>
  <c r="I46" i="2"/>
  <c r="J45" i="2"/>
  <c r="J46" i="2"/>
  <c r="Q45" i="2"/>
  <c r="Q46" i="2"/>
  <c r="R45" i="2"/>
  <c r="R46" i="2"/>
  <c r="T45" i="2"/>
  <c r="T46" i="2"/>
  <c r="U45" i="2"/>
  <c r="U46" i="2"/>
  <c r="E46" i="2"/>
  <c r="H46" i="2"/>
  <c r="P46" i="2"/>
  <c r="S46" i="2"/>
  <c r="F49" i="2"/>
  <c r="F50" i="2"/>
  <c r="G49" i="2"/>
  <c r="G50" i="2"/>
  <c r="I49" i="2"/>
  <c r="I50" i="2"/>
  <c r="J49" i="2"/>
  <c r="J50" i="2"/>
  <c r="Q49" i="2"/>
  <c r="Q50" i="2"/>
  <c r="R49" i="2"/>
  <c r="R50" i="2"/>
  <c r="T49" i="2"/>
  <c r="T50" i="2"/>
  <c r="U49" i="2"/>
  <c r="E50" i="2"/>
  <c r="H50" i="2"/>
  <c r="P50" i="2"/>
  <c r="S50" i="2"/>
  <c r="U50" i="2"/>
  <c r="F8" i="1"/>
  <c r="H8" i="1"/>
  <c r="V8" i="1"/>
  <c r="X8" i="1"/>
  <c r="F9" i="1"/>
  <c r="H9" i="1"/>
  <c r="V9" i="1"/>
  <c r="V15" i="1"/>
  <c r="X9" i="1"/>
  <c r="X15" i="1"/>
  <c r="F10" i="1"/>
  <c r="H10" i="1"/>
  <c r="V10" i="1"/>
  <c r="X10" i="1"/>
  <c r="F11" i="1"/>
  <c r="H11" i="1"/>
  <c r="V11" i="1"/>
  <c r="X11" i="1"/>
  <c r="F12" i="1"/>
  <c r="H12" i="1"/>
  <c r="V12" i="1"/>
  <c r="X12" i="1"/>
  <c r="F13" i="1"/>
  <c r="H13" i="1"/>
  <c r="V13" i="1"/>
  <c r="X13" i="1"/>
  <c r="F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F22" i="1"/>
  <c r="H22" i="1"/>
  <c r="F23" i="1"/>
  <c r="H23" i="1"/>
  <c r="F24" i="1"/>
  <c r="H24" i="1"/>
  <c r="F25" i="1"/>
  <c r="H25" i="1"/>
  <c r="F26" i="1"/>
  <c r="H26" i="1"/>
  <c r="F27" i="1"/>
  <c r="H27" i="1"/>
  <c r="F28" i="1"/>
  <c r="H28" i="1"/>
  <c r="E29" i="1"/>
  <c r="E33" i="1"/>
  <c r="G29" i="1"/>
  <c r="G33" i="1"/>
  <c r="W15" i="1"/>
  <c r="V21" i="1"/>
  <c r="V23" i="1"/>
  <c r="X21" i="1"/>
  <c r="V22" i="1"/>
  <c r="X22" i="1"/>
  <c r="X23" i="1"/>
  <c r="U23" i="1"/>
  <c r="W23" i="1"/>
  <c r="W35" i="1"/>
  <c r="V27" i="1"/>
  <c r="V28" i="1"/>
  <c r="X27" i="1"/>
  <c r="X28" i="1"/>
  <c r="V32" i="1"/>
  <c r="V33" i="1"/>
  <c r="X32" i="1"/>
  <c r="X33" i="1"/>
  <c r="Z12" i="5"/>
  <c r="Z27" i="5"/>
  <c r="Z36" i="5"/>
  <c r="Z49" i="5"/>
  <c r="AI21" i="5"/>
  <c r="AI25" i="5"/>
  <c r="AI22" i="5"/>
  <c r="AI23" i="5"/>
  <c r="Z25" i="5"/>
  <c r="I34" i="5"/>
  <c r="Q34" i="5"/>
  <c r="Z34" i="5"/>
  <c r="AI34" i="5"/>
  <c r="AI40" i="5"/>
  <c r="AI47" i="5"/>
  <c r="AI41" i="5"/>
  <c r="I47" i="5"/>
  <c r="Z47" i="5"/>
  <c r="F8" i="3"/>
  <c r="I8" i="3"/>
  <c r="I13" i="3"/>
  <c r="J13" i="2"/>
  <c r="I15" i="2"/>
  <c r="G19" i="2"/>
  <c r="F9" i="2"/>
  <c r="J22" i="2"/>
  <c r="J12" i="2"/>
  <c r="I12" i="2"/>
  <c r="G25" i="2"/>
  <c r="G23" i="2"/>
  <c r="J21" i="2"/>
  <c r="J10" i="2"/>
  <c r="F20" i="2"/>
  <c r="I17" i="2"/>
  <c r="G11" i="2"/>
  <c r="F13" i="2"/>
  <c r="J9" i="2"/>
  <c r="J18" i="2"/>
  <c r="J20" i="2"/>
  <c r="G22" i="2"/>
  <c r="J23" i="2"/>
  <c r="I23" i="2"/>
  <c r="I16" i="2"/>
  <c r="J16" i="2"/>
  <c r="J19" i="2"/>
  <c r="I19" i="2"/>
  <c r="U14" i="2"/>
  <c r="G9" i="2"/>
  <c r="G21" i="2"/>
  <c r="I27" i="2"/>
  <c r="U27" i="2"/>
  <c r="G16" i="2"/>
  <c r="U25" i="2"/>
  <c r="I28" i="2"/>
  <c r="U24" i="2"/>
  <c r="G17" i="2"/>
  <c r="F18" i="2"/>
  <c r="F12" i="2"/>
  <c r="I11" i="3"/>
  <c r="F12" i="3"/>
  <c r="F13" i="3"/>
  <c r="F9" i="3"/>
  <c r="F11" i="3"/>
  <c r="Q9" i="3"/>
  <c r="F10" i="3"/>
  <c r="E14" i="3"/>
  <c r="E18" i="3"/>
  <c r="G8" i="2"/>
  <c r="G9" i="3"/>
  <c r="I12" i="3"/>
  <c r="T9" i="3"/>
  <c r="H14" i="3"/>
  <c r="H18" i="3"/>
  <c r="J8" i="3"/>
  <c r="I10" i="3"/>
  <c r="P12" i="3"/>
  <c r="P16" i="3"/>
  <c r="U10" i="3"/>
  <c r="AC10" i="3"/>
  <c r="Z11" i="3"/>
  <c r="AF11" i="3"/>
  <c r="R9" i="3"/>
  <c r="Z8" i="3"/>
  <c r="AC8" i="3"/>
  <c r="Z9" i="3"/>
  <c r="AF9" i="3"/>
  <c r="R10" i="3"/>
  <c r="R12" i="3"/>
  <c r="R16" i="3"/>
  <c r="U8" i="3"/>
  <c r="U11" i="3"/>
  <c r="F14" i="3"/>
  <c r="T52" i="2"/>
  <c r="T31" i="2"/>
  <c r="I26" i="2"/>
  <c r="J26" i="2"/>
  <c r="F14" i="2"/>
  <c r="F29" i="2"/>
  <c r="G14" i="2"/>
  <c r="X17" i="1"/>
  <c r="X35" i="1"/>
  <c r="G29" i="2"/>
  <c r="G52" i="2"/>
  <c r="G54" i="2"/>
  <c r="V35" i="1"/>
  <c r="V17" i="1"/>
  <c r="R21" i="2"/>
  <c r="U21" i="2"/>
  <c r="G15" i="2"/>
  <c r="F15" i="2"/>
  <c r="AE11" i="3"/>
  <c r="AB11" i="3"/>
  <c r="AE12" i="3"/>
  <c r="AE16" i="3"/>
  <c r="I18" i="3"/>
  <c r="I16" i="3"/>
  <c r="E29" i="2"/>
  <c r="E52" i="2"/>
  <c r="H29" i="1"/>
  <c r="H33" i="1"/>
  <c r="U22" i="2"/>
  <c r="R22" i="2"/>
  <c r="R9" i="2"/>
  <c r="R29" i="2"/>
  <c r="R52" i="2"/>
  <c r="R54" i="2"/>
  <c r="U9" i="2"/>
  <c r="H29" i="2"/>
  <c r="H52" i="2"/>
  <c r="Q49" i="4"/>
  <c r="S12" i="3"/>
  <c r="S16" i="3"/>
  <c r="T10" i="3"/>
  <c r="T12" i="3"/>
  <c r="F29" i="1"/>
  <c r="F33" i="1"/>
  <c r="Q29" i="2"/>
  <c r="U23" i="2"/>
  <c r="R23" i="2"/>
  <c r="J11" i="2"/>
  <c r="J29" i="2"/>
  <c r="J52" i="2"/>
  <c r="J54" i="2"/>
  <c r="I11" i="2"/>
  <c r="Q14" i="3"/>
  <c r="O13" i="3"/>
  <c r="Z13" i="3"/>
  <c r="Q16" i="3"/>
  <c r="U35" i="1"/>
  <c r="I36" i="5"/>
  <c r="G13" i="3"/>
  <c r="AF8" i="3"/>
  <c r="AF12" i="3"/>
  <c r="AF16" i="3"/>
  <c r="G11" i="3"/>
  <c r="G14" i="3"/>
  <c r="G18" i="3"/>
  <c r="AI6" i="5"/>
  <c r="AI12" i="5"/>
  <c r="AI27" i="5"/>
  <c r="AI36" i="5"/>
  <c r="AI49" i="5"/>
  <c r="I8" i="2"/>
  <c r="I29" i="2"/>
  <c r="U8" i="2"/>
  <c r="J12" i="3"/>
  <c r="J14" i="3"/>
  <c r="J18" i="3"/>
  <c r="AB9" i="3"/>
  <c r="AB12" i="3"/>
  <c r="J14" i="2"/>
  <c r="R26" i="2"/>
  <c r="U20" i="2"/>
  <c r="G10" i="3"/>
  <c r="U12" i="3"/>
  <c r="U16" i="3"/>
  <c r="AC9" i="3"/>
  <c r="AC11" i="3"/>
  <c r="Q6" i="5"/>
  <c r="Q12" i="5"/>
  <c r="Q27" i="5"/>
  <c r="Q36" i="5"/>
  <c r="AB16" i="3"/>
  <c r="AB14" i="3"/>
  <c r="F31" i="2"/>
  <c r="D30" i="2"/>
  <c r="F52" i="2"/>
  <c r="I52" i="2"/>
  <c r="I31" i="2"/>
  <c r="H6" i="4"/>
  <c r="H12" i="4"/>
  <c r="H27" i="4"/>
  <c r="H36" i="4"/>
  <c r="H49" i="4"/>
  <c r="Q31" i="2"/>
  <c r="O30" i="2"/>
  <c r="Q52" i="2"/>
  <c r="U29" i="2"/>
  <c r="U52" i="2"/>
  <c r="U54" i="2"/>
  <c r="I49" i="5"/>
  <c r="I51" i="5"/>
  <c r="T16" i="3"/>
  <c r="T14" i="3"/>
  <c r="F18" i="3"/>
  <c r="F16" i="3"/>
  <c r="D15" i="3"/>
  <c r="AC12" i="3"/>
  <c r="AC16" i="3"/>
  <c r="Q49" i="5"/>
</calcChain>
</file>

<file path=xl/sharedStrings.xml><?xml version="1.0" encoding="utf-8"?>
<sst xmlns="http://schemas.openxmlformats.org/spreadsheetml/2006/main" count="572" uniqueCount="195">
  <si>
    <t>XI.  ANALYSIS OF ACTUAL SEWER USAGE - EXISTING SYSTEM</t>
  </si>
  <si>
    <t>ANALYSIS OF ACTUAL WATER USAGE - EXISTING SYSTEM</t>
  </si>
  <si>
    <t>Residential</t>
  </si>
  <si>
    <t>Non-Residential</t>
  </si>
  <si>
    <t>Commercial</t>
  </si>
  <si>
    <t>MONTHLY SEWER USAGE</t>
  </si>
  <si>
    <t xml:space="preserve">No. of </t>
  </si>
  <si>
    <t>Usage</t>
  </si>
  <si>
    <t>MONTHLY WATER  USAGE</t>
  </si>
  <si>
    <t>RES 5/8"</t>
  </si>
  <si>
    <t>Average</t>
  </si>
  <si>
    <t>Users</t>
  </si>
  <si>
    <t>1,000</t>
  </si>
  <si>
    <t>5/8 x 3/4 meter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</si>
  <si>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</si>
  <si>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</si>
  <si>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</si>
  <si>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</si>
  <si>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</si>
  <si>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</si>
  <si>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</si>
  <si>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</si>
  <si>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</si>
  <si>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</si>
  <si>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</si>
  <si>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</si>
  <si>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</t>
  </si>
  <si>
    <t>avg</t>
  </si>
  <si>
    <t xml:space="preserve">         0 -   1,000 Gal.</t>
  </si>
  <si>
    <t xml:space="preserve">  1,000 -   2,000 Gal.</t>
  </si>
  <si>
    <t xml:space="preserve">   1,000 -   3,000 Gal.</t>
  </si>
  <si>
    <t xml:space="preserve">  2,000 -   3,000 Gal.</t>
  </si>
  <si>
    <t xml:space="preserve">   3,000 -   6,000 Gal.</t>
  </si>
  <si>
    <t xml:space="preserve">  3,000 -   4,000 Gal.</t>
  </si>
  <si>
    <t xml:space="preserve">   6,000 -   25,000 Gal.</t>
  </si>
  <si>
    <t xml:space="preserve">  4,000 -   5,000 Gal.</t>
  </si>
  <si>
    <t xml:space="preserve">   25,000 -   50,000 Gal.</t>
  </si>
  <si>
    <t xml:space="preserve">  5,000 -   6,000 Gal.</t>
  </si>
  <si>
    <t xml:space="preserve">   50,000 &amp; Over Gal.</t>
  </si>
  <si>
    <t xml:space="preserve">  6,000 -   7,000 Gal.</t>
  </si>
  <si>
    <t xml:space="preserve">  7,000 -   8,000 Gal.</t>
  </si>
  <si>
    <t>Subtotal</t>
  </si>
  <si>
    <t xml:space="preserve">  8,000 -   9,000 Gal.</t>
  </si>
  <si>
    <t xml:space="preserve">  9,000 - 10,000 Gal.</t>
  </si>
  <si>
    <t xml:space="preserve">Average Monthly Usage </t>
  </si>
  <si>
    <t>Comm 5/8"</t>
  </si>
  <si>
    <t>10,000 - 11,000 Gal.</t>
  </si>
  <si>
    <t>11,000 - 12,000 Gal.</t>
  </si>
  <si>
    <t>12,000 - 13,000 Gal.</t>
  </si>
  <si>
    <t>1 inch meter</t>
  </si>
  <si>
    <t>13,000 - 14,000 Gal.</t>
  </si>
  <si>
    <t>0 - 5,000 Gal.</t>
  </si>
  <si>
    <t>14,000 - 15,000 Gal.</t>
  </si>
  <si>
    <t>5,000 &amp; Over</t>
  </si>
  <si>
    <t>15,000 - 16,000 Gal.</t>
  </si>
  <si>
    <t>16,000 - 17,000 Gal.</t>
  </si>
  <si>
    <t>17,000 - 18,000 Gal.</t>
  </si>
  <si>
    <t>1.5 inch meter</t>
  </si>
  <si>
    <t>18,000 - 19,000 Gal.</t>
  </si>
  <si>
    <t>0 - 10,000 Gal.</t>
  </si>
  <si>
    <t>19,000 - 20,000 Gal.</t>
  </si>
  <si>
    <t>10,000 &amp; Over</t>
  </si>
  <si>
    <t>20,000 &amp; Over</t>
  </si>
  <si>
    <t xml:space="preserve">Average Monthly Rate </t>
  </si>
  <si>
    <t>2 inch meter</t>
  </si>
  <si>
    <t>0 - 25,000 Gal.</t>
  </si>
  <si>
    <t>25,000 &amp; Over</t>
  </si>
  <si>
    <t>Totals</t>
  </si>
  <si>
    <t>XXIX.  FORECAST OF SEWER - INCOME -  EXISTING SYSTEM</t>
  </si>
  <si>
    <t>XXX.  FORECAST OF SEWER - INCOME -  NEW USERS - EXTENSION ONLY</t>
  </si>
  <si>
    <t>Income</t>
  </si>
  <si>
    <t>Rate</t>
  </si>
  <si>
    <t xml:space="preserve">          0 -   1,000 Gal.</t>
  </si>
  <si>
    <t xml:space="preserve">   1,000 -   2,000 Gal.</t>
  </si>
  <si>
    <t xml:space="preserve">   2,000 -   3,000 Gal.</t>
  </si>
  <si>
    <t xml:space="preserve">   3,000 -   4,000 Gal.</t>
  </si>
  <si>
    <t xml:space="preserve">   4,000 -   5,000 Gal.</t>
  </si>
  <si>
    <t xml:space="preserve">   5,000 -   6,000 Gal.</t>
  </si>
  <si>
    <t xml:space="preserve">   6,000 -   7,000 Gal.</t>
  </si>
  <si>
    <t xml:space="preserve">   7,000 -   8,000 Gal.</t>
  </si>
  <si>
    <t xml:space="preserve">   8,000 -   9,000 Gal.</t>
  </si>
  <si>
    <t xml:space="preserve">  9,000 -  10,000 Gal.</t>
  </si>
  <si>
    <t>10,000 -  11,000 Gal.</t>
  </si>
  <si>
    <t>11,000 -  12,000 Gal.</t>
  </si>
  <si>
    <t>12,000 -  13,000 Gal.</t>
  </si>
  <si>
    <t>13,000 -  14,000 Gal.</t>
  </si>
  <si>
    <t>14,000 -  15,000 Gal.</t>
  </si>
  <si>
    <t>15,000 -  16,000 Gal.</t>
  </si>
  <si>
    <t>16,000 -  17,000 Gal.</t>
  </si>
  <si>
    <t>17,000 -  18,000 Gal.</t>
  </si>
  <si>
    <t>18,000 -  19,000 Gal.</t>
  </si>
  <si>
    <t>19,000 -  20,000 Gal.</t>
  </si>
  <si>
    <t>20,000 -  25,000 Gal.</t>
  </si>
  <si>
    <t>Sub-Total</t>
  </si>
  <si>
    <t>Average Monthly Rate</t>
  </si>
  <si>
    <t>3 inch meter</t>
  </si>
  <si>
    <t>4 inch meter</t>
  </si>
  <si>
    <t>6 inch meter</t>
  </si>
  <si>
    <t>Annual Total:</t>
  </si>
  <si>
    <t>WATER - INCOME -  EXISTING SYSTEM</t>
  </si>
  <si>
    <t>FORECAST OF WATER - INCOME -  EXISTING SYSTEM</t>
  </si>
  <si>
    <t>FORECAST OF WATER - INCOME -  NEW USERS - EXTENSION ONLY</t>
  </si>
  <si>
    <t>MONTHLY WATER USAGE</t>
  </si>
  <si>
    <t xml:space="preserve">         0 -   2,000 Gal.</t>
  </si>
  <si>
    <t>2,000 - 7,000 Gal</t>
  </si>
  <si>
    <t>7,000 - 20,000</t>
  </si>
  <si>
    <t>20,000 + Gal</t>
  </si>
  <si>
    <t xml:space="preserve">   50,000 &amp; over</t>
  </si>
  <si>
    <t xml:space="preserve">XXXIII. CURRENT OPERATING BUDGET - (SEWER SYSTEM) </t>
  </si>
  <si>
    <t>XXXIV. PROPOSED OPERATING BUDGET - (SEWER SYSTEM) - EXISTING SYSTEM</t>
  </si>
  <si>
    <t>XXXV. PROPOSED OPERATING BUDGET - (SEWER SYSTEM) - NEW USERS-</t>
  </si>
  <si>
    <t>(As of the last full operating year)</t>
  </si>
  <si>
    <t>AND NEW USERS (1st Full Year of Operation)</t>
  </si>
  <si>
    <t xml:space="preserve">Year Ending </t>
  </si>
  <si>
    <t>EXTENSION ONLY (1st Full Year of Operation)</t>
  </si>
  <si>
    <t>A.</t>
  </si>
  <si>
    <t>Operating Income:</t>
  </si>
  <si>
    <t>Sewer Revenue</t>
  </si>
  <si>
    <t>Late Charge Fees</t>
  </si>
  <si>
    <t>Other (Describe)</t>
  </si>
  <si>
    <t xml:space="preserve"> </t>
  </si>
  <si>
    <t>Less Allowances and Deductions</t>
  </si>
  <si>
    <t>Total Operating Income</t>
  </si>
  <si>
    <t>B.</t>
  </si>
  <si>
    <t>Operation and Maintenance Expenses:</t>
  </si>
  <si>
    <t>(Based on Uniform System of Accounts prescribed by National</t>
  </si>
  <si>
    <t xml:space="preserve">  Association of Regulatory Utility Commissioners)</t>
  </si>
  <si>
    <t>Operation Expense</t>
  </si>
  <si>
    <t>Maintenance Expense</t>
  </si>
  <si>
    <t>Customer Accounts Expense</t>
  </si>
  <si>
    <t>Administrative and General Expense</t>
  </si>
  <si>
    <t>Total Operating Expenses</t>
  </si>
  <si>
    <t>Net Operating Income</t>
  </si>
  <si>
    <t>C.</t>
  </si>
  <si>
    <t>Non-Operating Income:</t>
  </si>
  <si>
    <t>Interest on Deposits</t>
  </si>
  <si>
    <t>Other (Identify)</t>
  </si>
  <si>
    <t>Accured Taxes</t>
  </si>
  <si>
    <t>Total Non-Operating Income</t>
  </si>
  <si>
    <t>D.</t>
  </si>
  <si>
    <t>Net Income</t>
  </si>
  <si>
    <t>E.</t>
  </si>
  <si>
    <t>Debt Repayment:</t>
  </si>
  <si>
    <t>RD Interest</t>
  </si>
  <si>
    <t>RD Principal</t>
  </si>
  <si>
    <t>Non-RD Interest</t>
  </si>
  <si>
    <t>Non-RD Principal</t>
  </si>
  <si>
    <t>Total Debt Repayment</t>
  </si>
  <si>
    <t>F.</t>
  </si>
  <si>
    <t>Balance Available for Coverage and Depreciation</t>
  </si>
  <si>
    <t>XXXVI. CURRENT OPERATING BUDGET - (WATER SYSTEM) -</t>
  </si>
  <si>
    <t>XXXVII. PROPOSED OPERATING BUDGET - (WATER SYSTEM)</t>
  </si>
  <si>
    <t>XXXVIII. PROPOSED OPERATING BUDGET - (WATER SYSTEM) -</t>
  </si>
  <si>
    <t>XXXI. PROPOSED OPERATING BUDGET - (WATER SYSTEM)</t>
  </si>
  <si>
    <t>Year Ending 2018</t>
  </si>
  <si>
    <t>(1st Full Year of Operation)</t>
  </si>
  <si>
    <t>Year Ending 2020</t>
  </si>
  <si>
    <t>NEW USERS - EXTENSION ONLY</t>
  </si>
  <si>
    <t>WITHOUT GRANT</t>
  </si>
  <si>
    <t>Water Sales</t>
  </si>
  <si>
    <t>Disconnect/Reconnect/Late Charge Fees</t>
  </si>
  <si>
    <t>School Tax</t>
  </si>
  <si>
    <t>Tap Fees &amp; Misc</t>
  </si>
  <si>
    <t>Source of Supply Expense</t>
  </si>
  <si>
    <t>Pumping Expense</t>
  </si>
  <si>
    <t>Water Treatment Expense</t>
  </si>
  <si>
    <t>Transmission and Distribution Expense</t>
  </si>
  <si>
    <t>Additional Costs for increase Service (3 to 5 days)</t>
  </si>
  <si>
    <t>Short Lived Asset Fund</t>
  </si>
  <si>
    <t>Short Lived Assets</t>
  </si>
  <si>
    <t>Balance Available for Coverage</t>
  </si>
  <si>
    <t>Balance Available for Coverage &amp; Depreciation</t>
  </si>
  <si>
    <t>Coverage Ratio</t>
  </si>
  <si>
    <t>Proposed Rates</t>
  </si>
  <si>
    <t>5/8 inch</t>
  </si>
  <si>
    <t>first 2000</t>
  </si>
  <si>
    <t>minimum</t>
  </si>
  <si>
    <t>next 5000</t>
  </si>
  <si>
    <t>per 1000 gallons</t>
  </si>
  <si>
    <t>next 13000</t>
  </si>
  <si>
    <t>Over 20000</t>
  </si>
  <si>
    <t>0-2000</t>
  </si>
  <si>
    <t>2000-7000</t>
  </si>
  <si>
    <t>7000-20000</t>
  </si>
  <si>
    <t>20000+</t>
  </si>
  <si>
    <t>2018 Average  RATES</t>
  </si>
  <si>
    <t>First Half</t>
  </si>
  <si>
    <t>Second Half</t>
  </si>
  <si>
    <t>existing rates</t>
  </si>
  <si>
    <t>first 1000</t>
  </si>
  <si>
    <t>next 2000</t>
  </si>
  <si>
    <t>next 3000</t>
  </si>
  <si>
    <t>next 19000</t>
  </si>
  <si>
    <t>next 25000</t>
  </si>
  <si>
    <t>over 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</si>
</sst>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;;;"/>
    <numFmt numFmtId="166" formatCode="0.00_)"/>
    <numFmt numFmtId="167" formatCode="_(* #,##0_);_(* \(#,##0\);_(* &quot;-&quot;??_);_(@_)"/>
    <numFmt numFmtId="168" formatCode="_(&quot;$&quot;* #,##0_);_(&quot;$&quot;* \(#,##0\);_(&quot;$&quot;* &quot;-&quot;??_);_(@_)"/>
    <numFmt numFmtId="169" formatCode="0_)"/>
  </numFmts>
  <fonts count="35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b/>
      <sz val="10"/>
      <name val="Helv"/>
    </font>
    <font>
      <sz val="10"/>
      <name val="Helv"/>
    </font>
    <font>
      <u/>
      <sz val="10"/>
      <name val="Helv"/>
    </font>
    <font>
      <i/>
      <sz val="10"/>
      <name val="Helv"/>
    </font>
    <font>
      <sz val="10"/>
      <color indexed="9"/>
      <name val="Arial"/>
      <family val="2"/>
    </font>
    <font>
      <sz val="10"/>
      <color indexed="28"/>
      <name val="Helv"/>
    </font>
    <font>
      <i/>
      <sz val="10"/>
      <color indexed="28"/>
      <name val="Helv"/>
    </font>
    <font>
      <sz val="10"/>
      <color indexed="28"/>
      <name val="Arial"/>
      <family val="2"/>
    </font>
    <font>
      <b/>
      <sz val="10"/>
      <color indexed="28"/>
      <name val="Helv"/>
    </font>
    <font>
      <b/>
      <sz val="10"/>
      <name val="Helvetica"/>
      <family val="2"/>
    </font>
    <font>
      <sz val="10"/>
      <name val="Helvetica"/>
      <family val="2"/>
    </font>
    <font>
      <u/>
      <sz val="10"/>
      <name val="Helvetica"/>
      <family val="2"/>
    </font>
    <font>
      <i/>
      <sz val="10"/>
      <name val="Helvetica"/>
      <family val="2"/>
    </font>
    <font>
      <sz val="10"/>
      <color indexed="28"/>
      <name val="Helvetica"/>
      <family val="2"/>
    </font>
    <font>
      <i/>
      <sz val="10"/>
      <color indexed="28"/>
      <name val="Helvetica"/>
      <family val="2"/>
    </font>
    <font>
      <b/>
      <i/>
      <sz val="10"/>
      <name val="Helvetica"/>
      <family val="2"/>
    </font>
    <font>
      <b/>
      <i/>
      <u/>
      <sz val="10"/>
      <name val="Helvetica"/>
      <family val="2"/>
    </font>
    <font>
      <i/>
      <u/>
      <sz val="10"/>
      <name val="Helvetica"/>
      <family val="2"/>
    </font>
    <font>
      <i/>
      <sz val="10"/>
      <color indexed="9"/>
      <name val="Helvetica"/>
      <family val="2"/>
    </font>
    <font>
      <b/>
      <i/>
      <sz val="10"/>
      <color indexed="28"/>
      <name val="Helvetica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4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50"/>
      <name val="Arial"/>
      <family val="2"/>
    </font>
    <font>
      <u/>
      <sz val="10"/>
      <color indexed="50"/>
      <name val="Arial"/>
      <family val="2"/>
    </font>
    <font>
      <i/>
      <sz val="10"/>
      <color indexed="28"/>
      <name val="Arial"/>
      <family val="2"/>
    </font>
    <font>
      <b/>
      <sz val="10"/>
      <color indexed="28"/>
      <name val="Arial"/>
      <family val="2"/>
    </font>
    <font>
      <sz val="8"/>
      <name val="Helvetica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5" fillId="0" borderId="0"/>
  </cellStyleXfs>
  <cellXfs count="287">
    <xf numFmtId="0" fontId="0" fillId="0" borderId="0" xfId="0"/>
    <xf numFmtId="164" fontId="5" fillId="0" borderId="0" xfId="3"/>
    <xf numFmtId="164" fontId="4" fillId="0" borderId="0" xfId="3" applyFont="1"/>
    <xf numFmtId="164" fontId="7" fillId="0" borderId="0" xfId="3" applyFont="1"/>
    <xf numFmtId="164" fontId="5" fillId="0" borderId="0" xfId="3" applyAlignment="1" applyProtection="1">
      <alignment horizontal="left"/>
    </xf>
    <xf numFmtId="37" fontId="5" fillId="0" borderId="0" xfId="3" applyNumberFormat="1" applyProtection="1"/>
    <xf numFmtId="164" fontId="5" fillId="0" borderId="0" xfId="3" applyProtection="1"/>
    <xf numFmtId="0" fontId="2" fillId="0" borderId="0" xfId="0" applyFont="1"/>
    <xf numFmtId="164" fontId="5" fillId="0" borderId="0" xfId="3" applyFont="1" applyBorder="1" applyProtection="1"/>
    <xf numFmtId="37" fontId="5" fillId="0" borderId="0" xfId="3" applyNumberFormat="1" applyFont="1" applyBorder="1" applyProtection="1"/>
    <xf numFmtId="37" fontId="5" fillId="0" borderId="0" xfId="3" applyNumberFormat="1" applyBorder="1" applyProtection="1"/>
    <xf numFmtId="0" fontId="2" fillId="0" borderId="0" xfId="0" applyFont="1" applyBorder="1"/>
    <xf numFmtId="37" fontId="7" fillId="0" borderId="0" xfId="3" applyNumberFormat="1" applyFont="1" applyBorder="1" applyProtection="1"/>
    <xf numFmtId="164" fontId="7" fillId="0" borderId="0" xfId="3" applyFont="1" applyBorder="1"/>
    <xf numFmtId="0" fontId="8" fillId="0" borderId="0" xfId="0" applyFont="1" applyProtection="1">
      <protection hidden="1"/>
    </xf>
    <xf numFmtId="0" fontId="1" fillId="0" borderId="0" xfId="0" applyFont="1"/>
    <xf numFmtId="168" fontId="12" fillId="0" borderId="0" xfId="2" applyNumberFormat="1" applyFont="1"/>
    <xf numFmtId="0" fontId="0" fillId="0" borderId="0" xfId="0" applyBorder="1"/>
    <xf numFmtId="164" fontId="5" fillId="0" borderId="0" xfId="3" applyBorder="1"/>
    <xf numFmtId="164" fontId="2" fillId="0" borderId="0" xfId="0" applyNumberFormat="1" applyFont="1" applyBorder="1"/>
    <xf numFmtId="167" fontId="2" fillId="0" borderId="0" xfId="1" applyNumberFormat="1" applyFont="1" applyBorder="1"/>
    <xf numFmtId="164" fontId="5" fillId="0" borderId="0" xfId="3" applyBorder="1" applyProtection="1"/>
    <xf numFmtId="164" fontId="7" fillId="0" borderId="0" xfId="3" applyFont="1" applyBorder="1" applyProtection="1"/>
    <xf numFmtId="167" fontId="7" fillId="0" borderId="0" xfId="1" applyNumberFormat="1" applyFont="1" applyBorder="1" applyProtection="1"/>
    <xf numFmtId="167" fontId="7" fillId="0" borderId="0" xfId="1" applyNumberFormat="1" applyFont="1" applyBorder="1"/>
    <xf numFmtId="164" fontId="5" fillId="0" borderId="0" xfId="3" applyFont="1" applyBorder="1"/>
    <xf numFmtId="164" fontId="5" fillId="0" borderId="0" xfId="3" applyBorder="1" applyAlignment="1" applyProtection="1">
      <alignment horizontal="left"/>
    </xf>
    <xf numFmtId="164" fontId="9" fillId="0" borderId="0" xfId="3" applyFont="1" applyBorder="1"/>
    <xf numFmtId="0" fontId="11" fillId="0" borderId="0" xfId="0" applyFont="1" applyBorder="1"/>
    <xf numFmtId="164" fontId="10" fillId="0" borderId="0" xfId="3" applyFont="1" applyBorder="1"/>
    <xf numFmtId="168" fontId="10" fillId="0" borderId="0" xfId="2" applyNumberFormat="1" applyFont="1" applyBorder="1"/>
    <xf numFmtId="164" fontId="13" fillId="0" borderId="0" xfId="3" applyFont="1" applyAlignment="1" applyProtection="1">
      <alignment horizontal="left"/>
    </xf>
    <xf numFmtId="164" fontId="14" fillId="0" borderId="0" xfId="3" applyFont="1"/>
    <xf numFmtId="164" fontId="13" fillId="0" borderId="0" xfId="3" applyFont="1"/>
    <xf numFmtId="0" fontId="14" fillId="0" borderId="0" xfId="0" applyFont="1"/>
    <xf numFmtId="164" fontId="15" fillId="0" borderId="0" xfId="3" applyFont="1"/>
    <xf numFmtId="164" fontId="15" fillId="0" borderId="0" xfId="3" applyFont="1" applyAlignment="1" applyProtection="1">
      <alignment horizontal="left"/>
    </xf>
    <xf numFmtId="164" fontId="14" fillId="0" borderId="1" xfId="3" applyFont="1" applyBorder="1" applyAlignment="1" applyProtection="1">
      <alignment horizontal="centerContinuous"/>
    </xf>
    <xf numFmtId="0" fontId="14" fillId="0" borderId="2" xfId="0" applyFont="1" applyBorder="1" applyAlignment="1">
      <alignment horizontal="centerContinuous"/>
    </xf>
    <xf numFmtId="164" fontId="14" fillId="2" borderId="0" xfId="3" applyFont="1" applyFill="1" applyAlignment="1" applyProtection="1">
      <alignment horizontal="center"/>
    </xf>
    <xf numFmtId="164" fontId="14" fillId="0" borderId="3" xfId="3" applyFont="1" applyBorder="1" applyAlignment="1" applyProtection="1">
      <alignment horizontal="center"/>
    </xf>
    <xf numFmtId="164" fontId="14" fillId="2" borderId="3" xfId="3" applyFont="1" applyFill="1" applyBorder="1" applyAlignment="1" applyProtection="1">
      <alignment horizontal="center"/>
    </xf>
    <xf numFmtId="164" fontId="15" fillId="0" borderId="2" xfId="3" applyFont="1" applyBorder="1" applyAlignment="1" applyProtection="1">
      <alignment horizontal="center"/>
    </xf>
    <xf numFmtId="164" fontId="14" fillId="0" borderId="2" xfId="3" applyFont="1" applyBorder="1"/>
    <xf numFmtId="164" fontId="15" fillId="0" borderId="2" xfId="3" applyFont="1" applyBorder="1" applyAlignment="1" applyProtection="1">
      <alignment horizontal="left"/>
    </xf>
    <xf numFmtId="164" fontId="14" fillId="2" borderId="2" xfId="3" applyFont="1" applyFill="1" applyBorder="1" applyAlignment="1" applyProtection="1">
      <alignment horizontal="center"/>
    </xf>
    <xf numFmtId="164" fontId="14" fillId="0" borderId="4" xfId="3" applyFont="1" applyBorder="1" applyAlignment="1" applyProtection="1">
      <alignment horizontal="center"/>
    </xf>
    <xf numFmtId="164" fontId="14" fillId="2" borderId="4" xfId="3" applyFont="1" applyFill="1" applyBorder="1" applyAlignment="1" applyProtection="1">
      <alignment horizontal="center"/>
    </xf>
    <xf numFmtId="164" fontId="16" fillId="0" borderId="0" xfId="3" applyFont="1"/>
    <xf numFmtId="164" fontId="14" fillId="0" borderId="0" xfId="3" applyFont="1" applyAlignment="1" applyProtection="1">
      <alignment horizontal="left"/>
    </xf>
    <xf numFmtId="37" fontId="14" fillId="0" borderId="0" xfId="3" applyNumberFormat="1" applyFont="1" applyProtection="1"/>
    <xf numFmtId="164" fontId="14" fillId="0" borderId="0" xfId="3" applyFont="1" applyProtection="1"/>
    <xf numFmtId="0" fontId="16" fillId="0" borderId="0" xfId="0" applyFont="1"/>
    <xf numFmtId="164" fontId="16" fillId="0" borderId="5" xfId="3" applyFont="1" applyBorder="1" applyProtection="1"/>
    <xf numFmtId="37" fontId="16" fillId="0" borderId="5" xfId="3" applyNumberFormat="1" applyFont="1" applyBorder="1" applyProtection="1"/>
    <xf numFmtId="164" fontId="14" fillId="0" borderId="6" xfId="3" applyFont="1" applyBorder="1"/>
    <xf numFmtId="37" fontId="14" fillId="0" borderId="6" xfId="3" applyNumberFormat="1" applyFont="1" applyBorder="1" applyProtection="1"/>
    <xf numFmtId="164" fontId="14" fillId="0" borderId="0" xfId="3" applyFont="1" applyBorder="1" applyProtection="1"/>
    <xf numFmtId="37" fontId="14" fillId="0" borderId="0" xfId="3" applyNumberFormat="1" applyFont="1" applyBorder="1" applyProtection="1"/>
    <xf numFmtId="0" fontId="16" fillId="0" borderId="0" xfId="0" applyFont="1" applyBorder="1"/>
    <xf numFmtId="164" fontId="16" fillId="0" borderId="6" xfId="0" applyNumberFormat="1" applyFont="1" applyBorder="1"/>
    <xf numFmtId="167" fontId="16" fillId="0" borderId="6" xfId="1" applyNumberFormat="1" applyFont="1" applyBorder="1"/>
    <xf numFmtId="164" fontId="14" fillId="0" borderId="2" xfId="3" applyFont="1" applyBorder="1" applyProtection="1"/>
    <xf numFmtId="37" fontId="14" fillId="0" borderId="2" xfId="3" applyNumberFormat="1" applyFont="1" applyBorder="1" applyProtection="1"/>
    <xf numFmtId="37" fontId="16" fillId="0" borderId="0" xfId="3" applyNumberFormat="1" applyFont="1" applyBorder="1" applyProtection="1"/>
    <xf numFmtId="164" fontId="16" fillId="0" borderId="6" xfId="3" applyFont="1" applyBorder="1" applyProtection="1"/>
    <xf numFmtId="167" fontId="16" fillId="0" borderId="6" xfId="1" applyNumberFormat="1" applyFont="1" applyBorder="1" applyProtection="1"/>
    <xf numFmtId="164" fontId="16" fillId="0" borderId="0" xfId="3" applyFont="1" applyBorder="1"/>
    <xf numFmtId="164" fontId="16" fillId="0" borderId="6" xfId="3" applyFont="1" applyBorder="1"/>
    <xf numFmtId="164" fontId="13" fillId="0" borderId="6" xfId="3" applyFont="1" applyBorder="1"/>
    <xf numFmtId="167" fontId="13" fillId="0" borderId="6" xfId="1" applyNumberFormat="1" applyFont="1" applyBorder="1"/>
    <xf numFmtId="164" fontId="16" fillId="0" borderId="5" xfId="3" applyFont="1" applyBorder="1" applyAlignment="1" applyProtection="1">
      <alignment horizontal="left"/>
    </xf>
    <xf numFmtId="5" fontId="18" fillId="0" borderId="5" xfId="3" applyNumberFormat="1" applyFont="1" applyBorder="1" applyProtection="1"/>
    <xf numFmtId="166" fontId="16" fillId="0" borderId="6" xfId="3" applyNumberFormat="1" applyFont="1" applyBorder="1" applyProtection="1"/>
    <xf numFmtId="37" fontId="16" fillId="0" borderId="6" xfId="3" applyNumberFormat="1" applyFont="1" applyBorder="1" applyProtection="1"/>
    <xf numFmtId="166" fontId="14" fillId="0" borderId="0" xfId="3" applyNumberFormat="1" applyFont="1" applyBorder="1" applyProtection="1"/>
    <xf numFmtId="37" fontId="17" fillId="0" borderId="0" xfId="3" applyNumberFormat="1" applyFont="1" applyBorder="1" applyProtection="1"/>
    <xf numFmtId="164" fontId="14" fillId="0" borderId="0" xfId="3" applyFont="1" applyBorder="1"/>
    <xf numFmtId="0" fontId="16" fillId="0" borderId="6" xfId="0" applyFont="1" applyBorder="1"/>
    <xf numFmtId="168" fontId="18" fillId="0" borderId="6" xfId="2" applyNumberFormat="1" applyFont="1" applyBorder="1"/>
    <xf numFmtId="164" fontId="18" fillId="0" borderId="6" xfId="3" applyFont="1" applyBorder="1"/>
    <xf numFmtId="164" fontId="4" fillId="0" borderId="0" xfId="3" applyFont="1" applyBorder="1"/>
    <xf numFmtId="167" fontId="4" fillId="0" borderId="0" xfId="1" applyNumberFormat="1" applyFont="1" applyBorder="1"/>
    <xf numFmtId="168" fontId="12" fillId="0" borderId="0" xfId="2" applyNumberFormat="1" applyFont="1" applyBorder="1"/>
    <xf numFmtId="0" fontId="14" fillId="0" borderId="0" xfId="0" applyFont="1" applyBorder="1"/>
    <xf numFmtId="164" fontId="4" fillId="0" borderId="0" xfId="3" applyFont="1" applyFill="1" applyBorder="1" applyAlignment="1" applyProtection="1">
      <alignment horizontal="left"/>
    </xf>
    <xf numFmtId="164" fontId="5" fillId="0" borderId="0" xfId="3" applyFill="1" applyBorder="1"/>
    <xf numFmtId="164" fontId="4" fillId="0" borderId="0" xfId="3" applyFont="1" applyFill="1" applyBorder="1"/>
    <xf numFmtId="0" fontId="0" fillId="0" borderId="0" xfId="0" applyFill="1" applyBorder="1"/>
    <xf numFmtId="164" fontId="6" fillId="0" borderId="0" xfId="3" applyFont="1" applyFill="1" applyBorder="1"/>
    <xf numFmtId="164" fontId="6" fillId="0" borderId="0" xfId="3" applyFont="1" applyFill="1" applyBorder="1" applyAlignment="1" applyProtection="1">
      <alignment horizontal="left"/>
    </xf>
    <xf numFmtId="0" fontId="0" fillId="0" borderId="0" xfId="0" applyFill="1" applyBorder="1" applyAlignment="1">
      <alignment horizontal="centerContinuous"/>
    </xf>
    <xf numFmtId="164" fontId="5" fillId="0" borderId="0" xfId="3" applyFill="1" applyBorder="1" applyAlignment="1" applyProtection="1">
      <alignment horizontal="center"/>
    </xf>
    <xf numFmtId="164" fontId="6" fillId="0" borderId="0" xfId="3" applyFont="1" applyFill="1" applyBorder="1" applyAlignment="1" applyProtection="1">
      <alignment horizontal="center"/>
    </xf>
    <xf numFmtId="164" fontId="7" fillId="0" borderId="0" xfId="3" applyFont="1" applyFill="1" applyBorder="1"/>
    <xf numFmtId="164" fontId="5" fillId="0" borderId="0" xfId="3" applyFill="1" applyBorder="1" applyAlignment="1" applyProtection="1">
      <alignment horizontal="left"/>
    </xf>
    <xf numFmtId="37" fontId="5" fillId="0" borderId="0" xfId="3" applyNumberFormat="1" applyFill="1" applyBorder="1" applyProtection="1"/>
    <xf numFmtId="0" fontId="2" fillId="0" borderId="0" xfId="0" applyFont="1" applyFill="1" applyBorder="1"/>
    <xf numFmtId="37" fontId="7" fillId="0" borderId="0" xfId="3" applyNumberFormat="1" applyFont="1" applyFill="1" applyBorder="1" applyProtection="1"/>
    <xf numFmtId="164" fontId="5" fillId="0" borderId="0" xfId="3" applyFont="1" applyFill="1" applyBorder="1" applyAlignment="1" applyProtection="1">
      <alignment horizontal="left"/>
    </xf>
    <xf numFmtId="37" fontId="5" fillId="0" borderId="0" xfId="3" applyNumberFormat="1" applyFont="1" applyFill="1" applyBorder="1" applyProtection="1"/>
    <xf numFmtId="167" fontId="2" fillId="0" borderId="0" xfId="1" applyNumberFormat="1" applyFont="1" applyFill="1" applyBorder="1"/>
    <xf numFmtId="167" fontId="7" fillId="0" borderId="0" xfId="1" applyNumberFormat="1" applyFont="1" applyFill="1" applyBorder="1" applyProtection="1"/>
    <xf numFmtId="167" fontId="7" fillId="0" borderId="0" xfId="1" applyNumberFormat="1" applyFont="1" applyFill="1" applyBorder="1"/>
    <xf numFmtId="167" fontId="4" fillId="0" borderId="0" xfId="1" applyNumberFormat="1" applyFont="1" applyFill="1" applyBorder="1"/>
    <xf numFmtId="2" fontId="0" fillId="0" borderId="0" xfId="0" applyNumberFormat="1"/>
    <xf numFmtId="0" fontId="0" fillId="0" borderId="2" xfId="0" applyBorder="1"/>
    <xf numFmtId="164" fontId="19" fillId="0" borderId="0" xfId="3" applyFont="1" applyAlignment="1" applyProtection="1">
      <alignment horizontal="left"/>
    </xf>
    <xf numFmtId="164" fontId="20" fillId="0" borderId="0" xfId="3" applyFont="1"/>
    <xf numFmtId="164" fontId="21" fillId="0" borderId="0" xfId="3" applyFont="1"/>
    <xf numFmtId="164" fontId="21" fillId="0" borderId="0" xfId="3" applyFont="1" applyAlignment="1" applyProtection="1">
      <alignment horizontal="left"/>
    </xf>
    <xf numFmtId="0" fontId="22" fillId="0" borderId="0" xfId="0" applyFont="1" applyProtection="1">
      <protection hidden="1"/>
    </xf>
    <xf numFmtId="164" fontId="21" fillId="0" borderId="1" xfId="3" applyFont="1" applyBorder="1"/>
    <xf numFmtId="164" fontId="16" fillId="0" borderId="1" xfId="3" applyFont="1" applyBorder="1" applyAlignment="1" applyProtection="1">
      <alignment horizontal="left"/>
    </xf>
    <xf numFmtId="164" fontId="16" fillId="0" borderId="1" xfId="3" applyFont="1" applyBorder="1"/>
    <xf numFmtId="164" fontId="16" fillId="0" borderId="0" xfId="3" applyFont="1" applyAlignment="1" applyProtection="1">
      <alignment horizontal="right"/>
    </xf>
    <xf numFmtId="164" fontId="16" fillId="2" borderId="0" xfId="3" applyFont="1" applyFill="1" applyAlignment="1" applyProtection="1">
      <alignment horizontal="center"/>
    </xf>
    <xf numFmtId="164" fontId="16" fillId="0" borderId="3" xfId="3" applyFont="1" applyBorder="1" applyAlignment="1" applyProtection="1">
      <alignment horizontal="center"/>
    </xf>
    <xf numFmtId="164" fontId="16" fillId="2" borderId="3" xfId="3" applyFont="1" applyFill="1" applyBorder="1" applyAlignment="1" applyProtection="1">
      <alignment horizontal="center"/>
    </xf>
    <xf numFmtId="164" fontId="21" fillId="0" borderId="2" xfId="3" applyFont="1" applyBorder="1" applyAlignment="1" applyProtection="1">
      <alignment horizontal="left"/>
    </xf>
    <xf numFmtId="164" fontId="16" fillId="0" borderId="2" xfId="3" applyFont="1" applyBorder="1"/>
    <xf numFmtId="164" fontId="21" fillId="0" borderId="2" xfId="3" applyFont="1" applyBorder="1" applyAlignment="1" applyProtection="1">
      <alignment horizontal="right"/>
    </xf>
    <xf numFmtId="164" fontId="16" fillId="2" borderId="2" xfId="3" applyFont="1" applyFill="1" applyBorder="1" applyAlignment="1" applyProtection="1">
      <alignment horizontal="center"/>
    </xf>
    <xf numFmtId="164" fontId="16" fillId="0" borderId="4" xfId="3" applyFont="1" applyBorder="1" applyAlignment="1" applyProtection="1">
      <alignment horizontal="center"/>
    </xf>
    <xf numFmtId="164" fontId="16" fillId="0" borderId="4" xfId="3" applyFont="1" applyBorder="1"/>
    <xf numFmtId="164" fontId="16" fillId="2" borderId="4" xfId="3" applyFont="1" applyFill="1" applyBorder="1" applyAlignment="1" applyProtection="1">
      <alignment horizontal="center"/>
    </xf>
    <xf numFmtId="165" fontId="16" fillId="0" borderId="0" xfId="3" applyNumberFormat="1" applyFont="1" applyProtection="1"/>
    <xf numFmtId="164" fontId="16" fillId="0" borderId="0" xfId="3" applyFont="1" applyAlignment="1" applyProtection="1">
      <alignment horizontal="left"/>
    </xf>
    <xf numFmtId="37" fontId="16" fillId="0" borderId="0" xfId="3" applyNumberFormat="1" applyFont="1" applyProtection="1"/>
    <xf numFmtId="43" fontId="16" fillId="0" borderId="0" xfId="1" applyFont="1"/>
    <xf numFmtId="164" fontId="16" fillId="0" borderId="0" xfId="3" applyFont="1" applyProtection="1"/>
    <xf numFmtId="37" fontId="18" fillId="0" borderId="0" xfId="3" applyNumberFormat="1" applyFont="1" applyProtection="1"/>
    <xf numFmtId="166" fontId="16" fillId="0" borderId="0" xfId="3" applyNumberFormat="1" applyFont="1" applyProtection="1"/>
    <xf numFmtId="166" fontId="16" fillId="0" borderId="2" xfId="3" applyNumberFormat="1" applyFont="1" applyBorder="1" applyProtection="1"/>
    <xf numFmtId="166" fontId="18" fillId="0" borderId="0" xfId="3" applyNumberFormat="1" applyFont="1" applyProtection="1"/>
    <xf numFmtId="164" fontId="18" fillId="0" borderId="0" xfId="3" applyFont="1"/>
    <xf numFmtId="0" fontId="18" fillId="0" borderId="0" xfId="0" applyFont="1"/>
    <xf numFmtId="39" fontId="16" fillId="0" borderId="0" xfId="3" applyNumberFormat="1" applyFont="1" applyProtection="1"/>
    <xf numFmtId="37" fontId="16" fillId="0" borderId="7" xfId="3" applyNumberFormat="1" applyFont="1" applyBorder="1" applyProtection="1"/>
    <xf numFmtId="164" fontId="16" fillId="0" borderId="2" xfId="3" applyFont="1" applyBorder="1" applyProtection="1"/>
    <xf numFmtId="37" fontId="18" fillId="0" borderId="2" xfId="3" applyNumberFormat="1" applyFont="1" applyBorder="1" applyProtection="1"/>
    <xf numFmtId="37" fontId="16" fillId="0" borderId="2" xfId="3" applyNumberFormat="1" applyFont="1" applyBorder="1" applyProtection="1"/>
    <xf numFmtId="164" fontId="19" fillId="0" borderId="6" xfId="3" applyFont="1" applyBorder="1"/>
    <xf numFmtId="167" fontId="19" fillId="0" borderId="6" xfId="1" applyNumberFormat="1" applyFont="1" applyBorder="1"/>
    <xf numFmtId="168" fontId="23" fillId="0" borderId="6" xfId="2" applyNumberFormat="1" applyFont="1" applyBorder="1"/>
    <xf numFmtId="0" fontId="19" fillId="0" borderId="0" xfId="0" applyFont="1"/>
    <xf numFmtId="164" fontId="19" fillId="0" borderId="0" xfId="3" applyFont="1"/>
    <xf numFmtId="168" fontId="23" fillId="0" borderId="0" xfId="2" applyNumberFormat="1" applyFont="1"/>
    <xf numFmtId="169" fontId="16" fillId="0" borderId="0" xfId="3" applyNumberFormat="1" applyFont="1" applyProtection="1"/>
    <xf numFmtId="37" fontId="18" fillId="0" borderId="0" xfId="3" applyNumberFormat="1" applyFont="1" applyBorder="1" applyProtection="1"/>
    <xf numFmtId="164" fontId="16" fillId="0" borderId="1" xfId="3" applyFont="1" applyBorder="1" applyAlignment="1" applyProtection="1">
      <alignment horizontal="centerContinuous"/>
    </xf>
    <xf numFmtId="0" fontId="16" fillId="0" borderId="2" xfId="0" applyFont="1" applyBorder="1" applyAlignment="1">
      <alignment horizontal="centerContinuous"/>
    </xf>
    <xf numFmtId="164" fontId="21" fillId="0" borderId="2" xfId="3" applyFont="1" applyBorder="1" applyAlignment="1" applyProtection="1">
      <alignment horizontal="center"/>
    </xf>
    <xf numFmtId="164" fontId="16" fillId="0" borderId="0" xfId="3" applyFont="1" applyBorder="1" applyProtection="1"/>
    <xf numFmtId="5" fontId="16" fillId="0" borderId="0" xfId="3" applyNumberFormat="1" applyFont="1" applyProtection="1"/>
    <xf numFmtId="164" fontId="4" fillId="0" borderId="0" xfId="3" applyFont="1" applyBorder="1" applyAlignment="1" applyProtection="1">
      <alignment horizontal="left"/>
    </xf>
    <xf numFmtId="164" fontId="6" fillId="0" borderId="0" xfId="3" applyFont="1" applyBorder="1"/>
    <xf numFmtId="164" fontId="6" fillId="0" borderId="0" xfId="3" applyFont="1" applyBorder="1" applyAlignment="1" applyProtection="1">
      <alignment horizontal="left"/>
    </xf>
    <xf numFmtId="164" fontId="5" fillId="0" borderId="0" xfId="3" applyBorder="1" applyAlignment="1" applyProtection="1">
      <alignment horizontal="centerContinuous"/>
    </xf>
    <xf numFmtId="0" fontId="0" fillId="0" borderId="0" xfId="0" applyBorder="1" applyAlignment="1">
      <alignment horizontal="centerContinuous"/>
    </xf>
    <xf numFmtId="164" fontId="5" fillId="0" borderId="0" xfId="3" applyFont="1" applyBorder="1" applyAlignment="1" applyProtection="1">
      <alignment horizontal="centerContinuous"/>
    </xf>
    <xf numFmtId="164" fontId="5" fillId="0" borderId="0" xfId="3" applyBorder="1" applyAlignment="1" applyProtection="1">
      <alignment horizontal="center"/>
    </xf>
    <xf numFmtId="164" fontId="6" fillId="0" borderId="0" xfId="3" applyFont="1" applyBorder="1" applyAlignment="1" applyProtection="1">
      <alignment horizontal="center"/>
    </xf>
    <xf numFmtId="164" fontId="5" fillId="0" borderId="0" xfId="3" applyFont="1" applyBorder="1" applyAlignment="1" applyProtection="1">
      <alignment horizontal="left"/>
    </xf>
    <xf numFmtId="164" fontId="25" fillId="0" borderId="0" xfId="3" applyFont="1" applyAlignment="1" applyProtection="1">
      <alignment horizontal="left"/>
    </xf>
    <xf numFmtId="164" fontId="28" fillId="0" borderId="0" xfId="3" applyFont="1"/>
    <xf numFmtId="164" fontId="29" fillId="0" borderId="0" xfId="3" applyFont="1"/>
    <xf numFmtId="164" fontId="29" fillId="0" borderId="0" xfId="3" applyFont="1" applyAlignment="1" applyProtection="1">
      <alignment horizontal="left"/>
    </xf>
    <xf numFmtId="164" fontId="29" fillId="0" borderId="1" xfId="3" applyFont="1" applyBorder="1"/>
    <xf numFmtId="164" fontId="30" fillId="0" borderId="0" xfId="3" applyFont="1" applyAlignment="1" applyProtection="1">
      <alignment horizontal="right"/>
    </xf>
    <xf numFmtId="164" fontId="29" fillId="0" borderId="2" xfId="3" applyFont="1" applyBorder="1" applyAlignment="1" applyProtection="1">
      <alignment horizontal="left"/>
    </xf>
    <xf numFmtId="164" fontId="31" fillId="0" borderId="2" xfId="3" applyFont="1" applyBorder="1" applyAlignment="1" applyProtection="1">
      <alignment horizontal="right"/>
    </xf>
    <xf numFmtId="164" fontId="24" fillId="0" borderId="0" xfId="3" applyFont="1"/>
    <xf numFmtId="165" fontId="30" fillId="0" borderId="0" xfId="3" applyNumberFormat="1" applyFont="1" applyProtection="1"/>
    <xf numFmtId="44" fontId="30" fillId="0" borderId="0" xfId="2" applyFont="1"/>
    <xf numFmtId="44" fontId="30" fillId="0" borderId="0" xfId="2" applyFont="1" applyProtection="1"/>
    <xf numFmtId="164" fontId="24" fillId="0" borderId="5" xfId="3" applyFont="1" applyBorder="1" applyAlignment="1" applyProtection="1">
      <alignment horizontal="left"/>
    </xf>
    <xf numFmtId="166" fontId="30" fillId="0" borderId="2" xfId="3" applyNumberFormat="1" applyFont="1" applyBorder="1" applyProtection="1"/>
    <xf numFmtId="167" fontId="24" fillId="0" borderId="5" xfId="1" applyNumberFormat="1" applyFont="1" applyBorder="1" applyProtection="1"/>
    <xf numFmtId="37" fontId="24" fillId="0" borderId="5" xfId="3" applyNumberFormat="1" applyFont="1" applyBorder="1" applyProtection="1"/>
    <xf numFmtId="5" fontId="32" fillId="0" borderId="5" xfId="3" applyNumberFormat="1" applyFont="1" applyBorder="1" applyProtection="1"/>
    <xf numFmtId="164" fontId="24" fillId="0" borderId="5" xfId="3" applyFont="1" applyBorder="1" applyProtection="1"/>
    <xf numFmtId="164" fontId="24" fillId="0" borderId="0" xfId="3" applyFont="1" applyBorder="1"/>
    <xf numFmtId="164" fontId="30" fillId="0" borderId="0" xfId="3" applyFont="1" applyBorder="1"/>
    <xf numFmtId="164" fontId="25" fillId="0" borderId="6" xfId="3" applyFont="1" applyBorder="1"/>
    <xf numFmtId="167" fontId="25" fillId="0" borderId="6" xfId="1" applyNumberFormat="1" applyFont="1" applyBorder="1"/>
    <xf numFmtId="164" fontId="25" fillId="0" borderId="0" xfId="3" applyFont="1"/>
    <xf numFmtId="168" fontId="33" fillId="0" borderId="0" xfId="2" applyNumberFormat="1" applyFont="1"/>
    <xf numFmtId="168" fontId="25" fillId="0" borderId="6" xfId="2" applyNumberFormat="1" applyFont="1" applyBorder="1"/>
    <xf numFmtId="164" fontId="32" fillId="0" borderId="0" xfId="3" applyFont="1" applyBorder="1"/>
    <xf numFmtId="167" fontId="24" fillId="0" borderId="0" xfId="1" applyNumberFormat="1" applyFont="1" applyBorder="1"/>
    <xf numFmtId="168" fontId="32" fillId="0" borderId="0" xfId="2" applyNumberFormat="1" applyFont="1" applyBorder="1"/>
    <xf numFmtId="43" fontId="25" fillId="0" borderId="6" xfId="1" applyNumberFormat="1" applyFont="1" applyBorder="1"/>
    <xf numFmtId="44" fontId="0" fillId="0" borderId="0" xfId="2" applyFont="1"/>
    <xf numFmtId="164" fontId="34" fillId="0" borderId="0" xfId="3" applyFont="1" applyFill="1" applyAlignment="1">
      <alignment horizontal="right"/>
    </xf>
    <xf numFmtId="37" fontId="34" fillId="0" borderId="0" xfId="3" applyNumberFormat="1" applyFont="1" applyFill="1" applyAlignment="1" applyProtection="1">
      <alignment horizontal="right"/>
    </xf>
    <xf numFmtId="167" fontId="14" fillId="0" borderId="0" xfId="1" applyNumberFormat="1" applyFont="1" applyFill="1"/>
    <xf numFmtId="37" fontId="14" fillId="0" borderId="0" xfId="3" applyNumberFormat="1" applyFont="1" applyFill="1" applyBorder="1" applyProtection="1"/>
    <xf numFmtId="1" fontId="0" fillId="0" borderId="0" xfId="0" applyNumberFormat="1"/>
    <xf numFmtId="1" fontId="5" fillId="0" borderId="0" xfId="3" applyNumberFormat="1" applyFill="1" applyBorder="1"/>
    <xf numFmtId="1" fontId="24" fillId="0" borderId="5" xfId="3" applyNumberFormat="1" applyFont="1" applyBorder="1" applyProtection="1"/>
    <xf numFmtId="0" fontId="3" fillId="0" borderId="0" xfId="0" applyFont="1"/>
    <xf numFmtId="164" fontId="24" fillId="0" borderId="1" xfId="3" applyFont="1" applyBorder="1" applyAlignment="1" applyProtection="1">
      <alignment horizontal="left"/>
    </xf>
    <xf numFmtId="167" fontId="24" fillId="0" borderId="1" xfId="1" applyNumberFormat="1" applyFont="1" applyBorder="1" applyProtection="1"/>
    <xf numFmtId="37" fontId="24" fillId="0" borderId="1" xfId="3" applyNumberFormat="1" applyFont="1" applyBorder="1" applyProtection="1"/>
    <xf numFmtId="37" fontId="32" fillId="0" borderId="1" xfId="3" applyNumberFormat="1" applyFont="1" applyBorder="1" applyProtection="1"/>
    <xf numFmtId="1" fontId="24" fillId="0" borderId="1" xfId="3" applyNumberFormat="1" applyFont="1" applyBorder="1" applyProtection="1"/>
    <xf numFmtId="5" fontId="32" fillId="0" borderId="1" xfId="3" applyNumberFormat="1" applyFont="1" applyBorder="1" applyProtection="1"/>
    <xf numFmtId="165" fontId="30" fillId="0" borderId="8" xfId="3" applyNumberFormat="1" applyFont="1" applyBorder="1" applyProtection="1"/>
    <xf numFmtId="44" fontId="30" fillId="0" borderId="0" xfId="2" applyNumberFormat="1" applyFont="1" applyBorder="1"/>
    <xf numFmtId="44" fontId="30" fillId="0" borderId="2" xfId="2" applyNumberFormat="1" applyFont="1" applyBorder="1"/>
    <xf numFmtId="164" fontId="25" fillId="3" borderId="0" xfId="3" applyFont="1" applyFill="1" applyAlignment="1" applyProtection="1">
      <alignment horizontal="left"/>
    </xf>
    <xf numFmtId="164" fontId="3" fillId="3" borderId="0" xfId="3" applyFont="1" applyFill="1" applyAlignment="1" applyProtection="1">
      <alignment horizontal="left"/>
    </xf>
    <xf numFmtId="164" fontId="26" fillId="3" borderId="0" xfId="3" applyFont="1" applyFill="1" applyBorder="1"/>
    <xf numFmtId="164" fontId="25" fillId="3" borderId="9" xfId="3" applyFont="1" applyFill="1" applyBorder="1"/>
    <xf numFmtId="164" fontId="25" fillId="0" borderId="0" xfId="3" applyFont="1" applyFill="1" applyAlignment="1" applyProtection="1">
      <alignment horizontal="left"/>
    </xf>
    <xf numFmtId="164" fontId="3" fillId="0" borderId="0" xfId="3" applyFont="1" applyFill="1" applyAlignment="1" applyProtection="1">
      <alignment horizontal="left"/>
    </xf>
    <xf numFmtId="164" fontId="24" fillId="0" borderId="0" xfId="3" applyFont="1" applyFill="1" applyAlignment="1" applyProtection="1">
      <alignment horizontal="left"/>
    </xf>
    <xf numFmtId="168" fontId="27" fillId="0" borderId="0" xfId="2" applyNumberFormat="1" applyFont="1" applyFill="1" applyProtection="1"/>
    <xf numFmtId="44" fontId="30" fillId="0" borderId="2" xfId="2" applyFont="1" applyBorder="1"/>
    <xf numFmtId="164" fontId="26" fillId="0" borderId="0" xfId="3" applyFont="1" applyFill="1" applyBorder="1"/>
    <xf numFmtId="164" fontId="24" fillId="0" borderId="0" xfId="3" applyFont="1" applyFill="1"/>
    <xf numFmtId="164" fontId="3" fillId="0" borderId="0" xfId="3" applyFont="1" applyFill="1"/>
    <xf numFmtId="164" fontId="3" fillId="0" borderId="0" xfId="3" applyFont="1"/>
    <xf numFmtId="164" fontId="3" fillId="0" borderId="1" xfId="3" applyFont="1" applyBorder="1" applyAlignment="1" applyProtection="1">
      <alignment horizontal="left"/>
    </xf>
    <xf numFmtId="164" fontId="3" fillId="0" borderId="1" xfId="3" applyFont="1" applyBorder="1"/>
    <xf numFmtId="164" fontId="3" fillId="2" borderId="0" xfId="3" applyFont="1" applyFill="1" applyAlignment="1" applyProtection="1">
      <alignment horizontal="center"/>
    </xf>
    <xf numFmtId="164" fontId="3" fillId="0" borderId="3" xfId="3" applyFont="1" applyBorder="1" applyAlignment="1" applyProtection="1">
      <alignment horizontal="center"/>
    </xf>
    <xf numFmtId="164" fontId="3" fillId="2" borderId="3" xfId="3" applyFont="1" applyFill="1" applyBorder="1" applyAlignment="1" applyProtection="1">
      <alignment horizontal="center"/>
    </xf>
    <xf numFmtId="164" fontId="3" fillId="0" borderId="2" xfId="3" applyFont="1" applyBorder="1"/>
    <xf numFmtId="164" fontId="3" fillId="2" borderId="2" xfId="3" applyFont="1" applyFill="1" applyBorder="1" applyAlignment="1" applyProtection="1">
      <alignment horizontal="center"/>
    </xf>
    <xf numFmtId="164" fontId="3" fillId="0" borderId="4" xfId="3" applyFont="1" applyBorder="1" applyAlignment="1" applyProtection="1">
      <alignment horizontal="center"/>
    </xf>
    <xf numFmtId="164" fontId="3" fillId="0" borderId="4" xfId="3" applyFont="1" applyBorder="1"/>
    <xf numFmtId="164" fontId="3" fillId="2" borderId="4" xfId="3" applyFont="1" applyFill="1" applyBorder="1" applyAlignment="1" applyProtection="1">
      <alignment horizontal="center"/>
    </xf>
    <xf numFmtId="164" fontId="3" fillId="0" borderId="8" xfId="3" applyFont="1" applyBorder="1"/>
    <xf numFmtId="1" fontId="3" fillId="0" borderId="0" xfId="3" applyNumberFormat="1" applyFont="1" applyBorder="1" applyProtection="1"/>
    <xf numFmtId="39" fontId="3" fillId="0" borderId="0" xfId="3" applyNumberFormat="1" applyFont="1" applyBorder="1" applyProtection="1"/>
    <xf numFmtId="37" fontId="11" fillId="0" borderId="0" xfId="3" applyNumberFormat="1" applyFont="1" applyBorder="1" applyProtection="1"/>
    <xf numFmtId="37" fontId="3" fillId="0" borderId="0" xfId="3" applyNumberFormat="1" applyFont="1" applyBorder="1" applyProtection="1"/>
    <xf numFmtId="1" fontId="3" fillId="0" borderId="0" xfId="3" applyNumberFormat="1" applyFont="1" applyProtection="1"/>
    <xf numFmtId="37" fontId="3" fillId="0" borderId="0" xfId="3" applyNumberFormat="1" applyFont="1" applyProtection="1"/>
    <xf numFmtId="37" fontId="11" fillId="0" borderId="0" xfId="3" applyNumberFormat="1" applyFont="1" applyProtection="1"/>
    <xf numFmtId="164" fontId="3" fillId="0" borderId="0" xfId="3" applyFont="1" applyProtection="1"/>
    <xf numFmtId="1" fontId="3" fillId="0" borderId="2" xfId="3" applyNumberFormat="1" applyFont="1" applyBorder="1" applyProtection="1"/>
    <xf numFmtId="39" fontId="3" fillId="0" borderId="2" xfId="3" applyNumberFormat="1" applyFont="1" applyBorder="1" applyProtection="1"/>
    <xf numFmtId="37" fontId="11" fillId="0" borderId="2" xfId="3" applyNumberFormat="1" applyFont="1" applyBorder="1" applyProtection="1"/>
    <xf numFmtId="37" fontId="3" fillId="0" borderId="2" xfId="3" applyNumberFormat="1" applyFont="1" applyBorder="1" applyProtection="1"/>
    <xf numFmtId="164" fontId="3" fillId="0" borderId="0" xfId="3" applyFont="1" applyAlignment="1" applyProtection="1">
      <alignment horizontal="left"/>
    </xf>
    <xf numFmtId="166" fontId="11" fillId="0" borderId="0" xfId="3" applyNumberFormat="1" applyFont="1" applyProtection="1"/>
    <xf numFmtId="164" fontId="11" fillId="0" borderId="0" xfId="3" applyFont="1"/>
    <xf numFmtId="164" fontId="3" fillId="0" borderId="6" xfId="3" applyFont="1" applyBorder="1"/>
    <xf numFmtId="37" fontId="3" fillId="0" borderId="6" xfId="3" applyNumberFormat="1" applyFont="1" applyBorder="1" applyProtection="1"/>
    <xf numFmtId="164" fontId="11" fillId="0" borderId="6" xfId="3" applyFont="1" applyBorder="1"/>
    <xf numFmtId="164" fontId="3" fillId="0" borderId="0" xfId="3" applyFont="1" applyBorder="1"/>
    <xf numFmtId="164" fontId="11" fillId="0" borderId="0" xfId="3" applyFont="1" applyBorder="1"/>
    <xf numFmtId="164" fontId="3" fillId="0" borderId="0" xfId="3" applyFont="1" applyBorder="1" applyAlignment="1" applyProtection="1">
      <alignment horizontal="left"/>
    </xf>
    <xf numFmtId="166" fontId="3" fillId="0" borderId="0" xfId="3" applyNumberFormat="1" applyFont="1" applyBorder="1" applyProtection="1"/>
    <xf numFmtId="169" fontId="3" fillId="0" borderId="0" xfId="3" applyNumberFormat="1" applyFont="1" applyBorder="1" applyProtection="1"/>
    <xf numFmtId="0" fontId="3" fillId="0" borderId="0" xfId="0" applyFont="1" applyBorder="1"/>
    <xf numFmtId="0" fontId="11" fillId="0" borderId="0" xfId="0" applyFont="1"/>
    <xf numFmtId="0" fontId="3" fillId="0" borderId="0" xfId="0" applyFont="1" applyFill="1"/>
    <xf numFmtId="164" fontId="3" fillId="3" borderId="0" xfId="3" applyFont="1" applyFill="1"/>
    <xf numFmtId="0" fontId="3" fillId="3" borderId="0" xfId="0" applyFont="1" applyFill="1"/>
    <xf numFmtId="164" fontId="3" fillId="0" borderId="0" xfId="3" applyFont="1" applyFill="1" applyBorder="1"/>
    <xf numFmtId="0" fontId="3" fillId="0" borderId="0" xfId="0" applyFont="1" applyFill="1" applyBorder="1"/>
    <xf numFmtId="164" fontId="3" fillId="3" borderId="0" xfId="3" applyFont="1" applyFill="1" applyBorder="1"/>
    <xf numFmtId="0" fontId="3" fillId="3" borderId="0" xfId="0" applyFont="1" applyFill="1" applyBorder="1"/>
    <xf numFmtId="0" fontId="3" fillId="3" borderId="10" xfId="0" applyFont="1" applyFill="1" applyBorder="1"/>
    <xf numFmtId="168" fontId="3" fillId="0" borderId="0" xfId="2" applyNumberFormat="1" applyFont="1" applyFill="1" applyProtection="1"/>
    <xf numFmtId="5" fontId="3" fillId="0" borderId="0" xfId="3" applyNumberFormat="1" applyFont="1" applyFill="1" applyProtection="1"/>
    <xf numFmtId="168" fontId="3" fillId="3" borderId="0" xfId="2" applyNumberFormat="1" applyFont="1" applyFill="1" applyProtection="1"/>
    <xf numFmtId="5" fontId="3" fillId="3" borderId="0" xfId="3" applyNumberFormat="1" applyFont="1" applyFill="1" applyProtection="1"/>
    <xf numFmtId="168" fontId="3" fillId="0" borderId="0" xfId="2" applyNumberFormat="1" applyFont="1" applyFill="1"/>
    <xf numFmtId="43" fontId="3" fillId="0" borderId="0" xfId="1" applyFont="1" applyFill="1"/>
    <xf numFmtId="168" fontId="3" fillId="3" borderId="0" xfId="2" applyNumberFormat="1" applyFont="1" applyFill="1"/>
    <xf numFmtId="43" fontId="3" fillId="3" borderId="0" xfId="1" applyFont="1" applyFill="1"/>
    <xf numFmtId="168" fontId="3" fillId="0" borderId="1" xfId="2" applyNumberFormat="1" applyFont="1" applyFill="1" applyBorder="1"/>
    <xf numFmtId="164" fontId="3" fillId="0" borderId="1" xfId="3" applyFont="1" applyFill="1" applyBorder="1"/>
    <xf numFmtId="168" fontId="3" fillId="3" borderId="1" xfId="2" applyNumberFormat="1" applyFont="1" applyFill="1" applyBorder="1"/>
    <xf numFmtId="164" fontId="3" fillId="3" borderId="1" xfId="3" applyFont="1" applyFill="1" applyBorder="1"/>
    <xf numFmtId="168" fontId="3" fillId="0" borderId="1" xfId="2" applyNumberFormat="1" applyFont="1" applyFill="1" applyBorder="1" applyProtection="1"/>
    <xf numFmtId="168" fontId="3" fillId="3" borderId="11" xfId="2" applyNumberFormat="1" applyFont="1" applyFill="1" applyBorder="1" applyProtection="1"/>
    <xf numFmtId="168" fontId="3" fillId="3" borderId="0" xfId="2" applyNumberFormat="1" applyFont="1" applyFill="1" applyBorder="1"/>
    <xf numFmtId="168" fontId="3" fillId="3" borderId="2" xfId="2" applyNumberFormat="1" applyFont="1" applyFill="1" applyBorder="1" applyProtection="1"/>
    <xf numFmtId="168" fontId="3" fillId="3" borderId="2" xfId="2" applyNumberFormat="1" applyFont="1" applyFill="1" applyBorder="1"/>
    <xf numFmtId="168" fontId="3" fillId="0" borderId="0" xfId="2" applyNumberFormat="1" applyFont="1"/>
    <xf numFmtId="0" fontId="29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MTN-USE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yan%20Carr\AppData\Local\Microsoft\Windows\INetCache\Content.Outlook\DTM5KYX2\RWI-Debt%20Service%20P&amp;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C3">
            <v>21001.33</v>
          </cell>
          <cell r="D3">
            <v>54105.61</v>
          </cell>
        </row>
        <row r="10">
          <cell r="C10">
            <v>6245.39</v>
          </cell>
          <cell r="D10">
            <v>16089.96</v>
          </cell>
        </row>
        <row r="17">
          <cell r="C17">
            <v>1731.94</v>
          </cell>
          <cell r="D17">
            <v>4795.71</v>
          </cell>
        </row>
        <row r="23">
          <cell r="C23">
            <v>15386.24</v>
          </cell>
          <cell r="D23">
            <v>50969.23</v>
          </cell>
        </row>
        <row r="30">
          <cell r="C30">
            <v>4293.54</v>
          </cell>
          <cell r="D30">
            <v>15073.63</v>
          </cell>
        </row>
        <row r="37">
          <cell r="C37">
            <v>4538.17</v>
          </cell>
          <cell r="D37">
            <v>21086.91</v>
          </cell>
        </row>
        <row r="44">
          <cell r="C44">
            <v>9331.51</v>
          </cell>
          <cell r="D44">
            <v>2008.26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topLeftCell="F1" zoomScaleNormal="100" workbookViewId="0">
      <selection activeCell="W15" sqref="W15"/>
    </sheetView>
  </sheetViews>
  <sheetFormatPr defaultRowHeight="13.2" x14ac:dyDescent="0.25"/>
  <cols>
    <col min="8" max="8" width="10.6640625" customWidth="1"/>
    <col min="9" max="16" width="0" hidden="1" customWidth="1"/>
    <col min="19" max="19" width="10.33203125" bestFit="1" customWidth="1"/>
    <col min="41" max="41" width="9.109375" style="198"/>
  </cols>
  <sheetData>
    <row r="1" spans="1:41" x14ac:dyDescent="0.25">
      <c r="A1" s="107" t="s">
        <v>0</v>
      </c>
      <c r="B1" s="48"/>
      <c r="C1" s="48"/>
      <c r="D1" s="48"/>
      <c r="E1" s="48"/>
      <c r="F1" s="48"/>
      <c r="G1" s="48"/>
      <c r="H1" s="48"/>
      <c r="I1" s="155"/>
      <c r="J1" s="18"/>
      <c r="K1" s="18"/>
      <c r="L1" s="18"/>
      <c r="M1" s="18"/>
      <c r="N1" s="18"/>
      <c r="O1" s="18"/>
      <c r="P1" s="18"/>
      <c r="Q1" s="31" t="s">
        <v>1</v>
      </c>
      <c r="R1" s="32"/>
      <c r="S1" s="32"/>
      <c r="T1" s="32"/>
      <c r="U1" s="32"/>
      <c r="V1" s="32"/>
      <c r="W1" s="32"/>
      <c r="X1" s="32"/>
      <c r="Y1" s="85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</row>
    <row r="2" spans="1:41" hidden="1" x14ac:dyDescent="0.25">
      <c r="A2" s="146"/>
      <c r="B2" s="48"/>
      <c r="C2" s="48"/>
      <c r="D2" s="48"/>
      <c r="E2" s="48"/>
      <c r="F2" s="48"/>
      <c r="G2" s="48"/>
      <c r="H2" s="48"/>
      <c r="I2" s="81"/>
      <c r="J2" s="18"/>
      <c r="K2" s="18"/>
      <c r="L2" s="18"/>
      <c r="M2" s="18"/>
      <c r="N2" s="18"/>
      <c r="O2" s="18"/>
      <c r="P2" s="18"/>
      <c r="Q2" s="33"/>
      <c r="R2" s="32"/>
      <c r="S2" s="32"/>
      <c r="T2" s="32"/>
      <c r="U2" s="32"/>
      <c r="V2" s="32"/>
      <c r="W2" s="32"/>
      <c r="X2" s="32"/>
      <c r="Y2" s="87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</row>
    <row r="3" spans="1:41" x14ac:dyDescent="0.25">
      <c r="A3" s="48"/>
      <c r="B3" s="48"/>
      <c r="C3" s="48"/>
      <c r="D3" s="48"/>
      <c r="E3" s="48"/>
      <c r="F3" s="48"/>
      <c r="G3" s="48"/>
      <c r="H3" s="48"/>
      <c r="I3" s="18"/>
      <c r="J3" s="18"/>
      <c r="K3" s="18"/>
      <c r="L3" s="18"/>
      <c r="M3" s="18"/>
      <c r="N3" s="18"/>
      <c r="O3" s="18"/>
      <c r="P3" s="18"/>
      <c r="Q3" s="32"/>
      <c r="R3" s="32"/>
      <c r="S3" s="32"/>
      <c r="T3" s="32"/>
      <c r="U3" s="32"/>
      <c r="V3" s="32"/>
      <c r="W3" s="32"/>
      <c r="X3" s="32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</row>
    <row r="4" spans="1:41" x14ac:dyDescent="0.25">
      <c r="A4" s="52"/>
      <c r="B4" s="109"/>
      <c r="C4" s="109"/>
      <c r="D4" s="110"/>
      <c r="E4" s="150" t="s">
        <v>2</v>
      </c>
      <c r="F4" s="151"/>
      <c r="G4" s="150" t="s">
        <v>3</v>
      </c>
      <c r="H4" s="151"/>
      <c r="I4" s="17"/>
      <c r="J4" s="156"/>
      <c r="K4" s="156"/>
      <c r="L4" s="157"/>
      <c r="M4" s="158"/>
      <c r="N4" s="159"/>
      <c r="O4" s="160"/>
      <c r="P4" s="159"/>
      <c r="Q4" s="34"/>
      <c r="R4" s="35"/>
      <c r="S4" s="35"/>
      <c r="T4" s="36"/>
      <c r="U4" s="37" t="s">
        <v>2</v>
      </c>
      <c r="V4" s="38"/>
      <c r="W4" s="37" t="s">
        <v>4</v>
      </c>
      <c r="X4" s="38"/>
      <c r="Y4" s="88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90"/>
      <c r="AM4" s="90"/>
      <c r="AN4" s="91"/>
    </row>
    <row r="5" spans="1:41" x14ac:dyDescent="0.25">
      <c r="A5" s="110" t="s">
        <v>5</v>
      </c>
      <c r="B5" s="48"/>
      <c r="C5" s="48"/>
      <c r="D5" s="52"/>
      <c r="E5" s="116" t="s">
        <v>6</v>
      </c>
      <c r="F5" s="117" t="s">
        <v>7</v>
      </c>
      <c r="G5" s="118" t="s">
        <v>6</v>
      </c>
      <c r="H5" s="117" t="s">
        <v>7</v>
      </c>
      <c r="I5" s="157"/>
      <c r="J5" s="18"/>
      <c r="K5" s="18"/>
      <c r="L5" s="17"/>
      <c r="M5" s="92"/>
      <c r="N5" s="92"/>
      <c r="O5" s="92"/>
      <c r="P5" s="161"/>
      <c r="Q5" s="36" t="s">
        <v>8</v>
      </c>
      <c r="R5" s="32"/>
      <c r="S5" s="32"/>
      <c r="T5" s="34"/>
      <c r="U5" s="39" t="s">
        <v>6</v>
      </c>
      <c r="V5" s="40" t="s">
        <v>7</v>
      </c>
      <c r="W5" s="41" t="s">
        <v>6</v>
      </c>
      <c r="X5" s="40" t="s">
        <v>7</v>
      </c>
      <c r="Y5" s="90"/>
      <c r="Z5" s="86"/>
      <c r="AA5" s="86"/>
      <c r="AB5" s="86" t="s">
        <v>9</v>
      </c>
      <c r="AC5" s="86"/>
      <c r="AD5" s="86"/>
      <c r="AE5" s="86"/>
      <c r="AF5" s="86"/>
      <c r="AG5" s="86"/>
      <c r="AH5" s="86"/>
      <c r="AI5" s="86"/>
      <c r="AJ5" s="86"/>
      <c r="AK5" s="86"/>
      <c r="AL5" s="88"/>
      <c r="AM5" s="88"/>
      <c r="AN5" s="92"/>
    </row>
    <row r="6" spans="1:41" x14ac:dyDescent="0.25">
      <c r="A6" s="152"/>
      <c r="B6" s="120"/>
      <c r="C6" s="120"/>
      <c r="D6" s="119" t="s">
        <v>10</v>
      </c>
      <c r="E6" s="122" t="s">
        <v>11</v>
      </c>
      <c r="F6" s="123" t="s">
        <v>12</v>
      </c>
      <c r="G6" s="125" t="s">
        <v>11</v>
      </c>
      <c r="H6" s="123" t="s">
        <v>12</v>
      </c>
      <c r="I6" s="162"/>
      <c r="J6" s="18"/>
      <c r="K6" s="18"/>
      <c r="L6" s="157"/>
      <c r="M6" s="92"/>
      <c r="N6" s="92"/>
      <c r="O6" s="92"/>
      <c r="P6" s="161"/>
      <c r="Q6" s="42"/>
      <c r="R6" s="43"/>
      <c r="S6" s="43"/>
      <c r="T6" s="44" t="s">
        <v>10</v>
      </c>
      <c r="U6" s="45" t="s">
        <v>11</v>
      </c>
      <c r="V6" s="46" t="s">
        <v>12</v>
      </c>
      <c r="W6" s="47" t="s">
        <v>11</v>
      </c>
      <c r="X6" s="46" t="s">
        <v>12</v>
      </c>
      <c r="Y6" s="93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90"/>
      <c r="AM6" s="90"/>
      <c r="AN6" s="92"/>
    </row>
    <row r="7" spans="1:41" x14ac:dyDescent="0.25">
      <c r="A7" s="48" t="s">
        <v>13</v>
      </c>
      <c r="B7" s="48"/>
      <c r="C7" s="48"/>
      <c r="D7" s="48"/>
      <c r="E7" s="48"/>
      <c r="F7" s="48"/>
      <c r="G7" s="48"/>
      <c r="H7" s="48"/>
      <c r="I7" s="13"/>
      <c r="J7" s="18"/>
      <c r="K7" s="18"/>
      <c r="L7" s="18"/>
      <c r="M7" s="18"/>
      <c r="N7" s="18"/>
      <c r="O7" s="18"/>
      <c r="P7" s="18"/>
      <c r="Q7" s="48" t="s">
        <v>13</v>
      </c>
      <c r="R7" s="32"/>
      <c r="S7" s="32"/>
      <c r="T7" s="32"/>
      <c r="U7" s="32"/>
      <c r="V7" s="32"/>
      <c r="W7" s="32"/>
      <c r="X7" s="32"/>
      <c r="Y7" s="94"/>
      <c r="Z7" s="86"/>
      <c r="AA7" s="86"/>
      <c r="AB7" s="86" t="s">
        <v>14</v>
      </c>
      <c r="AC7" s="86" t="s">
        <v>15</v>
      </c>
      <c r="AD7" s="86" t="s">
        <v>16</v>
      </c>
      <c r="AE7" s="86" t="s">
        <v>17</v>
      </c>
      <c r="AF7" s="86" t="s">
        <v>18</v>
      </c>
      <c r="AG7" s="86" t="s">
        <v>19</v>
      </c>
      <c r="AH7" s="86" t="s">
        <v>20</v>
      </c>
      <c r="AI7" s="86" t="s">
        <v>21</v>
      </c>
      <c r="AJ7" s="86" t="s">
        <v>22</v>
      </c>
      <c r="AK7" s="86" t="s">
        <v>23</v>
      </c>
      <c r="AL7" s="86" t="s">
        <v>24</v>
      </c>
      <c r="AM7" s="86" t="s">
        <v>25</v>
      </c>
      <c r="AN7" s="86" t="s">
        <v>26</v>
      </c>
      <c r="AO7" s="199" t="s">
        <v>27</v>
      </c>
    </row>
    <row r="8" spans="1:41" x14ac:dyDescent="0.25">
      <c r="A8" s="127" t="s">
        <v>28</v>
      </c>
      <c r="B8" s="48"/>
      <c r="C8" s="48"/>
      <c r="D8" s="128">
        <v>1000</v>
      </c>
      <c r="E8" s="130"/>
      <c r="F8" s="128">
        <f t="shared" ref="F8:F23" si="0">(E8*D8)/1000</f>
        <v>0</v>
      </c>
      <c r="G8" s="130"/>
      <c r="H8" s="128">
        <f>(G8*D8)/1000</f>
        <v>0</v>
      </c>
      <c r="I8" s="26"/>
      <c r="J8" s="18"/>
      <c r="K8" s="18"/>
      <c r="L8" s="10"/>
      <c r="M8" s="21"/>
      <c r="N8" s="10"/>
      <c r="O8" s="21"/>
      <c r="P8" s="10"/>
      <c r="Q8" s="49" t="s">
        <v>28</v>
      </c>
      <c r="R8" s="32"/>
      <c r="S8" s="32"/>
      <c r="T8" s="50">
        <v>425</v>
      </c>
      <c r="U8" s="51">
        <v>131</v>
      </c>
      <c r="V8" s="50">
        <f t="shared" ref="V8:V13" si="1">(U8*T8)/1000</f>
        <v>55.674999999999997</v>
      </c>
      <c r="W8" s="51">
        <v>5</v>
      </c>
      <c r="X8" s="50">
        <f t="shared" ref="X8:X13" si="2">(W8*T8)/1000</f>
        <v>2.125</v>
      </c>
      <c r="Y8" s="95"/>
      <c r="Z8" s="86"/>
      <c r="AA8" s="86"/>
      <c r="AB8" s="86">
        <v>699</v>
      </c>
      <c r="AC8" s="86">
        <v>788</v>
      </c>
      <c r="AD8" s="86">
        <v>803</v>
      </c>
      <c r="AE8" s="86">
        <v>721</v>
      </c>
      <c r="AF8" s="86">
        <v>969</v>
      </c>
      <c r="AG8" s="86">
        <v>705</v>
      </c>
      <c r="AH8" s="86">
        <v>574</v>
      </c>
      <c r="AI8" s="86">
        <v>637</v>
      </c>
      <c r="AJ8" s="86">
        <v>633</v>
      </c>
      <c r="AK8" s="86">
        <v>717</v>
      </c>
      <c r="AL8" s="96">
        <v>726</v>
      </c>
      <c r="AM8" s="96">
        <v>763</v>
      </c>
      <c r="AN8" s="96">
        <f>SUM(AB8:AM8)</f>
        <v>8735</v>
      </c>
      <c r="AO8" s="198">
        <f>AN8/12</f>
        <v>727.91666666666663</v>
      </c>
    </row>
    <row r="9" spans="1:41" x14ac:dyDescent="0.25">
      <c r="A9" s="127" t="s">
        <v>29</v>
      </c>
      <c r="B9" s="48"/>
      <c r="C9" s="48"/>
      <c r="D9" s="128">
        <v>1500</v>
      </c>
      <c r="E9" s="130"/>
      <c r="F9" s="128">
        <f t="shared" si="0"/>
        <v>0</v>
      </c>
      <c r="G9" s="130"/>
      <c r="H9" s="128">
        <f t="shared" ref="H9:H24" si="3">(G9*D9)/1000</f>
        <v>0</v>
      </c>
      <c r="I9" s="26"/>
      <c r="J9" s="18"/>
      <c r="K9" s="18"/>
      <c r="L9" s="10"/>
      <c r="M9" s="21"/>
      <c r="N9" s="10"/>
      <c r="O9" s="21"/>
      <c r="P9" s="10"/>
      <c r="Q9" s="49" t="s">
        <v>30</v>
      </c>
      <c r="R9" s="32"/>
      <c r="S9" s="32"/>
      <c r="T9" s="50">
        <v>2067</v>
      </c>
      <c r="U9" s="51">
        <v>311</v>
      </c>
      <c r="V9" s="50">
        <f t="shared" si="1"/>
        <v>642.83699999999999</v>
      </c>
      <c r="W9" s="51">
        <v>6</v>
      </c>
      <c r="X9" s="50">
        <f t="shared" si="2"/>
        <v>12.401999999999999</v>
      </c>
      <c r="Y9" s="95"/>
      <c r="Z9" s="86"/>
      <c r="AA9" s="86"/>
      <c r="AB9" s="86">
        <v>661</v>
      </c>
      <c r="AC9" s="86">
        <v>740</v>
      </c>
      <c r="AD9" s="86">
        <v>698</v>
      </c>
      <c r="AE9" s="86">
        <v>623</v>
      </c>
      <c r="AF9" s="86">
        <v>657</v>
      </c>
      <c r="AG9" s="86">
        <v>658</v>
      </c>
      <c r="AH9" s="86">
        <v>543</v>
      </c>
      <c r="AI9" s="86">
        <v>656</v>
      </c>
      <c r="AJ9" s="86">
        <v>708</v>
      </c>
      <c r="AK9" s="86">
        <v>739</v>
      </c>
      <c r="AL9" s="96">
        <v>713</v>
      </c>
      <c r="AM9" s="96">
        <v>697</v>
      </c>
      <c r="AN9" s="96">
        <f t="shared" ref="AN9:AN14" si="4">SUM(AB9:AM9)</f>
        <v>8093</v>
      </c>
      <c r="AO9" s="198">
        <f t="shared" ref="AO9:AO14" si="5">AN9/12</f>
        <v>674.41666666666663</v>
      </c>
    </row>
    <row r="10" spans="1:41" x14ac:dyDescent="0.25">
      <c r="A10" s="127" t="s">
        <v>31</v>
      </c>
      <c r="B10" s="48"/>
      <c r="C10" s="48"/>
      <c r="D10" s="128">
        <v>2500</v>
      </c>
      <c r="E10" s="130"/>
      <c r="F10" s="128">
        <f t="shared" si="0"/>
        <v>0</v>
      </c>
      <c r="G10" s="130"/>
      <c r="H10" s="128">
        <f t="shared" si="3"/>
        <v>0</v>
      </c>
      <c r="I10" s="26"/>
      <c r="J10" s="18"/>
      <c r="K10" s="18"/>
      <c r="L10" s="10"/>
      <c r="M10" s="21"/>
      <c r="N10" s="10"/>
      <c r="O10" s="21"/>
      <c r="P10" s="10"/>
      <c r="Q10" s="49" t="s">
        <v>32</v>
      </c>
      <c r="R10" s="32"/>
      <c r="S10" s="32"/>
      <c r="T10" s="50">
        <v>4187</v>
      </c>
      <c r="U10" s="51">
        <v>272</v>
      </c>
      <c r="V10" s="50">
        <f t="shared" si="1"/>
        <v>1138.864</v>
      </c>
      <c r="W10" s="51"/>
      <c r="X10" s="50">
        <f t="shared" si="2"/>
        <v>0</v>
      </c>
      <c r="Y10" s="95"/>
      <c r="Z10" s="86"/>
      <c r="AA10" s="86"/>
      <c r="AB10" s="86">
        <v>855</v>
      </c>
      <c r="AC10" s="86">
        <v>998</v>
      </c>
      <c r="AD10" s="86">
        <v>947</v>
      </c>
      <c r="AE10" s="86">
        <v>899</v>
      </c>
      <c r="AF10" s="86">
        <v>849</v>
      </c>
      <c r="AG10" s="86">
        <v>838</v>
      </c>
      <c r="AH10" s="86">
        <v>718</v>
      </c>
      <c r="AI10" s="86">
        <v>829</v>
      </c>
      <c r="AJ10" s="86">
        <v>871</v>
      </c>
      <c r="AK10" s="86">
        <v>930</v>
      </c>
      <c r="AL10" s="96">
        <v>954</v>
      </c>
      <c r="AM10" s="96">
        <v>965</v>
      </c>
      <c r="AN10" s="96">
        <f t="shared" si="4"/>
        <v>10653</v>
      </c>
      <c r="AO10" s="198">
        <f t="shared" si="5"/>
        <v>887.75</v>
      </c>
    </row>
    <row r="11" spans="1:41" x14ac:dyDescent="0.25">
      <c r="A11" s="127" t="s">
        <v>33</v>
      </c>
      <c r="B11" s="48"/>
      <c r="C11" s="48"/>
      <c r="D11" s="128">
        <v>3500</v>
      </c>
      <c r="E11" s="130"/>
      <c r="F11" s="128">
        <f t="shared" si="0"/>
        <v>0</v>
      </c>
      <c r="G11" s="130"/>
      <c r="H11" s="128">
        <f t="shared" si="3"/>
        <v>0</v>
      </c>
      <c r="I11" s="26"/>
      <c r="J11" s="18"/>
      <c r="K11" s="18"/>
      <c r="L11" s="10"/>
      <c r="M11" s="21"/>
      <c r="N11" s="10"/>
      <c r="O11" s="21"/>
      <c r="P11" s="10"/>
      <c r="Q11" s="49" t="s">
        <v>34</v>
      </c>
      <c r="R11" s="32"/>
      <c r="S11" s="32"/>
      <c r="T11" s="50">
        <v>9712</v>
      </c>
      <c r="U11" s="51">
        <v>126</v>
      </c>
      <c r="V11" s="50">
        <f t="shared" si="1"/>
        <v>1223.712</v>
      </c>
      <c r="W11" s="51"/>
      <c r="X11" s="50">
        <f t="shared" si="2"/>
        <v>0</v>
      </c>
      <c r="Y11" s="95"/>
      <c r="Z11" s="86"/>
      <c r="AA11" s="86"/>
      <c r="AB11" s="86">
        <v>787</v>
      </c>
      <c r="AC11" s="86">
        <v>785</v>
      </c>
      <c r="AD11" s="86">
        <v>766</v>
      </c>
      <c r="AE11" s="86">
        <v>824</v>
      </c>
      <c r="AF11" s="86">
        <v>841</v>
      </c>
      <c r="AG11" s="86">
        <v>809</v>
      </c>
      <c r="AH11" s="86">
        <v>707</v>
      </c>
      <c r="AI11" s="86">
        <v>799</v>
      </c>
      <c r="AJ11" s="86">
        <v>816</v>
      </c>
      <c r="AK11" s="86">
        <v>851</v>
      </c>
      <c r="AL11" s="96">
        <v>839</v>
      </c>
      <c r="AM11" s="96">
        <v>858</v>
      </c>
      <c r="AN11" s="96">
        <f t="shared" si="4"/>
        <v>9682</v>
      </c>
      <c r="AO11" s="198">
        <f t="shared" si="5"/>
        <v>806.83333333333337</v>
      </c>
    </row>
    <row r="12" spans="1:41" x14ac:dyDescent="0.25">
      <c r="A12" s="127" t="s">
        <v>35</v>
      </c>
      <c r="B12" s="48"/>
      <c r="C12" s="48"/>
      <c r="D12" s="128">
        <v>4500</v>
      </c>
      <c r="E12" s="130"/>
      <c r="F12" s="128">
        <f t="shared" si="0"/>
        <v>0</v>
      </c>
      <c r="G12" s="130"/>
      <c r="H12" s="128">
        <f t="shared" si="3"/>
        <v>0</v>
      </c>
      <c r="I12" s="26"/>
      <c r="J12" s="18"/>
      <c r="K12" s="18"/>
      <c r="L12" s="10"/>
      <c r="M12" s="21"/>
      <c r="N12" s="10"/>
      <c r="O12" s="21"/>
      <c r="P12" s="10"/>
      <c r="Q12" s="49" t="s">
        <v>36</v>
      </c>
      <c r="R12" s="32"/>
      <c r="S12" s="32"/>
      <c r="T12" s="50">
        <v>31779</v>
      </c>
      <c r="U12" s="51">
        <v>5</v>
      </c>
      <c r="V12" s="50">
        <f t="shared" si="1"/>
        <v>158.89500000000001</v>
      </c>
      <c r="W12" s="51"/>
      <c r="X12" s="50">
        <f t="shared" si="2"/>
        <v>0</v>
      </c>
      <c r="Y12" s="95"/>
      <c r="Z12" s="86"/>
      <c r="AA12" s="86"/>
      <c r="AB12" s="86">
        <v>576</v>
      </c>
      <c r="AC12" s="86">
        <v>495</v>
      </c>
      <c r="AD12" s="86">
        <v>529</v>
      </c>
      <c r="AE12" s="86">
        <v>618</v>
      </c>
      <c r="AF12" s="86">
        <v>615</v>
      </c>
      <c r="AG12" s="86">
        <v>568</v>
      </c>
      <c r="AH12" s="86">
        <v>623</v>
      </c>
      <c r="AI12" s="86">
        <v>643</v>
      </c>
      <c r="AJ12" s="86">
        <v>622</v>
      </c>
      <c r="AK12" s="86">
        <v>594</v>
      </c>
      <c r="AL12" s="96">
        <v>589</v>
      </c>
      <c r="AM12" s="96">
        <v>603</v>
      </c>
      <c r="AN12" s="96">
        <f t="shared" si="4"/>
        <v>7075</v>
      </c>
      <c r="AO12" s="198">
        <f>(AN12/12)+59</f>
        <v>648.58333333333337</v>
      </c>
    </row>
    <row r="13" spans="1:41" x14ac:dyDescent="0.25">
      <c r="A13" s="127" t="s">
        <v>37</v>
      </c>
      <c r="B13" s="48"/>
      <c r="C13" s="48"/>
      <c r="D13" s="128">
        <v>5500</v>
      </c>
      <c r="E13" s="130"/>
      <c r="F13" s="128">
        <f t="shared" si="0"/>
        <v>0</v>
      </c>
      <c r="G13" s="130"/>
      <c r="H13" s="128">
        <f t="shared" si="3"/>
        <v>0</v>
      </c>
      <c r="I13" s="26"/>
      <c r="J13" s="18"/>
      <c r="K13" s="18"/>
      <c r="L13" s="10"/>
      <c r="M13" s="21"/>
      <c r="N13" s="10"/>
      <c r="O13" s="21"/>
      <c r="P13" s="10"/>
      <c r="Q13" s="49" t="s">
        <v>38</v>
      </c>
      <c r="R13" s="32"/>
      <c r="S13" s="32"/>
      <c r="T13" s="50">
        <v>159022</v>
      </c>
      <c r="U13" s="51">
        <v>1</v>
      </c>
      <c r="V13" s="50">
        <f t="shared" si="1"/>
        <v>159.02199999999999</v>
      </c>
      <c r="W13" s="51"/>
      <c r="X13" s="50">
        <f t="shared" si="2"/>
        <v>0</v>
      </c>
      <c r="Y13" s="95"/>
      <c r="Z13" s="86"/>
      <c r="AA13" s="86"/>
      <c r="AB13" s="86">
        <v>399</v>
      </c>
      <c r="AC13" s="86">
        <v>318</v>
      </c>
      <c r="AD13" s="86">
        <v>349</v>
      </c>
      <c r="AE13" s="86">
        <v>371</v>
      </c>
      <c r="AF13" s="86">
        <v>401</v>
      </c>
      <c r="AG13" s="86">
        <v>345</v>
      </c>
      <c r="AH13" s="86">
        <v>467</v>
      </c>
      <c r="AI13" s="86">
        <v>437</v>
      </c>
      <c r="AJ13" s="86">
        <v>424</v>
      </c>
      <c r="AK13" s="86">
        <v>370</v>
      </c>
      <c r="AL13" s="96">
        <v>398</v>
      </c>
      <c r="AM13" s="96">
        <v>402</v>
      </c>
      <c r="AN13" s="96">
        <f t="shared" si="4"/>
        <v>4681</v>
      </c>
      <c r="AO13" s="198">
        <f t="shared" si="5"/>
        <v>390.08333333333331</v>
      </c>
    </row>
    <row r="14" spans="1:41" x14ac:dyDescent="0.25">
      <c r="A14" s="127" t="s">
        <v>39</v>
      </c>
      <c r="B14" s="48"/>
      <c r="C14" s="48"/>
      <c r="D14" s="128">
        <v>6500</v>
      </c>
      <c r="E14" s="130"/>
      <c r="F14" s="128">
        <f t="shared" si="0"/>
        <v>0</v>
      </c>
      <c r="G14" s="130"/>
      <c r="H14" s="128"/>
      <c r="I14" s="26"/>
      <c r="J14" s="18"/>
      <c r="K14" s="18"/>
      <c r="L14" s="10"/>
      <c r="M14" s="21"/>
      <c r="N14" s="10"/>
      <c r="O14" s="21"/>
      <c r="P14" s="10"/>
      <c r="Q14" s="49"/>
      <c r="R14" s="32"/>
      <c r="S14" s="32"/>
      <c r="T14" s="50"/>
      <c r="U14" s="51"/>
      <c r="V14" s="50"/>
      <c r="W14" s="51"/>
      <c r="X14" s="50"/>
      <c r="Y14" s="95"/>
      <c r="Z14" s="86"/>
      <c r="AA14" s="86"/>
      <c r="AB14" s="86">
        <v>826</v>
      </c>
      <c r="AC14" s="86">
        <v>704</v>
      </c>
      <c r="AD14" s="86">
        <v>763</v>
      </c>
      <c r="AE14" s="86">
        <v>828</v>
      </c>
      <c r="AF14" s="86">
        <v>850</v>
      </c>
      <c r="AG14" s="86">
        <v>1068</v>
      </c>
      <c r="AH14" s="86">
        <v>1401</v>
      </c>
      <c r="AI14" s="86">
        <v>1079</v>
      </c>
      <c r="AJ14" s="86">
        <v>1060</v>
      </c>
      <c r="AK14" s="86">
        <v>981</v>
      </c>
      <c r="AL14" s="96">
        <v>1019</v>
      </c>
      <c r="AM14" s="96">
        <v>1039</v>
      </c>
      <c r="AN14" s="96">
        <f t="shared" si="4"/>
        <v>11618</v>
      </c>
      <c r="AO14" s="198">
        <f t="shared" si="5"/>
        <v>968.16666666666663</v>
      </c>
    </row>
    <row r="15" spans="1:41" x14ac:dyDescent="0.25">
      <c r="A15" s="127" t="s">
        <v>40</v>
      </c>
      <c r="B15" s="48"/>
      <c r="C15" s="48"/>
      <c r="D15" s="128">
        <v>7500</v>
      </c>
      <c r="E15" s="130"/>
      <c r="F15" s="128">
        <f t="shared" si="0"/>
        <v>0</v>
      </c>
      <c r="G15" s="130"/>
      <c r="H15" s="128">
        <f t="shared" si="3"/>
        <v>0</v>
      </c>
      <c r="I15" s="26"/>
      <c r="J15" s="18"/>
      <c r="K15" s="18"/>
      <c r="L15" s="10"/>
      <c r="M15" s="21"/>
      <c r="N15" s="10"/>
      <c r="O15" s="21"/>
      <c r="P15" s="10"/>
      <c r="Q15" s="32"/>
      <c r="R15" s="32"/>
      <c r="S15" s="32"/>
      <c r="T15" s="52" t="s">
        <v>41</v>
      </c>
      <c r="U15" s="53">
        <f>SUM(U8:U14)</f>
        <v>846</v>
      </c>
      <c r="V15" s="54">
        <f>SUM(V8:V14)</f>
        <v>3379.0049999999997</v>
      </c>
      <c r="W15" s="53">
        <f>SUM(W8:W14)</f>
        <v>11</v>
      </c>
      <c r="X15" s="54">
        <f>SUM(X8:X14)</f>
        <v>14.526999999999999</v>
      </c>
      <c r="Y15" s="95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96"/>
      <c r="AM15" s="96"/>
      <c r="AN15" s="96"/>
    </row>
    <row r="16" spans="1:41" x14ac:dyDescent="0.25">
      <c r="A16" s="127" t="s">
        <v>42</v>
      </c>
      <c r="B16" s="48"/>
      <c r="C16" s="48"/>
      <c r="D16" s="128">
        <v>8500</v>
      </c>
      <c r="E16" s="130"/>
      <c r="F16" s="128">
        <f t="shared" si="0"/>
        <v>0</v>
      </c>
      <c r="G16" s="130"/>
      <c r="H16" s="128">
        <f t="shared" si="3"/>
        <v>0</v>
      </c>
      <c r="I16" s="26"/>
      <c r="J16" s="18"/>
      <c r="K16" s="18"/>
      <c r="L16" s="10"/>
      <c r="M16" s="21"/>
      <c r="N16" s="10"/>
      <c r="O16" s="21"/>
      <c r="P16" s="10"/>
      <c r="Q16" s="49"/>
      <c r="R16" s="32"/>
      <c r="S16" s="32"/>
      <c r="T16" s="32"/>
      <c r="U16" s="32"/>
      <c r="V16" s="32"/>
      <c r="W16" s="32"/>
      <c r="X16" s="32"/>
      <c r="Y16" s="95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96"/>
      <c r="AM16" s="96"/>
      <c r="AN16" s="96"/>
    </row>
    <row r="17" spans="1:41" ht="13.8" thickBot="1" x14ac:dyDescent="0.3">
      <c r="A17" s="127" t="s">
        <v>43</v>
      </c>
      <c r="B17" s="48"/>
      <c r="C17" s="48"/>
      <c r="D17" s="128">
        <v>9500</v>
      </c>
      <c r="E17" s="130"/>
      <c r="F17" s="128">
        <f t="shared" si="0"/>
        <v>0</v>
      </c>
      <c r="G17" s="130"/>
      <c r="H17" s="128">
        <f t="shared" si="3"/>
        <v>0</v>
      </c>
      <c r="I17" s="26"/>
      <c r="J17" s="18"/>
      <c r="K17" s="18"/>
      <c r="L17" s="10"/>
      <c r="M17" s="21"/>
      <c r="N17" s="10"/>
      <c r="O17" s="21"/>
      <c r="P17" s="10"/>
      <c r="Q17" s="49" t="s">
        <v>44</v>
      </c>
      <c r="R17" s="32"/>
      <c r="S17" s="32"/>
      <c r="T17" s="32"/>
      <c r="U17" s="55"/>
      <c r="V17" s="56">
        <f>(V15*1000)/U15</f>
        <v>3994.0957446808507</v>
      </c>
      <c r="W17" s="55"/>
      <c r="X17" s="56">
        <f>(X15*1000)/W15</f>
        <v>1320.6363636363637</v>
      </c>
      <c r="Y17" s="95"/>
      <c r="Z17" s="86"/>
      <c r="AA17" s="86"/>
      <c r="AB17" s="86" t="s">
        <v>45</v>
      </c>
      <c r="AC17" s="86"/>
      <c r="AD17" s="86"/>
      <c r="AE17" s="86"/>
      <c r="AF17" s="86"/>
      <c r="AG17" s="86"/>
      <c r="AH17" s="86"/>
      <c r="AI17" s="86"/>
      <c r="AJ17" s="86"/>
      <c r="AK17" s="86"/>
      <c r="AL17" s="96"/>
      <c r="AM17" s="96"/>
      <c r="AN17" s="96"/>
    </row>
    <row r="18" spans="1:41" ht="13.8" thickTop="1" x14ac:dyDescent="0.25">
      <c r="A18" s="127" t="s">
        <v>46</v>
      </c>
      <c r="B18" s="48"/>
      <c r="C18" s="48"/>
      <c r="D18" s="128">
        <v>10500</v>
      </c>
      <c r="E18" s="130"/>
      <c r="F18" s="128">
        <f t="shared" si="0"/>
        <v>0</v>
      </c>
      <c r="G18" s="130"/>
      <c r="H18" s="128">
        <f t="shared" si="3"/>
        <v>0</v>
      </c>
      <c r="I18" s="26"/>
      <c r="J18" s="18"/>
      <c r="K18" s="18"/>
      <c r="L18" s="10"/>
      <c r="M18" s="21"/>
      <c r="N18" s="10"/>
      <c r="O18" s="21"/>
      <c r="P18" s="10"/>
      <c r="Q18" s="32"/>
      <c r="R18" s="32"/>
      <c r="S18" s="32"/>
      <c r="T18" s="32"/>
      <c r="U18" s="57"/>
      <c r="V18" s="58"/>
      <c r="W18" s="57"/>
      <c r="X18" s="58"/>
      <c r="Y18" s="95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96"/>
      <c r="AM18" s="96"/>
      <c r="AN18" s="96"/>
    </row>
    <row r="19" spans="1:41" x14ac:dyDescent="0.25">
      <c r="A19" s="127" t="s">
        <v>47</v>
      </c>
      <c r="B19" s="48"/>
      <c r="C19" s="48"/>
      <c r="D19" s="128">
        <v>11500</v>
      </c>
      <c r="E19" s="130"/>
      <c r="F19" s="128">
        <f t="shared" si="0"/>
        <v>0</v>
      </c>
      <c r="G19" s="130"/>
      <c r="H19" s="128">
        <f t="shared" si="3"/>
        <v>0</v>
      </c>
      <c r="I19" s="26"/>
      <c r="J19" s="18"/>
      <c r="K19" s="18"/>
      <c r="L19" s="10"/>
      <c r="M19" s="21"/>
      <c r="N19" s="10"/>
      <c r="O19" s="21"/>
      <c r="P19" s="10"/>
      <c r="Q19" s="49"/>
      <c r="R19" s="32"/>
      <c r="S19" s="32"/>
      <c r="T19" s="50"/>
      <c r="U19" s="51"/>
      <c r="V19" s="50"/>
      <c r="W19" s="51"/>
      <c r="X19" s="50"/>
      <c r="Y19" s="95"/>
      <c r="Z19" s="86"/>
      <c r="AA19" s="86"/>
      <c r="AB19" s="86" t="s">
        <v>14</v>
      </c>
      <c r="AC19" s="86" t="s">
        <v>15</v>
      </c>
      <c r="AD19" s="86" t="s">
        <v>16</v>
      </c>
      <c r="AE19" s="86" t="s">
        <v>17</v>
      </c>
      <c r="AF19" s="86" t="s">
        <v>18</v>
      </c>
      <c r="AG19" s="86" t="s">
        <v>19</v>
      </c>
      <c r="AH19" s="86" t="s">
        <v>20</v>
      </c>
      <c r="AI19" s="86" t="s">
        <v>21</v>
      </c>
      <c r="AJ19" s="86" t="s">
        <v>22</v>
      </c>
      <c r="AK19" s="86" t="s">
        <v>23</v>
      </c>
      <c r="AL19" s="86" t="s">
        <v>24</v>
      </c>
      <c r="AM19" s="86" t="s">
        <v>25</v>
      </c>
      <c r="AN19" s="86" t="s">
        <v>26</v>
      </c>
      <c r="AO19" s="199" t="s">
        <v>27</v>
      </c>
    </row>
    <row r="20" spans="1:41" x14ac:dyDescent="0.25">
      <c r="A20" s="127" t="s">
        <v>48</v>
      </c>
      <c r="B20" s="48"/>
      <c r="C20" s="48"/>
      <c r="D20" s="128">
        <v>12500</v>
      </c>
      <c r="E20" s="130"/>
      <c r="F20" s="128">
        <f t="shared" si="0"/>
        <v>0</v>
      </c>
      <c r="G20" s="130"/>
      <c r="H20" s="128">
        <f t="shared" si="3"/>
        <v>0</v>
      </c>
      <c r="I20" s="26"/>
      <c r="J20" s="18"/>
      <c r="K20" s="18"/>
      <c r="L20" s="10"/>
      <c r="M20" s="21"/>
      <c r="N20" s="10"/>
      <c r="O20" s="21"/>
      <c r="P20" s="10"/>
      <c r="Q20" s="48" t="s">
        <v>49</v>
      </c>
      <c r="R20" s="32"/>
      <c r="S20" s="32"/>
      <c r="T20" s="32"/>
      <c r="U20" s="32"/>
      <c r="V20" s="32"/>
      <c r="W20" s="32"/>
      <c r="X20" s="32"/>
      <c r="Y20" s="95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96"/>
      <c r="AM20" s="96"/>
      <c r="AN20" s="96"/>
    </row>
    <row r="21" spans="1:41" x14ac:dyDescent="0.25">
      <c r="A21" s="127" t="s">
        <v>50</v>
      </c>
      <c r="B21" s="48"/>
      <c r="C21" s="48"/>
      <c r="D21" s="128">
        <v>13500</v>
      </c>
      <c r="E21" s="130"/>
      <c r="F21" s="128">
        <f t="shared" si="0"/>
        <v>0</v>
      </c>
      <c r="G21" s="130"/>
      <c r="H21" s="128">
        <f t="shared" si="3"/>
        <v>0</v>
      </c>
      <c r="I21" s="26"/>
      <c r="J21" s="18"/>
      <c r="K21" s="18"/>
      <c r="L21" s="10"/>
      <c r="M21" s="21"/>
      <c r="N21" s="10"/>
      <c r="O21" s="21"/>
      <c r="P21" s="10"/>
      <c r="Q21" s="49" t="s">
        <v>51</v>
      </c>
      <c r="R21" s="32"/>
      <c r="S21" s="32"/>
      <c r="T21" s="50">
        <v>3000</v>
      </c>
      <c r="U21" s="51">
        <v>11</v>
      </c>
      <c r="V21" s="50">
        <f>(U21*T21)/1000</f>
        <v>33</v>
      </c>
      <c r="W21" s="51">
        <v>8</v>
      </c>
      <c r="X21" s="50">
        <f>(W21*T21)/1000</f>
        <v>24</v>
      </c>
      <c r="Y21" s="95"/>
      <c r="Z21" s="86"/>
      <c r="AA21" s="86"/>
      <c r="AB21" s="86">
        <v>67</v>
      </c>
      <c r="AC21" s="86">
        <v>63</v>
      </c>
      <c r="AD21" s="86">
        <v>63</v>
      </c>
      <c r="AE21" s="86">
        <v>69</v>
      </c>
      <c r="AF21" s="86">
        <v>65</v>
      </c>
      <c r="AG21" s="86">
        <v>68</v>
      </c>
      <c r="AH21" s="86">
        <v>61</v>
      </c>
      <c r="AI21" s="86">
        <v>62</v>
      </c>
      <c r="AJ21" s="86">
        <v>62</v>
      </c>
      <c r="AK21" s="86">
        <v>61</v>
      </c>
      <c r="AL21" s="96">
        <v>66</v>
      </c>
      <c r="AM21" s="96">
        <v>66</v>
      </c>
      <c r="AN21" s="96">
        <f t="shared" ref="AN21:AN27" si="6">SUM(AB21:AM21)</f>
        <v>773</v>
      </c>
      <c r="AO21" s="198">
        <f t="shared" ref="AO21:AO27" si="7">AN21/12</f>
        <v>64.416666666666671</v>
      </c>
    </row>
    <row r="22" spans="1:41" x14ac:dyDescent="0.25">
      <c r="A22" s="127" t="s">
        <v>52</v>
      </c>
      <c r="B22" s="48"/>
      <c r="C22" s="48"/>
      <c r="D22" s="128">
        <v>14500</v>
      </c>
      <c r="E22" s="130"/>
      <c r="F22" s="128">
        <f t="shared" si="0"/>
        <v>0</v>
      </c>
      <c r="G22" s="130"/>
      <c r="H22" s="128">
        <f t="shared" si="3"/>
        <v>0</v>
      </c>
      <c r="I22" s="26"/>
      <c r="J22" s="18"/>
      <c r="K22" s="18"/>
      <c r="L22" s="10"/>
      <c r="M22" s="21"/>
      <c r="N22" s="10"/>
      <c r="O22" s="21"/>
      <c r="P22" s="10"/>
      <c r="Q22" s="49" t="s">
        <v>53</v>
      </c>
      <c r="R22" s="32"/>
      <c r="S22" s="32"/>
      <c r="T22" s="58">
        <v>34000</v>
      </c>
      <c r="U22" s="62">
        <v>30</v>
      </c>
      <c r="V22" s="63">
        <f>(U22*T22)/1000</f>
        <v>1020</v>
      </c>
      <c r="W22" s="62">
        <v>6</v>
      </c>
      <c r="X22" s="63">
        <f>(W22*T22)/1000</f>
        <v>204</v>
      </c>
      <c r="Y22" s="95"/>
      <c r="Z22" s="86"/>
      <c r="AA22" s="86"/>
      <c r="AB22" s="86">
        <v>13</v>
      </c>
      <c r="AC22" s="86">
        <v>17</v>
      </c>
      <c r="AD22" s="86">
        <v>22</v>
      </c>
      <c r="AE22" s="86">
        <v>17</v>
      </c>
      <c r="AF22" s="86">
        <v>15</v>
      </c>
      <c r="AG22" s="86">
        <v>16</v>
      </c>
      <c r="AH22" s="86">
        <v>13</v>
      </c>
      <c r="AI22" s="86">
        <v>17</v>
      </c>
      <c r="AJ22" s="86">
        <v>15</v>
      </c>
      <c r="AK22" s="86">
        <v>16</v>
      </c>
      <c r="AL22" s="96">
        <v>16</v>
      </c>
      <c r="AM22" s="96">
        <v>19</v>
      </c>
      <c r="AN22" s="96">
        <f t="shared" si="6"/>
        <v>196</v>
      </c>
      <c r="AO22" s="198">
        <f t="shared" si="7"/>
        <v>16.333333333333332</v>
      </c>
    </row>
    <row r="23" spans="1:41" ht="13.8" thickBot="1" x14ac:dyDescent="0.3">
      <c r="A23" s="127" t="s">
        <v>54</v>
      </c>
      <c r="B23" s="48"/>
      <c r="C23" s="48"/>
      <c r="D23" s="128">
        <v>15500</v>
      </c>
      <c r="E23" s="130"/>
      <c r="F23" s="128">
        <f t="shared" si="0"/>
        <v>0</v>
      </c>
      <c r="G23" s="130"/>
      <c r="H23" s="128">
        <f t="shared" si="3"/>
        <v>0</v>
      </c>
      <c r="I23" s="26"/>
      <c r="J23" s="18"/>
      <c r="K23" s="18"/>
      <c r="L23" s="10"/>
      <c r="M23" s="21"/>
      <c r="N23" s="10"/>
      <c r="O23" s="21"/>
      <c r="P23" s="10"/>
      <c r="Q23" s="34"/>
      <c r="R23" s="32"/>
      <c r="S23" s="32"/>
      <c r="T23" s="64" t="s">
        <v>41</v>
      </c>
      <c r="U23" s="65">
        <f>+U21+U22</f>
        <v>41</v>
      </c>
      <c r="V23" s="66">
        <f>+V21+V22</f>
        <v>1053</v>
      </c>
      <c r="W23" s="65">
        <f>+W21+W22</f>
        <v>14</v>
      </c>
      <c r="X23" s="66">
        <f>+X21+X22</f>
        <v>228</v>
      </c>
      <c r="Y23" s="95"/>
      <c r="Z23" s="86"/>
      <c r="AA23" s="86"/>
      <c r="AB23" s="86">
        <v>17</v>
      </c>
      <c r="AC23" s="86">
        <v>10</v>
      </c>
      <c r="AD23" s="86">
        <v>13</v>
      </c>
      <c r="AE23" s="86">
        <v>12</v>
      </c>
      <c r="AF23" s="86">
        <v>11</v>
      </c>
      <c r="AG23" s="86">
        <v>12</v>
      </c>
      <c r="AH23" s="86">
        <v>16</v>
      </c>
      <c r="AI23" s="86">
        <v>17</v>
      </c>
      <c r="AJ23" s="86">
        <v>18</v>
      </c>
      <c r="AK23" s="86">
        <v>16</v>
      </c>
      <c r="AL23" s="96">
        <v>13</v>
      </c>
      <c r="AM23" s="96">
        <v>9</v>
      </c>
      <c r="AN23" s="96">
        <f t="shared" si="6"/>
        <v>164</v>
      </c>
      <c r="AO23" s="198">
        <f t="shared" si="7"/>
        <v>13.666666666666666</v>
      </c>
    </row>
    <row r="24" spans="1:41" ht="13.8" thickTop="1" x14ac:dyDescent="0.25">
      <c r="A24" s="127" t="s">
        <v>55</v>
      </c>
      <c r="B24" s="48"/>
      <c r="C24" s="48"/>
      <c r="D24" s="128">
        <v>16500</v>
      </c>
      <c r="E24" s="130"/>
      <c r="F24" s="128">
        <f>(E24*D24)/1000</f>
        <v>0</v>
      </c>
      <c r="G24" s="130"/>
      <c r="H24" s="128">
        <f t="shared" si="3"/>
        <v>0</v>
      </c>
      <c r="I24" s="26"/>
      <c r="J24" s="18"/>
      <c r="K24" s="18"/>
      <c r="L24" s="10"/>
      <c r="M24" s="21"/>
      <c r="N24" s="10"/>
      <c r="O24" s="21"/>
      <c r="P24" s="10"/>
      <c r="Q24" s="34"/>
      <c r="R24" s="34"/>
      <c r="S24" s="34"/>
      <c r="T24" s="34"/>
      <c r="U24" s="34"/>
      <c r="V24" s="34"/>
      <c r="W24" s="34"/>
      <c r="X24" s="34"/>
      <c r="Y24" s="95"/>
      <c r="Z24" s="86"/>
      <c r="AA24" s="86"/>
      <c r="AB24" s="86">
        <v>6</v>
      </c>
      <c r="AC24" s="86">
        <v>12</v>
      </c>
      <c r="AD24" s="86">
        <v>8</v>
      </c>
      <c r="AE24" s="86">
        <v>7</v>
      </c>
      <c r="AF24" s="86">
        <v>10</v>
      </c>
      <c r="AG24" s="86">
        <v>11</v>
      </c>
      <c r="AH24" s="86">
        <v>9</v>
      </c>
      <c r="AI24" s="86">
        <v>8</v>
      </c>
      <c r="AJ24" s="86">
        <v>7</v>
      </c>
      <c r="AK24" s="86">
        <v>9</v>
      </c>
      <c r="AL24" s="96">
        <v>12</v>
      </c>
      <c r="AM24" s="96">
        <v>11</v>
      </c>
      <c r="AN24" s="96">
        <f t="shared" si="6"/>
        <v>110</v>
      </c>
      <c r="AO24" s="198">
        <f t="shared" si="7"/>
        <v>9.1666666666666661</v>
      </c>
    </row>
    <row r="25" spans="1:41" x14ac:dyDescent="0.25">
      <c r="A25" s="127" t="s">
        <v>56</v>
      </c>
      <c r="B25" s="48"/>
      <c r="C25" s="48"/>
      <c r="D25" s="128">
        <v>17500</v>
      </c>
      <c r="E25" s="130"/>
      <c r="F25" s="128">
        <f>(E25*D25)/1000</f>
        <v>0</v>
      </c>
      <c r="G25" s="130"/>
      <c r="H25" s="128">
        <f>(G25*D25)/1000</f>
        <v>0</v>
      </c>
      <c r="I25" s="26"/>
      <c r="J25" s="18"/>
      <c r="K25" s="18"/>
      <c r="L25" s="10"/>
      <c r="M25" s="21"/>
      <c r="N25" s="10"/>
      <c r="O25" s="21"/>
      <c r="P25" s="10"/>
      <c r="Q25" s="48" t="s">
        <v>57</v>
      </c>
      <c r="R25" s="32"/>
      <c r="S25" s="32"/>
      <c r="T25" s="32"/>
      <c r="U25" s="32"/>
      <c r="V25" s="32"/>
      <c r="W25" s="32"/>
      <c r="X25" s="32"/>
      <c r="Y25" s="95"/>
      <c r="Z25" s="86"/>
      <c r="AA25" s="86"/>
      <c r="AB25" s="86">
        <v>7</v>
      </c>
      <c r="AC25" s="86">
        <v>7</v>
      </c>
      <c r="AD25" s="86">
        <v>4</v>
      </c>
      <c r="AE25" s="86">
        <v>7</v>
      </c>
      <c r="AF25" s="86">
        <v>8</v>
      </c>
      <c r="AG25" s="86">
        <v>6</v>
      </c>
      <c r="AH25" s="86">
        <v>4</v>
      </c>
      <c r="AI25" s="86">
        <v>7</v>
      </c>
      <c r="AJ25" s="86">
        <v>7</v>
      </c>
      <c r="AK25" s="86">
        <v>3</v>
      </c>
      <c r="AL25" s="96">
        <v>6</v>
      </c>
      <c r="AM25" s="96">
        <v>8</v>
      </c>
      <c r="AN25" s="96">
        <f t="shared" si="6"/>
        <v>74</v>
      </c>
      <c r="AO25" s="198">
        <f t="shared" si="7"/>
        <v>6.166666666666667</v>
      </c>
    </row>
    <row r="26" spans="1:41" x14ac:dyDescent="0.25">
      <c r="A26" s="127" t="s">
        <v>58</v>
      </c>
      <c r="B26" s="48"/>
      <c r="C26" s="48"/>
      <c r="D26" s="128">
        <v>18500</v>
      </c>
      <c r="E26" s="130"/>
      <c r="F26" s="128">
        <f>(E26*D26)/1000</f>
        <v>0</v>
      </c>
      <c r="G26" s="130"/>
      <c r="H26" s="128">
        <f>(G26*D26)/1000</f>
        <v>0</v>
      </c>
      <c r="I26" s="26"/>
      <c r="J26" s="18"/>
      <c r="K26" s="18"/>
      <c r="L26" s="10"/>
      <c r="M26" s="21"/>
      <c r="N26" s="10"/>
      <c r="O26" s="21"/>
      <c r="P26" s="10"/>
      <c r="Q26" s="49" t="s">
        <v>59</v>
      </c>
      <c r="R26" s="32"/>
      <c r="S26" s="32"/>
      <c r="T26" s="50">
        <v>750</v>
      </c>
      <c r="U26" s="51">
        <v>2</v>
      </c>
      <c r="V26" s="50">
        <f>(U26*T26)/1000</f>
        <v>1.5</v>
      </c>
      <c r="W26" s="51">
        <v>4</v>
      </c>
      <c r="X26" s="50">
        <f>(W26*T26)/1000</f>
        <v>3</v>
      </c>
      <c r="Y26" s="95"/>
      <c r="Z26" s="86"/>
      <c r="AA26" s="86"/>
      <c r="AB26" s="86">
        <v>8</v>
      </c>
      <c r="AC26" s="86">
        <v>8</v>
      </c>
      <c r="AD26" s="86">
        <v>7</v>
      </c>
      <c r="AE26" s="86">
        <v>4</v>
      </c>
      <c r="AF26" s="86">
        <v>8</v>
      </c>
      <c r="AG26" s="86">
        <v>5</v>
      </c>
      <c r="AH26" s="86">
        <v>4</v>
      </c>
      <c r="AI26" s="86">
        <v>5</v>
      </c>
      <c r="AJ26" s="86">
        <v>10</v>
      </c>
      <c r="AK26" s="86">
        <v>6</v>
      </c>
      <c r="AL26" s="96">
        <v>3</v>
      </c>
      <c r="AM26" s="96">
        <v>3</v>
      </c>
      <c r="AN26" s="96">
        <f t="shared" si="6"/>
        <v>71</v>
      </c>
      <c r="AO26" s="198">
        <f t="shared" si="7"/>
        <v>5.916666666666667</v>
      </c>
    </row>
    <row r="27" spans="1:41" x14ac:dyDescent="0.25">
      <c r="A27" s="127" t="s">
        <v>60</v>
      </c>
      <c r="B27" s="48"/>
      <c r="C27" s="48"/>
      <c r="D27" s="128">
        <v>19500</v>
      </c>
      <c r="E27" s="130"/>
      <c r="F27" s="128">
        <f>(E27*D27)/1000</f>
        <v>0</v>
      </c>
      <c r="G27" s="130"/>
      <c r="H27" s="128">
        <f>(G27*D27)/1000</f>
        <v>0</v>
      </c>
      <c r="I27" s="26"/>
      <c r="J27" s="18"/>
      <c r="K27" s="18"/>
      <c r="L27" s="10"/>
      <c r="M27" s="21"/>
      <c r="N27" s="10"/>
      <c r="O27" s="21"/>
      <c r="P27" s="10"/>
      <c r="Q27" s="49" t="s">
        <v>61</v>
      </c>
      <c r="R27" s="32"/>
      <c r="S27" s="32"/>
      <c r="T27" s="58">
        <v>41500</v>
      </c>
      <c r="U27" s="62">
        <v>1</v>
      </c>
      <c r="V27" s="63">
        <f>(U27*T27)/1000</f>
        <v>41.5</v>
      </c>
      <c r="W27" s="62">
        <v>0</v>
      </c>
      <c r="X27" s="63">
        <f>W27*(T27/1000)</f>
        <v>0</v>
      </c>
      <c r="Y27" s="95"/>
      <c r="Z27" s="86"/>
      <c r="AA27" s="86"/>
      <c r="AB27" s="86">
        <v>29</v>
      </c>
      <c r="AC27" s="86">
        <v>29</v>
      </c>
      <c r="AD27" s="86">
        <v>31</v>
      </c>
      <c r="AE27" s="86">
        <v>33</v>
      </c>
      <c r="AF27" s="86">
        <v>31</v>
      </c>
      <c r="AG27" s="86">
        <v>30</v>
      </c>
      <c r="AH27" s="86">
        <v>41</v>
      </c>
      <c r="AI27" s="86">
        <v>32</v>
      </c>
      <c r="AJ27" s="86">
        <v>29</v>
      </c>
      <c r="AK27" s="86">
        <v>37</v>
      </c>
      <c r="AL27" s="96">
        <v>32</v>
      </c>
      <c r="AM27" s="96">
        <v>32</v>
      </c>
      <c r="AN27" s="96">
        <f t="shared" si="6"/>
        <v>386</v>
      </c>
      <c r="AO27" s="198">
        <f t="shared" si="7"/>
        <v>32.166666666666664</v>
      </c>
    </row>
    <row r="28" spans="1:41" ht="13.8" thickBot="1" x14ac:dyDescent="0.3">
      <c r="A28" s="127" t="s">
        <v>62</v>
      </c>
      <c r="B28" s="48"/>
      <c r="C28" s="48"/>
      <c r="D28" s="128">
        <v>30000</v>
      </c>
      <c r="E28" s="130"/>
      <c r="F28" s="128">
        <f>(E28*D28)/1000</f>
        <v>0</v>
      </c>
      <c r="G28" s="130"/>
      <c r="H28" s="128">
        <f>(G28*D28)/1000</f>
        <v>0</v>
      </c>
      <c r="I28" s="26"/>
      <c r="J28" s="18"/>
      <c r="K28" s="18"/>
      <c r="L28" s="10"/>
      <c r="M28" s="21"/>
      <c r="N28" s="10"/>
      <c r="O28" s="21"/>
      <c r="P28" s="10"/>
      <c r="Q28" s="34"/>
      <c r="R28" s="32"/>
      <c r="S28" s="32"/>
      <c r="T28" s="67" t="s">
        <v>41</v>
      </c>
      <c r="U28" s="68">
        <f>+U27+U26</f>
        <v>3</v>
      </c>
      <c r="V28" s="68">
        <f>+V27+V26</f>
        <v>43</v>
      </c>
      <c r="W28" s="68">
        <f>+W27+W26</f>
        <v>4</v>
      </c>
      <c r="X28" s="68">
        <f>+X27+X26</f>
        <v>3</v>
      </c>
      <c r="Y28" s="95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96"/>
      <c r="AM28" s="96"/>
      <c r="AN28" s="96"/>
    </row>
    <row r="29" spans="1:41" ht="13.8" thickTop="1" x14ac:dyDescent="0.25">
      <c r="A29" s="48"/>
      <c r="B29" s="48"/>
      <c r="C29" s="48"/>
      <c r="D29" s="52" t="s">
        <v>41</v>
      </c>
      <c r="E29" s="53">
        <f>SUM(E8:E28)</f>
        <v>0</v>
      </c>
      <c r="F29" s="54">
        <f>SUM(F8:F28)</f>
        <v>0</v>
      </c>
      <c r="G29" s="53">
        <f>SUM(G8:G28)</f>
        <v>0</v>
      </c>
      <c r="H29" s="54">
        <f>SUM(H8:H28)</f>
        <v>0</v>
      </c>
      <c r="I29" s="18"/>
      <c r="J29" s="18"/>
      <c r="K29" s="18"/>
      <c r="L29" s="11"/>
      <c r="M29" s="22"/>
      <c r="N29" s="12"/>
      <c r="O29" s="22"/>
      <c r="P29" s="12"/>
      <c r="Q29" s="34"/>
      <c r="R29" s="32"/>
      <c r="S29" s="32"/>
      <c r="T29" s="32"/>
      <c r="U29" s="32"/>
      <c r="V29" s="32"/>
      <c r="W29" s="32"/>
      <c r="X29" s="32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97"/>
      <c r="AM29" s="97"/>
      <c r="AN29" s="98"/>
    </row>
    <row r="30" spans="1:41" x14ac:dyDescent="0.25">
      <c r="A30" s="127" t="s">
        <v>63</v>
      </c>
      <c r="B30" s="48"/>
      <c r="C30" s="48"/>
      <c r="D30" s="48"/>
      <c r="E30" s="48"/>
      <c r="F30" s="48"/>
      <c r="G30" s="48"/>
      <c r="H30" s="48"/>
      <c r="I30" s="163"/>
      <c r="J30" s="18"/>
      <c r="K30" s="18"/>
      <c r="L30" s="18"/>
      <c r="M30" s="18"/>
      <c r="N30" s="18"/>
      <c r="O30" s="18"/>
      <c r="P30" s="18"/>
      <c r="Q30" s="48" t="s">
        <v>64</v>
      </c>
      <c r="R30" s="32"/>
      <c r="S30" s="194"/>
      <c r="T30" s="195"/>
      <c r="U30" s="32"/>
      <c r="V30" s="32"/>
      <c r="W30" s="32"/>
      <c r="X30" s="32"/>
      <c r="Y30" s="99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</row>
    <row r="31" spans="1:41" ht="13.8" thickBot="1" x14ac:dyDescent="0.3">
      <c r="A31" s="127" t="s">
        <v>44</v>
      </c>
      <c r="B31" s="48"/>
      <c r="C31" s="48"/>
      <c r="D31" s="48"/>
      <c r="E31" s="68"/>
      <c r="F31" s="74"/>
      <c r="G31" s="68"/>
      <c r="H31" s="74"/>
      <c r="I31" s="26"/>
      <c r="J31" s="18"/>
      <c r="K31" s="18"/>
      <c r="L31" s="18"/>
      <c r="M31" s="18"/>
      <c r="N31" s="10"/>
      <c r="O31" s="18"/>
      <c r="P31" s="10"/>
      <c r="Q31" s="49" t="s">
        <v>65</v>
      </c>
      <c r="R31" s="32"/>
      <c r="S31" s="194"/>
      <c r="T31" s="197">
        <v>1200</v>
      </c>
      <c r="U31" s="32"/>
      <c r="V31" s="32"/>
      <c r="W31" s="32">
        <v>1</v>
      </c>
      <c r="X31" s="50">
        <f>(W31*T31)/1000</f>
        <v>1.2</v>
      </c>
      <c r="Y31" s="95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96"/>
    </row>
    <row r="32" spans="1:41" ht="13.8" thickTop="1" x14ac:dyDescent="0.25">
      <c r="A32" s="48"/>
      <c r="B32" s="48"/>
      <c r="C32" s="48"/>
      <c r="D32" s="48"/>
      <c r="E32" s="153"/>
      <c r="F32" s="64"/>
      <c r="G32" s="153"/>
      <c r="H32" s="64"/>
      <c r="I32" s="18"/>
      <c r="J32" s="18"/>
      <c r="K32" s="18"/>
      <c r="L32" s="18"/>
      <c r="M32" s="8"/>
      <c r="N32" s="9"/>
      <c r="O32" s="8"/>
      <c r="P32" s="9"/>
      <c r="Q32" s="49" t="s">
        <v>66</v>
      </c>
      <c r="R32" s="32"/>
      <c r="S32" s="196"/>
      <c r="T32" s="197">
        <v>63400</v>
      </c>
      <c r="U32" s="62">
        <v>0</v>
      </c>
      <c r="V32" s="63">
        <f>(U32*S32)/1000</f>
        <v>0</v>
      </c>
      <c r="W32" s="62">
        <v>2</v>
      </c>
      <c r="X32" s="63">
        <f>W32*(T32/1000)</f>
        <v>126.8</v>
      </c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100"/>
    </row>
    <row r="33" spans="1:40" ht="13.8" thickBot="1" x14ac:dyDescent="0.3">
      <c r="A33" s="48"/>
      <c r="B33" s="48"/>
      <c r="C33" s="48"/>
      <c r="D33" s="142" t="s">
        <v>67</v>
      </c>
      <c r="E33" s="142">
        <f>+E29</f>
        <v>0</v>
      </c>
      <c r="F33" s="143">
        <f>+F29</f>
        <v>0</v>
      </c>
      <c r="G33" s="142">
        <f>+G29</f>
        <v>0</v>
      </c>
      <c r="H33" s="143">
        <f>+H29+H39+H44+H48+H52+H57</f>
        <v>0</v>
      </c>
      <c r="I33" s="13"/>
      <c r="J33" s="18"/>
      <c r="K33" s="18"/>
      <c r="L33" s="10"/>
      <c r="M33" s="18"/>
      <c r="N33" s="18"/>
      <c r="O33" s="18"/>
      <c r="P33" s="10"/>
      <c r="Q33" s="34"/>
      <c r="R33" s="32"/>
      <c r="S33" s="32"/>
      <c r="T33" s="67" t="s">
        <v>41</v>
      </c>
      <c r="U33" s="68">
        <f>+U32+U31</f>
        <v>0</v>
      </c>
      <c r="V33" s="68">
        <f>+V32+V31</f>
        <v>0</v>
      </c>
      <c r="W33" s="68">
        <f>+W32+W31</f>
        <v>3</v>
      </c>
      <c r="X33" s="68">
        <f>+X32+X31</f>
        <v>128</v>
      </c>
      <c r="Y33" s="94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96"/>
      <c r="AM33" s="96"/>
      <c r="AN33" s="96"/>
    </row>
    <row r="34" spans="1:40" ht="13.8" thickTop="1" x14ac:dyDescent="0.25">
      <c r="A34" s="4"/>
      <c r="B34" s="1"/>
      <c r="C34" s="1"/>
      <c r="D34" s="5"/>
      <c r="E34" s="6"/>
      <c r="F34" s="5"/>
      <c r="G34" s="6"/>
      <c r="H34" s="5"/>
      <c r="I34" s="26"/>
      <c r="J34" s="18"/>
      <c r="K34" s="18"/>
      <c r="L34" s="10"/>
      <c r="M34" s="21"/>
      <c r="N34" s="10"/>
      <c r="O34" s="21"/>
      <c r="P34" s="10"/>
      <c r="Q34" s="34"/>
      <c r="R34" s="34"/>
      <c r="S34" s="34"/>
      <c r="T34" s="34"/>
      <c r="U34" s="34"/>
      <c r="V34" s="34"/>
      <c r="W34" s="34"/>
      <c r="X34" s="34"/>
      <c r="Y34" s="95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96"/>
      <c r="AM34" s="96"/>
      <c r="AN34" s="96"/>
    </row>
    <row r="35" spans="1:40" ht="13.8" thickBot="1" x14ac:dyDescent="0.3">
      <c r="A35" s="4"/>
      <c r="B35" s="1"/>
      <c r="C35" s="1"/>
      <c r="D35" s="5"/>
      <c r="E35" s="6"/>
      <c r="F35" s="5"/>
      <c r="G35" s="6"/>
      <c r="H35" s="5"/>
      <c r="I35" s="26"/>
      <c r="J35" s="18"/>
      <c r="K35" s="18"/>
      <c r="L35" s="10"/>
      <c r="M35" s="21"/>
      <c r="N35" s="10"/>
      <c r="O35" s="21"/>
      <c r="P35" s="10"/>
      <c r="Q35" s="34"/>
      <c r="R35" s="34"/>
      <c r="S35" s="34"/>
      <c r="T35" s="69" t="s">
        <v>67</v>
      </c>
      <c r="U35" s="69">
        <f>+U15+U23+U28+U33</f>
        <v>890</v>
      </c>
      <c r="V35" s="70">
        <f>+V15+V23+V28+V33</f>
        <v>4475.0049999999992</v>
      </c>
      <c r="W35" s="69">
        <f>+W15+W23+W28+W33</f>
        <v>32</v>
      </c>
      <c r="X35" s="70">
        <f>+X15+X23+X28+X33</f>
        <v>373.52699999999999</v>
      </c>
      <c r="Y35" s="95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96"/>
      <c r="AM35" s="96"/>
      <c r="AN35" s="96"/>
    </row>
    <row r="36" spans="1:40" ht="13.8" thickTop="1" x14ac:dyDescent="0.25">
      <c r="A36" s="4"/>
      <c r="B36" s="1"/>
      <c r="C36" s="1"/>
      <c r="D36" s="5"/>
      <c r="E36" s="6"/>
      <c r="F36" s="5"/>
      <c r="G36" s="6"/>
      <c r="H36" s="5"/>
      <c r="I36" s="26"/>
      <c r="J36" s="18"/>
      <c r="K36" s="18"/>
      <c r="L36" s="10"/>
      <c r="M36" s="21"/>
      <c r="N36" s="10"/>
      <c r="O36" s="21"/>
      <c r="P36" s="10"/>
      <c r="Y36" s="95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96"/>
      <c r="AM36" s="96"/>
      <c r="AN36" s="96"/>
    </row>
    <row r="37" spans="1:40" ht="12.75" customHeight="1" x14ac:dyDescent="0.25">
      <c r="A37" s="4"/>
      <c r="B37" s="1"/>
      <c r="C37" s="1"/>
      <c r="D37" s="5"/>
      <c r="E37" s="6"/>
      <c r="F37" s="5"/>
      <c r="G37" s="6"/>
      <c r="H37" s="5"/>
      <c r="I37" s="26"/>
      <c r="J37" s="18"/>
      <c r="K37" s="18"/>
      <c r="L37" s="10"/>
      <c r="M37" s="21"/>
      <c r="N37" s="10"/>
      <c r="O37" s="21"/>
      <c r="P37" s="10"/>
      <c r="R37" s="1"/>
      <c r="S37" s="1"/>
      <c r="T37" s="1"/>
      <c r="U37" s="1"/>
      <c r="V37" s="1"/>
      <c r="W37" s="1"/>
      <c r="X37" s="1"/>
      <c r="Y37" s="95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96"/>
      <c r="AM37" s="96"/>
      <c r="AN37" s="96"/>
    </row>
    <row r="38" spans="1:40" x14ac:dyDescent="0.25">
      <c r="A38" s="4"/>
      <c r="B38" s="1"/>
      <c r="C38" s="1"/>
      <c r="D38" s="10"/>
      <c r="F38" s="10"/>
      <c r="G38" s="25"/>
      <c r="H38" s="10"/>
      <c r="I38" s="26"/>
      <c r="J38" s="18"/>
      <c r="K38" s="18"/>
      <c r="L38" s="10"/>
      <c r="M38" s="25"/>
      <c r="N38" s="10"/>
      <c r="O38" s="21"/>
      <c r="P38" s="10"/>
      <c r="Q38" s="3"/>
      <c r="R38" s="1"/>
      <c r="S38" s="1"/>
      <c r="Y38" s="95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96"/>
      <c r="AM38" s="96"/>
      <c r="AN38" s="96"/>
    </row>
    <row r="39" spans="1:40" x14ac:dyDescent="0.25">
      <c r="D39" s="11"/>
      <c r="E39" s="19"/>
      <c r="F39" s="20"/>
      <c r="G39" s="19"/>
      <c r="H39" s="20"/>
      <c r="I39" s="17"/>
      <c r="J39" s="17"/>
      <c r="K39" s="17"/>
      <c r="L39" s="11"/>
      <c r="M39" s="19"/>
      <c r="N39" s="20"/>
      <c r="O39" s="19"/>
      <c r="P39" s="20"/>
      <c r="Q39" s="26"/>
      <c r="R39" s="18"/>
      <c r="S39" s="18"/>
      <c r="T39" s="10"/>
      <c r="U39" s="21"/>
      <c r="V39" s="10"/>
      <c r="W39" s="21"/>
      <c r="X39" s="10"/>
      <c r="Y39" s="88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96"/>
      <c r="AM39" s="96"/>
      <c r="AN39" s="101"/>
    </row>
    <row r="40" spans="1:40" x14ac:dyDescent="0.25">
      <c r="B40" s="1"/>
      <c r="C40" s="1"/>
      <c r="D40" s="1"/>
      <c r="E40" s="13"/>
      <c r="F40" s="13"/>
      <c r="G40" s="13"/>
      <c r="H40" s="12"/>
      <c r="I40" s="17"/>
      <c r="J40" s="18"/>
      <c r="K40" s="18"/>
      <c r="L40" s="18"/>
      <c r="M40" s="13"/>
      <c r="N40" s="13"/>
      <c r="O40" s="13"/>
      <c r="P40" s="12"/>
      <c r="Q40" s="26"/>
      <c r="R40" s="18"/>
      <c r="S40" s="18"/>
      <c r="T40" s="10"/>
      <c r="U40" s="21"/>
      <c r="V40" s="10"/>
      <c r="W40" s="21"/>
      <c r="X40" s="10"/>
      <c r="Y40" s="88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96"/>
      <c r="AM40" s="96"/>
      <c r="AN40" s="98"/>
    </row>
    <row r="41" spans="1:40" x14ac:dyDescent="0.25">
      <c r="A41" s="3"/>
      <c r="B41" s="1"/>
      <c r="C41" s="1"/>
      <c r="D41" s="1"/>
      <c r="E41" s="18"/>
      <c r="F41" s="18"/>
      <c r="G41" s="18"/>
      <c r="H41" s="18"/>
      <c r="I41" s="13"/>
      <c r="J41" s="18"/>
      <c r="K41" s="18"/>
      <c r="L41" s="18"/>
      <c r="M41" s="18"/>
      <c r="N41" s="18"/>
      <c r="O41" s="18"/>
      <c r="P41" s="18"/>
      <c r="Q41" s="17"/>
      <c r="R41" s="18"/>
      <c r="S41" s="18"/>
      <c r="T41" s="13"/>
      <c r="U41" s="13"/>
      <c r="V41" s="24"/>
      <c r="W41" s="13"/>
      <c r="X41" s="24"/>
      <c r="Y41" s="94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</row>
    <row r="42" spans="1:40" x14ac:dyDescent="0.25">
      <c r="A42" s="4"/>
      <c r="B42" s="1"/>
      <c r="C42" s="1"/>
      <c r="D42" s="5"/>
      <c r="E42" s="21"/>
      <c r="F42" s="10"/>
      <c r="G42" s="21"/>
      <c r="H42" s="10"/>
      <c r="I42" s="26"/>
      <c r="J42" s="18"/>
      <c r="K42" s="18"/>
      <c r="L42" s="10"/>
      <c r="M42" s="21"/>
      <c r="N42" s="10"/>
      <c r="O42" s="21"/>
      <c r="P42" s="10"/>
      <c r="Q42" s="1"/>
      <c r="R42" s="1"/>
      <c r="S42" s="1"/>
      <c r="T42" s="1"/>
      <c r="U42" s="1"/>
      <c r="V42" s="1"/>
      <c r="W42" s="1"/>
      <c r="X42" s="1"/>
      <c r="Y42" s="95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96"/>
      <c r="AM42" s="96"/>
      <c r="AN42" s="96"/>
    </row>
    <row r="43" spans="1:40" x14ac:dyDescent="0.25">
      <c r="A43" s="4"/>
      <c r="B43" s="1"/>
      <c r="C43" s="1"/>
      <c r="D43" s="10"/>
      <c r="E43" s="21"/>
      <c r="F43" s="10"/>
      <c r="G43" s="21"/>
      <c r="H43" s="10"/>
      <c r="I43" s="26"/>
      <c r="J43" s="18"/>
      <c r="K43" s="18"/>
      <c r="L43" s="10"/>
      <c r="M43" s="21"/>
      <c r="N43" s="10"/>
      <c r="O43" s="21"/>
      <c r="P43" s="10"/>
      <c r="Q43" s="1"/>
      <c r="R43" s="1"/>
      <c r="S43" s="1"/>
      <c r="Y43" s="95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96"/>
      <c r="AM43" s="96"/>
      <c r="AN43" s="96"/>
    </row>
    <row r="44" spans="1:40" x14ac:dyDescent="0.25">
      <c r="B44" s="1"/>
      <c r="C44" s="1"/>
      <c r="D44" s="12"/>
      <c r="E44" s="22"/>
      <c r="F44" s="22"/>
      <c r="G44" s="22"/>
      <c r="H44" s="23"/>
      <c r="I44" s="17"/>
      <c r="J44" s="18"/>
      <c r="K44" s="18"/>
      <c r="L44" s="12"/>
      <c r="M44" s="22"/>
      <c r="N44" s="22"/>
      <c r="O44" s="22"/>
      <c r="P44" s="23"/>
      <c r="Y44" s="88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96"/>
      <c r="AM44" s="96"/>
      <c r="AN44" s="102"/>
    </row>
    <row r="45" spans="1:40" x14ac:dyDescent="0.25"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</row>
    <row r="46" spans="1:40" x14ac:dyDescent="0.25">
      <c r="A46" s="3"/>
      <c r="B46" s="1"/>
      <c r="C46" s="1"/>
      <c r="D46" s="1"/>
      <c r="E46" s="18"/>
      <c r="F46" s="18"/>
      <c r="G46" s="18"/>
      <c r="H46" s="18"/>
      <c r="I46" s="13"/>
      <c r="J46" s="18"/>
      <c r="K46" s="18"/>
      <c r="L46" s="18"/>
      <c r="M46" s="18"/>
      <c r="N46" s="18"/>
      <c r="O46" s="18"/>
      <c r="P46" s="18"/>
      <c r="Y46" s="94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</row>
    <row r="47" spans="1:40" x14ac:dyDescent="0.25">
      <c r="A47" s="4"/>
      <c r="B47" s="1"/>
      <c r="C47" s="1"/>
      <c r="D47" s="10"/>
      <c r="E47" s="21"/>
      <c r="F47" s="10"/>
      <c r="G47" s="21"/>
      <c r="H47" s="10"/>
      <c r="I47" s="26"/>
      <c r="J47" s="18"/>
      <c r="K47" s="18"/>
      <c r="L47" s="10"/>
      <c r="M47" s="21"/>
      <c r="N47" s="10"/>
      <c r="O47" s="21"/>
      <c r="P47" s="10"/>
      <c r="Y47" s="95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96"/>
      <c r="AM47" s="96"/>
      <c r="AN47" s="96"/>
    </row>
    <row r="48" spans="1:40" x14ac:dyDescent="0.25">
      <c r="B48" s="1"/>
      <c r="C48" s="1"/>
      <c r="D48" s="13"/>
      <c r="E48" s="13"/>
      <c r="F48" s="13"/>
      <c r="G48" s="13"/>
      <c r="H48" s="24"/>
      <c r="I48" s="17"/>
      <c r="J48" s="18"/>
      <c r="K48" s="18"/>
      <c r="L48" s="13"/>
      <c r="M48" s="13"/>
      <c r="N48" s="13"/>
      <c r="O48" s="13"/>
      <c r="P48" s="24"/>
      <c r="Y48" s="88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96"/>
      <c r="AM48" s="96"/>
      <c r="AN48" s="103"/>
    </row>
    <row r="49" spans="1:40" x14ac:dyDescent="0.25">
      <c r="B49" s="1"/>
      <c r="C49" s="1"/>
      <c r="D49" s="1"/>
      <c r="E49" s="1"/>
      <c r="F49" s="1"/>
      <c r="G49" s="1"/>
      <c r="H49" s="1"/>
      <c r="I49" s="17"/>
      <c r="J49" s="18"/>
      <c r="K49" s="18"/>
      <c r="L49" s="18"/>
      <c r="M49" s="18"/>
      <c r="N49" s="18"/>
      <c r="O49" s="18"/>
      <c r="P49" s="18"/>
      <c r="Y49" s="88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</row>
    <row r="50" spans="1:40" x14ac:dyDescent="0.25">
      <c r="A50" s="13"/>
      <c r="B50" s="18"/>
      <c r="C50" s="18"/>
      <c r="D50" s="18"/>
      <c r="E50" s="18"/>
      <c r="F50" s="18"/>
      <c r="G50" s="18"/>
      <c r="H50" s="18"/>
      <c r="I50" s="13"/>
      <c r="J50" s="18"/>
      <c r="K50" s="18"/>
      <c r="L50" s="18"/>
      <c r="M50" s="18"/>
      <c r="N50" s="18"/>
      <c r="O50" s="18"/>
      <c r="P50" s="18"/>
      <c r="Y50" s="94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</row>
    <row r="51" spans="1:40" x14ac:dyDescent="0.25">
      <c r="A51" s="26"/>
      <c r="B51" s="18"/>
      <c r="C51" s="18"/>
      <c r="D51" s="10"/>
      <c r="E51" s="21"/>
      <c r="F51" s="10"/>
      <c r="G51" s="21"/>
      <c r="H51" s="10"/>
      <c r="I51" s="26"/>
      <c r="J51" s="18"/>
      <c r="K51" s="18"/>
      <c r="L51" s="10"/>
      <c r="M51" s="21"/>
      <c r="N51" s="10"/>
      <c r="O51" s="21"/>
      <c r="P51" s="10"/>
      <c r="Y51" s="95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96"/>
      <c r="AM51" s="96"/>
      <c r="AN51" s="96"/>
    </row>
    <row r="52" spans="1:40" x14ac:dyDescent="0.25">
      <c r="A52" s="17"/>
      <c r="B52" s="18"/>
      <c r="C52" s="18"/>
      <c r="D52" s="13"/>
      <c r="E52" s="13"/>
      <c r="F52" s="13"/>
      <c r="G52" s="13"/>
      <c r="H52" s="24"/>
      <c r="I52" s="17"/>
      <c r="J52" s="18"/>
      <c r="K52" s="18"/>
      <c r="L52" s="13"/>
      <c r="M52" s="13"/>
      <c r="N52" s="13"/>
      <c r="O52" s="13"/>
      <c r="P52" s="24"/>
      <c r="Y52" s="88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94"/>
      <c r="AM52" s="94"/>
      <c r="AN52" s="103"/>
    </row>
    <row r="53" spans="1:40" x14ac:dyDescent="0.25">
      <c r="A53" s="17"/>
      <c r="B53" s="18"/>
      <c r="C53" s="18"/>
      <c r="D53" s="18"/>
      <c r="E53" s="18"/>
      <c r="F53" s="18"/>
      <c r="G53" s="18"/>
      <c r="H53" s="18"/>
      <c r="I53" s="17"/>
      <c r="J53" s="18"/>
      <c r="K53" s="18"/>
      <c r="L53" s="18"/>
      <c r="M53" s="18"/>
      <c r="N53" s="18"/>
      <c r="O53" s="18"/>
      <c r="P53" s="18"/>
      <c r="Y53" s="88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</row>
    <row r="54" spans="1:40" x14ac:dyDescent="0.25">
      <c r="A54" s="13"/>
      <c r="B54" s="18"/>
      <c r="C54" s="18"/>
      <c r="D54" s="18"/>
      <c r="E54" s="18"/>
      <c r="F54" s="18"/>
      <c r="G54" s="18"/>
      <c r="H54" s="18"/>
      <c r="I54" s="13"/>
      <c r="J54" s="18"/>
      <c r="K54" s="18"/>
      <c r="L54" s="18"/>
      <c r="M54" s="18"/>
      <c r="N54" s="18"/>
      <c r="O54" s="18"/>
      <c r="P54" s="18"/>
      <c r="Y54" s="94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</row>
    <row r="55" spans="1:40" x14ac:dyDescent="0.25">
      <c r="A55" s="26"/>
      <c r="B55" s="18"/>
      <c r="C55" s="18"/>
      <c r="D55" s="10"/>
      <c r="E55" s="21"/>
      <c r="F55" s="10"/>
      <c r="G55" s="21"/>
      <c r="H55" s="10"/>
      <c r="I55" s="26"/>
      <c r="J55" s="18"/>
      <c r="K55" s="18"/>
      <c r="L55" s="10"/>
      <c r="M55" s="21"/>
      <c r="N55" s="10"/>
      <c r="O55" s="21"/>
      <c r="P55" s="10"/>
      <c r="Y55" s="95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96"/>
      <c r="AM55" s="96"/>
      <c r="AN55" s="96"/>
    </row>
    <row r="56" spans="1:40" x14ac:dyDescent="0.25">
      <c r="A56" s="26"/>
      <c r="B56" s="18"/>
      <c r="C56" s="18"/>
      <c r="D56" s="10"/>
      <c r="E56" s="21"/>
      <c r="F56" s="10"/>
      <c r="G56" s="21"/>
      <c r="H56" s="10"/>
      <c r="I56" s="26"/>
      <c r="J56" s="18"/>
      <c r="K56" s="18"/>
      <c r="L56" s="10"/>
      <c r="M56" s="21"/>
      <c r="N56" s="10"/>
      <c r="O56" s="21"/>
      <c r="P56" s="10"/>
      <c r="Y56" s="95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96"/>
      <c r="AM56" s="96"/>
      <c r="AN56" s="96"/>
    </row>
    <row r="57" spans="1:40" x14ac:dyDescent="0.25">
      <c r="A57" s="17"/>
      <c r="B57" s="18"/>
      <c r="C57" s="18"/>
      <c r="D57" s="13"/>
      <c r="E57" s="13"/>
      <c r="F57" s="24"/>
      <c r="G57" s="13"/>
      <c r="H57" s="24"/>
      <c r="I57" s="17"/>
      <c r="J57" s="18"/>
      <c r="K57" s="18"/>
      <c r="L57" s="13"/>
      <c r="M57" s="13"/>
      <c r="N57" s="24"/>
      <c r="O57" s="13"/>
      <c r="P57" s="24"/>
      <c r="Y57" s="88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94"/>
      <c r="AM57" s="94"/>
      <c r="AN57" s="103"/>
    </row>
    <row r="58" spans="1:40" x14ac:dyDescent="0.25">
      <c r="A58" s="1"/>
      <c r="B58" s="1"/>
      <c r="C58" s="1"/>
      <c r="D58" s="1"/>
      <c r="E58" s="1"/>
      <c r="F58" s="1"/>
      <c r="G58" s="1"/>
      <c r="H58" s="1"/>
      <c r="I58" s="18"/>
      <c r="J58" s="18"/>
      <c r="K58" s="18"/>
      <c r="L58" s="18"/>
      <c r="M58" s="18"/>
      <c r="N58" s="18"/>
      <c r="O58" s="18"/>
      <c r="P58" s="18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</row>
    <row r="59" spans="1:40" x14ac:dyDescent="0.25">
      <c r="A59" s="1"/>
      <c r="B59" s="1"/>
      <c r="C59" s="1"/>
      <c r="I59" s="18"/>
      <c r="J59" s="18"/>
      <c r="K59" s="18"/>
      <c r="L59" s="81"/>
      <c r="M59" s="81"/>
      <c r="N59" s="82"/>
      <c r="O59" s="81"/>
      <c r="P59" s="82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7"/>
      <c r="AM59" s="87"/>
      <c r="AN59" s="104"/>
    </row>
    <row r="60" spans="1:40" x14ac:dyDescent="0.25"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</row>
  </sheetData>
  <printOptions horizontalCentered="1"/>
  <pageMargins left="0.75" right="0.75" top="1" bottom="1" header="0.5" footer="0.5"/>
  <pageSetup firstPageNumber="5" orientation="portrait" useFirstPageNumber="1" r:id="rId1"/>
  <headerFooter alignWithMargins="0">
    <oddFooter>&amp;L&amp;8&amp;D&amp;C&amp;P</oddFooter>
  </headerFooter>
  <colBreaks count="3" manualBreakCount="3">
    <brk id="8" max="1048575" man="1"/>
    <brk id="16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opLeftCell="A4" workbookViewId="0">
      <selection activeCell="D22" sqref="D22"/>
    </sheetView>
  </sheetViews>
  <sheetFormatPr defaultRowHeight="13.2" x14ac:dyDescent="0.25"/>
  <cols>
    <col min="11" max="11" width="3.109375" customWidth="1"/>
  </cols>
  <sheetData>
    <row r="1" spans="1:22" x14ac:dyDescent="0.25">
      <c r="A1" s="107" t="s">
        <v>68</v>
      </c>
      <c r="B1" s="48"/>
      <c r="C1" s="48"/>
      <c r="D1" s="48"/>
      <c r="E1" s="48"/>
      <c r="F1" s="48"/>
      <c r="G1" s="48"/>
      <c r="H1" s="48"/>
      <c r="I1" s="48"/>
      <c r="J1" s="48"/>
      <c r="L1" s="107" t="s">
        <v>69</v>
      </c>
      <c r="M1" s="48"/>
      <c r="N1" s="48"/>
      <c r="O1" s="48"/>
      <c r="P1" s="48"/>
      <c r="Q1" s="48"/>
      <c r="R1" s="48"/>
      <c r="S1" s="48"/>
      <c r="T1" s="48"/>
      <c r="U1" s="48"/>
      <c r="V1" s="34"/>
    </row>
    <row r="2" spans="1:22" x14ac:dyDescent="0.25">
      <c r="A2" s="48"/>
      <c r="B2" s="48"/>
      <c r="C2" s="48"/>
      <c r="D2" s="48"/>
      <c r="E2" s="48"/>
      <c r="F2" s="48"/>
      <c r="G2" s="108"/>
      <c r="H2" s="48"/>
      <c r="I2" s="48"/>
      <c r="J2" s="48"/>
      <c r="L2" s="48"/>
      <c r="M2" s="48"/>
      <c r="N2" s="48"/>
      <c r="O2" s="48"/>
      <c r="P2" s="48"/>
      <c r="Q2" s="48"/>
      <c r="R2" s="108"/>
      <c r="S2" s="48"/>
      <c r="T2" s="48"/>
      <c r="U2" s="48"/>
      <c r="V2" s="34"/>
    </row>
    <row r="3" spans="1:22" x14ac:dyDescent="0.25">
      <c r="A3" s="48"/>
      <c r="B3" s="48"/>
      <c r="C3" s="48"/>
      <c r="D3" s="52"/>
      <c r="E3" s="48"/>
      <c r="F3" s="48"/>
      <c r="G3" s="48"/>
      <c r="H3" s="48"/>
      <c r="I3" s="48"/>
      <c r="J3" s="48"/>
      <c r="L3" s="48"/>
      <c r="M3" s="48"/>
      <c r="N3" s="48"/>
      <c r="O3" s="52"/>
      <c r="P3" s="48"/>
      <c r="Q3" s="48"/>
      <c r="R3" s="48"/>
      <c r="S3" s="48"/>
      <c r="T3" s="48"/>
      <c r="U3" s="48"/>
      <c r="V3" s="34"/>
    </row>
    <row r="4" spans="1:22" x14ac:dyDescent="0.25">
      <c r="A4" s="52"/>
      <c r="B4" s="109"/>
      <c r="C4" s="110"/>
      <c r="D4" s="111">
        <v>4.9000000000000004</v>
      </c>
      <c r="E4" s="112"/>
      <c r="F4" s="113" t="s">
        <v>2</v>
      </c>
      <c r="G4" s="114"/>
      <c r="H4" s="114"/>
      <c r="I4" s="113" t="s">
        <v>4</v>
      </c>
      <c r="J4" s="114"/>
      <c r="L4" s="52"/>
      <c r="M4" s="109"/>
      <c r="N4" s="110"/>
      <c r="O4" s="111">
        <v>4.9000000000000004</v>
      </c>
      <c r="P4" s="112"/>
      <c r="Q4" s="113" t="s">
        <v>2</v>
      </c>
      <c r="R4" s="114"/>
      <c r="S4" s="114"/>
      <c r="T4" s="113" t="s">
        <v>4</v>
      </c>
      <c r="U4" s="114"/>
      <c r="V4" s="34"/>
    </row>
    <row r="5" spans="1:22" x14ac:dyDescent="0.25">
      <c r="A5" s="110" t="s">
        <v>5</v>
      </c>
      <c r="B5" s="48"/>
      <c r="C5" s="52"/>
      <c r="D5" s="115" t="s">
        <v>10</v>
      </c>
      <c r="E5" s="116" t="s">
        <v>6</v>
      </c>
      <c r="F5" s="117" t="s">
        <v>7</v>
      </c>
      <c r="G5" s="117" t="s">
        <v>70</v>
      </c>
      <c r="H5" s="118" t="s">
        <v>6</v>
      </c>
      <c r="I5" s="117" t="s">
        <v>7</v>
      </c>
      <c r="J5" s="117" t="s">
        <v>70</v>
      </c>
      <c r="L5" s="110" t="s">
        <v>5</v>
      </c>
      <c r="M5" s="48"/>
      <c r="N5" s="52"/>
      <c r="O5" s="115" t="s">
        <v>10</v>
      </c>
      <c r="P5" s="116" t="s">
        <v>6</v>
      </c>
      <c r="Q5" s="117" t="s">
        <v>7</v>
      </c>
      <c r="R5" s="117" t="s">
        <v>70</v>
      </c>
      <c r="S5" s="118" t="s">
        <v>6</v>
      </c>
      <c r="T5" s="117" t="s">
        <v>7</v>
      </c>
      <c r="U5" s="117" t="s">
        <v>70</v>
      </c>
      <c r="V5" s="34"/>
    </row>
    <row r="6" spans="1:22" x14ac:dyDescent="0.25">
      <c r="A6" s="119"/>
      <c r="B6" s="120"/>
      <c r="C6" s="119" t="s">
        <v>10</v>
      </c>
      <c r="D6" s="121" t="s">
        <v>71</v>
      </c>
      <c r="E6" s="122" t="s">
        <v>11</v>
      </c>
      <c r="F6" s="123" t="s">
        <v>12</v>
      </c>
      <c r="G6" s="124"/>
      <c r="H6" s="125" t="s">
        <v>11</v>
      </c>
      <c r="I6" s="123" t="s">
        <v>12</v>
      </c>
      <c r="J6" s="124"/>
      <c r="L6" s="119"/>
      <c r="M6" s="120"/>
      <c r="N6" s="119" t="s">
        <v>10</v>
      </c>
      <c r="O6" s="121" t="s">
        <v>71</v>
      </c>
      <c r="P6" s="122" t="s">
        <v>11</v>
      </c>
      <c r="Q6" s="123" t="s">
        <v>12</v>
      </c>
      <c r="R6" s="124"/>
      <c r="S6" s="125" t="s">
        <v>11</v>
      </c>
      <c r="T6" s="123" t="s">
        <v>12</v>
      </c>
      <c r="U6" s="124"/>
      <c r="V6" s="34"/>
    </row>
    <row r="7" spans="1:22" x14ac:dyDescent="0.25">
      <c r="A7" s="48" t="s">
        <v>13</v>
      </c>
      <c r="B7" s="48"/>
      <c r="C7" s="48"/>
      <c r="D7" s="126"/>
      <c r="E7" s="48"/>
      <c r="F7" s="48"/>
      <c r="G7" s="48"/>
      <c r="H7" s="48"/>
      <c r="I7" s="48"/>
      <c r="J7" s="48"/>
      <c r="L7" s="48" t="s">
        <v>13</v>
      </c>
      <c r="M7" s="48"/>
      <c r="N7" s="48"/>
      <c r="O7" s="126"/>
      <c r="P7" s="48"/>
      <c r="Q7" s="48"/>
      <c r="R7" s="48"/>
      <c r="S7" s="48"/>
      <c r="T7" s="48"/>
      <c r="U7" s="48"/>
      <c r="V7" s="34"/>
    </row>
    <row r="8" spans="1:22" x14ac:dyDescent="0.25">
      <c r="A8" s="127" t="s">
        <v>72</v>
      </c>
      <c r="B8" s="48"/>
      <c r="C8" s="128">
        <v>1000</v>
      </c>
      <c r="D8" s="129"/>
      <c r="E8" s="130">
        <f>+Usage!E8</f>
        <v>0</v>
      </c>
      <c r="F8" s="128">
        <f t="shared" ref="F8:F23" si="0">(E8*C8)/1000</f>
        <v>0</v>
      </c>
      <c r="G8" s="131">
        <f t="shared" ref="G8:G23" si="1">D8*E8</f>
        <v>0</v>
      </c>
      <c r="H8" s="130">
        <f>+Usage!G8</f>
        <v>0</v>
      </c>
      <c r="I8" s="128">
        <f t="shared" ref="I8:I23" si="2">(H8*C8)/1000</f>
        <v>0</v>
      </c>
      <c r="J8" s="131">
        <f t="shared" ref="J8:J23" si="3">D8*H8</f>
        <v>0</v>
      </c>
      <c r="L8" s="127" t="s">
        <v>72</v>
      </c>
      <c r="M8" s="48"/>
      <c r="N8" s="128">
        <v>1000</v>
      </c>
      <c r="O8" s="129">
        <f>+D8</f>
        <v>0</v>
      </c>
      <c r="P8" s="130"/>
      <c r="Q8" s="128">
        <f t="shared" ref="Q8:Q23" si="4">(P8*N8)/1000</f>
        <v>0</v>
      </c>
      <c r="R8" s="131">
        <f t="shared" ref="R8:R23" si="5">O8*P8</f>
        <v>0</v>
      </c>
      <c r="S8" s="130"/>
      <c r="T8" s="128">
        <f t="shared" ref="T8:T23" si="6">(S8*N8)/1000</f>
        <v>0</v>
      </c>
      <c r="U8" s="131">
        <f t="shared" ref="U8:U23" si="7">O8*S8</f>
        <v>0</v>
      </c>
      <c r="V8" s="34"/>
    </row>
    <row r="9" spans="1:22" x14ac:dyDescent="0.25">
      <c r="A9" s="127" t="s">
        <v>73</v>
      </c>
      <c r="B9" s="48"/>
      <c r="C9" s="128">
        <v>1500</v>
      </c>
      <c r="D9" s="132"/>
      <c r="E9" s="130">
        <f>+Usage!E9</f>
        <v>0</v>
      </c>
      <c r="F9" s="128">
        <f t="shared" si="0"/>
        <v>0</v>
      </c>
      <c r="G9" s="131">
        <f t="shared" si="1"/>
        <v>0</v>
      </c>
      <c r="H9" s="130">
        <f>+Usage!G9</f>
        <v>0</v>
      </c>
      <c r="I9" s="128">
        <f t="shared" si="2"/>
        <v>0</v>
      </c>
      <c r="J9" s="131">
        <f t="shared" si="3"/>
        <v>0</v>
      </c>
      <c r="L9" s="127" t="s">
        <v>73</v>
      </c>
      <c r="M9" s="48"/>
      <c r="N9" s="128">
        <v>1500</v>
      </c>
      <c r="O9" s="129">
        <f t="shared" ref="O9:O24" si="8">+D9</f>
        <v>0</v>
      </c>
      <c r="P9" s="130"/>
      <c r="Q9" s="128">
        <f t="shared" si="4"/>
        <v>0</v>
      </c>
      <c r="R9" s="131">
        <f t="shared" si="5"/>
        <v>0</v>
      </c>
      <c r="S9" s="130"/>
      <c r="T9" s="128">
        <f t="shared" si="6"/>
        <v>0</v>
      </c>
      <c r="U9" s="131">
        <f t="shared" si="7"/>
        <v>0</v>
      </c>
      <c r="V9" s="34"/>
    </row>
    <row r="10" spans="1:22" x14ac:dyDescent="0.25">
      <c r="A10" s="127" t="s">
        <v>74</v>
      </c>
      <c r="B10" s="48"/>
      <c r="C10" s="128">
        <v>2500</v>
      </c>
      <c r="D10" s="132"/>
      <c r="E10" s="130">
        <f>+Usage!E10</f>
        <v>0</v>
      </c>
      <c r="F10" s="128">
        <f t="shared" si="0"/>
        <v>0</v>
      </c>
      <c r="G10" s="131">
        <f t="shared" si="1"/>
        <v>0</v>
      </c>
      <c r="H10" s="130">
        <f>+Usage!G10</f>
        <v>0</v>
      </c>
      <c r="I10" s="128">
        <f t="shared" si="2"/>
        <v>0</v>
      </c>
      <c r="J10" s="131">
        <f t="shared" si="3"/>
        <v>0</v>
      </c>
      <c r="L10" s="127" t="s">
        <v>74</v>
      </c>
      <c r="M10" s="48"/>
      <c r="N10" s="128">
        <v>2500</v>
      </c>
      <c r="O10" s="129">
        <f t="shared" si="8"/>
        <v>0</v>
      </c>
      <c r="P10" s="130"/>
      <c r="Q10" s="128">
        <f t="shared" si="4"/>
        <v>0</v>
      </c>
      <c r="R10" s="131">
        <f t="shared" si="5"/>
        <v>0</v>
      </c>
      <c r="S10" s="130"/>
      <c r="T10" s="128">
        <f t="shared" si="6"/>
        <v>0</v>
      </c>
      <c r="U10" s="131">
        <f t="shared" si="7"/>
        <v>0</v>
      </c>
      <c r="V10" s="34"/>
    </row>
    <row r="11" spans="1:22" x14ac:dyDescent="0.25">
      <c r="A11" s="127" t="s">
        <v>75</v>
      </c>
      <c r="B11" s="48"/>
      <c r="C11" s="128">
        <v>3500</v>
      </c>
      <c r="D11" s="132"/>
      <c r="E11" s="130">
        <f>+Usage!E11</f>
        <v>0</v>
      </c>
      <c r="F11" s="128">
        <f t="shared" si="0"/>
        <v>0</v>
      </c>
      <c r="G11" s="131">
        <f t="shared" si="1"/>
        <v>0</v>
      </c>
      <c r="H11" s="130">
        <f>+Usage!G11</f>
        <v>0</v>
      </c>
      <c r="I11" s="128">
        <f t="shared" si="2"/>
        <v>0</v>
      </c>
      <c r="J11" s="131">
        <f t="shared" si="3"/>
        <v>0</v>
      </c>
      <c r="L11" s="127" t="s">
        <v>75</v>
      </c>
      <c r="M11" s="48"/>
      <c r="N11" s="128">
        <v>3500</v>
      </c>
      <c r="O11" s="129">
        <f t="shared" si="8"/>
        <v>0</v>
      </c>
      <c r="P11" s="130"/>
      <c r="Q11" s="128">
        <f t="shared" si="4"/>
        <v>0</v>
      </c>
      <c r="R11" s="131">
        <f t="shared" si="5"/>
        <v>0</v>
      </c>
      <c r="S11" s="130"/>
      <c r="T11" s="128">
        <f t="shared" si="6"/>
        <v>0</v>
      </c>
      <c r="U11" s="131">
        <f t="shared" si="7"/>
        <v>0</v>
      </c>
      <c r="V11" s="34"/>
    </row>
    <row r="12" spans="1:22" x14ac:dyDescent="0.25">
      <c r="A12" s="127" t="s">
        <v>76</v>
      </c>
      <c r="B12" s="48"/>
      <c r="C12" s="128">
        <v>4500</v>
      </c>
      <c r="D12" s="132"/>
      <c r="E12" s="130">
        <f>+Usage!E12</f>
        <v>0</v>
      </c>
      <c r="F12" s="128">
        <f t="shared" si="0"/>
        <v>0</v>
      </c>
      <c r="G12" s="131">
        <f t="shared" si="1"/>
        <v>0</v>
      </c>
      <c r="H12" s="130">
        <f>+Usage!G12</f>
        <v>0</v>
      </c>
      <c r="I12" s="128">
        <f t="shared" si="2"/>
        <v>0</v>
      </c>
      <c r="J12" s="131">
        <f t="shared" si="3"/>
        <v>0</v>
      </c>
      <c r="L12" s="127" t="s">
        <v>76</v>
      </c>
      <c r="M12" s="48"/>
      <c r="N12" s="128">
        <v>4500</v>
      </c>
      <c r="O12" s="129">
        <f t="shared" si="8"/>
        <v>0</v>
      </c>
      <c r="P12" s="130"/>
      <c r="Q12" s="128">
        <f t="shared" si="4"/>
        <v>0</v>
      </c>
      <c r="R12" s="131">
        <f t="shared" si="5"/>
        <v>0</v>
      </c>
      <c r="S12" s="130"/>
      <c r="T12" s="128">
        <f t="shared" si="6"/>
        <v>0</v>
      </c>
      <c r="U12" s="131">
        <f t="shared" si="7"/>
        <v>0</v>
      </c>
      <c r="V12" s="34"/>
    </row>
    <row r="13" spans="1:22" x14ac:dyDescent="0.25">
      <c r="A13" s="127" t="s">
        <v>77</v>
      </c>
      <c r="B13" s="48"/>
      <c r="C13" s="128">
        <v>5500</v>
      </c>
      <c r="D13" s="132"/>
      <c r="E13" s="130">
        <f>+Usage!E13</f>
        <v>0</v>
      </c>
      <c r="F13" s="128">
        <f t="shared" si="0"/>
        <v>0</v>
      </c>
      <c r="G13" s="131">
        <f t="shared" si="1"/>
        <v>0</v>
      </c>
      <c r="H13" s="130">
        <f>+Usage!G13</f>
        <v>0</v>
      </c>
      <c r="I13" s="128">
        <f t="shared" si="2"/>
        <v>0</v>
      </c>
      <c r="J13" s="131">
        <f t="shared" si="3"/>
        <v>0</v>
      </c>
      <c r="L13" s="127" t="s">
        <v>77</v>
      </c>
      <c r="M13" s="48"/>
      <c r="N13" s="128">
        <v>5500</v>
      </c>
      <c r="O13" s="129">
        <f t="shared" si="8"/>
        <v>0</v>
      </c>
      <c r="P13" s="130"/>
      <c r="Q13" s="128">
        <f t="shared" si="4"/>
        <v>0</v>
      </c>
      <c r="R13" s="131">
        <f t="shared" si="5"/>
        <v>0</v>
      </c>
      <c r="S13" s="130"/>
      <c r="T13" s="128">
        <f t="shared" si="6"/>
        <v>0</v>
      </c>
      <c r="U13" s="131">
        <f t="shared" si="7"/>
        <v>0</v>
      </c>
      <c r="V13" s="34"/>
    </row>
    <row r="14" spans="1:22" x14ac:dyDescent="0.25">
      <c r="A14" s="127" t="s">
        <v>78</v>
      </c>
      <c r="B14" s="48"/>
      <c r="C14" s="128">
        <v>6500</v>
      </c>
      <c r="D14" s="132"/>
      <c r="E14" s="130">
        <f>+Usage!E14</f>
        <v>0</v>
      </c>
      <c r="F14" s="128">
        <f t="shared" si="0"/>
        <v>0</v>
      </c>
      <c r="G14" s="131">
        <f t="shared" si="1"/>
        <v>0</v>
      </c>
      <c r="H14" s="130">
        <f>+Usage!G14</f>
        <v>0</v>
      </c>
      <c r="I14" s="128">
        <f t="shared" si="2"/>
        <v>0</v>
      </c>
      <c r="J14" s="131">
        <f t="shared" si="3"/>
        <v>0</v>
      </c>
      <c r="L14" s="127" t="s">
        <v>78</v>
      </c>
      <c r="M14" s="48"/>
      <c r="N14" s="128">
        <v>6500</v>
      </c>
      <c r="O14" s="129">
        <f t="shared" si="8"/>
        <v>0</v>
      </c>
      <c r="P14" s="130"/>
      <c r="Q14" s="128">
        <f t="shared" si="4"/>
        <v>0</v>
      </c>
      <c r="R14" s="131">
        <f t="shared" si="5"/>
        <v>0</v>
      </c>
      <c r="S14" s="130"/>
      <c r="T14" s="128">
        <f t="shared" si="6"/>
        <v>0</v>
      </c>
      <c r="U14" s="131">
        <f t="shared" si="7"/>
        <v>0</v>
      </c>
      <c r="V14" s="34"/>
    </row>
    <row r="15" spans="1:22" x14ac:dyDescent="0.25">
      <c r="A15" s="127" t="s">
        <v>79</v>
      </c>
      <c r="B15" s="48"/>
      <c r="C15" s="128">
        <v>7500</v>
      </c>
      <c r="D15" s="132"/>
      <c r="E15" s="130">
        <f>+Usage!E15</f>
        <v>0</v>
      </c>
      <c r="F15" s="128">
        <f t="shared" si="0"/>
        <v>0</v>
      </c>
      <c r="G15" s="131">
        <f t="shared" si="1"/>
        <v>0</v>
      </c>
      <c r="H15" s="130">
        <f>+Usage!G15</f>
        <v>0</v>
      </c>
      <c r="I15" s="128">
        <f t="shared" si="2"/>
        <v>0</v>
      </c>
      <c r="J15" s="131">
        <f t="shared" si="3"/>
        <v>0</v>
      </c>
      <c r="L15" s="127" t="s">
        <v>79</v>
      </c>
      <c r="M15" s="48"/>
      <c r="N15" s="128">
        <v>7500</v>
      </c>
      <c r="O15" s="129">
        <f t="shared" si="8"/>
        <v>0</v>
      </c>
      <c r="P15" s="130"/>
      <c r="Q15" s="128">
        <f t="shared" si="4"/>
        <v>0</v>
      </c>
      <c r="R15" s="131">
        <f t="shared" si="5"/>
        <v>0</v>
      </c>
      <c r="S15" s="130"/>
      <c r="T15" s="128">
        <f t="shared" si="6"/>
        <v>0</v>
      </c>
      <c r="U15" s="131">
        <f t="shared" si="7"/>
        <v>0</v>
      </c>
      <c r="V15" s="34"/>
    </row>
    <row r="16" spans="1:22" x14ac:dyDescent="0.25">
      <c r="A16" s="127" t="s">
        <v>80</v>
      </c>
      <c r="B16" s="48"/>
      <c r="C16" s="128">
        <v>8500</v>
      </c>
      <c r="D16" s="132"/>
      <c r="E16" s="130">
        <f>+Usage!E16</f>
        <v>0</v>
      </c>
      <c r="F16" s="128">
        <f t="shared" si="0"/>
        <v>0</v>
      </c>
      <c r="G16" s="131">
        <f t="shared" si="1"/>
        <v>0</v>
      </c>
      <c r="H16" s="130">
        <f>+Usage!G16</f>
        <v>0</v>
      </c>
      <c r="I16" s="128">
        <f t="shared" si="2"/>
        <v>0</v>
      </c>
      <c r="J16" s="131">
        <f t="shared" si="3"/>
        <v>0</v>
      </c>
      <c r="L16" s="127" t="s">
        <v>80</v>
      </c>
      <c r="M16" s="48"/>
      <c r="N16" s="128">
        <v>8500</v>
      </c>
      <c r="O16" s="129">
        <f t="shared" si="8"/>
        <v>0</v>
      </c>
      <c r="P16" s="130"/>
      <c r="Q16" s="128">
        <f t="shared" si="4"/>
        <v>0</v>
      </c>
      <c r="R16" s="131">
        <f t="shared" si="5"/>
        <v>0</v>
      </c>
      <c r="S16" s="130"/>
      <c r="T16" s="128">
        <f t="shared" si="6"/>
        <v>0</v>
      </c>
      <c r="U16" s="131">
        <f t="shared" si="7"/>
        <v>0</v>
      </c>
      <c r="V16" s="34"/>
    </row>
    <row r="17" spans="1:22" x14ac:dyDescent="0.25">
      <c r="A17" s="127" t="s">
        <v>81</v>
      </c>
      <c r="B17" s="48"/>
      <c r="C17" s="128">
        <v>9500</v>
      </c>
      <c r="D17" s="132"/>
      <c r="E17" s="130">
        <f>+Usage!E17</f>
        <v>0</v>
      </c>
      <c r="F17" s="128">
        <f t="shared" si="0"/>
        <v>0</v>
      </c>
      <c r="G17" s="131">
        <f t="shared" si="1"/>
        <v>0</v>
      </c>
      <c r="H17" s="130">
        <f>+Usage!G17</f>
        <v>0</v>
      </c>
      <c r="I17" s="128">
        <f t="shared" si="2"/>
        <v>0</v>
      </c>
      <c r="J17" s="131">
        <f t="shared" si="3"/>
        <v>0</v>
      </c>
      <c r="L17" s="127" t="s">
        <v>81</v>
      </c>
      <c r="M17" s="48"/>
      <c r="N17" s="128">
        <v>9500</v>
      </c>
      <c r="O17" s="129">
        <f t="shared" si="8"/>
        <v>0</v>
      </c>
      <c r="P17" s="130"/>
      <c r="Q17" s="128">
        <f t="shared" si="4"/>
        <v>0</v>
      </c>
      <c r="R17" s="131">
        <f t="shared" si="5"/>
        <v>0</v>
      </c>
      <c r="S17" s="130"/>
      <c r="T17" s="128">
        <f t="shared" si="6"/>
        <v>0</v>
      </c>
      <c r="U17" s="131">
        <f t="shared" si="7"/>
        <v>0</v>
      </c>
      <c r="V17" s="34"/>
    </row>
    <row r="18" spans="1:22" x14ac:dyDescent="0.25">
      <c r="A18" s="127" t="s">
        <v>82</v>
      </c>
      <c r="B18" s="48"/>
      <c r="C18" s="128">
        <v>10500</v>
      </c>
      <c r="D18" s="132"/>
      <c r="E18" s="130">
        <f>+Usage!E18</f>
        <v>0</v>
      </c>
      <c r="F18" s="128">
        <f t="shared" si="0"/>
        <v>0</v>
      </c>
      <c r="G18" s="131">
        <f t="shared" si="1"/>
        <v>0</v>
      </c>
      <c r="H18" s="130">
        <f>+Usage!G18</f>
        <v>0</v>
      </c>
      <c r="I18" s="128">
        <f t="shared" si="2"/>
        <v>0</v>
      </c>
      <c r="J18" s="131">
        <f t="shared" si="3"/>
        <v>0</v>
      </c>
      <c r="L18" s="127" t="s">
        <v>82</v>
      </c>
      <c r="M18" s="48"/>
      <c r="N18" s="128">
        <v>10500</v>
      </c>
      <c r="O18" s="129">
        <f t="shared" si="8"/>
        <v>0</v>
      </c>
      <c r="P18" s="130"/>
      <c r="Q18" s="128">
        <f t="shared" si="4"/>
        <v>0</v>
      </c>
      <c r="R18" s="131">
        <f t="shared" si="5"/>
        <v>0</v>
      </c>
      <c r="S18" s="130"/>
      <c r="T18" s="128">
        <f t="shared" si="6"/>
        <v>0</v>
      </c>
      <c r="U18" s="131">
        <f t="shared" si="7"/>
        <v>0</v>
      </c>
      <c r="V18" s="34"/>
    </row>
    <row r="19" spans="1:22" x14ac:dyDescent="0.25">
      <c r="A19" s="127" t="s">
        <v>83</v>
      </c>
      <c r="B19" s="48"/>
      <c r="C19" s="128">
        <v>11500</v>
      </c>
      <c r="D19" s="132"/>
      <c r="E19" s="130">
        <f>+Usage!E19</f>
        <v>0</v>
      </c>
      <c r="F19" s="128">
        <f t="shared" si="0"/>
        <v>0</v>
      </c>
      <c r="G19" s="131">
        <f t="shared" si="1"/>
        <v>0</v>
      </c>
      <c r="H19" s="130">
        <f>+Usage!G19</f>
        <v>0</v>
      </c>
      <c r="I19" s="128">
        <f t="shared" si="2"/>
        <v>0</v>
      </c>
      <c r="J19" s="131">
        <f t="shared" si="3"/>
        <v>0</v>
      </c>
      <c r="L19" s="127" t="s">
        <v>83</v>
      </c>
      <c r="M19" s="48"/>
      <c r="N19" s="128">
        <v>11500</v>
      </c>
      <c r="O19" s="129">
        <f t="shared" si="8"/>
        <v>0</v>
      </c>
      <c r="P19" s="130"/>
      <c r="Q19" s="128">
        <f t="shared" si="4"/>
        <v>0</v>
      </c>
      <c r="R19" s="131">
        <f t="shared" si="5"/>
        <v>0</v>
      </c>
      <c r="S19" s="130"/>
      <c r="T19" s="128">
        <f t="shared" si="6"/>
        <v>0</v>
      </c>
      <c r="U19" s="131">
        <f t="shared" si="7"/>
        <v>0</v>
      </c>
      <c r="V19" s="34"/>
    </row>
    <row r="20" spans="1:22" x14ac:dyDescent="0.25">
      <c r="A20" s="127" t="s">
        <v>84</v>
      </c>
      <c r="B20" s="48"/>
      <c r="C20" s="128">
        <v>12500</v>
      </c>
      <c r="D20" s="132"/>
      <c r="E20" s="130">
        <f>+Usage!E20</f>
        <v>0</v>
      </c>
      <c r="F20" s="128">
        <f t="shared" si="0"/>
        <v>0</v>
      </c>
      <c r="G20" s="131">
        <f t="shared" si="1"/>
        <v>0</v>
      </c>
      <c r="H20" s="130">
        <f>+Usage!G20</f>
        <v>0</v>
      </c>
      <c r="I20" s="128">
        <f t="shared" si="2"/>
        <v>0</v>
      </c>
      <c r="J20" s="131">
        <f t="shared" si="3"/>
        <v>0</v>
      </c>
      <c r="L20" s="127" t="s">
        <v>84</v>
      </c>
      <c r="M20" s="48"/>
      <c r="N20" s="128">
        <v>12500</v>
      </c>
      <c r="O20" s="129">
        <f t="shared" si="8"/>
        <v>0</v>
      </c>
      <c r="P20" s="130"/>
      <c r="Q20" s="128">
        <f t="shared" si="4"/>
        <v>0</v>
      </c>
      <c r="R20" s="131">
        <f t="shared" si="5"/>
        <v>0</v>
      </c>
      <c r="S20" s="130"/>
      <c r="T20" s="128">
        <f t="shared" si="6"/>
        <v>0</v>
      </c>
      <c r="U20" s="131">
        <f t="shared" si="7"/>
        <v>0</v>
      </c>
      <c r="V20" s="34"/>
    </row>
    <row r="21" spans="1:22" x14ac:dyDescent="0.25">
      <c r="A21" s="127" t="s">
        <v>85</v>
      </c>
      <c r="B21" s="48"/>
      <c r="C21" s="128">
        <v>13500</v>
      </c>
      <c r="D21" s="132"/>
      <c r="E21" s="130">
        <f>+Usage!E21</f>
        <v>0</v>
      </c>
      <c r="F21" s="128">
        <f t="shared" si="0"/>
        <v>0</v>
      </c>
      <c r="G21" s="131">
        <f t="shared" si="1"/>
        <v>0</v>
      </c>
      <c r="H21" s="130">
        <f>+Usage!G21</f>
        <v>0</v>
      </c>
      <c r="I21" s="128">
        <f t="shared" si="2"/>
        <v>0</v>
      </c>
      <c r="J21" s="131">
        <f t="shared" si="3"/>
        <v>0</v>
      </c>
      <c r="L21" s="127" t="s">
        <v>85</v>
      </c>
      <c r="M21" s="48"/>
      <c r="N21" s="128">
        <v>13500</v>
      </c>
      <c r="O21" s="129">
        <f t="shared" si="8"/>
        <v>0</v>
      </c>
      <c r="P21" s="130"/>
      <c r="Q21" s="128">
        <f t="shared" si="4"/>
        <v>0</v>
      </c>
      <c r="R21" s="131">
        <f t="shared" si="5"/>
        <v>0</v>
      </c>
      <c r="S21" s="130"/>
      <c r="T21" s="128">
        <f t="shared" si="6"/>
        <v>0</v>
      </c>
      <c r="U21" s="131">
        <f t="shared" si="7"/>
        <v>0</v>
      </c>
      <c r="V21" s="34"/>
    </row>
    <row r="22" spans="1:22" x14ac:dyDescent="0.25">
      <c r="A22" s="127" t="s">
        <v>86</v>
      </c>
      <c r="B22" s="48"/>
      <c r="C22" s="128">
        <v>14500</v>
      </c>
      <c r="D22" s="132"/>
      <c r="E22" s="130">
        <f>+Usage!E22</f>
        <v>0</v>
      </c>
      <c r="F22" s="128">
        <f t="shared" si="0"/>
        <v>0</v>
      </c>
      <c r="G22" s="131">
        <f t="shared" si="1"/>
        <v>0</v>
      </c>
      <c r="H22" s="130">
        <f>+Usage!G22</f>
        <v>0</v>
      </c>
      <c r="I22" s="128">
        <f t="shared" si="2"/>
        <v>0</v>
      </c>
      <c r="J22" s="131">
        <f t="shared" si="3"/>
        <v>0</v>
      </c>
      <c r="L22" s="127" t="s">
        <v>86</v>
      </c>
      <c r="M22" s="48"/>
      <c r="N22" s="128">
        <v>14500</v>
      </c>
      <c r="O22" s="129">
        <f t="shared" si="8"/>
        <v>0</v>
      </c>
      <c r="P22" s="130"/>
      <c r="Q22" s="128">
        <f t="shared" si="4"/>
        <v>0</v>
      </c>
      <c r="R22" s="131">
        <f t="shared" si="5"/>
        <v>0</v>
      </c>
      <c r="S22" s="130"/>
      <c r="T22" s="128">
        <f t="shared" si="6"/>
        <v>0</v>
      </c>
      <c r="U22" s="131">
        <f t="shared" si="7"/>
        <v>0</v>
      </c>
      <c r="V22" s="34"/>
    </row>
    <row r="23" spans="1:22" x14ac:dyDescent="0.25">
      <c r="A23" s="127" t="s">
        <v>87</v>
      </c>
      <c r="B23" s="48"/>
      <c r="C23" s="128">
        <v>15500</v>
      </c>
      <c r="D23" s="132"/>
      <c r="E23" s="130">
        <f>+Usage!E23</f>
        <v>0</v>
      </c>
      <c r="F23" s="128">
        <f t="shared" si="0"/>
        <v>0</v>
      </c>
      <c r="G23" s="131">
        <f t="shared" si="1"/>
        <v>0</v>
      </c>
      <c r="H23" s="130">
        <f>+Usage!G23</f>
        <v>0</v>
      </c>
      <c r="I23" s="128">
        <f t="shared" si="2"/>
        <v>0</v>
      </c>
      <c r="J23" s="131">
        <f t="shared" si="3"/>
        <v>0</v>
      </c>
      <c r="L23" s="127" t="s">
        <v>87</v>
      </c>
      <c r="M23" s="48"/>
      <c r="N23" s="128">
        <v>15500</v>
      </c>
      <c r="O23" s="129">
        <f t="shared" si="8"/>
        <v>0</v>
      </c>
      <c r="P23" s="130"/>
      <c r="Q23" s="128">
        <f t="shared" si="4"/>
        <v>0</v>
      </c>
      <c r="R23" s="131">
        <f t="shared" si="5"/>
        <v>0</v>
      </c>
      <c r="S23" s="130"/>
      <c r="T23" s="128">
        <f t="shared" si="6"/>
        <v>0</v>
      </c>
      <c r="U23" s="131">
        <f t="shared" si="7"/>
        <v>0</v>
      </c>
      <c r="V23" s="34"/>
    </row>
    <row r="24" spans="1:22" x14ac:dyDescent="0.25">
      <c r="A24" s="127" t="s">
        <v>88</v>
      </c>
      <c r="B24" s="48"/>
      <c r="C24" s="128">
        <v>16500</v>
      </c>
      <c r="D24" s="132"/>
      <c r="E24" s="130">
        <f>+Usage!E24</f>
        <v>0</v>
      </c>
      <c r="F24" s="128">
        <f>(E24*C24)/1000</f>
        <v>0</v>
      </c>
      <c r="G24" s="131">
        <f>D24*E24</f>
        <v>0</v>
      </c>
      <c r="H24" s="130">
        <f>+Usage!G24</f>
        <v>0</v>
      </c>
      <c r="I24" s="128">
        <f>(H24*C24)/1000</f>
        <v>0</v>
      </c>
      <c r="J24" s="131">
        <f>D24*H24</f>
        <v>0</v>
      </c>
      <c r="L24" s="127" t="s">
        <v>88</v>
      </c>
      <c r="M24" s="48"/>
      <c r="N24" s="128">
        <v>16500</v>
      </c>
      <c r="O24" s="129">
        <f t="shared" si="8"/>
        <v>0</v>
      </c>
      <c r="P24" s="130"/>
      <c r="Q24" s="128">
        <f>(P24*N24)/1000</f>
        <v>0</v>
      </c>
      <c r="R24" s="131">
        <f>O24*P24</f>
        <v>0</v>
      </c>
      <c r="S24" s="130"/>
      <c r="T24" s="128">
        <f>(S24*N24)/1000</f>
        <v>0</v>
      </c>
      <c r="U24" s="131">
        <f>O24*S24</f>
        <v>0</v>
      </c>
      <c r="V24" s="34"/>
    </row>
    <row r="25" spans="1:22" x14ac:dyDescent="0.25">
      <c r="A25" s="127" t="s">
        <v>89</v>
      </c>
      <c r="B25" s="48"/>
      <c r="C25" s="128">
        <v>17500</v>
      </c>
      <c r="D25" s="132"/>
      <c r="E25" s="130">
        <f>+Usage!E25</f>
        <v>0</v>
      </c>
      <c r="F25" s="128">
        <f>(E25*C25)/1000</f>
        <v>0</v>
      </c>
      <c r="G25" s="131">
        <f>D25*E25</f>
        <v>0</v>
      </c>
      <c r="H25" s="130">
        <f>+Usage!G25</f>
        <v>0</v>
      </c>
      <c r="I25" s="128">
        <f>(H25*C25)/1000</f>
        <v>0</v>
      </c>
      <c r="J25" s="131">
        <f>D25*H25</f>
        <v>0</v>
      </c>
      <c r="L25" s="127" t="s">
        <v>89</v>
      </c>
      <c r="M25" s="48"/>
      <c r="N25" s="128">
        <v>17500</v>
      </c>
      <c r="O25" s="129">
        <f>+D25</f>
        <v>0</v>
      </c>
      <c r="P25" s="130"/>
      <c r="Q25" s="128">
        <f>(P25*N25)/1000</f>
        <v>0</v>
      </c>
      <c r="R25" s="131">
        <f>O25*P25</f>
        <v>0</v>
      </c>
      <c r="S25" s="130"/>
      <c r="T25" s="128">
        <f>(S25*N25)/1000</f>
        <v>0</v>
      </c>
      <c r="U25" s="131">
        <f>O25*S25</f>
        <v>0</v>
      </c>
      <c r="V25" s="34"/>
    </row>
    <row r="26" spans="1:22" x14ac:dyDescent="0.25">
      <c r="A26" s="127" t="s">
        <v>90</v>
      </c>
      <c r="B26" s="48"/>
      <c r="C26" s="128">
        <v>18500</v>
      </c>
      <c r="D26" s="132"/>
      <c r="E26" s="130">
        <f>+Usage!E26</f>
        <v>0</v>
      </c>
      <c r="F26" s="128">
        <f>(E26*C26)/1000</f>
        <v>0</v>
      </c>
      <c r="G26" s="131">
        <f>D26*E26</f>
        <v>0</v>
      </c>
      <c r="H26" s="130">
        <f>+Usage!G26</f>
        <v>0</v>
      </c>
      <c r="I26" s="128">
        <f>(H26*C26)/1000</f>
        <v>0</v>
      </c>
      <c r="J26" s="131">
        <f>D26*H26</f>
        <v>0</v>
      </c>
      <c r="L26" s="127" t="s">
        <v>90</v>
      </c>
      <c r="M26" s="48"/>
      <c r="N26" s="128">
        <v>18500</v>
      </c>
      <c r="O26" s="129">
        <f>+D26</f>
        <v>0</v>
      </c>
      <c r="P26" s="130"/>
      <c r="Q26" s="128">
        <f>(P26*N26)/1000</f>
        <v>0</v>
      </c>
      <c r="R26" s="131">
        <f>O26*P26</f>
        <v>0</v>
      </c>
      <c r="S26" s="130"/>
      <c r="T26" s="128">
        <f>(S26*N26)/1000</f>
        <v>0</v>
      </c>
      <c r="U26" s="131">
        <f>O26*S26</f>
        <v>0</v>
      </c>
      <c r="V26" s="34"/>
    </row>
    <row r="27" spans="1:22" x14ac:dyDescent="0.25">
      <c r="A27" s="127" t="s">
        <v>91</v>
      </c>
      <c r="B27" s="48"/>
      <c r="C27" s="128">
        <v>19500</v>
      </c>
      <c r="D27" s="132"/>
      <c r="E27" s="130">
        <f>+Usage!E27</f>
        <v>0</v>
      </c>
      <c r="F27" s="128">
        <f>(E27*C27)/1000</f>
        <v>0</v>
      </c>
      <c r="G27" s="131">
        <f>D27*E27</f>
        <v>0</v>
      </c>
      <c r="H27" s="130">
        <f>+Usage!G27</f>
        <v>0</v>
      </c>
      <c r="I27" s="128">
        <f>(H27*C27)/1000</f>
        <v>0</v>
      </c>
      <c r="J27" s="131">
        <f>D27*H27</f>
        <v>0</v>
      </c>
      <c r="L27" s="127" t="s">
        <v>91</v>
      </c>
      <c r="M27" s="48"/>
      <c r="N27" s="128">
        <v>19500</v>
      </c>
      <c r="O27" s="129">
        <f>+D27</f>
        <v>0</v>
      </c>
      <c r="P27" s="130"/>
      <c r="Q27" s="128">
        <f>(P27*N27)/1000</f>
        <v>0</v>
      </c>
      <c r="R27" s="131">
        <f>O27*P27</f>
        <v>0</v>
      </c>
      <c r="S27" s="130"/>
      <c r="T27" s="128">
        <f>(S27*N27)/1000</f>
        <v>0</v>
      </c>
      <c r="U27" s="131">
        <f>O27*S27</f>
        <v>0</v>
      </c>
      <c r="V27" s="34"/>
    </row>
    <row r="28" spans="1:22" x14ac:dyDescent="0.25">
      <c r="A28" s="127" t="s">
        <v>92</v>
      </c>
      <c r="B28" s="48"/>
      <c r="C28" s="128"/>
      <c r="D28" s="133"/>
      <c r="E28" s="130">
        <f>+Usage!E28</f>
        <v>0</v>
      </c>
      <c r="F28" s="128">
        <f>(E28*C28)/1000</f>
        <v>0</v>
      </c>
      <c r="G28" s="131">
        <f>D28*E28</f>
        <v>0</v>
      </c>
      <c r="H28" s="130">
        <f>+Usage!G28</f>
        <v>0</v>
      </c>
      <c r="I28" s="128">
        <f>(H28*C28)/1000</f>
        <v>0</v>
      </c>
      <c r="J28" s="131">
        <f>D28*H28</f>
        <v>0</v>
      </c>
      <c r="L28" s="127" t="s">
        <v>92</v>
      </c>
      <c r="M28" s="48"/>
      <c r="N28" s="128">
        <v>22150</v>
      </c>
      <c r="O28" s="129">
        <f>+D28</f>
        <v>0</v>
      </c>
      <c r="P28" s="130"/>
      <c r="Q28" s="128">
        <f>(P28*N28)/1000</f>
        <v>0</v>
      </c>
      <c r="R28" s="131">
        <f>O28*P28</f>
        <v>0</v>
      </c>
      <c r="S28" s="130"/>
      <c r="T28" s="128">
        <f>(S28*N28)/1000</f>
        <v>0</v>
      </c>
      <c r="U28" s="131">
        <f>O28*S28</f>
        <v>0</v>
      </c>
      <c r="V28" s="34"/>
    </row>
    <row r="29" spans="1:22" x14ac:dyDescent="0.25">
      <c r="A29" s="48"/>
      <c r="B29" s="48"/>
      <c r="C29" s="71" t="s">
        <v>93</v>
      </c>
      <c r="D29" s="133"/>
      <c r="E29" s="53">
        <f t="shared" ref="E29:J29" si="9">SUM(E8:E28)</f>
        <v>0</v>
      </c>
      <c r="F29" s="54">
        <f t="shared" si="9"/>
        <v>0</v>
      </c>
      <c r="G29" s="72">
        <f t="shared" si="9"/>
        <v>0</v>
      </c>
      <c r="H29" s="53">
        <f t="shared" si="9"/>
        <v>0</v>
      </c>
      <c r="I29" s="54">
        <f t="shared" si="9"/>
        <v>0</v>
      </c>
      <c r="J29" s="72">
        <f t="shared" si="9"/>
        <v>0</v>
      </c>
      <c r="L29" s="48"/>
      <c r="M29" s="48"/>
      <c r="N29" s="71" t="s">
        <v>93</v>
      </c>
      <c r="O29" s="133"/>
      <c r="P29" s="53">
        <f t="shared" ref="P29:U29" si="10">SUM(P8:P28)</f>
        <v>0</v>
      </c>
      <c r="Q29" s="54">
        <f t="shared" si="10"/>
        <v>0</v>
      </c>
      <c r="R29" s="72">
        <f t="shared" si="10"/>
        <v>0</v>
      </c>
      <c r="S29" s="53">
        <f t="shared" si="10"/>
        <v>0</v>
      </c>
      <c r="T29" s="54">
        <f t="shared" si="10"/>
        <v>0</v>
      </c>
      <c r="U29" s="72">
        <f t="shared" si="10"/>
        <v>0</v>
      </c>
      <c r="V29" s="34"/>
    </row>
    <row r="30" spans="1:22" x14ac:dyDescent="0.25">
      <c r="A30" s="127" t="s">
        <v>94</v>
      </c>
      <c r="B30" s="48"/>
      <c r="C30" s="48"/>
      <c r="D30" s="132" t="e">
        <f>(D8+D4)+((F31-2000)/1000)*D$4</f>
        <v>#DIV/0!</v>
      </c>
      <c r="E30" s="48"/>
      <c r="F30" s="48"/>
      <c r="G30" s="134"/>
      <c r="H30" s="48"/>
      <c r="I30" s="48"/>
      <c r="J30" s="135"/>
      <c r="L30" s="127" t="s">
        <v>94</v>
      </c>
      <c r="M30" s="48"/>
      <c r="N30" s="48"/>
      <c r="O30" s="132" t="e">
        <f>(O8+O4)+((Q31-2000)/1000)*O$4</f>
        <v>#DIV/0!</v>
      </c>
      <c r="P30" s="48"/>
      <c r="Q30" s="48"/>
      <c r="R30" s="134"/>
      <c r="S30" s="48"/>
      <c r="T30" s="48"/>
      <c r="U30" s="135"/>
      <c r="V30" s="34"/>
    </row>
    <row r="31" spans="1:22" ht="13.8" thickBot="1" x14ac:dyDescent="0.3">
      <c r="A31" s="127" t="s">
        <v>44</v>
      </c>
      <c r="B31" s="48"/>
      <c r="C31" s="48"/>
      <c r="D31" s="68"/>
      <c r="E31" s="68"/>
      <c r="F31" s="74" t="e">
        <f>(F29*1000)/E29</f>
        <v>#DIV/0!</v>
      </c>
      <c r="G31" s="80"/>
      <c r="H31" s="68"/>
      <c r="I31" s="74" t="e">
        <f>(I29*1000)/H29</f>
        <v>#DIV/0!</v>
      </c>
      <c r="J31" s="80"/>
      <c r="L31" s="127" t="s">
        <v>44</v>
      </c>
      <c r="M31" s="48"/>
      <c r="N31" s="48"/>
      <c r="O31" s="68"/>
      <c r="P31" s="68"/>
      <c r="Q31" s="74" t="e">
        <f>(Q29*1000)/P29</f>
        <v>#DIV/0!</v>
      </c>
      <c r="R31" s="80"/>
      <c r="S31" s="68"/>
      <c r="T31" s="74" t="e">
        <f>(T29*1000)/S29</f>
        <v>#DIV/0!</v>
      </c>
      <c r="U31" s="80"/>
      <c r="V31" s="34"/>
    </row>
    <row r="32" spans="1:22" ht="13.8" thickTop="1" x14ac:dyDescent="0.25">
      <c r="A32" s="52"/>
      <c r="B32" s="52"/>
      <c r="C32" s="52"/>
      <c r="D32" s="52"/>
      <c r="E32" s="52"/>
      <c r="F32" s="52"/>
      <c r="G32" s="136"/>
      <c r="H32" s="52"/>
      <c r="I32" s="52"/>
      <c r="J32" s="136"/>
      <c r="L32" s="52"/>
      <c r="M32" s="52"/>
      <c r="N32" s="52"/>
      <c r="O32" s="52"/>
      <c r="P32" s="52"/>
      <c r="Q32" s="52"/>
      <c r="R32" s="136"/>
      <c r="S32" s="52"/>
      <c r="T32" s="52"/>
      <c r="U32" s="136"/>
      <c r="V32" s="34"/>
    </row>
    <row r="33" spans="1:22" x14ac:dyDescent="0.25">
      <c r="A33" s="48" t="s">
        <v>49</v>
      </c>
      <c r="B33" s="48"/>
      <c r="C33" s="128"/>
      <c r="D33" s="48"/>
      <c r="E33" s="48"/>
      <c r="F33" s="137"/>
      <c r="G33" s="135"/>
      <c r="H33" s="48"/>
      <c r="I33" s="48"/>
      <c r="J33" s="135"/>
      <c r="L33" s="48" t="s">
        <v>49</v>
      </c>
      <c r="M33" s="48"/>
      <c r="N33" s="128"/>
      <c r="O33" s="48"/>
      <c r="P33" s="48"/>
      <c r="Q33" s="137"/>
      <c r="R33" s="135"/>
      <c r="S33" s="48"/>
      <c r="T33" s="48"/>
      <c r="U33" s="135"/>
      <c r="V33" s="34"/>
    </row>
    <row r="34" spans="1:22" ht="13.8" thickBot="1" x14ac:dyDescent="0.3">
      <c r="A34" s="127"/>
      <c r="B34" s="48"/>
      <c r="C34" s="59" t="s">
        <v>41</v>
      </c>
      <c r="D34" s="78"/>
      <c r="E34" s="60">
        <f t="shared" ref="E34:J34" si="11">E33</f>
        <v>0</v>
      </c>
      <c r="F34" s="138">
        <f t="shared" si="11"/>
        <v>0</v>
      </c>
      <c r="G34" s="79">
        <f t="shared" si="11"/>
        <v>0</v>
      </c>
      <c r="H34" s="60">
        <f t="shared" si="11"/>
        <v>0</v>
      </c>
      <c r="I34" s="61">
        <f t="shared" si="11"/>
        <v>0</v>
      </c>
      <c r="J34" s="79">
        <f t="shared" si="11"/>
        <v>0</v>
      </c>
      <c r="L34" s="127"/>
      <c r="M34" s="48"/>
      <c r="N34" s="59" t="s">
        <v>41</v>
      </c>
      <c r="O34" s="78"/>
      <c r="P34" s="60">
        <f t="shared" ref="P34:U34" si="12">P33</f>
        <v>0</v>
      </c>
      <c r="Q34" s="61">
        <f t="shared" si="12"/>
        <v>0</v>
      </c>
      <c r="R34" s="79">
        <f t="shared" si="12"/>
        <v>0</v>
      </c>
      <c r="S34" s="60">
        <f t="shared" si="12"/>
        <v>0</v>
      </c>
      <c r="T34" s="61">
        <f t="shared" si="12"/>
        <v>0</v>
      </c>
      <c r="U34" s="79">
        <f t="shared" si="12"/>
        <v>0</v>
      </c>
      <c r="V34" s="34"/>
    </row>
    <row r="35" spans="1:22" ht="13.8" thickTop="1" x14ac:dyDescent="0.25">
      <c r="A35" s="127"/>
      <c r="B35" s="48"/>
      <c r="C35" s="128"/>
      <c r="D35" s="132"/>
      <c r="E35" s="130"/>
      <c r="F35" s="128"/>
      <c r="G35" s="131"/>
      <c r="H35" s="130"/>
      <c r="I35" s="128"/>
      <c r="J35" s="131"/>
      <c r="L35" s="127"/>
      <c r="M35" s="48"/>
      <c r="N35" s="128"/>
      <c r="O35" s="132"/>
      <c r="P35" s="130"/>
      <c r="Q35" s="128"/>
      <c r="R35" s="131"/>
      <c r="S35" s="130"/>
      <c r="T35" s="128"/>
      <c r="U35" s="131"/>
      <c r="V35" s="34"/>
    </row>
    <row r="36" spans="1:22" x14ac:dyDescent="0.25">
      <c r="A36" s="48" t="s">
        <v>64</v>
      </c>
      <c r="B36" s="48"/>
      <c r="C36" s="48"/>
      <c r="D36" s="48"/>
      <c r="E36" s="48"/>
      <c r="F36" s="48"/>
      <c r="G36" s="135"/>
      <c r="H36" s="48"/>
      <c r="I36" s="48"/>
      <c r="J36" s="135"/>
      <c r="L36" s="48" t="s">
        <v>64</v>
      </c>
      <c r="M36" s="48"/>
      <c r="N36" s="48"/>
      <c r="O36" s="48"/>
      <c r="P36" s="48"/>
      <c r="Q36" s="48"/>
      <c r="R36" s="135"/>
      <c r="S36" s="48"/>
      <c r="T36" s="48"/>
      <c r="U36" s="135"/>
      <c r="V36" s="34"/>
    </row>
    <row r="37" spans="1:22" x14ac:dyDescent="0.25">
      <c r="A37" s="127"/>
      <c r="B37" s="48"/>
      <c r="C37" s="64"/>
      <c r="D37" s="132"/>
      <c r="E37" s="139">
        <v>0</v>
      </c>
      <c r="F37" s="128">
        <f>(E37*C37)/1000</f>
        <v>0</v>
      </c>
      <c r="G37" s="140">
        <f>D37*E37</f>
        <v>0</v>
      </c>
      <c r="H37" s="139"/>
      <c r="I37" s="128">
        <f>H37*(C37/1000)</f>
        <v>0</v>
      </c>
      <c r="J37" s="131">
        <f>D37*H37</f>
        <v>0</v>
      </c>
      <c r="L37" s="127"/>
      <c r="M37" s="48"/>
      <c r="N37" s="64"/>
      <c r="O37" s="132"/>
      <c r="P37" s="139">
        <v>0</v>
      </c>
      <c r="Q37" s="128">
        <f>(P37*N37)/1000</f>
        <v>0</v>
      </c>
      <c r="R37" s="140">
        <f>O37*P37</f>
        <v>0</v>
      </c>
      <c r="S37" s="139"/>
      <c r="T37" s="128">
        <f>S37*(N37/1000)</f>
        <v>0</v>
      </c>
      <c r="U37" s="131">
        <f>O37*S37</f>
        <v>0</v>
      </c>
      <c r="V37" s="34"/>
    </row>
    <row r="38" spans="1:22" ht="13.8" thickBot="1" x14ac:dyDescent="0.3">
      <c r="A38" s="127"/>
      <c r="B38" s="48"/>
      <c r="C38" s="64" t="s">
        <v>41</v>
      </c>
      <c r="D38" s="73"/>
      <c r="E38" s="65">
        <f t="shared" ref="E38:J38" si="13">E37</f>
        <v>0</v>
      </c>
      <c r="F38" s="65">
        <f t="shared" si="13"/>
        <v>0</v>
      </c>
      <c r="G38" s="65">
        <f t="shared" si="13"/>
        <v>0</v>
      </c>
      <c r="H38" s="65">
        <f t="shared" si="13"/>
        <v>0</v>
      </c>
      <c r="I38" s="65">
        <f t="shared" si="13"/>
        <v>0</v>
      </c>
      <c r="J38" s="65">
        <f t="shared" si="13"/>
        <v>0</v>
      </c>
      <c r="L38" s="127"/>
      <c r="M38" s="48"/>
      <c r="N38" s="64" t="s">
        <v>41</v>
      </c>
      <c r="O38" s="73"/>
      <c r="P38" s="65">
        <f t="shared" ref="P38:U38" si="14">P37</f>
        <v>0</v>
      </c>
      <c r="Q38" s="65">
        <f t="shared" si="14"/>
        <v>0</v>
      </c>
      <c r="R38" s="65">
        <f t="shared" si="14"/>
        <v>0</v>
      </c>
      <c r="S38" s="65">
        <f t="shared" si="14"/>
        <v>0</v>
      </c>
      <c r="T38" s="65">
        <f t="shared" si="14"/>
        <v>0</v>
      </c>
      <c r="U38" s="65">
        <f t="shared" si="14"/>
        <v>0</v>
      </c>
      <c r="V38" s="34"/>
    </row>
    <row r="39" spans="1:22" ht="13.8" thickTop="1" x14ac:dyDescent="0.25">
      <c r="A39" s="52"/>
      <c r="B39" s="48"/>
      <c r="C39" s="7"/>
      <c r="D39" s="7"/>
      <c r="E39" s="7"/>
      <c r="F39" s="7"/>
      <c r="G39" s="7"/>
      <c r="H39" s="7"/>
      <c r="I39" s="7"/>
      <c r="J39" s="7"/>
      <c r="L39" s="52"/>
      <c r="M39" s="48"/>
      <c r="N39" s="52"/>
      <c r="O39" s="52"/>
      <c r="P39" s="52"/>
      <c r="Q39" s="52"/>
      <c r="R39" s="52"/>
      <c r="S39" s="52"/>
      <c r="T39" s="52"/>
      <c r="U39" s="52"/>
      <c r="V39" s="34"/>
    </row>
    <row r="40" spans="1:22" x14ac:dyDescent="0.25">
      <c r="A40" s="48" t="s">
        <v>95</v>
      </c>
      <c r="B40" s="48"/>
      <c r="C40" s="48"/>
      <c r="D40" s="48"/>
      <c r="E40" s="48"/>
      <c r="F40" s="48"/>
      <c r="G40" s="135"/>
      <c r="H40" s="48"/>
      <c r="I40" s="48"/>
      <c r="J40" s="135"/>
      <c r="L40" s="48" t="s">
        <v>95</v>
      </c>
      <c r="M40" s="48"/>
      <c r="N40" s="48"/>
      <c r="O40" s="48"/>
      <c r="P40" s="48"/>
      <c r="Q40" s="48"/>
      <c r="R40" s="135"/>
      <c r="S40" s="48"/>
      <c r="T40" s="48"/>
      <c r="U40" s="135"/>
      <c r="V40" s="34"/>
    </row>
    <row r="41" spans="1:22" x14ac:dyDescent="0.25">
      <c r="A41" s="127"/>
      <c r="B41" s="48"/>
      <c r="C41" s="64"/>
      <c r="D41" s="132"/>
      <c r="E41" s="139">
        <v>0</v>
      </c>
      <c r="F41" s="128">
        <f>(E41*C41)/1000</f>
        <v>0</v>
      </c>
      <c r="G41" s="140">
        <f>D41*E41</f>
        <v>0</v>
      </c>
      <c r="H41" s="139"/>
      <c r="I41" s="128">
        <f>H41*(C41/1000)</f>
        <v>0</v>
      </c>
      <c r="J41" s="131">
        <f>D41*H41</f>
        <v>0</v>
      </c>
      <c r="L41" s="127"/>
      <c r="M41" s="48"/>
      <c r="N41" s="64"/>
      <c r="O41" s="132"/>
      <c r="P41" s="139">
        <v>0</v>
      </c>
      <c r="Q41" s="128">
        <f>(P41*N41)/1000</f>
        <v>0</v>
      </c>
      <c r="R41" s="140">
        <f>O41*P41</f>
        <v>0</v>
      </c>
      <c r="S41" s="139"/>
      <c r="T41" s="128">
        <f>S41*(N41/1000)</f>
        <v>0</v>
      </c>
      <c r="U41" s="131">
        <f>O41*S41</f>
        <v>0</v>
      </c>
      <c r="V41" s="34"/>
    </row>
    <row r="42" spans="1:22" ht="13.8" thickBot="1" x14ac:dyDescent="0.3">
      <c r="A42" s="52"/>
      <c r="B42" s="48"/>
      <c r="C42" s="67" t="s">
        <v>41</v>
      </c>
      <c r="D42" s="68"/>
      <c r="E42" s="68">
        <f t="shared" ref="E42:J42" si="15">+E41</f>
        <v>0</v>
      </c>
      <c r="F42" s="68">
        <f t="shared" si="15"/>
        <v>0</v>
      </c>
      <c r="G42" s="80">
        <f t="shared" si="15"/>
        <v>0</v>
      </c>
      <c r="H42" s="68">
        <f t="shared" si="15"/>
        <v>0</v>
      </c>
      <c r="I42" s="61">
        <f t="shared" si="15"/>
        <v>0</v>
      </c>
      <c r="J42" s="79">
        <f t="shared" si="15"/>
        <v>0</v>
      </c>
      <c r="L42" s="52"/>
      <c r="M42" s="48"/>
      <c r="N42" s="67" t="s">
        <v>41</v>
      </c>
      <c r="O42" s="68"/>
      <c r="P42" s="68">
        <f t="shared" ref="P42:U42" si="16">+P41</f>
        <v>0</v>
      </c>
      <c r="Q42" s="68">
        <f t="shared" si="16"/>
        <v>0</v>
      </c>
      <c r="R42" s="80">
        <f t="shared" si="16"/>
        <v>0</v>
      </c>
      <c r="S42" s="68">
        <f t="shared" si="16"/>
        <v>0</v>
      </c>
      <c r="T42" s="61">
        <f t="shared" si="16"/>
        <v>0</v>
      </c>
      <c r="U42" s="79">
        <f t="shared" si="16"/>
        <v>0</v>
      </c>
      <c r="V42" s="34"/>
    </row>
    <row r="43" spans="1:22" ht="13.8" thickTop="1" x14ac:dyDescent="0.25">
      <c r="A43" s="52"/>
      <c r="B43" s="48"/>
      <c r="C43" s="48"/>
      <c r="D43" s="48"/>
      <c r="E43" s="48"/>
      <c r="F43" s="48"/>
      <c r="G43" s="135"/>
      <c r="H43" s="48"/>
      <c r="I43" s="48"/>
      <c r="J43" s="135"/>
      <c r="L43" s="52"/>
      <c r="M43" s="48"/>
      <c r="N43" s="48"/>
      <c r="O43" s="48"/>
      <c r="P43" s="48"/>
      <c r="Q43" s="48"/>
      <c r="R43" s="135"/>
      <c r="S43" s="48"/>
      <c r="T43" s="48"/>
      <c r="U43" s="135"/>
      <c r="V43" s="34"/>
    </row>
    <row r="44" spans="1:22" x14ac:dyDescent="0.25">
      <c r="A44" s="48" t="s">
        <v>96</v>
      </c>
      <c r="B44" s="48"/>
      <c r="C44" s="48"/>
      <c r="D44" s="48"/>
      <c r="E44" s="48"/>
      <c r="F44" s="48"/>
      <c r="G44" s="135"/>
      <c r="H44" s="48"/>
      <c r="I44" s="48"/>
      <c r="J44" s="135"/>
      <c r="L44" s="48" t="s">
        <v>96</v>
      </c>
      <c r="M44" s="48"/>
      <c r="N44" s="48"/>
      <c r="O44" s="48"/>
      <c r="P44" s="48"/>
      <c r="Q44" s="48"/>
      <c r="R44" s="135"/>
      <c r="S44" s="48"/>
      <c r="T44" s="48"/>
      <c r="U44" s="135"/>
      <c r="V44" s="34"/>
    </row>
    <row r="45" spans="1:22" x14ac:dyDescent="0.25">
      <c r="A45" s="127"/>
      <c r="B45" s="48"/>
      <c r="C45" s="64"/>
      <c r="D45" s="132"/>
      <c r="E45" s="48">
        <v>0</v>
      </c>
      <c r="F45" s="128">
        <f>(E45*C45)/1000</f>
        <v>0</v>
      </c>
      <c r="G45" s="140">
        <f>D45*E45</f>
        <v>0</v>
      </c>
      <c r="H45" s="141"/>
      <c r="I45" s="128">
        <f>H45*(C45/1000)</f>
        <v>0</v>
      </c>
      <c r="J45" s="131">
        <f>D45*H45</f>
        <v>0</v>
      </c>
      <c r="L45" s="127"/>
      <c r="M45" s="48"/>
      <c r="N45" s="64"/>
      <c r="O45" s="132"/>
      <c r="P45" s="48">
        <v>0</v>
      </c>
      <c r="Q45" s="128">
        <f>(P45*N45)/1000</f>
        <v>0</v>
      </c>
      <c r="R45" s="140">
        <f>O45*P45</f>
        <v>0</v>
      </c>
      <c r="S45" s="141"/>
      <c r="T45" s="128">
        <f>S45*(N45/1000)</f>
        <v>0</v>
      </c>
      <c r="U45" s="131">
        <f>O45*S45</f>
        <v>0</v>
      </c>
      <c r="V45" s="34"/>
    </row>
    <row r="46" spans="1:22" ht="13.8" thickBot="1" x14ac:dyDescent="0.3">
      <c r="A46" s="52"/>
      <c r="B46" s="48"/>
      <c r="C46" s="67" t="s">
        <v>41</v>
      </c>
      <c r="D46" s="68"/>
      <c r="E46" s="68">
        <f>+E45</f>
        <v>0</v>
      </c>
      <c r="F46" s="68">
        <f>+F45</f>
        <v>0</v>
      </c>
      <c r="G46" s="80">
        <f>+G45</f>
        <v>0</v>
      </c>
      <c r="H46" s="68">
        <f>+H45</f>
        <v>0</v>
      </c>
      <c r="I46" s="61">
        <f>+I45</f>
        <v>0</v>
      </c>
      <c r="J46" s="79">
        <f>J45</f>
        <v>0</v>
      </c>
      <c r="L46" s="52"/>
      <c r="M46" s="48"/>
      <c r="N46" s="67" t="s">
        <v>41</v>
      </c>
      <c r="O46" s="68"/>
      <c r="P46" s="68">
        <f>+P45</f>
        <v>0</v>
      </c>
      <c r="Q46" s="68">
        <f>+Q45</f>
        <v>0</v>
      </c>
      <c r="R46" s="80">
        <f>+R45</f>
        <v>0</v>
      </c>
      <c r="S46" s="68">
        <f>+S45</f>
        <v>0</v>
      </c>
      <c r="T46" s="61">
        <f>+T45</f>
        <v>0</v>
      </c>
      <c r="U46" s="79">
        <f>U45</f>
        <v>0</v>
      </c>
      <c r="V46" s="34"/>
    </row>
    <row r="47" spans="1:22" ht="13.8" thickTop="1" x14ac:dyDescent="0.25">
      <c r="A47" s="52"/>
      <c r="B47" s="52"/>
      <c r="C47" s="52"/>
      <c r="D47" s="52"/>
      <c r="E47" s="52"/>
      <c r="F47" s="52"/>
      <c r="G47" s="136"/>
      <c r="H47" s="52"/>
      <c r="I47" s="52"/>
      <c r="J47" s="136"/>
      <c r="L47" s="52"/>
      <c r="M47" s="52"/>
      <c r="N47" s="52"/>
      <c r="O47" s="52"/>
      <c r="P47" s="52"/>
      <c r="Q47" s="52"/>
      <c r="R47" s="136"/>
      <c r="S47" s="52"/>
      <c r="T47" s="52"/>
      <c r="U47" s="136"/>
      <c r="V47" s="34"/>
    </row>
    <row r="48" spans="1:22" x14ac:dyDescent="0.25">
      <c r="A48" s="48" t="s">
        <v>97</v>
      </c>
      <c r="B48" s="48"/>
      <c r="C48" s="48"/>
      <c r="D48" s="48"/>
      <c r="E48" s="48"/>
      <c r="F48" s="48"/>
      <c r="G48" s="135"/>
      <c r="H48" s="48"/>
      <c r="I48" s="48"/>
      <c r="J48" s="135"/>
      <c r="L48" s="48" t="s">
        <v>97</v>
      </c>
      <c r="M48" s="48"/>
      <c r="N48" s="48"/>
      <c r="O48" s="48"/>
      <c r="P48" s="48"/>
      <c r="Q48" s="48"/>
      <c r="R48" s="135"/>
      <c r="S48" s="48"/>
      <c r="T48" s="48"/>
      <c r="U48" s="135"/>
      <c r="V48" s="34"/>
    </row>
    <row r="49" spans="1:22" x14ac:dyDescent="0.25">
      <c r="A49" s="127"/>
      <c r="B49" s="48"/>
      <c r="C49" s="128"/>
      <c r="D49" s="132"/>
      <c r="E49" s="48"/>
      <c r="F49" s="128">
        <f>(E49*C49)/1000</f>
        <v>0</v>
      </c>
      <c r="G49" s="140">
        <f>D49*E49</f>
        <v>0</v>
      </c>
      <c r="H49" s="141"/>
      <c r="I49" s="128">
        <f>H49*(C49/1000)</f>
        <v>0</v>
      </c>
      <c r="J49" s="131">
        <f>D49*H49</f>
        <v>0</v>
      </c>
      <c r="L49" s="127"/>
      <c r="M49" s="48"/>
      <c r="N49" s="128"/>
      <c r="O49" s="132"/>
      <c r="P49" s="48"/>
      <c r="Q49" s="128">
        <f>(P49*N49)/1000</f>
        <v>0</v>
      </c>
      <c r="R49" s="140">
        <f>O49*P49</f>
        <v>0</v>
      </c>
      <c r="S49" s="141"/>
      <c r="T49" s="128">
        <f>S49*(N49/1000)</f>
        <v>0</v>
      </c>
      <c r="U49" s="131">
        <f>O49*S49</f>
        <v>0</v>
      </c>
      <c r="V49" s="34"/>
    </row>
    <row r="50" spans="1:22" ht="13.8" thickBot="1" x14ac:dyDescent="0.3">
      <c r="A50" s="127"/>
      <c r="B50" s="48"/>
      <c r="C50" s="68" t="s">
        <v>41</v>
      </c>
      <c r="D50" s="68"/>
      <c r="E50" s="68">
        <f t="shared" ref="E50:J50" si="17">E49</f>
        <v>0</v>
      </c>
      <c r="F50" s="68">
        <f t="shared" si="17"/>
        <v>0</v>
      </c>
      <c r="G50" s="68">
        <f t="shared" si="17"/>
        <v>0</v>
      </c>
      <c r="H50" s="68">
        <f t="shared" si="17"/>
        <v>0</v>
      </c>
      <c r="I50" s="68">
        <f t="shared" si="17"/>
        <v>0</v>
      </c>
      <c r="J50" s="68">
        <f t="shared" si="17"/>
        <v>0</v>
      </c>
      <c r="L50" s="127"/>
      <c r="M50" s="48"/>
      <c r="N50" s="68" t="s">
        <v>41</v>
      </c>
      <c r="O50" s="68"/>
      <c r="P50" s="68">
        <f t="shared" ref="P50:U50" si="18">P49</f>
        <v>0</v>
      </c>
      <c r="Q50" s="68">
        <f t="shared" si="18"/>
        <v>0</v>
      </c>
      <c r="R50" s="68">
        <f t="shared" si="18"/>
        <v>0</v>
      </c>
      <c r="S50" s="68">
        <f t="shared" si="18"/>
        <v>0</v>
      </c>
      <c r="T50" s="68">
        <f t="shared" si="18"/>
        <v>0</v>
      </c>
      <c r="U50" s="68">
        <f t="shared" si="18"/>
        <v>0</v>
      </c>
      <c r="V50" s="34"/>
    </row>
    <row r="51" spans="1:22" ht="13.8" thickTop="1" x14ac:dyDescent="0.25">
      <c r="A51" s="52"/>
      <c r="B51" s="48"/>
      <c r="C51" s="7"/>
      <c r="D51" s="7"/>
      <c r="E51" s="7"/>
      <c r="F51" s="7"/>
      <c r="G51" s="7"/>
      <c r="H51" s="7"/>
      <c r="I51" s="7"/>
      <c r="J51" s="7"/>
      <c r="L51" s="52"/>
      <c r="M51" s="48"/>
      <c r="N51" s="52"/>
      <c r="O51" s="52"/>
      <c r="P51" s="52"/>
      <c r="Q51" s="52"/>
      <c r="R51" s="52"/>
      <c r="S51" s="52"/>
      <c r="T51" s="52"/>
      <c r="U51" s="52"/>
      <c r="V51" s="34"/>
    </row>
    <row r="52" spans="1:22" ht="13.8" thickBot="1" x14ac:dyDescent="0.3">
      <c r="A52" s="48"/>
      <c r="B52" s="48"/>
      <c r="C52" s="142" t="s">
        <v>67</v>
      </c>
      <c r="D52" s="142"/>
      <c r="E52" s="143">
        <f t="shared" ref="E52:J52" si="19">+E29+E34+E38+E42+E46+E50</f>
        <v>0</v>
      </c>
      <c r="F52" s="143">
        <f t="shared" si="19"/>
        <v>0</v>
      </c>
      <c r="G52" s="144">
        <f t="shared" si="19"/>
        <v>0</v>
      </c>
      <c r="H52" s="143">
        <f t="shared" si="19"/>
        <v>0</v>
      </c>
      <c r="I52" s="143">
        <f t="shared" si="19"/>
        <v>0</v>
      </c>
      <c r="J52" s="144">
        <f t="shared" si="19"/>
        <v>0</v>
      </c>
      <c r="L52" s="48"/>
      <c r="M52" s="48"/>
      <c r="N52" s="142" t="s">
        <v>67</v>
      </c>
      <c r="O52" s="142"/>
      <c r="P52" s="143">
        <f t="shared" ref="P52:U52" si="20">+P29+P34+P38+P42+P46+P50</f>
        <v>0</v>
      </c>
      <c r="Q52" s="143">
        <f t="shared" si="20"/>
        <v>0</v>
      </c>
      <c r="R52" s="144">
        <f t="shared" si="20"/>
        <v>0</v>
      </c>
      <c r="S52" s="143">
        <f t="shared" si="20"/>
        <v>0</v>
      </c>
      <c r="T52" s="143">
        <f t="shared" si="20"/>
        <v>0</v>
      </c>
      <c r="U52" s="144">
        <f t="shared" si="20"/>
        <v>0</v>
      </c>
      <c r="V52" s="34"/>
    </row>
    <row r="53" spans="1:22" ht="13.8" thickTop="1" x14ac:dyDescent="0.25">
      <c r="A53" s="145"/>
      <c r="B53" s="52"/>
      <c r="C53" s="52"/>
      <c r="D53" s="52"/>
      <c r="E53" s="52"/>
      <c r="F53" s="52"/>
      <c r="G53" s="136"/>
      <c r="H53" s="52"/>
      <c r="I53" s="52"/>
      <c r="J53" s="136"/>
      <c r="L53" s="145"/>
      <c r="M53" s="52"/>
      <c r="N53" s="52"/>
      <c r="O53" s="52"/>
      <c r="P53" s="52"/>
      <c r="Q53" s="52"/>
      <c r="R53" s="136"/>
      <c r="S53" s="52"/>
      <c r="T53" s="52"/>
      <c r="U53" s="136"/>
      <c r="V53" s="34"/>
    </row>
    <row r="54" spans="1:22" x14ac:dyDescent="0.25">
      <c r="A54" s="146" t="s">
        <v>98</v>
      </c>
      <c r="B54" s="48"/>
      <c r="C54" s="48"/>
      <c r="D54" s="48"/>
      <c r="E54" s="48"/>
      <c r="F54" s="48"/>
      <c r="G54" s="147">
        <f>G52*12</f>
        <v>0</v>
      </c>
      <c r="H54" s="48"/>
      <c r="I54" s="48"/>
      <c r="J54" s="147">
        <f>J52*12</f>
        <v>0</v>
      </c>
      <c r="L54" s="146" t="s">
        <v>98</v>
      </c>
      <c r="M54" s="48"/>
      <c r="N54" s="48"/>
      <c r="O54" s="48"/>
      <c r="P54" s="48"/>
      <c r="Q54" s="48"/>
      <c r="R54" s="147">
        <f>R52*12</f>
        <v>0</v>
      </c>
      <c r="S54" s="48"/>
      <c r="T54" s="48"/>
      <c r="U54" s="147">
        <f>U52*12</f>
        <v>0</v>
      </c>
      <c r="V54" s="34"/>
    </row>
    <row r="55" spans="1:22" x14ac:dyDescent="0.25">
      <c r="L55" s="127"/>
      <c r="M55" s="48"/>
      <c r="N55" s="128"/>
      <c r="O55" s="132"/>
      <c r="P55" s="148"/>
      <c r="Q55" s="128"/>
      <c r="R55" s="149"/>
      <c r="S55" s="128"/>
      <c r="T55" s="128"/>
      <c r="U55" s="131"/>
      <c r="V55" s="34"/>
    </row>
    <row r="56" spans="1:22" x14ac:dyDescent="0.25">
      <c r="L56" s="49"/>
      <c r="M56" s="32"/>
      <c r="N56" s="58"/>
      <c r="O56" s="75"/>
      <c r="P56" s="77"/>
      <c r="Q56" s="58"/>
      <c r="R56" s="76"/>
      <c r="S56" s="58"/>
      <c r="T56" s="58"/>
      <c r="U56" s="76"/>
      <c r="V56" s="84"/>
    </row>
    <row r="57" spans="1:22" x14ac:dyDescent="0.25">
      <c r="M57" s="1"/>
      <c r="N57" s="13"/>
      <c r="O57" s="13"/>
      <c r="P57" s="13"/>
      <c r="Q57" s="13"/>
      <c r="R57" s="29"/>
      <c r="S57" s="13"/>
      <c r="T57" s="24"/>
      <c r="U57" s="30"/>
      <c r="V57" s="17"/>
    </row>
    <row r="58" spans="1:22" x14ac:dyDescent="0.25">
      <c r="L58" s="1"/>
      <c r="M58" s="1"/>
      <c r="N58" s="18"/>
      <c r="O58" s="18"/>
      <c r="P58" s="18"/>
      <c r="Q58" s="18"/>
      <c r="R58" s="27"/>
      <c r="S58" s="18"/>
      <c r="T58" s="18"/>
      <c r="U58" s="27"/>
      <c r="V58" s="17"/>
    </row>
    <row r="59" spans="1:22" x14ac:dyDescent="0.25">
      <c r="L59" s="1"/>
      <c r="M59" s="1"/>
      <c r="N59" s="81"/>
      <c r="O59" s="81"/>
      <c r="P59" s="82"/>
      <c r="Q59" s="82"/>
      <c r="R59" s="83"/>
      <c r="S59" s="82"/>
      <c r="T59" s="82"/>
      <c r="U59" s="83"/>
      <c r="V59" s="17"/>
    </row>
    <row r="60" spans="1:22" x14ac:dyDescent="0.25">
      <c r="L60" s="15"/>
      <c r="N60" s="17"/>
      <c r="O60" s="17"/>
      <c r="P60" s="17"/>
      <c r="Q60" s="17"/>
      <c r="R60" s="28"/>
      <c r="S60" s="17"/>
      <c r="T60" s="17"/>
      <c r="U60" s="28"/>
      <c r="V60" s="17"/>
    </row>
    <row r="61" spans="1:22" x14ac:dyDescent="0.25">
      <c r="L61" s="2"/>
      <c r="M61" s="1"/>
      <c r="N61" s="1"/>
      <c r="O61" s="1"/>
      <c r="P61" s="1"/>
      <c r="Q61" s="1"/>
      <c r="R61" s="16"/>
      <c r="S61" s="1"/>
      <c r="T61" s="1"/>
      <c r="U61" s="16"/>
    </row>
    <row r="62" spans="1:22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</row>
  </sheetData>
  <pageMargins left="0.75" right="0.75" top="1" bottom="1" header="0.5" footer="0.5"/>
  <pageSetup scale="95" firstPageNumber="12" orientation="portrait" useFirstPageNumber="1" r:id="rId1"/>
  <headerFooter alignWithMargins="0">
    <oddFooter>&amp;L&amp;8O'Brien &amp; Gere Engineers, Inc.
&amp;D&amp;C&amp;P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92"/>
  <sheetViews>
    <sheetView topLeftCell="B1" zoomScale="130" zoomScaleNormal="130" workbookViewId="0">
      <selection activeCell="Q14" sqref="Q14"/>
    </sheetView>
  </sheetViews>
  <sheetFormatPr defaultRowHeight="13.2" x14ac:dyDescent="0.25"/>
  <cols>
    <col min="1" max="1" width="12.5546875" customWidth="1"/>
    <col min="2" max="2" width="6.88671875" customWidth="1"/>
    <col min="3" max="3" width="11.44140625" customWidth="1"/>
    <col min="4" max="4" width="11.6640625" bestFit="1" customWidth="1"/>
    <col min="5" max="5" width="8.44140625" customWidth="1"/>
    <col min="6" max="6" width="9.5546875" customWidth="1"/>
    <col min="7" max="7" width="11" customWidth="1"/>
    <col min="9" max="9" width="10.33203125" bestFit="1" customWidth="1"/>
    <col min="10" max="10" width="10.88671875" bestFit="1" customWidth="1"/>
    <col min="11" max="11" width="3.5546875" customWidth="1"/>
    <col min="12" max="12" width="13.5546875" customWidth="1"/>
    <col min="16" max="16" width="10.33203125" customWidth="1"/>
    <col min="17" max="17" width="10.6640625" customWidth="1"/>
    <col min="18" max="18" width="10.88671875" customWidth="1"/>
    <col min="19" max="19" width="8.44140625" customWidth="1"/>
    <col min="20" max="20" width="8.88671875" customWidth="1"/>
    <col min="23" max="23" width="14.33203125" customWidth="1"/>
    <col min="24" max="24" width="5.5546875" bestFit="1" customWidth="1"/>
    <col min="27" max="27" width="9.44140625" customWidth="1"/>
    <col min="28" max="28" width="10.5546875" customWidth="1"/>
    <col min="29" max="29" width="8.88671875" customWidth="1"/>
    <col min="30" max="31" width="8.5546875" customWidth="1"/>
    <col min="32" max="32" width="8.33203125" customWidth="1"/>
  </cols>
  <sheetData>
    <row r="1" spans="1:43" x14ac:dyDescent="0.25">
      <c r="A1" s="164" t="s">
        <v>99</v>
      </c>
      <c r="B1" s="223"/>
      <c r="C1" s="223"/>
      <c r="D1" s="223"/>
      <c r="E1" s="223"/>
      <c r="F1" s="223"/>
      <c r="G1" s="223"/>
      <c r="H1" s="223"/>
      <c r="I1" s="223"/>
      <c r="J1" s="223"/>
      <c r="K1" s="201"/>
      <c r="L1" s="164" t="s">
        <v>100</v>
      </c>
      <c r="M1" s="223"/>
      <c r="N1" s="223"/>
      <c r="O1" s="223"/>
      <c r="P1" s="223"/>
      <c r="Q1" s="223"/>
      <c r="R1" s="223"/>
      <c r="S1" s="223"/>
      <c r="T1" s="223"/>
      <c r="U1" s="223"/>
      <c r="V1" s="201"/>
      <c r="W1" s="164" t="s">
        <v>101</v>
      </c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</row>
    <row r="2" spans="1:43" x14ac:dyDescent="0.25">
      <c r="A2" s="223"/>
      <c r="B2" s="223"/>
      <c r="C2" s="223"/>
      <c r="D2" s="223"/>
      <c r="E2" s="223"/>
      <c r="F2" s="223"/>
      <c r="G2" s="165"/>
      <c r="H2" s="223"/>
      <c r="I2" s="223"/>
      <c r="J2" s="223"/>
      <c r="K2" s="201"/>
      <c r="L2" s="223"/>
      <c r="M2" s="223"/>
      <c r="N2" s="223"/>
      <c r="O2" s="223"/>
      <c r="P2" s="223"/>
      <c r="Q2" s="223"/>
      <c r="R2" s="165"/>
      <c r="S2" s="223"/>
      <c r="T2" s="223"/>
      <c r="U2" s="223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</row>
    <row r="3" spans="1:43" x14ac:dyDescent="0.25">
      <c r="A3" s="223"/>
      <c r="B3" s="223"/>
      <c r="C3" s="223"/>
      <c r="D3" s="201"/>
      <c r="E3" s="223"/>
      <c r="F3" s="223"/>
      <c r="G3" s="223"/>
      <c r="H3" s="223"/>
      <c r="I3" s="223"/>
      <c r="J3" s="223"/>
      <c r="K3" s="201"/>
      <c r="L3" s="223"/>
      <c r="M3" s="223"/>
      <c r="N3" s="223"/>
      <c r="O3" s="201"/>
      <c r="P3" s="223"/>
      <c r="Q3" s="223"/>
      <c r="R3" s="223"/>
      <c r="S3" s="223"/>
      <c r="T3" s="223"/>
      <c r="U3" s="223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</row>
    <row r="4" spans="1:43" x14ac:dyDescent="0.25">
      <c r="A4" s="201"/>
      <c r="B4" s="166"/>
      <c r="C4" s="167"/>
      <c r="D4" s="14"/>
      <c r="E4" s="168"/>
      <c r="F4" s="224" t="s">
        <v>2</v>
      </c>
      <c r="G4" s="225"/>
      <c r="H4" s="225"/>
      <c r="I4" s="224" t="s">
        <v>4</v>
      </c>
      <c r="J4" s="225"/>
      <c r="K4" s="201"/>
      <c r="L4" s="201"/>
      <c r="M4" s="166"/>
      <c r="N4" s="167"/>
      <c r="O4" s="14"/>
      <c r="P4" s="168"/>
      <c r="Q4" s="224" t="s">
        <v>2</v>
      </c>
      <c r="R4" s="225"/>
      <c r="S4" s="225"/>
      <c r="T4" s="224" t="s">
        <v>4</v>
      </c>
      <c r="U4" s="225"/>
      <c r="V4" s="201"/>
      <c r="W4" s="201"/>
      <c r="X4" s="166"/>
      <c r="Y4" s="167"/>
      <c r="Z4" s="14">
        <f t="shared" ref="Z4:Z11" si="0">O4</f>
        <v>0</v>
      </c>
      <c r="AA4" s="168"/>
      <c r="AB4" s="224" t="str">
        <f>Q4</f>
        <v>Residential</v>
      </c>
      <c r="AC4" s="225"/>
      <c r="AD4" s="225"/>
      <c r="AE4" s="224" t="str">
        <f>T4</f>
        <v>Commercial</v>
      </c>
      <c r="AF4" s="225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</row>
    <row r="5" spans="1:43" x14ac:dyDescent="0.25">
      <c r="A5" s="167" t="s">
        <v>102</v>
      </c>
      <c r="B5" s="223"/>
      <c r="C5" s="201"/>
      <c r="D5" s="169" t="s">
        <v>10</v>
      </c>
      <c r="E5" s="226" t="s">
        <v>6</v>
      </c>
      <c r="F5" s="227" t="s">
        <v>7</v>
      </c>
      <c r="G5" s="227" t="s">
        <v>70</v>
      </c>
      <c r="H5" s="228" t="s">
        <v>6</v>
      </c>
      <c r="I5" s="227" t="s">
        <v>7</v>
      </c>
      <c r="J5" s="227" t="s">
        <v>70</v>
      </c>
      <c r="K5" s="201"/>
      <c r="L5" s="167" t="s">
        <v>102</v>
      </c>
      <c r="M5" s="223"/>
      <c r="N5" s="201"/>
      <c r="O5" s="169" t="s">
        <v>10</v>
      </c>
      <c r="P5" s="226" t="s">
        <v>6</v>
      </c>
      <c r="Q5" s="227" t="s">
        <v>7</v>
      </c>
      <c r="R5" s="227" t="s">
        <v>70</v>
      </c>
      <c r="S5" s="228" t="s">
        <v>6</v>
      </c>
      <c r="T5" s="227" t="s">
        <v>7</v>
      </c>
      <c r="U5" s="227" t="s">
        <v>70</v>
      </c>
      <c r="V5" s="201"/>
      <c r="W5" s="167" t="str">
        <f t="shared" ref="W5:W11" si="1">L5</f>
        <v>MONTHLY WATER USAGE</v>
      </c>
      <c r="X5" s="223"/>
      <c r="Y5" s="201"/>
      <c r="Z5" s="169" t="str">
        <f t="shared" si="0"/>
        <v>Average</v>
      </c>
      <c r="AA5" s="226" t="str">
        <f>P5</f>
        <v xml:space="preserve">No. of </v>
      </c>
      <c r="AB5" s="227" t="str">
        <f>Q5</f>
        <v>Usage</v>
      </c>
      <c r="AC5" s="227" t="str">
        <f>R5</f>
        <v>Income</v>
      </c>
      <c r="AD5" s="228" t="str">
        <f>S5</f>
        <v xml:space="preserve">No. of </v>
      </c>
      <c r="AE5" s="227" t="str">
        <f>T5</f>
        <v>Usage</v>
      </c>
      <c r="AF5" s="227" t="str">
        <f>U5</f>
        <v>Income</v>
      </c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</row>
    <row r="6" spans="1:43" x14ac:dyDescent="0.25">
      <c r="A6" s="170"/>
      <c r="B6" s="229"/>
      <c r="C6" s="170" t="s">
        <v>10</v>
      </c>
      <c r="D6" s="171" t="s">
        <v>71</v>
      </c>
      <c r="E6" s="230" t="s">
        <v>11</v>
      </c>
      <c r="F6" s="231" t="s">
        <v>12</v>
      </c>
      <c r="G6" s="232"/>
      <c r="H6" s="233" t="s">
        <v>11</v>
      </c>
      <c r="I6" s="231" t="s">
        <v>12</v>
      </c>
      <c r="J6" s="232"/>
      <c r="K6" s="201"/>
      <c r="L6" s="170"/>
      <c r="M6" s="229"/>
      <c r="N6" s="170" t="s">
        <v>10</v>
      </c>
      <c r="O6" s="171" t="s">
        <v>71</v>
      </c>
      <c r="P6" s="230" t="s">
        <v>11</v>
      </c>
      <c r="Q6" s="231" t="s">
        <v>12</v>
      </c>
      <c r="R6" s="232"/>
      <c r="S6" s="233" t="s">
        <v>11</v>
      </c>
      <c r="T6" s="231" t="s">
        <v>12</v>
      </c>
      <c r="U6" s="232"/>
      <c r="V6" s="201"/>
      <c r="W6" s="170">
        <f t="shared" si="1"/>
        <v>0</v>
      </c>
      <c r="X6" s="229"/>
      <c r="Y6" s="170" t="str">
        <f t="shared" ref="Y6:Y11" si="2">N6</f>
        <v>Average</v>
      </c>
      <c r="Z6" s="171" t="str">
        <f t="shared" si="0"/>
        <v>Rate</v>
      </c>
      <c r="AA6" s="230" t="str">
        <f>P6</f>
        <v>Users</v>
      </c>
      <c r="AB6" s="231" t="str">
        <f>Q6</f>
        <v>1,000</v>
      </c>
      <c r="AC6" s="232"/>
      <c r="AD6" s="233" t="str">
        <f>S6</f>
        <v>Users</v>
      </c>
      <c r="AE6" s="231" t="str">
        <f>T6</f>
        <v>1,000</v>
      </c>
      <c r="AF6" s="232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</row>
    <row r="7" spans="1:43" x14ac:dyDescent="0.25">
      <c r="A7" s="172" t="s">
        <v>13</v>
      </c>
      <c r="B7" s="223"/>
      <c r="C7" s="234"/>
      <c r="D7" s="208"/>
      <c r="E7" s="234"/>
      <c r="F7" s="234"/>
      <c r="G7" s="234"/>
      <c r="H7" s="234"/>
      <c r="I7" s="234"/>
      <c r="J7" s="234"/>
      <c r="K7" s="201"/>
      <c r="L7" s="172" t="s">
        <v>13</v>
      </c>
      <c r="M7" s="223"/>
      <c r="N7" s="223"/>
      <c r="O7" s="173"/>
      <c r="P7" s="223"/>
      <c r="Q7" s="223"/>
      <c r="R7" s="223"/>
      <c r="S7" s="223"/>
      <c r="T7" s="223"/>
      <c r="U7" s="223"/>
      <c r="V7" s="201"/>
      <c r="W7" s="172" t="str">
        <f t="shared" si="1"/>
        <v>5/8 x 3/4 meter</v>
      </c>
      <c r="X7" s="223"/>
      <c r="Y7" s="223"/>
      <c r="Z7" s="173"/>
      <c r="AA7" s="223"/>
      <c r="AB7" s="223"/>
      <c r="AC7" s="223"/>
      <c r="AD7" s="223"/>
      <c r="AE7" s="223"/>
      <c r="AF7" s="223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</row>
    <row r="8" spans="1:43" x14ac:dyDescent="0.25">
      <c r="A8" s="49" t="s">
        <v>28</v>
      </c>
      <c r="B8" s="223"/>
      <c r="C8" s="58">
        <v>400</v>
      </c>
      <c r="D8" s="209">
        <f>ROUNDUP('Existing Rates'!B3,2)</f>
        <v>11.16</v>
      </c>
      <c r="E8" s="235">
        <f>Usage!U8</f>
        <v>131</v>
      </c>
      <c r="F8" s="236">
        <f t="shared" ref="F8:F13" si="3">(E8*C8)/1000</f>
        <v>52.4</v>
      </c>
      <c r="G8" s="237">
        <f t="shared" ref="G8:G13" si="4">D8*E8</f>
        <v>1461.96</v>
      </c>
      <c r="H8" s="235">
        <f>Usage!W8</f>
        <v>5</v>
      </c>
      <c r="I8" s="238">
        <f t="shared" ref="I8:I13" si="5">(H8*C8)/1000</f>
        <v>2</v>
      </c>
      <c r="J8" s="237">
        <f t="shared" ref="J8:J13" si="6">D8*H8</f>
        <v>55.8</v>
      </c>
      <c r="K8" s="201"/>
      <c r="L8" s="49" t="s">
        <v>103</v>
      </c>
      <c r="M8" s="223"/>
      <c r="N8" s="50">
        <v>967</v>
      </c>
      <c r="O8" s="174">
        <f>'Proposed Rates'!B3</f>
        <v>23.25</v>
      </c>
      <c r="P8" s="239">
        <v>266</v>
      </c>
      <c r="Q8" s="240">
        <f>(P8*N8)/1000</f>
        <v>257.22199999999998</v>
      </c>
      <c r="R8" s="241">
        <f>O8*P8</f>
        <v>6184.5</v>
      </c>
      <c r="S8" s="239">
        <v>11</v>
      </c>
      <c r="T8" s="240">
        <f>(S8*N8)/1000</f>
        <v>10.637</v>
      </c>
      <c r="U8" s="241">
        <f>O8*S8</f>
        <v>255.75</v>
      </c>
      <c r="V8" s="201"/>
      <c r="W8" s="49" t="str">
        <f t="shared" si="1"/>
        <v xml:space="preserve">         0 -   2,000 Gal.</v>
      </c>
      <c r="X8" s="223"/>
      <c r="Y8" s="240">
        <f t="shared" si="2"/>
        <v>967</v>
      </c>
      <c r="Z8" s="174">
        <f t="shared" si="0"/>
        <v>23.25</v>
      </c>
      <c r="AA8" s="242">
        <v>0</v>
      </c>
      <c r="AB8" s="240">
        <f>(AA8*Y8)/1000</f>
        <v>0</v>
      </c>
      <c r="AC8" s="241">
        <f>Z8*AA8</f>
        <v>0</v>
      </c>
      <c r="AD8" s="242">
        <v>0</v>
      </c>
      <c r="AE8" s="240">
        <f>(AD8*Y8)/1000</f>
        <v>0</v>
      </c>
      <c r="AF8" s="241">
        <f>Z8*AD8</f>
        <v>0</v>
      </c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</row>
    <row r="9" spans="1:43" x14ac:dyDescent="0.25">
      <c r="A9" s="49" t="s">
        <v>30</v>
      </c>
      <c r="B9" s="223"/>
      <c r="C9" s="58">
        <v>2150</v>
      </c>
      <c r="D9" s="209">
        <f>ROUNDUP('Existing Rates'!B3+(('Existing Rates'!B4/1000)*(C9-1000)),2)</f>
        <v>16.64</v>
      </c>
      <c r="E9" s="235">
        <f>Usage!U9</f>
        <v>311</v>
      </c>
      <c r="F9" s="236">
        <f t="shared" si="3"/>
        <v>668.65</v>
      </c>
      <c r="G9" s="237">
        <f t="shared" si="4"/>
        <v>5175.04</v>
      </c>
      <c r="H9" s="235">
        <f>Usage!W9</f>
        <v>6</v>
      </c>
      <c r="I9" s="238">
        <f t="shared" si="5"/>
        <v>12.9</v>
      </c>
      <c r="J9" s="237">
        <f t="shared" si="6"/>
        <v>99.84</v>
      </c>
      <c r="K9" s="201"/>
      <c r="L9" s="49" t="s">
        <v>104</v>
      </c>
      <c r="M9" s="223"/>
      <c r="N9" s="50">
        <v>3732</v>
      </c>
      <c r="O9" s="174">
        <f>'Proposed Rates'!B3+(('Proposed Rates'!B4/1000)*(N9-2000))</f>
        <v>37.106000000000002</v>
      </c>
      <c r="P9" s="239">
        <v>484</v>
      </c>
      <c r="Q9" s="240">
        <f>(P9*N9)/1000</f>
        <v>1806.288</v>
      </c>
      <c r="R9" s="241">
        <f>O9*P9</f>
        <v>17959.304</v>
      </c>
      <c r="S9" s="239">
        <v>0</v>
      </c>
      <c r="T9" s="240">
        <f>(S9*N9)/1000</f>
        <v>0</v>
      </c>
      <c r="U9" s="241">
        <f>O9*S9</f>
        <v>0</v>
      </c>
      <c r="V9" s="201"/>
      <c r="W9" s="49" t="str">
        <f t="shared" si="1"/>
        <v>2,000 - 7,000 Gal</v>
      </c>
      <c r="X9" s="223"/>
      <c r="Y9" s="240">
        <f t="shared" si="2"/>
        <v>3732</v>
      </c>
      <c r="Z9" s="174">
        <f t="shared" si="0"/>
        <v>37.106000000000002</v>
      </c>
      <c r="AA9" s="242">
        <v>0</v>
      </c>
      <c r="AB9" s="240">
        <f>(AA9*Y9)/1000</f>
        <v>0</v>
      </c>
      <c r="AC9" s="241">
        <f>Z9*AA9</f>
        <v>0</v>
      </c>
      <c r="AD9" s="242">
        <v>0</v>
      </c>
      <c r="AE9" s="240">
        <f>(AD9*Y9)/1000</f>
        <v>0</v>
      </c>
      <c r="AF9" s="241">
        <f>Z9*AD9</f>
        <v>0</v>
      </c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</row>
    <row r="10" spans="1:43" x14ac:dyDescent="0.25">
      <c r="A10" s="49" t="s">
        <v>32</v>
      </c>
      <c r="B10" s="223"/>
      <c r="C10" s="58">
        <v>4250</v>
      </c>
      <c r="D10" s="209">
        <f>ROUNDUP('Existing Rates'!B3+(('Existing Rates'!B4*2)+(('Existing Rates'!B5/1000)*(C10-3000))),2)</f>
        <v>25.76</v>
      </c>
      <c r="E10" s="235">
        <f>Usage!U10</f>
        <v>272</v>
      </c>
      <c r="F10" s="236">
        <f t="shared" si="3"/>
        <v>1156</v>
      </c>
      <c r="G10" s="237">
        <f t="shared" si="4"/>
        <v>7006.72</v>
      </c>
      <c r="H10" s="235">
        <f>Usage!W10</f>
        <v>0</v>
      </c>
      <c r="I10" s="238">
        <f t="shared" si="5"/>
        <v>0</v>
      </c>
      <c r="J10" s="237">
        <f t="shared" si="6"/>
        <v>0</v>
      </c>
      <c r="K10" s="201"/>
      <c r="L10" s="49" t="s">
        <v>105</v>
      </c>
      <c r="M10" s="223"/>
      <c r="N10" s="50">
        <v>10370</v>
      </c>
      <c r="O10" s="174">
        <f>'Proposed Rates'!B3+(('Proposed Rates'!B4*5)+(('Proposed Rates'!B5/1000)*(N10-7000)))</f>
        <v>83.47</v>
      </c>
      <c r="P10" s="239">
        <v>86</v>
      </c>
      <c r="Q10" s="240">
        <f>(P10*N10)/1000</f>
        <v>891.82</v>
      </c>
      <c r="R10" s="241">
        <f>O10*P10</f>
        <v>7178.42</v>
      </c>
      <c r="S10" s="239">
        <f>+Usage!W10</f>
        <v>0</v>
      </c>
      <c r="T10" s="240">
        <f>(S10*N10)/1000</f>
        <v>0</v>
      </c>
      <c r="U10" s="241">
        <f>O10*S10</f>
        <v>0</v>
      </c>
      <c r="V10" s="201"/>
      <c r="W10" s="49" t="str">
        <f t="shared" si="1"/>
        <v>7,000 - 20,000</v>
      </c>
      <c r="X10" s="223"/>
      <c r="Y10" s="240">
        <f t="shared" si="2"/>
        <v>10370</v>
      </c>
      <c r="Z10" s="174">
        <f t="shared" si="0"/>
        <v>83.47</v>
      </c>
      <c r="AA10" s="242">
        <v>0</v>
      </c>
      <c r="AB10" s="240">
        <f>(AA10*Y10)/1000</f>
        <v>0</v>
      </c>
      <c r="AC10" s="241">
        <f>Z10*AA10</f>
        <v>0</v>
      </c>
      <c r="AD10" s="242">
        <v>0</v>
      </c>
      <c r="AE10" s="240">
        <f>(AD10*Y10)/1000</f>
        <v>0</v>
      </c>
      <c r="AF10" s="241">
        <f>Z10*AD10</f>
        <v>0</v>
      </c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</row>
    <row r="11" spans="1:43" x14ac:dyDescent="0.25">
      <c r="A11" s="49" t="s">
        <v>34</v>
      </c>
      <c r="B11" s="223"/>
      <c r="C11" s="58">
        <v>9850</v>
      </c>
      <c r="D11" s="209">
        <f>ROUNDUP('Existing Rates'!B3+(('Existing Rates'!B4*2)+('Existing Rates'!B5*3)+(('Existing Rates'!B6/1000)*(C11-6000))),2)</f>
        <v>45.61</v>
      </c>
      <c r="E11" s="235">
        <f>Usage!U11</f>
        <v>126</v>
      </c>
      <c r="F11" s="236">
        <f t="shared" si="3"/>
        <v>1241.0999999999999</v>
      </c>
      <c r="G11" s="237">
        <f t="shared" si="4"/>
        <v>5746.86</v>
      </c>
      <c r="H11" s="235">
        <v>0</v>
      </c>
      <c r="I11" s="238">
        <f t="shared" si="5"/>
        <v>0</v>
      </c>
      <c r="J11" s="237">
        <f t="shared" si="6"/>
        <v>0</v>
      </c>
      <c r="K11" s="201"/>
      <c r="L11" s="49" t="s">
        <v>106</v>
      </c>
      <c r="M11" s="223"/>
      <c r="N11" s="50">
        <v>44101</v>
      </c>
      <c r="O11" s="219">
        <f>'Proposed Rates'!B3+(('Proposed Rates'!B4*5)+('Proposed Rates'!B5*13)+(('Proposed Rates'!B6/1000)*(N11-20000)))</f>
        <v>273.80549999999999</v>
      </c>
      <c r="P11" s="239">
        <v>10</v>
      </c>
      <c r="Q11" s="240">
        <f>(P11*N11)/1000</f>
        <v>441.01</v>
      </c>
      <c r="R11" s="241">
        <f>O11*P11</f>
        <v>2738.0549999999998</v>
      </c>
      <c r="S11" s="239">
        <f>+Usage!W11</f>
        <v>0</v>
      </c>
      <c r="T11" s="240">
        <f>(S11*N11)/1000</f>
        <v>0</v>
      </c>
      <c r="U11" s="241">
        <f>O11*S11</f>
        <v>0</v>
      </c>
      <c r="V11" s="201"/>
      <c r="W11" s="49" t="str">
        <f t="shared" si="1"/>
        <v>20,000 + Gal</v>
      </c>
      <c r="X11" s="223"/>
      <c r="Y11" s="240">
        <f t="shared" si="2"/>
        <v>44101</v>
      </c>
      <c r="Z11" s="174">
        <f t="shared" si="0"/>
        <v>273.80549999999999</v>
      </c>
      <c r="AA11" s="242">
        <v>0</v>
      </c>
      <c r="AB11" s="240">
        <f>(AA11*Y11)/1000</f>
        <v>0</v>
      </c>
      <c r="AC11" s="241">
        <f>Z11*AA11</f>
        <v>0</v>
      </c>
      <c r="AD11" s="242">
        <v>0</v>
      </c>
      <c r="AE11" s="240">
        <f>(AD11*Y11)/1000</f>
        <v>0</v>
      </c>
      <c r="AF11" s="241">
        <f>Z11*AD11</f>
        <v>0</v>
      </c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</row>
    <row r="12" spans="1:43" x14ac:dyDescent="0.25">
      <c r="A12" s="49" t="s">
        <v>36</v>
      </c>
      <c r="B12" s="223"/>
      <c r="C12" s="58">
        <v>32000</v>
      </c>
      <c r="D12" s="209">
        <f>ROUNDUP('Existing Rates'!B3+(('Existing Rates'!B4*2)+('Existing Rates'!B5*3)+('Existing Rates'!B6*19)+(('Existing Rates'!B7/1000)*(C12-25000))),2)</f>
        <v>116.47</v>
      </c>
      <c r="E12" s="235">
        <f>Usage!U12</f>
        <v>5</v>
      </c>
      <c r="F12" s="236">
        <f t="shared" si="3"/>
        <v>160</v>
      </c>
      <c r="G12" s="237">
        <f t="shared" si="4"/>
        <v>582.35</v>
      </c>
      <c r="H12" s="235">
        <f>Usage!W12</f>
        <v>0</v>
      </c>
      <c r="I12" s="238">
        <f t="shared" si="5"/>
        <v>0</v>
      </c>
      <c r="J12" s="237">
        <f t="shared" si="6"/>
        <v>0</v>
      </c>
      <c r="K12" s="201"/>
      <c r="L12" s="223"/>
      <c r="M12" s="223"/>
      <c r="N12" s="176" t="s">
        <v>93</v>
      </c>
      <c r="O12" s="177"/>
      <c r="P12" s="178">
        <f t="shared" ref="P12:U12" si="7">SUM(P8:P11)</f>
        <v>846</v>
      </c>
      <c r="Q12" s="179">
        <f t="shared" si="7"/>
        <v>3396.34</v>
      </c>
      <c r="R12" s="180">
        <f t="shared" si="7"/>
        <v>34060.279000000002</v>
      </c>
      <c r="S12" s="200">
        <f t="shared" si="7"/>
        <v>11</v>
      </c>
      <c r="T12" s="179">
        <f t="shared" si="7"/>
        <v>10.637</v>
      </c>
      <c r="U12" s="180">
        <f t="shared" si="7"/>
        <v>255.75</v>
      </c>
      <c r="V12" s="201"/>
      <c r="W12" s="223"/>
      <c r="X12" s="223"/>
      <c r="Y12" s="176" t="str">
        <f>N12</f>
        <v>Sub-Total</v>
      </c>
      <c r="Z12" s="177"/>
      <c r="AA12" s="178">
        <f t="shared" ref="AA12:AF12" si="8">SUM(AA8:AA11)</f>
        <v>0</v>
      </c>
      <c r="AB12" s="179">
        <f t="shared" si="8"/>
        <v>0</v>
      </c>
      <c r="AC12" s="180">
        <f t="shared" si="8"/>
        <v>0</v>
      </c>
      <c r="AD12" s="181">
        <f t="shared" si="8"/>
        <v>0</v>
      </c>
      <c r="AE12" s="179">
        <f t="shared" si="8"/>
        <v>0</v>
      </c>
      <c r="AF12" s="180">
        <f t="shared" si="8"/>
        <v>0</v>
      </c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</row>
    <row r="13" spans="1:43" x14ac:dyDescent="0.25">
      <c r="A13" s="49" t="s">
        <v>107</v>
      </c>
      <c r="B13" s="223"/>
      <c r="C13" s="63">
        <v>160000</v>
      </c>
      <c r="D13" s="210">
        <f>ROUNDUP('Existing Rates'!B3+(('Existing Rates'!B4*2)+('Existing Rates'!B5*3)+('Existing Rates'!B6*19)+('Existing Rates'!B7*25)+(('Existing Rates'!B8/1000)*(C13-50000))),2)</f>
        <v>462.35</v>
      </c>
      <c r="E13" s="243">
        <f>Usage!U13</f>
        <v>1</v>
      </c>
      <c r="F13" s="244">
        <f t="shared" si="3"/>
        <v>160</v>
      </c>
      <c r="G13" s="245">
        <f t="shared" si="4"/>
        <v>462.35</v>
      </c>
      <c r="H13" s="243">
        <f>Usage!W13</f>
        <v>0</v>
      </c>
      <c r="I13" s="246">
        <f t="shared" si="5"/>
        <v>0</v>
      </c>
      <c r="J13" s="245">
        <f t="shared" si="6"/>
        <v>0</v>
      </c>
      <c r="K13" s="201"/>
      <c r="L13" s="247" t="s">
        <v>94</v>
      </c>
      <c r="M13" s="223"/>
      <c r="N13" s="223"/>
      <c r="O13" s="175">
        <f>'Proposed Rates'!B3+((('Water Forecast'!Q14-2000)/1000)*'Proposed Rates'!B4)</f>
        <v>39.366690307328604</v>
      </c>
      <c r="P13" s="223"/>
      <c r="Q13" s="223"/>
      <c r="R13" s="248"/>
      <c r="S13" s="223"/>
      <c r="T13" s="223"/>
      <c r="U13" s="249"/>
      <c r="V13" s="201"/>
      <c r="W13" s="247" t="str">
        <f>L13</f>
        <v>Average Monthly Rate</v>
      </c>
      <c r="X13" s="223"/>
      <c r="Y13" s="223"/>
      <c r="Z13" s="175">
        <f>O13</f>
        <v>39.366690307328604</v>
      </c>
      <c r="AA13" s="223"/>
      <c r="AB13" s="223"/>
      <c r="AC13" s="248"/>
      <c r="AD13" s="223"/>
      <c r="AE13" s="223"/>
      <c r="AF13" s="249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</row>
    <row r="14" spans="1:43" ht="13.8" thickBot="1" x14ac:dyDescent="0.3">
      <c r="A14" s="223"/>
      <c r="B14" s="223"/>
      <c r="C14" s="202" t="s">
        <v>93</v>
      </c>
      <c r="D14" s="177"/>
      <c r="E14" s="203">
        <f t="shared" ref="E14:J14" si="9">SUM(E8:E13)</f>
        <v>846</v>
      </c>
      <c r="F14" s="204">
        <f t="shared" si="9"/>
        <v>3438.1499999999996</v>
      </c>
      <c r="G14" s="205">
        <f t="shared" si="9"/>
        <v>20435.28</v>
      </c>
      <c r="H14" s="206">
        <f t="shared" si="9"/>
        <v>11</v>
      </c>
      <c r="I14" s="204">
        <f t="shared" si="9"/>
        <v>14.9</v>
      </c>
      <c r="J14" s="207">
        <f t="shared" si="9"/>
        <v>155.63999999999999</v>
      </c>
      <c r="K14" s="201"/>
      <c r="L14" s="247" t="s">
        <v>44</v>
      </c>
      <c r="M14" s="223"/>
      <c r="N14" s="223"/>
      <c r="O14" s="250"/>
      <c r="P14" s="250"/>
      <c r="Q14" s="251">
        <f>(Q12*1000)/P12</f>
        <v>4014.5862884160756</v>
      </c>
      <c r="R14" s="252"/>
      <c r="S14" s="250"/>
      <c r="T14" s="251">
        <f>(T12*1000)/S12</f>
        <v>967</v>
      </c>
      <c r="U14" s="252"/>
      <c r="V14" s="201"/>
      <c r="W14" s="247" t="str">
        <f>L14</f>
        <v xml:space="preserve">Average Monthly Usage </v>
      </c>
      <c r="X14" s="223"/>
      <c r="Y14" s="223"/>
      <c r="Z14" s="250"/>
      <c r="AA14" s="250"/>
      <c r="AB14" s="251" t="e">
        <f>(AB12*1000)/AA12</f>
        <v>#DIV/0!</v>
      </c>
      <c r="AC14" s="252"/>
      <c r="AD14" s="250"/>
      <c r="AE14" s="251">
        <v>0</v>
      </c>
      <c r="AF14" s="252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</row>
    <row r="15" spans="1:43" ht="13.8" thickTop="1" x14ac:dyDescent="0.25">
      <c r="A15" s="247" t="s">
        <v>94</v>
      </c>
      <c r="B15" s="223"/>
      <c r="C15" s="223"/>
      <c r="D15" s="175">
        <f>'Existing Rates'!B3+((('Water Forecast'!F16-2000)/1000)*'Existing Rates'!B4)</f>
        <v>20.984673758865249</v>
      </c>
      <c r="E15" s="223"/>
      <c r="F15" s="223"/>
      <c r="G15" s="248"/>
      <c r="H15" s="223"/>
      <c r="I15" s="223"/>
      <c r="J15" s="249"/>
      <c r="K15" s="201"/>
      <c r="L15" s="182"/>
      <c r="M15" s="253"/>
      <c r="N15" s="253"/>
      <c r="O15" s="183"/>
      <c r="P15" s="253"/>
      <c r="Q15" s="253"/>
      <c r="R15" s="254"/>
      <c r="S15" s="253"/>
      <c r="T15" s="253"/>
      <c r="U15" s="254"/>
      <c r="V15" s="201"/>
      <c r="W15" s="182"/>
      <c r="X15" s="253"/>
      <c r="Y15" s="253">
        <f t="shared" ref="Y15:AF15" si="10">N15</f>
        <v>0</v>
      </c>
      <c r="Z15" s="183">
        <f t="shared" si="10"/>
        <v>0</v>
      </c>
      <c r="AA15" s="253">
        <f t="shared" si="10"/>
        <v>0</v>
      </c>
      <c r="AB15" s="253">
        <f t="shared" si="10"/>
        <v>0</v>
      </c>
      <c r="AC15" s="254">
        <f t="shared" si="10"/>
        <v>0</v>
      </c>
      <c r="AD15" s="253">
        <f t="shared" si="10"/>
        <v>0</v>
      </c>
      <c r="AE15" s="253">
        <f t="shared" si="10"/>
        <v>0</v>
      </c>
      <c r="AF15" s="254">
        <f t="shared" si="10"/>
        <v>0</v>
      </c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</row>
    <row r="16" spans="1:43" ht="13.8" thickBot="1" x14ac:dyDescent="0.3">
      <c r="A16" s="247" t="s">
        <v>44</v>
      </c>
      <c r="B16" s="223"/>
      <c r="C16" s="223"/>
      <c r="D16" s="250"/>
      <c r="E16" s="250"/>
      <c r="F16" s="251">
        <f>(F14*1000)/E14</f>
        <v>4064.0070921985812</v>
      </c>
      <c r="G16" s="252"/>
      <c r="H16" s="250"/>
      <c r="I16" s="251">
        <f>(I14*1000)/H14</f>
        <v>1354.5454545454545</v>
      </c>
      <c r="J16" s="252"/>
      <c r="K16" s="201"/>
      <c r="L16" s="182"/>
      <c r="M16" s="253"/>
      <c r="N16" s="184" t="s">
        <v>67</v>
      </c>
      <c r="O16" s="184"/>
      <c r="P16" s="185">
        <f t="shared" ref="P16:U16" si="11">+P12</f>
        <v>846</v>
      </c>
      <c r="Q16" s="185">
        <f t="shared" si="11"/>
        <v>3396.34</v>
      </c>
      <c r="R16" s="188">
        <f t="shared" si="11"/>
        <v>34060.279000000002</v>
      </c>
      <c r="S16" s="185">
        <f t="shared" si="11"/>
        <v>11</v>
      </c>
      <c r="T16" s="192">
        <f t="shared" si="11"/>
        <v>10.637</v>
      </c>
      <c r="U16" s="188">
        <f t="shared" si="11"/>
        <v>255.75</v>
      </c>
      <c r="V16" s="201"/>
      <c r="W16" s="182"/>
      <c r="X16" s="253"/>
      <c r="Y16" s="184" t="str">
        <f>N16</f>
        <v>Totals</v>
      </c>
      <c r="Z16" s="184"/>
      <c r="AA16" s="185">
        <f t="shared" ref="AA16:AF16" si="12">+AA12</f>
        <v>0</v>
      </c>
      <c r="AB16" s="185">
        <f t="shared" si="12"/>
        <v>0</v>
      </c>
      <c r="AC16" s="185">
        <f t="shared" si="12"/>
        <v>0</v>
      </c>
      <c r="AD16" s="185">
        <f t="shared" si="12"/>
        <v>0</v>
      </c>
      <c r="AE16" s="185">
        <f t="shared" si="12"/>
        <v>0</v>
      </c>
      <c r="AF16" s="185">
        <f t="shared" si="12"/>
        <v>0</v>
      </c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</row>
    <row r="17" spans="1:43" ht="13.8" hidden="1" thickTop="1" x14ac:dyDescent="0.25">
      <c r="A17" s="182"/>
      <c r="B17" s="253"/>
      <c r="C17" s="253"/>
      <c r="D17" s="183"/>
      <c r="E17" s="253"/>
      <c r="F17" s="253"/>
      <c r="G17" s="254"/>
      <c r="H17" s="253"/>
      <c r="I17" s="253"/>
      <c r="J17" s="254"/>
      <c r="K17" s="201"/>
      <c r="L17" s="255"/>
      <c r="M17" s="253"/>
      <c r="N17" s="238"/>
      <c r="O17" s="256"/>
      <c r="P17" s="257"/>
      <c r="Q17" s="238"/>
      <c r="R17" s="237"/>
      <c r="S17" s="238"/>
      <c r="T17" s="238"/>
      <c r="U17" s="237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</row>
    <row r="18" spans="1:43" ht="14.4" thickTop="1" thickBot="1" x14ac:dyDescent="0.3">
      <c r="A18" s="182"/>
      <c r="B18" s="253"/>
      <c r="C18" s="184" t="s">
        <v>67</v>
      </c>
      <c r="D18" s="184"/>
      <c r="E18" s="185">
        <f t="shared" ref="E18:J18" si="13">+E14</f>
        <v>846</v>
      </c>
      <c r="F18" s="185">
        <f t="shared" si="13"/>
        <v>3438.1499999999996</v>
      </c>
      <c r="G18" s="188">
        <f t="shared" si="13"/>
        <v>20435.28</v>
      </c>
      <c r="H18" s="185">
        <f t="shared" si="13"/>
        <v>11</v>
      </c>
      <c r="I18" s="192">
        <f t="shared" si="13"/>
        <v>14.9</v>
      </c>
      <c r="J18" s="188">
        <f t="shared" si="13"/>
        <v>155.63999999999999</v>
      </c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</row>
    <row r="19" spans="1:43" ht="13.8" thickTop="1" x14ac:dyDescent="0.25">
      <c r="A19" s="255"/>
      <c r="B19" s="253"/>
      <c r="C19" s="238"/>
      <c r="D19" s="256"/>
      <c r="E19" s="257"/>
      <c r="F19" s="238"/>
      <c r="G19" s="237"/>
      <c r="H19" s="238"/>
      <c r="I19" s="238"/>
      <c r="J19" s="237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</row>
    <row r="20" spans="1:43" x14ac:dyDescent="0.25">
      <c r="A20" s="255"/>
      <c r="B20" s="253"/>
      <c r="C20" s="238"/>
      <c r="D20" s="256"/>
      <c r="E20" s="253"/>
      <c r="F20" s="238"/>
      <c r="G20" s="237"/>
      <c r="H20" s="238"/>
      <c r="I20" s="238"/>
      <c r="J20" s="237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</row>
    <row r="21" spans="1:43" x14ac:dyDescent="0.25">
      <c r="A21" s="258"/>
      <c r="B21" s="253"/>
      <c r="C21" s="182"/>
      <c r="D21" s="182"/>
      <c r="E21" s="182"/>
      <c r="F21" s="182"/>
      <c r="G21" s="189"/>
      <c r="H21" s="182"/>
      <c r="I21" s="190"/>
      <c r="J21" s="19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</row>
    <row r="22" spans="1:43" x14ac:dyDescent="0.25">
      <c r="A22" s="223"/>
      <c r="B22" s="223"/>
      <c r="C22" s="223"/>
      <c r="D22" s="223"/>
      <c r="E22" s="223"/>
      <c r="F22" s="223"/>
      <c r="G22" s="249"/>
      <c r="H22" s="223"/>
      <c r="I22" s="223"/>
      <c r="J22" s="249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</row>
    <row r="23" spans="1:43" x14ac:dyDescent="0.25">
      <c r="A23" s="223"/>
      <c r="B23" s="223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</row>
    <row r="24" spans="1:43" x14ac:dyDescent="0.25">
      <c r="A24" s="201"/>
      <c r="B24" s="201"/>
      <c r="C24" s="201"/>
      <c r="D24" s="201"/>
      <c r="E24" s="201"/>
      <c r="F24" s="201"/>
      <c r="G24" s="259"/>
      <c r="H24" s="201"/>
      <c r="I24" s="201"/>
      <c r="J24" s="259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</row>
    <row r="25" spans="1:43" x14ac:dyDescent="0.25">
      <c r="A25" s="186"/>
      <c r="B25" s="223"/>
      <c r="C25" s="223"/>
      <c r="D25" s="223"/>
      <c r="E25" s="223"/>
      <c r="F25" s="223"/>
      <c r="G25" s="187"/>
      <c r="H25" s="223"/>
      <c r="I25" s="223"/>
      <c r="J25" s="187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</row>
    <row r="26" spans="1:43" x14ac:dyDescent="0.25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</row>
    <row r="27" spans="1:43" x14ac:dyDescent="0.25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</row>
    <row r="28" spans="1:43" x14ac:dyDescent="0.25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</row>
    <row r="29" spans="1:43" x14ac:dyDescent="0.25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</row>
    <row r="30" spans="1:43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</row>
    <row r="31" spans="1:43" x14ac:dyDescent="0.25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</row>
    <row r="32" spans="1:43" x14ac:dyDescent="0.25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</row>
    <row r="33" spans="1:43" x14ac:dyDescent="0.25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</row>
    <row r="34" spans="1:43" x14ac:dyDescent="0.25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</row>
    <row r="35" spans="1:43" x14ac:dyDescent="0.25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58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</row>
    <row r="36" spans="1:43" x14ac:dyDescent="0.2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58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</row>
    <row r="37" spans="1:43" x14ac:dyDescent="0.25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58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</row>
    <row r="38" spans="1:43" x14ac:dyDescent="0.25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58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</row>
    <row r="39" spans="1:43" x14ac:dyDescent="0.25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58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</row>
    <row r="40" spans="1:43" x14ac:dyDescent="0.25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58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</row>
    <row r="41" spans="1:43" x14ac:dyDescent="0.25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58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</row>
    <row r="42" spans="1:43" x14ac:dyDescent="0.25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58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</row>
    <row r="43" spans="1:43" x14ac:dyDescent="0.25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</row>
    <row r="44" spans="1:43" x14ac:dyDescent="0.25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</row>
    <row r="45" spans="1:43" x14ac:dyDescent="0.25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</row>
    <row r="46" spans="1:43" x14ac:dyDescent="0.25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</row>
    <row r="47" spans="1:43" x14ac:dyDescent="0.25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</row>
    <row r="48" spans="1:43" x14ac:dyDescent="0.25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</row>
    <row r="49" spans="1:43" x14ac:dyDescent="0.25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</row>
    <row r="50" spans="1:43" x14ac:dyDescent="0.25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</row>
    <row r="51" spans="1:43" x14ac:dyDescent="0.25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</row>
    <row r="52" spans="1:43" x14ac:dyDescent="0.25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</row>
    <row r="53" spans="1:43" x14ac:dyDescent="0.25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</row>
    <row r="54" spans="1:43" x14ac:dyDescent="0.25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</row>
    <row r="55" spans="1:43" x14ac:dyDescent="0.25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</row>
    <row r="56" spans="1:43" x14ac:dyDescent="0.25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</row>
    <row r="57" spans="1:43" x14ac:dyDescent="0.25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</row>
    <row r="58" spans="1:43" x14ac:dyDescent="0.25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</row>
    <row r="59" spans="1:43" x14ac:dyDescent="0.25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</row>
    <row r="60" spans="1:43" x14ac:dyDescent="0.25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</row>
    <row r="61" spans="1:43" x14ac:dyDescent="0.25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</row>
    <row r="62" spans="1:43" x14ac:dyDescent="0.25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</row>
    <row r="63" spans="1:43" x14ac:dyDescent="0.25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</row>
    <row r="64" spans="1:43" x14ac:dyDescent="0.25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</row>
    <row r="65" spans="1:43" x14ac:dyDescent="0.25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</row>
    <row r="66" spans="1:43" x14ac:dyDescent="0.25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</row>
    <row r="67" spans="1:43" x14ac:dyDescent="0.25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</row>
    <row r="68" spans="1:43" x14ac:dyDescent="0.25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</row>
    <row r="69" spans="1:43" x14ac:dyDescent="0.25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</row>
    <row r="70" spans="1:43" x14ac:dyDescent="0.25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</row>
    <row r="71" spans="1:43" x14ac:dyDescent="0.25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</row>
    <row r="72" spans="1:43" x14ac:dyDescent="0.25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</row>
    <row r="73" spans="1:43" x14ac:dyDescent="0.25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</row>
    <row r="74" spans="1:43" x14ac:dyDescent="0.25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</row>
    <row r="75" spans="1:43" x14ac:dyDescent="0.25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</row>
    <row r="76" spans="1:43" x14ac:dyDescent="0.25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</row>
    <row r="77" spans="1:43" x14ac:dyDescent="0.25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</row>
    <row r="78" spans="1:43" x14ac:dyDescent="0.25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</row>
    <row r="79" spans="1:43" x14ac:dyDescent="0.25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</row>
    <row r="80" spans="1:43" x14ac:dyDescent="0.25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</row>
    <row r="81" spans="1:43" x14ac:dyDescent="0.25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</row>
    <row r="82" spans="1:43" x14ac:dyDescent="0.25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</row>
    <row r="83" spans="1:43" x14ac:dyDescent="0.25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</row>
    <row r="84" spans="1:43" x14ac:dyDescent="0.25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</row>
    <row r="85" spans="1:43" x14ac:dyDescent="0.25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</row>
    <row r="86" spans="1:43" x14ac:dyDescent="0.25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</row>
    <row r="87" spans="1:43" x14ac:dyDescent="0.25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</row>
    <row r="88" spans="1:43" x14ac:dyDescent="0.25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</row>
    <row r="89" spans="1:43" x14ac:dyDescent="0.25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</row>
    <row r="90" spans="1:43" x14ac:dyDescent="0.25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</row>
    <row r="91" spans="1:43" x14ac:dyDescent="0.25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</row>
    <row r="92" spans="1:43" x14ac:dyDescent="0.25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</row>
    <row r="93" spans="1:43" x14ac:dyDescent="0.25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</row>
    <row r="94" spans="1:43" x14ac:dyDescent="0.25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</row>
    <row r="95" spans="1:43" x14ac:dyDescent="0.25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</row>
    <row r="96" spans="1:43" x14ac:dyDescent="0.25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</row>
    <row r="97" spans="1:43" x14ac:dyDescent="0.25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</row>
    <row r="98" spans="1:43" x14ac:dyDescent="0.25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</row>
    <row r="99" spans="1:43" x14ac:dyDescent="0.25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</row>
    <row r="100" spans="1:43" x14ac:dyDescent="0.25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</row>
    <row r="101" spans="1:43" x14ac:dyDescent="0.25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</row>
    <row r="102" spans="1:43" x14ac:dyDescent="0.25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</row>
    <row r="103" spans="1:43" x14ac:dyDescent="0.25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</row>
    <row r="104" spans="1:43" x14ac:dyDescent="0.25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</row>
    <row r="105" spans="1:43" x14ac:dyDescent="0.25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</row>
    <row r="106" spans="1:43" x14ac:dyDescent="0.25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</row>
    <row r="107" spans="1:43" x14ac:dyDescent="0.25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</row>
    <row r="108" spans="1:43" x14ac:dyDescent="0.25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</row>
    <row r="109" spans="1:43" x14ac:dyDescent="0.25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</row>
    <row r="110" spans="1:43" x14ac:dyDescent="0.25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</row>
    <row r="111" spans="1:43" x14ac:dyDescent="0.25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</row>
    <row r="112" spans="1:43" x14ac:dyDescent="0.25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</row>
    <row r="113" spans="1:43" x14ac:dyDescent="0.25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</row>
    <row r="114" spans="1:43" x14ac:dyDescent="0.25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</row>
    <row r="115" spans="1:43" x14ac:dyDescent="0.25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</row>
    <row r="116" spans="1:43" x14ac:dyDescent="0.25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</row>
    <row r="117" spans="1:43" x14ac:dyDescent="0.25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</row>
    <row r="118" spans="1:43" x14ac:dyDescent="0.25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</row>
    <row r="119" spans="1:43" x14ac:dyDescent="0.25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</row>
    <row r="120" spans="1:43" x14ac:dyDescent="0.25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</row>
    <row r="121" spans="1:43" x14ac:dyDescent="0.25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</row>
    <row r="122" spans="1:43" x14ac:dyDescent="0.25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</row>
    <row r="123" spans="1:43" x14ac:dyDescent="0.25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</row>
    <row r="124" spans="1:43" x14ac:dyDescent="0.25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</row>
    <row r="125" spans="1:43" x14ac:dyDescent="0.25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</row>
    <row r="126" spans="1:43" x14ac:dyDescent="0.25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</row>
    <row r="127" spans="1:43" x14ac:dyDescent="0.25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</row>
    <row r="128" spans="1:43" x14ac:dyDescent="0.25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</row>
    <row r="129" spans="1:43" x14ac:dyDescent="0.25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</row>
    <row r="130" spans="1:43" x14ac:dyDescent="0.25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</row>
    <row r="131" spans="1:43" x14ac:dyDescent="0.25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</row>
    <row r="132" spans="1:43" x14ac:dyDescent="0.25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</row>
    <row r="133" spans="1:43" x14ac:dyDescent="0.25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</row>
    <row r="134" spans="1:43" x14ac:dyDescent="0.25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</row>
    <row r="135" spans="1:43" x14ac:dyDescent="0.25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</row>
    <row r="136" spans="1:43" x14ac:dyDescent="0.25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</row>
    <row r="137" spans="1:43" x14ac:dyDescent="0.25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</row>
    <row r="138" spans="1:43" x14ac:dyDescent="0.25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</row>
    <row r="139" spans="1:43" x14ac:dyDescent="0.25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</row>
    <row r="140" spans="1:43" x14ac:dyDescent="0.25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</row>
    <row r="141" spans="1:43" x14ac:dyDescent="0.25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</row>
    <row r="142" spans="1:43" x14ac:dyDescent="0.25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</row>
    <row r="143" spans="1:43" x14ac:dyDescent="0.25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</row>
    <row r="144" spans="1:43" x14ac:dyDescent="0.25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</row>
    <row r="145" spans="1:43" x14ac:dyDescent="0.25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</row>
    <row r="146" spans="1:43" x14ac:dyDescent="0.25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</row>
    <row r="147" spans="1:43" x14ac:dyDescent="0.25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</row>
    <row r="148" spans="1:43" x14ac:dyDescent="0.25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</row>
    <row r="149" spans="1:43" x14ac:dyDescent="0.25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</row>
    <row r="150" spans="1:43" x14ac:dyDescent="0.25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</row>
    <row r="151" spans="1:43" x14ac:dyDescent="0.25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</row>
    <row r="152" spans="1:43" x14ac:dyDescent="0.25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</row>
    <row r="153" spans="1:43" x14ac:dyDescent="0.25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</row>
    <row r="154" spans="1:43" x14ac:dyDescent="0.25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</row>
    <row r="155" spans="1:43" x14ac:dyDescent="0.25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</row>
    <row r="156" spans="1:43" x14ac:dyDescent="0.25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</row>
    <row r="157" spans="1:43" x14ac:dyDescent="0.25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</row>
    <row r="158" spans="1:43" x14ac:dyDescent="0.25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</row>
    <row r="159" spans="1:43" x14ac:dyDescent="0.25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</row>
    <row r="160" spans="1:43" x14ac:dyDescent="0.25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</row>
    <row r="161" spans="1:43" x14ac:dyDescent="0.25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</row>
    <row r="162" spans="1:43" x14ac:dyDescent="0.25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</row>
    <row r="163" spans="1:43" x14ac:dyDescent="0.25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</row>
    <row r="164" spans="1:43" x14ac:dyDescent="0.25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</row>
    <row r="165" spans="1:43" x14ac:dyDescent="0.25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</row>
    <row r="166" spans="1:43" x14ac:dyDescent="0.25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</row>
    <row r="167" spans="1:43" x14ac:dyDescent="0.25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</row>
    <row r="168" spans="1:43" x14ac:dyDescent="0.25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</row>
    <row r="169" spans="1:43" x14ac:dyDescent="0.25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</row>
    <row r="170" spans="1:43" x14ac:dyDescent="0.25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</row>
    <row r="171" spans="1:43" x14ac:dyDescent="0.25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</row>
    <row r="172" spans="1:43" x14ac:dyDescent="0.25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</row>
    <row r="173" spans="1:43" x14ac:dyDescent="0.25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</row>
    <row r="174" spans="1:43" x14ac:dyDescent="0.25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</row>
    <row r="175" spans="1:43" x14ac:dyDescent="0.25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</row>
    <row r="176" spans="1:43" x14ac:dyDescent="0.25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</row>
    <row r="177" spans="1:43" x14ac:dyDescent="0.25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</row>
    <row r="178" spans="1:43" x14ac:dyDescent="0.25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</row>
    <row r="179" spans="1:43" x14ac:dyDescent="0.25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</row>
    <row r="180" spans="1:43" x14ac:dyDescent="0.25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</row>
    <row r="181" spans="1:43" x14ac:dyDescent="0.25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</row>
    <row r="182" spans="1:43" x14ac:dyDescent="0.25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</row>
    <row r="183" spans="1:43" x14ac:dyDescent="0.25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</row>
    <row r="184" spans="1:43" x14ac:dyDescent="0.25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</row>
    <row r="185" spans="1:43" x14ac:dyDescent="0.25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</row>
    <row r="186" spans="1:43" x14ac:dyDescent="0.25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</row>
    <row r="187" spans="1:43" x14ac:dyDescent="0.25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</row>
    <row r="188" spans="1:43" x14ac:dyDescent="0.25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</row>
    <row r="189" spans="1:43" x14ac:dyDescent="0.25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</row>
    <row r="190" spans="1:43" x14ac:dyDescent="0.25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</row>
    <row r="191" spans="1:43" x14ac:dyDescent="0.25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</row>
    <row r="192" spans="1:43" x14ac:dyDescent="0.25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</row>
    <row r="193" spans="1:43" x14ac:dyDescent="0.25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</row>
    <row r="194" spans="1:43" x14ac:dyDescent="0.25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</row>
    <row r="195" spans="1:43" x14ac:dyDescent="0.25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</row>
    <row r="196" spans="1:43" x14ac:dyDescent="0.25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</row>
    <row r="197" spans="1:43" x14ac:dyDescent="0.25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</row>
    <row r="198" spans="1:43" x14ac:dyDescent="0.25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</row>
    <row r="199" spans="1:43" x14ac:dyDescent="0.25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</row>
    <row r="200" spans="1:43" x14ac:dyDescent="0.25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</row>
    <row r="201" spans="1:43" x14ac:dyDescent="0.25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</row>
    <row r="202" spans="1:43" x14ac:dyDescent="0.25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</row>
    <row r="203" spans="1:43" x14ac:dyDescent="0.25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</row>
    <row r="204" spans="1:43" x14ac:dyDescent="0.25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</row>
    <row r="205" spans="1:43" x14ac:dyDescent="0.25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</row>
    <row r="206" spans="1:43" x14ac:dyDescent="0.25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</row>
    <row r="207" spans="1:43" x14ac:dyDescent="0.25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</row>
    <row r="208" spans="1:43" x14ac:dyDescent="0.25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</row>
    <row r="209" spans="1:43" x14ac:dyDescent="0.25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</row>
    <row r="210" spans="1:43" x14ac:dyDescent="0.25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</row>
    <row r="211" spans="1:43" x14ac:dyDescent="0.25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</row>
    <row r="212" spans="1:43" x14ac:dyDescent="0.25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</row>
    <row r="213" spans="1:43" x14ac:dyDescent="0.25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</row>
    <row r="214" spans="1:43" x14ac:dyDescent="0.25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</row>
    <row r="215" spans="1:43" x14ac:dyDescent="0.25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</row>
    <row r="216" spans="1:43" x14ac:dyDescent="0.25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</row>
    <row r="217" spans="1:43" x14ac:dyDescent="0.25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</row>
    <row r="218" spans="1:43" x14ac:dyDescent="0.25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</row>
    <row r="219" spans="1:43" x14ac:dyDescent="0.25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</row>
    <row r="220" spans="1:43" x14ac:dyDescent="0.25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</row>
    <row r="221" spans="1:43" x14ac:dyDescent="0.25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</row>
    <row r="222" spans="1:43" x14ac:dyDescent="0.25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</row>
    <row r="223" spans="1:43" x14ac:dyDescent="0.25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</row>
    <row r="224" spans="1:43" x14ac:dyDescent="0.25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</row>
    <row r="225" spans="1:43" x14ac:dyDescent="0.25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</row>
    <row r="226" spans="1:43" x14ac:dyDescent="0.25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</row>
    <row r="227" spans="1:43" x14ac:dyDescent="0.25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</row>
    <row r="228" spans="1:43" x14ac:dyDescent="0.25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</row>
    <row r="229" spans="1:43" x14ac:dyDescent="0.25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</row>
    <row r="230" spans="1:43" x14ac:dyDescent="0.25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</row>
    <row r="231" spans="1:43" x14ac:dyDescent="0.25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</row>
    <row r="232" spans="1:43" x14ac:dyDescent="0.25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</row>
    <row r="233" spans="1:43" x14ac:dyDescent="0.25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</row>
    <row r="234" spans="1:43" x14ac:dyDescent="0.25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</row>
    <row r="235" spans="1:43" x14ac:dyDescent="0.25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</row>
    <row r="236" spans="1:43" x14ac:dyDescent="0.25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</row>
    <row r="237" spans="1:43" x14ac:dyDescent="0.25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</row>
    <row r="238" spans="1:43" x14ac:dyDescent="0.25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</row>
    <row r="239" spans="1:43" x14ac:dyDescent="0.25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</row>
    <row r="240" spans="1:43" x14ac:dyDescent="0.25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</row>
    <row r="241" spans="1:43" x14ac:dyDescent="0.25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</row>
    <row r="242" spans="1:43" x14ac:dyDescent="0.25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</row>
    <row r="243" spans="1:43" x14ac:dyDescent="0.25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</row>
    <row r="244" spans="1:43" x14ac:dyDescent="0.25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</row>
    <row r="245" spans="1:43" x14ac:dyDescent="0.25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</row>
    <row r="246" spans="1:43" x14ac:dyDescent="0.25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</row>
    <row r="247" spans="1:43" x14ac:dyDescent="0.25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</row>
    <row r="248" spans="1:43" x14ac:dyDescent="0.25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</row>
    <row r="249" spans="1:43" x14ac:dyDescent="0.25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</row>
    <row r="250" spans="1:43" x14ac:dyDescent="0.25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</row>
    <row r="251" spans="1:43" x14ac:dyDescent="0.25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</row>
    <row r="252" spans="1:43" x14ac:dyDescent="0.25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</row>
    <row r="253" spans="1:43" x14ac:dyDescent="0.25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</row>
    <row r="254" spans="1:43" x14ac:dyDescent="0.25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</row>
    <row r="255" spans="1:43" x14ac:dyDescent="0.25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</row>
    <row r="256" spans="1:43" x14ac:dyDescent="0.25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</row>
    <row r="257" spans="1:43" x14ac:dyDescent="0.25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</row>
    <row r="258" spans="1:43" x14ac:dyDescent="0.25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</row>
    <row r="259" spans="1:43" x14ac:dyDescent="0.25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</row>
    <row r="260" spans="1:43" x14ac:dyDescent="0.25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</row>
    <row r="261" spans="1:43" x14ac:dyDescent="0.25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</row>
    <row r="262" spans="1:43" x14ac:dyDescent="0.25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</row>
    <row r="263" spans="1:43" x14ac:dyDescent="0.25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</row>
    <row r="264" spans="1:43" x14ac:dyDescent="0.25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</row>
    <row r="265" spans="1:43" x14ac:dyDescent="0.25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</row>
    <row r="266" spans="1:43" x14ac:dyDescent="0.25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</row>
    <row r="267" spans="1:43" x14ac:dyDescent="0.25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</row>
    <row r="268" spans="1:43" x14ac:dyDescent="0.25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</row>
    <row r="269" spans="1:43" x14ac:dyDescent="0.25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</row>
    <row r="270" spans="1:43" x14ac:dyDescent="0.25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</row>
    <row r="271" spans="1:43" x14ac:dyDescent="0.25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</row>
    <row r="272" spans="1:43" x14ac:dyDescent="0.25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</row>
    <row r="273" spans="1:43" x14ac:dyDescent="0.25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</row>
    <row r="274" spans="1:43" x14ac:dyDescent="0.25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</row>
    <row r="275" spans="1:43" x14ac:dyDescent="0.25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</row>
    <row r="276" spans="1:43" x14ac:dyDescent="0.25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</row>
    <row r="277" spans="1:43" x14ac:dyDescent="0.25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</row>
    <row r="278" spans="1:43" x14ac:dyDescent="0.25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</row>
    <row r="279" spans="1:43" x14ac:dyDescent="0.25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</row>
    <row r="280" spans="1:43" x14ac:dyDescent="0.25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</row>
    <row r="281" spans="1:43" x14ac:dyDescent="0.25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</row>
    <row r="282" spans="1:43" x14ac:dyDescent="0.25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</row>
    <row r="283" spans="1:43" x14ac:dyDescent="0.25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</row>
    <row r="284" spans="1:43" x14ac:dyDescent="0.25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</row>
    <row r="285" spans="1:43" x14ac:dyDescent="0.25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</row>
    <row r="286" spans="1:43" x14ac:dyDescent="0.25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</row>
    <row r="287" spans="1:43" x14ac:dyDescent="0.25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</row>
    <row r="288" spans="1:43" x14ac:dyDescent="0.25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</row>
    <row r="289" spans="1:43" x14ac:dyDescent="0.25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</row>
    <row r="290" spans="1:43" x14ac:dyDescent="0.25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</row>
    <row r="291" spans="1:43" x14ac:dyDescent="0.25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</row>
    <row r="292" spans="1:43" x14ac:dyDescent="0.25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</row>
    <row r="293" spans="1:43" x14ac:dyDescent="0.25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</row>
    <row r="294" spans="1:43" x14ac:dyDescent="0.25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</row>
    <row r="295" spans="1:43" x14ac:dyDescent="0.25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</row>
    <row r="296" spans="1:43" x14ac:dyDescent="0.25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</row>
    <row r="297" spans="1:43" x14ac:dyDescent="0.25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</row>
    <row r="298" spans="1:43" x14ac:dyDescent="0.25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</row>
    <row r="299" spans="1:43" x14ac:dyDescent="0.25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</row>
    <row r="300" spans="1:43" x14ac:dyDescent="0.25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</row>
    <row r="301" spans="1:43" x14ac:dyDescent="0.25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</row>
    <row r="302" spans="1:43" x14ac:dyDescent="0.25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</row>
    <row r="303" spans="1:43" x14ac:dyDescent="0.25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</row>
    <row r="304" spans="1:43" x14ac:dyDescent="0.25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</row>
    <row r="305" spans="1:43" x14ac:dyDescent="0.25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</row>
    <row r="306" spans="1:43" x14ac:dyDescent="0.25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</row>
    <row r="307" spans="1:43" x14ac:dyDescent="0.25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</row>
    <row r="308" spans="1:43" x14ac:dyDescent="0.25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</row>
    <row r="309" spans="1:43" x14ac:dyDescent="0.25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</row>
    <row r="310" spans="1:43" x14ac:dyDescent="0.25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</row>
    <row r="311" spans="1:43" x14ac:dyDescent="0.25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</row>
    <row r="312" spans="1:43" x14ac:dyDescent="0.25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</row>
    <row r="313" spans="1:43" x14ac:dyDescent="0.25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</row>
    <row r="314" spans="1:43" x14ac:dyDescent="0.25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</row>
    <row r="315" spans="1:43" x14ac:dyDescent="0.25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</row>
    <row r="316" spans="1:43" x14ac:dyDescent="0.25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</row>
    <row r="317" spans="1:43" x14ac:dyDescent="0.25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</row>
    <row r="318" spans="1:43" x14ac:dyDescent="0.25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</row>
    <row r="319" spans="1:43" x14ac:dyDescent="0.25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</row>
    <row r="320" spans="1:43" x14ac:dyDescent="0.25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</row>
    <row r="321" spans="1:43" x14ac:dyDescent="0.25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</row>
    <row r="322" spans="1:43" x14ac:dyDescent="0.25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</row>
    <row r="323" spans="1:43" x14ac:dyDescent="0.25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</row>
    <row r="324" spans="1:43" x14ac:dyDescent="0.25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</row>
    <row r="325" spans="1:43" x14ac:dyDescent="0.25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</row>
    <row r="326" spans="1:43" x14ac:dyDescent="0.25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</row>
    <row r="327" spans="1:43" x14ac:dyDescent="0.25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</row>
    <row r="328" spans="1:43" x14ac:dyDescent="0.25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</row>
    <row r="329" spans="1:43" x14ac:dyDescent="0.25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</row>
    <row r="330" spans="1:43" x14ac:dyDescent="0.25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</row>
    <row r="331" spans="1:43" x14ac:dyDescent="0.25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</row>
    <row r="332" spans="1:43" x14ac:dyDescent="0.25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</row>
    <row r="333" spans="1:43" x14ac:dyDescent="0.25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</row>
    <row r="334" spans="1:43" x14ac:dyDescent="0.25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</row>
    <row r="335" spans="1:43" x14ac:dyDescent="0.25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</row>
    <row r="336" spans="1:43" x14ac:dyDescent="0.25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</row>
    <row r="337" spans="1:43" x14ac:dyDescent="0.25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</row>
    <row r="338" spans="1:43" x14ac:dyDescent="0.25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</row>
    <row r="339" spans="1:43" x14ac:dyDescent="0.25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</row>
    <row r="340" spans="1:43" x14ac:dyDescent="0.25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</row>
    <row r="341" spans="1:43" x14ac:dyDescent="0.25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</row>
    <row r="342" spans="1:43" x14ac:dyDescent="0.25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</row>
    <row r="343" spans="1:43" x14ac:dyDescent="0.25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</row>
    <row r="344" spans="1:43" x14ac:dyDescent="0.25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</row>
    <row r="345" spans="1:43" x14ac:dyDescent="0.25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</row>
    <row r="346" spans="1:43" x14ac:dyDescent="0.25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</row>
    <row r="347" spans="1:43" x14ac:dyDescent="0.25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</row>
    <row r="348" spans="1:43" x14ac:dyDescent="0.25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</row>
    <row r="349" spans="1:43" x14ac:dyDescent="0.25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</row>
    <row r="350" spans="1:43" x14ac:dyDescent="0.25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</row>
    <row r="351" spans="1:43" x14ac:dyDescent="0.25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</row>
    <row r="352" spans="1:43" x14ac:dyDescent="0.25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</row>
    <row r="353" spans="1:43" x14ac:dyDescent="0.25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</row>
    <row r="354" spans="1:43" x14ac:dyDescent="0.25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</row>
    <row r="355" spans="1:43" x14ac:dyDescent="0.25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</row>
    <row r="356" spans="1:43" x14ac:dyDescent="0.25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</row>
    <row r="357" spans="1:43" x14ac:dyDescent="0.25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</row>
    <row r="358" spans="1:43" x14ac:dyDescent="0.25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</row>
    <row r="359" spans="1:43" x14ac:dyDescent="0.25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</row>
    <row r="360" spans="1:43" x14ac:dyDescent="0.25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</row>
    <row r="361" spans="1:43" x14ac:dyDescent="0.25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</row>
    <row r="362" spans="1:43" x14ac:dyDescent="0.25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</row>
    <row r="363" spans="1:43" x14ac:dyDescent="0.25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</row>
    <row r="364" spans="1:43" x14ac:dyDescent="0.25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</row>
    <row r="365" spans="1:43" x14ac:dyDescent="0.25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</row>
    <row r="366" spans="1:43" x14ac:dyDescent="0.25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</row>
    <row r="367" spans="1:43" x14ac:dyDescent="0.25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</row>
    <row r="368" spans="1:43" x14ac:dyDescent="0.25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</row>
    <row r="369" spans="1:43" x14ac:dyDescent="0.25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</row>
    <row r="370" spans="1:43" x14ac:dyDescent="0.25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</row>
    <row r="371" spans="1:43" x14ac:dyDescent="0.25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</row>
    <row r="372" spans="1:43" x14ac:dyDescent="0.25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</row>
    <row r="373" spans="1:43" x14ac:dyDescent="0.25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</row>
    <row r="374" spans="1:43" x14ac:dyDescent="0.25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</row>
    <row r="375" spans="1:43" x14ac:dyDescent="0.25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</row>
    <row r="376" spans="1:43" x14ac:dyDescent="0.25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</row>
    <row r="377" spans="1:43" x14ac:dyDescent="0.25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</row>
    <row r="378" spans="1:43" x14ac:dyDescent="0.25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</row>
    <row r="379" spans="1:43" x14ac:dyDescent="0.25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</row>
    <row r="380" spans="1:43" x14ac:dyDescent="0.25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</row>
    <row r="381" spans="1:43" x14ac:dyDescent="0.25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</row>
    <row r="382" spans="1:43" x14ac:dyDescent="0.25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</row>
    <row r="383" spans="1:43" x14ac:dyDescent="0.25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</row>
    <row r="384" spans="1:43" x14ac:dyDescent="0.25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</row>
    <row r="385" spans="1:43" x14ac:dyDescent="0.25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</row>
    <row r="386" spans="1:43" x14ac:dyDescent="0.25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</row>
    <row r="387" spans="1:43" x14ac:dyDescent="0.25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</row>
    <row r="388" spans="1:43" x14ac:dyDescent="0.25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</row>
    <row r="389" spans="1:43" x14ac:dyDescent="0.25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</row>
    <row r="390" spans="1:43" x14ac:dyDescent="0.25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</row>
    <row r="391" spans="1:43" x14ac:dyDescent="0.25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</row>
    <row r="392" spans="1:43" x14ac:dyDescent="0.25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</row>
    <row r="393" spans="1:43" x14ac:dyDescent="0.25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</row>
    <row r="394" spans="1:43" x14ac:dyDescent="0.25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</row>
    <row r="395" spans="1:43" x14ac:dyDescent="0.25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</row>
    <row r="396" spans="1:43" x14ac:dyDescent="0.25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</row>
    <row r="397" spans="1:43" x14ac:dyDescent="0.25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</row>
    <row r="398" spans="1:43" x14ac:dyDescent="0.25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</row>
    <row r="399" spans="1:43" x14ac:dyDescent="0.25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</row>
    <row r="400" spans="1:43" x14ac:dyDescent="0.25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</row>
    <row r="401" spans="1:43" x14ac:dyDescent="0.25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</row>
    <row r="402" spans="1:43" x14ac:dyDescent="0.25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</row>
    <row r="403" spans="1:43" x14ac:dyDescent="0.25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</row>
    <row r="404" spans="1:43" x14ac:dyDescent="0.25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</row>
    <row r="405" spans="1:43" x14ac:dyDescent="0.25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</row>
    <row r="406" spans="1:43" x14ac:dyDescent="0.25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</row>
    <row r="407" spans="1:43" x14ac:dyDescent="0.25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</row>
    <row r="408" spans="1:43" x14ac:dyDescent="0.25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</row>
    <row r="409" spans="1:43" x14ac:dyDescent="0.25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</row>
    <row r="410" spans="1:43" x14ac:dyDescent="0.25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</row>
    <row r="411" spans="1:43" x14ac:dyDescent="0.25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</row>
    <row r="412" spans="1:43" x14ac:dyDescent="0.25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</row>
    <row r="413" spans="1:43" x14ac:dyDescent="0.25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</row>
    <row r="414" spans="1:43" x14ac:dyDescent="0.25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</row>
    <row r="415" spans="1:43" x14ac:dyDescent="0.25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</row>
    <row r="416" spans="1:43" x14ac:dyDescent="0.25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</row>
    <row r="417" spans="1:43" x14ac:dyDescent="0.25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</row>
    <row r="418" spans="1:43" x14ac:dyDescent="0.25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</row>
    <row r="419" spans="1:43" x14ac:dyDescent="0.25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</row>
    <row r="420" spans="1:43" x14ac:dyDescent="0.25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</row>
    <row r="421" spans="1:43" x14ac:dyDescent="0.25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</row>
    <row r="422" spans="1:43" x14ac:dyDescent="0.25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</row>
    <row r="423" spans="1:43" x14ac:dyDescent="0.25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</row>
    <row r="424" spans="1:43" x14ac:dyDescent="0.25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</row>
    <row r="425" spans="1:43" x14ac:dyDescent="0.25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</row>
    <row r="426" spans="1:43" x14ac:dyDescent="0.25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</row>
    <row r="427" spans="1:43" x14ac:dyDescent="0.25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</row>
    <row r="428" spans="1:43" x14ac:dyDescent="0.25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</row>
    <row r="429" spans="1:43" x14ac:dyDescent="0.25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</row>
    <row r="430" spans="1:43" x14ac:dyDescent="0.25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</row>
    <row r="431" spans="1:43" x14ac:dyDescent="0.25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</row>
    <row r="432" spans="1:43" x14ac:dyDescent="0.25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</row>
    <row r="433" spans="1:43" x14ac:dyDescent="0.25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</row>
    <row r="434" spans="1:43" x14ac:dyDescent="0.25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</row>
    <row r="435" spans="1:43" x14ac:dyDescent="0.25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</row>
    <row r="436" spans="1:43" x14ac:dyDescent="0.25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</row>
    <row r="437" spans="1:43" x14ac:dyDescent="0.25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</row>
    <row r="438" spans="1:43" x14ac:dyDescent="0.25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</row>
    <row r="439" spans="1:43" x14ac:dyDescent="0.25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</row>
    <row r="440" spans="1:43" x14ac:dyDescent="0.25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</row>
    <row r="441" spans="1:43" x14ac:dyDescent="0.25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</row>
    <row r="442" spans="1:43" x14ac:dyDescent="0.25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</row>
    <row r="443" spans="1:43" x14ac:dyDescent="0.25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</row>
    <row r="444" spans="1:43" x14ac:dyDescent="0.25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</row>
    <row r="445" spans="1:43" x14ac:dyDescent="0.25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</row>
    <row r="446" spans="1:43" x14ac:dyDescent="0.25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</row>
    <row r="447" spans="1:43" x14ac:dyDescent="0.25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</row>
    <row r="448" spans="1:43" x14ac:dyDescent="0.25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</row>
    <row r="449" spans="1:43" x14ac:dyDescent="0.25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</row>
    <row r="450" spans="1:43" x14ac:dyDescent="0.25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</row>
    <row r="451" spans="1:43" x14ac:dyDescent="0.25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</row>
    <row r="452" spans="1:43" x14ac:dyDescent="0.25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</row>
    <row r="453" spans="1:43" x14ac:dyDescent="0.25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</row>
    <row r="454" spans="1:43" x14ac:dyDescent="0.25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</row>
    <row r="455" spans="1:43" x14ac:dyDescent="0.25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</row>
    <row r="456" spans="1:43" x14ac:dyDescent="0.25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</row>
    <row r="457" spans="1:43" x14ac:dyDescent="0.25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</row>
    <row r="458" spans="1:43" x14ac:dyDescent="0.25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</row>
    <row r="459" spans="1:43" x14ac:dyDescent="0.25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</row>
    <row r="460" spans="1:43" x14ac:dyDescent="0.25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</row>
    <row r="461" spans="1:43" x14ac:dyDescent="0.25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</row>
    <row r="462" spans="1:43" x14ac:dyDescent="0.25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</row>
    <row r="463" spans="1:43" x14ac:dyDescent="0.25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</row>
    <row r="464" spans="1:43" x14ac:dyDescent="0.25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</row>
    <row r="465" spans="1:43" x14ac:dyDescent="0.25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</row>
    <row r="466" spans="1:43" x14ac:dyDescent="0.25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</row>
    <row r="467" spans="1:43" x14ac:dyDescent="0.25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</row>
    <row r="468" spans="1:43" x14ac:dyDescent="0.25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</row>
    <row r="469" spans="1:43" x14ac:dyDescent="0.25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</row>
    <row r="470" spans="1:43" x14ac:dyDescent="0.25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</row>
    <row r="471" spans="1:43" x14ac:dyDescent="0.25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</row>
    <row r="472" spans="1:43" x14ac:dyDescent="0.25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</row>
    <row r="473" spans="1:43" x14ac:dyDescent="0.25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</row>
    <row r="474" spans="1:43" x14ac:dyDescent="0.25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</row>
    <row r="475" spans="1:43" x14ac:dyDescent="0.25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</row>
    <row r="476" spans="1:43" x14ac:dyDescent="0.25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</row>
    <row r="477" spans="1:43" x14ac:dyDescent="0.25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</row>
    <row r="478" spans="1:43" x14ac:dyDescent="0.25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</row>
    <row r="479" spans="1:43" x14ac:dyDescent="0.25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</row>
    <row r="480" spans="1:43" x14ac:dyDescent="0.25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</row>
    <row r="481" spans="1:43" x14ac:dyDescent="0.25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</row>
    <row r="482" spans="1:43" x14ac:dyDescent="0.25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</row>
    <row r="483" spans="1:43" x14ac:dyDescent="0.25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</row>
    <row r="484" spans="1:43" x14ac:dyDescent="0.25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</row>
    <row r="485" spans="1:43" x14ac:dyDescent="0.25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</row>
    <row r="486" spans="1:43" x14ac:dyDescent="0.25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</row>
    <row r="487" spans="1:43" x14ac:dyDescent="0.25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</row>
    <row r="488" spans="1:43" x14ac:dyDescent="0.25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</row>
    <row r="489" spans="1:43" x14ac:dyDescent="0.25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</row>
    <row r="490" spans="1:43" x14ac:dyDescent="0.25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</row>
    <row r="491" spans="1:43" x14ac:dyDescent="0.25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</row>
    <row r="492" spans="1:43" x14ac:dyDescent="0.25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</row>
    <row r="493" spans="1:43" x14ac:dyDescent="0.25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</row>
    <row r="494" spans="1:43" x14ac:dyDescent="0.25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</row>
    <row r="495" spans="1:43" x14ac:dyDescent="0.25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</row>
    <row r="496" spans="1:43" x14ac:dyDescent="0.25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</row>
    <row r="497" spans="1:43" x14ac:dyDescent="0.25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</row>
    <row r="498" spans="1:43" x14ac:dyDescent="0.25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</row>
    <row r="499" spans="1:43" x14ac:dyDescent="0.25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</row>
    <row r="500" spans="1:43" x14ac:dyDescent="0.25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</row>
    <row r="501" spans="1:43" x14ac:dyDescent="0.25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</row>
    <row r="502" spans="1:43" x14ac:dyDescent="0.25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</row>
    <row r="503" spans="1:43" x14ac:dyDescent="0.25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</row>
    <row r="504" spans="1:43" x14ac:dyDescent="0.25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</row>
    <row r="505" spans="1:43" x14ac:dyDescent="0.25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</row>
    <row r="506" spans="1:43" x14ac:dyDescent="0.25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</row>
    <row r="507" spans="1:43" x14ac:dyDescent="0.25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</row>
    <row r="508" spans="1:43" x14ac:dyDescent="0.25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</row>
    <row r="509" spans="1:43" x14ac:dyDescent="0.25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</row>
    <row r="510" spans="1:43" x14ac:dyDescent="0.25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</row>
    <row r="511" spans="1:43" x14ac:dyDescent="0.25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</row>
    <row r="512" spans="1:43" x14ac:dyDescent="0.25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</row>
    <row r="513" spans="1:43" x14ac:dyDescent="0.25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</row>
    <row r="514" spans="1:43" x14ac:dyDescent="0.25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</row>
    <row r="515" spans="1:43" x14ac:dyDescent="0.25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</row>
    <row r="516" spans="1:43" x14ac:dyDescent="0.25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</row>
    <row r="517" spans="1:43" x14ac:dyDescent="0.25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</row>
    <row r="518" spans="1:43" x14ac:dyDescent="0.25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</row>
    <row r="519" spans="1:43" x14ac:dyDescent="0.25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</row>
    <row r="520" spans="1:43" x14ac:dyDescent="0.25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</row>
    <row r="521" spans="1:43" x14ac:dyDescent="0.25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</row>
    <row r="522" spans="1:43" x14ac:dyDescent="0.25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</row>
    <row r="523" spans="1:43" x14ac:dyDescent="0.25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</row>
    <row r="524" spans="1:43" x14ac:dyDescent="0.25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</row>
    <row r="525" spans="1:43" x14ac:dyDescent="0.25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</row>
    <row r="526" spans="1:43" x14ac:dyDescent="0.25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</row>
    <row r="527" spans="1:43" x14ac:dyDescent="0.25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</row>
    <row r="528" spans="1:43" x14ac:dyDescent="0.25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</row>
    <row r="529" spans="1:43" x14ac:dyDescent="0.25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</row>
    <row r="530" spans="1:43" x14ac:dyDescent="0.25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</row>
    <row r="531" spans="1:43" x14ac:dyDescent="0.25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</row>
    <row r="532" spans="1:43" x14ac:dyDescent="0.25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</row>
    <row r="533" spans="1:43" x14ac:dyDescent="0.25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</row>
    <row r="534" spans="1:43" x14ac:dyDescent="0.25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</row>
    <row r="535" spans="1:43" x14ac:dyDescent="0.25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</row>
    <row r="536" spans="1:43" x14ac:dyDescent="0.25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</row>
    <row r="537" spans="1:43" x14ac:dyDescent="0.25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</row>
    <row r="538" spans="1:43" x14ac:dyDescent="0.25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</row>
    <row r="539" spans="1:43" x14ac:dyDescent="0.25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</row>
    <row r="540" spans="1:43" x14ac:dyDescent="0.25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</row>
    <row r="541" spans="1:43" x14ac:dyDescent="0.25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</row>
    <row r="542" spans="1:43" x14ac:dyDescent="0.25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</row>
    <row r="543" spans="1:43" x14ac:dyDescent="0.25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</row>
    <row r="544" spans="1:43" x14ac:dyDescent="0.25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</row>
    <row r="545" spans="1:43" x14ac:dyDescent="0.25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</row>
    <row r="546" spans="1:43" x14ac:dyDescent="0.25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</row>
    <row r="547" spans="1:43" x14ac:dyDescent="0.25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</row>
    <row r="548" spans="1:43" x14ac:dyDescent="0.25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</row>
    <row r="549" spans="1:43" x14ac:dyDescent="0.25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</row>
    <row r="550" spans="1:43" x14ac:dyDescent="0.25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</row>
    <row r="551" spans="1:43" x14ac:dyDescent="0.25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</row>
    <row r="552" spans="1:43" x14ac:dyDescent="0.25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</row>
    <row r="553" spans="1:43" x14ac:dyDescent="0.25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</row>
    <row r="554" spans="1:43" x14ac:dyDescent="0.25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</row>
    <row r="555" spans="1:43" x14ac:dyDescent="0.25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</row>
    <row r="556" spans="1:43" x14ac:dyDescent="0.25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</row>
    <row r="557" spans="1:43" x14ac:dyDescent="0.25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</row>
    <row r="558" spans="1:43" x14ac:dyDescent="0.25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</row>
    <row r="559" spans="1:43" x14ac:dyDescent="0.25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</row>
    <row r="560" spans="1:43" x14ac:dyDescent="0.25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</row>
    <row r="561" spans="1:43" x14ac:dyDescent="0.25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</row>
    <row r="562" spans="1:43" x14ac:dyDescent="0.25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</row>
    <row r="563" spans="1:43" x14ac:dyDescent="0.25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</row>
    <row r="564" spans="1:43" x14ac:dyDescent="0.25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</row>
    <row r="565" spans="1:43" x14ac:dyDescent="0.25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</row>
    <row r="566" spans="1:43" x14ac:dyDescent="0.25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</row>
    <row r="567" spans="1:43" x14ac:dyDescent="0.25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</row>
    <row r="568" spans="1:43" x14ac:dyDescent="0.25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</row>
    <row r="569" spans="1:43" x14ac:dyDescent="0.25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</row>
    <row r="570" spans="1:43" x14ac:dyDescent="0.25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</row>
    <row r="571" spans="1:43" x14ac:dyDescent="0.25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</row>
    <row r="572" spans="1:43" x14ac:dyDescent="0.25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</row>
    <row r="573" spans="1:43" x14ac:dyDescent="0.25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</row>
    <row r="574" spans="1:43" x14ac:dyDescent="0.25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</row>
    <row r="575" spans="1:43" x14ac:dyDescent="0.25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</row>
    <row r="576" spans="1:43" x14ac:dyDescent="0.25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</row>
    <row r="577" spans="1:43" x14ac:dyDescent="0.25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</row>
    <row r="578" spans="1:43" x14ac:dyDescent="0.25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</row>
    <row r="579" spans="1:43" x14ac:dyDescent="0.25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</row>
    <row r="580" spans="1:43" x14ac:dyDescent="0.25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</row>
    <row r="581" spans="1:43" x14ac:dyDescent="0.25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</row>
    <row r="582" spans="1:43" x14ac:dyDescent="0.25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</row>
    <row r="583" spans="1:43" x14ac:dyDescent="0.25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</row>
    <row r="584" spans="1:43" x14ac:dyDescent="0.25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</row>
    <row r="585" spans="1:43" x14ac:dyDescent="0.25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</row>
    <row r="586" spans="1:43" x14ac:dyDescent="0.25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</row>
    <row r="587" spans="1:43" x14ac:dyDescent="0.25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</row>
    <row r="588" spans="1:43" x14ac:dyDescent="0.25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</row>
    <row r="589" spans="1:43" x14ac:dyDescent="0.25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</row>
    <row r="590" spans="1:43" x14ac:dyDescent="0.25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</row>
    <row r="591" spans="1:43" x14ac:dyDescent="0.25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</row>
    <row r="592" spans="1:43" x14ac:dyDescent="0.25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</row>
    <row r="593" spans="1:43" x14ac:dyDescent="0.25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</row>
    <row r="594" spans="1:43" x14ac:dyDescent="0.25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</row>
    <row r="595" spans="1:43" x14ac:dyDescent="0.25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</row>
    <row r="596" spans="1:43" x14ac:dyDescent="0.25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</row>
    <row r="597" spans="1:43" x14ac:dyDescent="0.25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</row>
    <row r="598" spans="1:43" x14ac:dyDescent="0.25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</row>
    <row r="599" spans="1:43" x14ac:dyDescent="0.25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</row>
    <row r="600" spans="1:43" x14ac:dyDescent="0.25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</row>
    <row r="601" spans="1:43" x14ac:dyDescent="0.25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</row>
    <row r="602" spans="1:43" x14ac:dyDescent="0.25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</row>
    <row r="603" spans="1:43" x14ac:dyDescent="0.25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</row>
    <row r="604" spans="1:43" x14ac:dyDescent="0.25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</row>
    <row r="605" spans="1:43" x14ac:dyDescent="0.25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</row>
    <row r="606" spans="1:43" x14ac:dyDescent="0.25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</row>
    <row r="607" spans="1:43" x14ac:dyDescent="0.25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</row>
    <row r="608" spans="1:43" x14ac:dyDescent="0.25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</row>
    <row r="609" spans="1:43" x14ac:dyDescent="0.25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</row>
    <row r="610" spans="1:43" x14ac:dyDescent="0.25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</row>
    <row r="611" spans="1:43" x14ac:dyDescent="0.25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</row>
    <row r="612" spans="1:43" x14ac:dyDescent="0.25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</row>
    <row r="613" spans="1:43" x14ac:dyDescent="0.25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</row>
    <row r="614" spans="1:43" x14ac:dyDescent="0.25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</row>
    <row r="615" spans="1:43" x14ac:dyDescent="0.25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</row>
    <row r="616" spans="1:43" x14ac:dyDescent="0.25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</row>
    <row r="617" spans="1:43" x14ac:dyDescent="0.25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</row>
    <row r="618" spans="1:43" x14ac:dyDescent="0.25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</row>
    <row r="619" spans="1:43" x14ac:dyDescent="0.25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</row>
    <row r="620" spans="1:43" x14ac:dyDescent="0.25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</row>
    <row r="621" spans="1:43" x14ac:dyDescent="0.25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</row>
    <row r="622" spans="1:43" x14ac:dyDescent="0.25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</row>
    <row r="623" spans="1:43" x14ac:dyDescent="0.25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</row>
    <row r="624" spans="1:43" x14ac:dyDescent="0.25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</row>
    <row r="625" spans="1:43" x14ac:dyDescent="0.25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</row>
    <row r="626" spans="1:43" x14ac:dyDescent="0.25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</row>
    <row r="627" spans="1:43" x14ac:dyDescent="0.25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</row>
    <row r="628" spans="1:43" x14ac:dyDescent="0.25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</row>
    <row r="629" spans="1:43" x14ac:dyDescent="0.25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</row>
    <row r="630" spans="1:43" x14ac:dyDescent="0.25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</row>
    <row r="631" spans="1:43" x14ac:dyDescent="0.25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</row>
    <row r="632" spans="1:43" x14ac:dyDescent="0.25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</row>
    <row r="633" spans="1:43" x14ac:dyDescent="0.25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</row>
    <row r="634" spans="1:43" x14ac:dyDescent="0.25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</row>
    <row r="635" spans="1:43" x14ac:dyDescent="0.25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</row>
    <row r="636" spans="1:43" x14ac:dyDescent="0.25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</row>
    <row r="637" spans="1:43" x14ac:dyDescent="0.25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</row>
    <row r="638" spans="1:43" x14ac:dyDescent="0.25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</row>
    <row r="639" spans="1:43" x14ac:dyDescent="0.25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</row>
    <row r="640" spans="1:43" x14ac:dyDescent="0.25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</row>
    <row r="641" spans="1:43" x14ac:dyDescent="0.25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</row>
    <row r="642" spans="1:43" x14ac:dyDescent="0.25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</row>
    <row r="643" spans="1:43" x14ac:dyDescent="0.25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</row>
    <row r="644" spans="1:43" x14ac:dyDescent="0.25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</row>
    <row r="645" spans="1:43" x14ac:dyDescent="0.25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</row>
    <row r="646" spans="1:43" x14ac:dyDescent="0.25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</row>
    <row r="647" spans="1:43" x14ac:dyDescent="0.25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</row>
    <row r="648" spans="1:43" x14ac:dyDescent="0.25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</row>
    <row r="649" spans="1:43" x14ac:dyDescent="0.25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</row>
    <row r="650" spans="1:43" x14ac:dyDescent="0.25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</row>
    <row r="651" spans="1:43" x14ac:dyDescent="0.25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</row>
    <row r="652" spans="1:43" x14ac:dyDescent="0.25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</row>
    <row r="653" spans="1:43" x14ac:dyDescent="0.25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</row>
    <row r="654" spans="1:43" x14ac:dyDescent="0.25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</row>
    <row r="655" spans="1:43" x14ac:dyDescent="0.25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</row>
    <row r="656" spans="1:43" x14ac:dyDescent="0.25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</row>
    <row r="657" spans="1:43" x14ac:dyDescent="0.25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</row>
    <row r="658" spans="1:43" x14ac:dyDescent="0.25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</row>
    <row r="659" spans="1:43" x14ac:dyDescent="0.25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</row>
    <row r="660" spans="1:43" x14ac:dyDescent="0.25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</row>
    <row r="661" spans="1:43" x14ac:dyDescent="0.25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</row>
    <row r="662" spans="1:43" x14ac:dyDescent="0.25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</row>
    <row r="663" spans="1:43" x14ac:dyDescent="0.25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</row>
    <row r="664" spans="1:43" x14ac:dyDescent="0.25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</row>
    <row r="665" spans="1:43" x14ac:dyDescent="0.25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</row>
    <row r="666" spans="1:43" x14ac:dyDescent="0.25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</row>
    <row r="667" spans="1:43" x14ac:dyDescent="0.25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</row>
    <row r="668" spans="1:43" x14ac:dyDescent="0.25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</row>
    <row r="669" spans="1:43" x14ac:dyDescent="0.25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</row>
    <row r="670" spans="1:43" x14ac:dyDescent="0.25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</row>
    <row r="671" spans="1:43" x14ac:dyDescent="0.25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</row>
    <row r="672" spans="1:43" x14ac:dyDescent="0.25">
      <c r="K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</row>
    <row r="673" spans="11:43" x14ac:dyDescent="0.25">
      <c r="K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</row>
    <row r="674" spans="11:43" x14ac:dyDescent="0.25">
      <c r="K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</row>
    <row r="675" spans="11:43" x14ac:dyDescent="0.25">
      <c r="K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</row>
    <row r="676" spans="11:43" x14ac:dyDescent="0.25">
      <c r="K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</row>
    <row r="677" spans="11:43" x14ac:dyDescent="0.25">
      <c r="K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</row>
    <row r="678" spans="11:43" x14ac:dyDescent="0.25">
      <c r="K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</row>
    <row r="679" spans="11:43" x14ac:dyDescent="0.25"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</row>
    <row r="680" spans="11:43" x14ac:dyDescent="0.25"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</row>
    <row r="681" spans="11:43" x14ac:dyDescent="0.25"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</row>
    <row r="682" spans="11:43" x14ac:dyDescent="0.25"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</row>
    <row r="683" spans="11:43" x14ac:dyDescent="0.25"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</row>
    <row r="684" spans="11:43" x14ac:dyDescent="0.25"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</row>
    <row r="685" spans="11:43" x14ac:dyDescent="0.25"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</row>
    <row r="686" spans="11:43" x14ac:dyDescent="0.25"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</row>
    <row r="687" spans="11:43" x14ac:dyDescent="0.25"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</row>
    <row r="688" spans="11:43" x14ac:dyDescent="0.25"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</row>
    <row r="689" spans="22:43" x14ac:dyDescent="0.25"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</row>
    <row r="690" spans="22:43" x14ac:dyDescent="0.25"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</row>
    <row r="691" spans="22:43" x14ac:dyDescent="0.25">
      <c r="V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</row>
    <row r="692" spans="22:43" x14ac:dyDescent="0.25">
      <c r="V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</row>
  </sheetData>
  <pageMargins left="0.62" right="0.75" top="1" bottom="0.25" header="0.5" footer="0.71"/>
  <pageSetup scale="90" firstPageNumber="14" orientation="portrait" useFirstPageNumber="1" r:id="rId1"/>
  <headerFooter alignWithMargins="0">
    <oddFooter>&amp;L&amp;8Kentucky Engineering Group, PLLC
&amp;D&amp;C&amp;P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workbookViewId="0">
      <selection activeCell="A2" sqref="A2"/>
    </sheetView>
  </sheetViews>
  <sheetFormatPr defaultRowHeight="13.2" x14ac:dyDescent="0.25"/>
  <cols>
    <col min="9" max="9" width="7.44140625" customWidth="1"/>
    <col min="18" max="18" width="10.88671875" customWidth="1"/>
    <col min="19" max="19" width="3" customWidth="1"/>
  </cols>
  <sheetData>
    <row r="1" spans="1:28" x14ac:dyDescent="0.25">
      <c r="A1" s="107" t="s">
        <v>108</v>
      </c>
      <c r="B1" s="48"/>
      <c r="C1" s="48"/>
      <c r="D1" s="48"/>
      <c r="E1" s="48"/>
      <c r="F1" s="48"/>
      <c r="G1" s="48"/>
      <c r="H1" s="48"/>
      <c r="I1" s="52"/>
      <c r="J1" s="107" t="s">
        <v>109</v>
      </c>
      <c r="K1" s="48"/>
      <c r="L1" s="48"/>
      <c r="M1" s="48"/>
      <c r="N1" s="48"/>
      <c r="O1" s="48"/>
      <c r="P1" s="48"/>
      <c r="Q1" s="48"/>
      <c r="R1" s="52"/>
      <c r="S1" s="52"/>
      <c r="T1" s="107" t="s">
        <v>110</v>
      </c>
      <c r="U1" s="48"/>
      <c r="V1" s="48"/>
      <c r="W1" s="48"/>
      <c r="X1" s="48"/>
      <c r="Y1" s="48"/>
      <c r="Z1" s="48"/>
      <c r="AA1" s="48"/>
      <c r="AB1" s="52"/>
    </row>
    <row r="2" spans="1:28" x14ac:dyDescent="0.25">
      <c r="A2" s="48"/>
      <c r="B2" s="48" t="s">
        <v>111</v>
      </c>
      <c r="C2" s="48"/>
      <c r="D2" s="48"/>
      <c r="E2" s="48"/>
      <c r="F2" s="127"/>
      <c r="G2" s="48"/>
      <c r="H2" s="48"/>
      <c r="I2" s="52"/>
      <c r="J2" s="48"/>
      <c r="K2" s="146" t="s">
        <v>112</v>
      </c>
      <c r="L2" s="48"/>
      <c r="M2" s="48"/>
      <c r="N2" s="48"/>
      <c r="O2" s="52"/>
      <c r="P2" s="48"/>
      <c r="Q2" s="127" t="s">
        <v>113</v>
      </c>
      <c r="R2" s="52"/>
      <c r="S2" s="52"/>
      <c r="T2" s="48"/>
      <c r="U2" s="146" t="s">
        <v>114</v>
      </c>
      <c r="V2" s="48"/>
      <c r="W2" s="48"/>
      <c r="X2" s="48"/>
      <c r="Y2" s="52"/>
      <c r="Z2" s="48"/>
      <c r="AA2" s="127" t="s">
        <v>113</v>
      </c>
      <c r="AB2" s="52"/>
    </row>
    <row r="3" spans="1:28" x14ac:dyDescent="0.25">
      <c r="A3" s="48"/>
      <c r="B3" s="48"/>
      <c r="C3" s="48"/>
      <c r="D3" s="48"/>
      <c r="E3" s="48"/>
      <c r="F3" s="48"/>
      <c r="G3" s="48"/>
      <c r="H3" s="48"/>
      <c r="I3" s="52"/>
      <c r="J3" s="48"/>
      <c r="K3" s="48"/>
      <c r="L3" s="48"/>
      <c r="M3" s="48"/>
      <c r="N3" s="48"/>
      <c r="O3" s="48"/>
      <c r="P3" s="48"/>
      <c r="Q3" s="48"/>
      <c r="R3" s="52"/>
      <c r="S3" s="52"/>
      <c r="T3" s="48"/>
      <c r="U3" s="48"/>
      <c r="V3" s="48"/>
      <c r="W3" s="48"/>
      <c r="X3" s="48"/>
      <c r="Y3" s="48"/>
      <c r="Z3" s="48"/>
      <c r="AA3" s="48"/>
      <c r="AB3" s="52"/>
    </row>
    <row r="4" spans="1:28" x14ac:dyDescent="0.25">
      <c r="A4" s="127" t="s">
        <v>115</v>
      </c>
      <c r="B4" s="127" t="s">
        <v>116</v>
      </c>
      <c r="C4" s="48"/>
      <c r="D4" s="48"/>
      <c r="E4" s="48"/>
      <c r="F4" s="48"/>
      <c r="G4" s="48"/>
      <c r="H4" s="48"/>
      <c r="I4" s="52"/>
      <c r="J4" s="127" t="s">
        <v>115</v>
      </c>
      <c r="K4" s="127" t="s">
        <v>116</v>
      </c>
      <c r="L4" s="48"/>
      <c r="M4" s="48"/>
      <c r="N4" s="48"/>
      <c r="O4" s="48"/>
      <c r="P4" s="48"/>
      <c r="Q4" s="48"/>
      <c r="R4" s="52"/>
      <c r="S4" s="52"/>
      <c r="T4" s="127" t="s">
        <v>115</v>
      </c>
      <c r="U4" s="127" t="s">
        <v>116</v>
      </c>
      <c r="V4" s="48"/>
      <c r="W4" s="48"/>
      <c r="X4" s="48"/>
      <c r="Y4" s="48"/>
      <c r="Z4" s="48"/>
      <c r="AA4" s="48"/>
      <c r="AB4" s="52"/>
    </row>
    <row r="5" spans="1:28" x14ac:dyDescent="0.25">
      <c r="A5" s="48"/>
      <c r="B5" s="48"/>
      <c r="C5" s="48"/>
      <c r="D5" s="48"/>
      <c r="E5" s="48"/>
      <c r="F5" s="48"/>
      <c r="G5" s="48"/>
      <c r="H5" s="48"/>
      <c r="I5" s="52"/>
      <c r="J5" s="48"/>
      <c r="K5" s="48"/>
      <c r="L5" s="48"/>
      <c r="M5" s="48"/>
      <c r="N5" s="48"/>
      <c r="O5" s="48"/>
      <c r="P5" s="48"/>
      <c r="Q5" s="48"/>
      <c r="R5" s="52"/>
      <c r="S5" s="52"/>
      <c r="T5" s="48"/>
      <c r="U5" s="48"/>
      <c r="V5" s="48"/>
      <c r="W5" s="48"/>
      <c r="X5" s="48"/>
      <c r="Y5" s="48"/>
      <c r="Z5" s="48"/>
      <c r="AA5" s="48"/>
      <c r="AB5" s="52"/>
    </row>
    <row r="6" spans="1:28" x14ac:dyDescent="0.25">
      <c r="A6" s="48"/>
      <c r="B6" s="127" t="s">
        <v>117</v>
      </c>
      <c r="C6" s="48"/>
      <c r="D6" s="48"/>
      <c r="E6" s="48"/>
      <c r="F6" s="48"/>
      <c r="G6" s="48"/>
      <c r="H6" s="154">
        <f>+'Sewer Forecast'!G54+'Sewer Forecast'!J54</f>
        <v>0</v>
      </c>
      <c r="I6" s="52"/>
      <c r="J6" s="48"/>
      <c r="K6" s="127" t="s">
        <v>117</v>
      </c>
      <c r="L6" s="48"/>
      <c r="M6" s="48"/>
      <c r="N6" s="48"/>
      <c r="O6" s="48"/>
      <c r="P6" s="48"/>
      <c r="Q6" s="154">
        <f>+'Sewer Forecast'!R61+'Sewer Forecast'!U61</f>
        <v>0</v>
      </c>
      <c r="R6" s="52"/>
      <c r="S6" s="52"/>
      <c r="T6" s="48"/>
      <c r="U6" s="127" t="s">
        <v>117</v>
      </c>
      <c r="V6" s="48"/>
      <c r="W6" s="48"/>
      <c r="X6" s="48"/>
      <c r="Y6" s="48"/>
      <c r="Z6" s="48"/>
      <c r="AA6" s="154">
        <f>+'Sewer Forecast'!AB61+'Sewer Forecast'!AE61</f>
        <v>0</v>
      </c>
      <c r="AB6" s="52"/>
    </row>
    <row r="7" spans="1:28" x14ac:dyDescent="0.25">
      <c r="A7" s="48"/>
      <c r="B7" s="127" t="s">
        <v>118</v>
      </c>
      <c r="C7" s="48"/>
      <c r="D7" s="48"/>
      <c r="E7" s="48"/>
      <c r="F7" s="48"/>
      <c r="G7" s="48"/>
      <c r="H7" s="154"/>
      <c r="I7" s="52"/>
      <c r="J7" s="48"/>
      <c r="K7" s="127" t="s">
        <v>118</v>
      </c>
      <c r="L7" s="48"/>
      <c r="M7" s="48"/>
      <c r="N7" s="48"/>
      <c r="O7" s="48"/>
      <c r="P7" s="48"/>
      <c r="Q7" s="154"/>
      <c r="R7" s="52"/>
      <c r="S7" s="52"/>
      <c r="T7" s="48"/>
      <c r="U7" s="127" t="s">
        <v>118</v>
      </c>
      <c r="V7" s="48"/>
      <c r="W7" s="48"/>
      <c r="X7" s="48"/>
      <c r="Y7" s="48"/>
      <c r="Z7" s="48"/>
      <c r="AA7" s="154"/>
      <c r="AB7" s="52"/>
    </row>
    <row r="8" spans="1:28" x14ac:dyDescent="0.25">
      <c r="A8" s="48"/>
      <c r="B8" s="127" t="s">
        <v>119</v>
      </c>
      <c r="C8" s="48"/>
      <c r="D8" s="127"/>
      <c r="E8" s="48"/>
      <c r="F8" s="48"/>
      <c r="G8" s="48"/>
      <c r="H8" s="154"/>
      <c r="I8" s="52"/>
      <c r="J8" s="48"/>
      <c r="K8" s="127" t="s">
        <v>119</v>
      </c>
      <c r="L8" s="48"/>
      <c r="M8" s="127"/>
      <c r="N8" s="48"/>
      <c r="O8" s="48"/>
      <c r="P8" s="48"/>
      <c r="Q8" s="154"/>
      <c r="R8" s="52"/>
      <c r="S8" s="52"/>
      <c r="T8" s="48"/>
      <c r="U8" s="127" t="s">
        <v>119</v>
      </c>
      <c r="V8" s="48"/>
      <c r="W8" s="127"/>
      <c r="X8" s="48"/>
      <c r="Y8" s="48"/>
      <c r="Z8" s="48"/>
      <c r="AA8" s="154"/>
      <c r="AB8" s="52"/>
    </row>
    <row r="9" spans="1:28" x14ac:dyDescent="0.25">
      <c r="A9" s="48"/>
      <c r="B9" s="48"/>
      <c r="C9" s="48"/>
      <c r="D9" s="48"/>
      <c r="E9" s="48"/>
      <c r="F9" s="48"/>
      <c r="G9" s="48"/>
      <c r="H9" s="48"/>
      <c r="I9" s="52"/>
      <c r="J9" s="48"/>
      <c r="K9" s="48"/>
      <c r="L9" s="48"/>
      <c r="M9" s="48"/>
      <c r="N9" s="48"/>
      <c r="O9" s="48"/>
      <c r="P9" s="48"/>
      <c r="Q9" s="48"/>
      <c r="R9" s="52"/>
      <c r="S9" s="52"/>
      <c r="T9" s="48"/>
      <c r="U9" s="48"/>
      <c r="V9" s="48"/>
      <c r="W9" s="48"/>
      <c r="X9" s="48"/>
      <c r="Y9" s="48"/>
      <c r="Z9" s="48"/>
      <c r="AA9" s="48"/>
      <c r="AB9" s="52"/>
    </row>
    <row r="10" spans="1:28" x14ac:dyDescent="0.25">
      <c r="A10" s="48"/>
      <c r="B10" s="127" t="s">
        <v>120</v>
      </c>
      <c r="C10" s="127" t="s">
        <v>121</v>
      </c>
      <c r="D10" s="48"/>
      <c r="E10" s="48"/>
      <c r="F10" s="48"/>
      <c r="G10" s="48"/>
      <c r="H10" s="48"/>
      <c r="I10" s="52"/>
      <c r="J10" s="48"/>
      <c r="K10" s="127" t="s">
        <v>120</v>
      </c>
      <c r="L10" s="127" t="s">
        <v>121</v>
      </c>
      <c r="M10" s="48"/>
      <c r="N10" s="48"/>
      <c r="O10" s="48"/>
      <c r="P10" s="48"/>
      <c r="Q10" s="48"/>
      <c r="R10" s="52"/>
      <c r="S10" s="52"/>
      <c r="T10" s="48"/>
      <c r="U10" s="127" t="s">
        <v>120</v>
      </c>
      <c r="V10" s="127" t="s">
        <v>121</v>
      </c>
      <c r="W10" s="48"/>
      <c r="X10" s="48"/>
      <c r="Y10" s="48"/>
      <c r="Z10" s="48"/>
      <c r="AA10" s="48"/>
      <c r="AB10" s="52"/>
    </row>
    <row r="11" spans="1:28" x14ac:dyDescent="0.25">
      <c r="A11" s="48"/>
      <c r="B11" s="48"/>
      <c r="C11" s="48"/>
      <c r="D11" s="48"/>
      <c r="E11" s="48"/>
      <c r="F11" s="48"/>
      <c r="G11" s="48"/>
      <c r="H11" s="114"/>
      <c r="I11" s="52"/>
      <c r="J11" s="48"/>
      <c r="K11" s="48"/>
      <c r="L11" s="48"/>
      <c r="M11" s="48"/>
      <c r="N11" s="48"/>
      <c r="O11" s="48"/>
      <c r="P11" s="48"/>
      <c r="Q11" s="114"/>
      <c r="R11" s="52"/>
      <c r="S11" s="52"/>
      <c r="T11" s="48"/>
      <c r="U11" s="48"/>
      <c r="V11" s="48"/>
      <c r="W11" s="48"/>
      <c r="X11" s="48"/>
      <c r="Y11" s="48"/>
      <c r="Z11" s="48"/>
      <c r="AA11" s="114"/>
      <c r="AB11" s="52"/>
    </row>
    <row r="12" spans="1:28" x14ac:dyDescent="0.25">
      <c r="A12" s="48"/>
      <c r="B12" s="127" t="s">
        <v>122</v>
      </c>
      <c r="C12" s="48"/>
      <c r="D12" s="48"/>
      <c r="E12" s="48"/>
      <c r="F12" s="48"/>
      <c r="G12" s="48"/>
      <c r="H12" s="154">
        <f>SUM(H6:H8)</f>
        <v>0</v>
      </c>
      <c r="I12" s="52"/>
      <c r="J12" s="48"/>
      <c r="K12" s="127" t="s">
        <v>122</v>
      </c>
      <c r="L12" s="48"/>
      <c r="M12" s="48"/>
      <c r="N12" s="48"/>
      <c r="O12" s="48"/>
      <c r="P12" s="48"/>
      <c r="Q12" s="154">
        <f>SUM(Q6:Q8)</f>
        <v>0</v>
      </c>
      <c r="R12" s="52"/>
      <c r="S12" s="52"/>
      <c r="T12" s="48"/>
      <c r="U12" s="127" t="s">
        <v>122</v>
      </c>
      <c r="V12" s="48"/>
      <c r="W12" s="48"/>
      <c r="X12" s="48"/>
      <c r="Y12" s="48"/>
      <c r="Z12" s="48"/>
      <c r="AA12" s="154">
        <f>SUM(AA6:AA8)</f>
        <v>0</v>
      </c>
      <c r="AB12" s="52"/>
    </row>
    <row r="13" spans="1:28" x14ac:dyDescent="0.25">
      <c r="A13" s="48"/>
      <c r="B13" s="48"/>
      <c r="C13" s="48"/>
      <c r="D13" s="48"/>
      <c r="E13" s="48"/>
      <c r="F13" s="48"/>
      <c r="G13" s="48"/>
      <c r="H13" s="48"/>
      <c r="I13" s="52"/>
      <c r="J13" s="48"/>
      <c r="K13" s="48"/>
      <c r="L13" s="48"/>
      <c r="M13" s="48"/>
      <c r="N13" s="48"/>
      <c r="O13" s="48"/>
      <c r="P13" s="48"/>
      <c r="Q13" s="48"/>
      <c r="R13" s="52"/>
      <c r="S13" s="52"/>
      <c r="T13" s="48"/>
      <c r="U13" s="48"/>
      <c r="V13" s="48"/>
      <c r="W13" s="48"/>
      <c r="X13" s="48"/>
      <c r="Y13" s="48"/>
      <c r="Z13" s="48"/>
      <c r="AA13" s="48"/>
      <c r="AB13" s="52"/>
    </row>
    <row r="14" spans="1:28" x14ac:dyDescent="0.25">
      <c r="A14" s="127" t="s">
        <v>123</v>
      </c>
      <c r="B14" s="127" t="s">
        <v>124</v>
      </c>
      <c r="C14" s="48"/>
      <c r="D14" s="48"/>
      <c r="E14" s="48"/>
      <c r="F14" s="48"/>
      <c r="G14" s="48"/>
      <c r="H14" s="48"/>
      <c r="I14" s="52"/>
      <c r="J14" s="127" t="s">
        <v>123</v>
      </c>
      <c r="K14" s="127" t="s">
        <v>124</v>
      </c>
      <c r="L14" s="48"/>
      <c r="M14" s="48"/>
      <c r="N14" s="48"/>
      <c r="O14" s="48"/>
      <c r="P14" s="48"/>
      <c r="Q14" s="48"/>
      <c r="R14" s="52"/>
      <c r="S14" s="52"/>
      <c r="T14" s="127" t="s">
        <v>123</v>
      </c>
      <c r="U14" s="127" t="s">
        <v>124</v>
      </c>
      <c r="V14" s="48"/>
      <c r="W14" s="48"/>
      <c r="X14" s="48"/>
      <c r="Y14" s="48"/>
      <c r="Z14" s="48"/>
      <c r="AA14" s="48"/>
      <c r="AB14" s="52"/>
    </row>
    <row r="15" spans="1:28" x14ac:dyDescent="0.25">
      <c r="A15" s="48"/>
      <c r="B15" s="127" t="s">
        <v>125</v>
      </c>
      <c r="C15" s="48"/>
      <c r="D15" s="48"/>
      <c r="E15" s="48"/>
      <c r="F15" s="48"/>
      <c r="G15" s="48"/>
      <c r="H15" s="48"/>
      <c r="I15" s="52"/>
      <c r="J15" s="48"/>
      <c r="K15" s="127" t="s">
        <v>125</v>
      </c>
      <c r="L15" s="48"/>
      <c r="M15" s="48"/>
      <c r="N15" s="48"/>
      <c r="O15" s="48"/>
      <c r="P15" s="48"/>
      <c r="Q15" s="48"/>
      <c r="R15" s="52"/>
      <c r="S15" s="52"/>
      <c r="T15" s="48"/>
      <c r="U15" s="127" t="s">
        <v>125</v>
      </c>
      <c r="V15" s="48"/>
      <c r="W15" s="48"/>
      <c r="X15" s="48"/>
      <c r="Y15" s="48"/>
      <c r="Z15" s="48"/>
      <c r="AA15" s="48"/>
      <c r="AB15" s="52"/>
    </row>
    <row r="16" spans="1:28" x14ac:dyDescent="0.25">
      <c r="A16" s="48"/>
      <c r="B16" s="127" t="s">
        <v>126</v>
      </c>
      <c r="C16" s="48"/>
      <c r="D16" s="48"/>
      <c r="E16" s="48"/>
      <c r="F16" s="48"/>
      <c r="G16" s="48"/>
      <c r="H16" s="48"/>
      <c r="I16" s="52"/>
      <c r="J16" s="48"/>
      <c r="K16" s="127" t="s">
        <v>126</v>
      </c>
      <c r="L16" s="48"/>
      <c r="M16" s="48"/>
      <c r="N16" s="48"/>
      <c r="O16" s="48"/>
      <c r="P16" s="48"/>
      <c r="Q16" s="48"/>
      <c r="R16" s="52"/>
      <c r="S16" s="52"/>
      <c r="T16" s="48"/>
      <c r="U16" s="127" t="s">
        <v>126</v>
      </c>
      <c r="V16" s="48"/>
      <c r="W16" s="48"/>
      <c r="X16" s="48"/>
      <c r="Y16" s="48"/>
      <c r="Z16" s="48"/>
      <c r="AA16" s="48"/>
      <c r="AB16" s="52"/>
    </row>
    <row r="17" spans="1:28" x14ac:dyDescent="0.25">
      <c r="A17" s="48"/>
      <c r="B17" s="48"/>
      <c r="C17" s="48"/>
      <c r="D17" s="48"/>
      <c r="E17" s="48"/>
      <c r="F17" s="48"/>
      <c r="G17" s="48"/>
      <c r="H17" s="48"/>
      <c r="I17" s="52"/>
      <c r="J17" s="48"/>
      <c r="K17" s="48"/>
      <c r="L17" s="48"/>
      <c r="M17" s="48"/>
      <c r="N17" s="48"/>
      <c r="O17" s="48"/>
      <c r="P17" s="48"/>
      <c r="Q17" s="48"/>
      <c r="R17" s="52"/>
      <c r="S17" s="52"/>
      <c r="T17" s="48"/>
      <c r="U17" s="48"/>
      <c r="V17" s="48"/>
      <c r="W17" s="48"/>
      <c r="X17" s="48"/>
      <c r="Y17" s="48"/>
      <c r="Z17" s="48"/>
      <c r="AA17" s="48"/>
      <c r="AB17" s="52"/>
    </row>
    <row r="18" spans="1:28" x14ac:dyDescent="0.25">
      <c r="A18" s="48"/>
      <c r="B18" s="127" t="s">
        <v>127</v>
      </c>
      <c r="C18" s="48"/>
      <c r="D18" s="48"/>
      <c r="E18" s="48"/>
      <c r="F18" s="48"/>
      <c r="G18" s="48"/>
      <c r="H18" s="154"/>
      <c r="I18" s="52"/>
      <c r="J18" s="48"/>
      <c r="K18" s="127" t="s">
        <v>127</v>
      </c>
      <c r="L18" s="48"/>
      <c r="M18" s="48"/>
      <c r="N18" s="48"/>
      <c r="O18" s="48"/>
      <c r="P18" s="48"/>
      <c r="Q18" s="154"/>
      <c r="R18" s="52"/>
      <c r="S18" s="52"/>
      <c r="T18" s="48"/>
      <c r="U18" s="127" t="s">
        <v>127</v>
      </c>
      <c r="V18" s="48"/>
      <c r="W18" s="48"/>
      <c r="X18" s="48"/>
      <c r="Y18" s="48"/>
      <c r="Z18" s="48"/>
      <c r="AA18" s="154"/>
      <c r="AB18" s="52"/>
    </row>
    <row r="19" spans="1:28" x14ac:dyDescent="0.25">
      <c r="A19" s="48"/>
      <c r="B19" s="127" t="s">
        <v>128</v>
      </c>
      <c r="C19" s="48"/>
      <c r="D19" s="48"/>
      <c r="E19" s="48"/>
      <c r="F19" s="48"/>
      <c r="G19" s="48"/>
      <c r="H19" s="154"/>
      <c r="I19" s="52"/>
      <c r="J19" s="48"/>
      <c r="K19" s="127" t="s">
        <v>128</v>
      </c>
      <c r="L19" s="48"/>
      <c r="M19" s="48"/>
      <c r="N19" s="48"/>
      <c r="O19" s="48"/>
      <c r="P19" s="48"/>
      <c r="Q19" s="154"/>
      <c r="R19" s="52"/>
      <c r="S19" s="52"/>
      <c r="T19" s="48"/>
      <c r="U19" s="127" t="s">
        <v>128</v>
      </c>
      <c r="V19" s="48"/>
      <c r="W19" s="48"/>
      <c r="X19" s="48"/>
      <c r="Y19" s="48"/>
      <c r="Z19" s="48"/>
      <c r="AA19" s="154"/>
      <c r="AB19" s="52"/>
    </row>
    <row r="20" spans="1:28" x14ac:dyDescent="0.25">
      <c r="A20" s="48"/>
      <c r="B20" s="127" t="s">
        <v>129</v>
      </c>
      <c r="C20" s="48"/>
      <c r="D20" s="48"/>
      <c r="E20" s="48"/>
      <c r="F20" s="48"/>
      <c r="G20" s="48"/>
      <c r="H20" s="154"/>
      <c r="I20" s="52"/>
      <c r="J20" s="48"/>
      <c r="K20" s="127" t="s">
        <v>129</v>
      </c>
      <c r="L20" s="48"/>
      <c r="M20" s="48"/>
      <c r="N20" s="48"/>
      <c r="O20" s="48"/>
      <c r="P20" s="48"/>
      <c r="Q20" s="154"/>
      <c r="R20" s="52"/>
      <c r="S20" s="52"/>
      <c r="T20" s="48"/>
      <c r="U20" s="127" t="s">
        <v>129</v>
      </c>
      <c r="V20" s="48"/>
      <c r="W20" s="48"/>
      <c r="X20" s="48"/>
      <c r="Y20" s="48"/>
      <c r="Z20" s="48"/>
      <c r="AA20" s="154"/>
      <c r="AB20" s="52"/>
    </row>
    <row r="21" spans="1:28" x14ac:dyDescent="0.25">
      <c r="A21" s="48"/>
      <c r="B21" s="127" t="s">
        <v>130</v>
      </c>
      <c r="C21" s="48"/>
      <c r="D21" s="48"/>
      <c r="E21" s="48"/>
      <c r="F21" s="48"/>
      <c r="G21" s="48"/>
      <c r="H21" s="154"/>
      <c r="I21" s="52"/>
      <c r="J21" s="48"/>
      <c r="K21" s="127" t="s">
        <v>130</v>
      </c>
      <c r="L21" s="48"/>
      <c r="M21" s="48"/>
      <c r="N21" s="48"/>
      <c r="O21" s="48"/>
      <c r="P21" s="48"/>
      <c r="Q21" s="154"/>
      <c r="R21" s="52"/>
      <c r="S21" s="52"/>
      <c r="T21" s="48"/>
      <c r="U21" s="127" t="s">
        <v>130</v>
      </c>
      <c r="V21" s="48"/>
      <c r="W21" s="48"/>
      <c r="X21" s="48"/>
      <c r="Y21" s="48"/>
      <c r="Z21" s="48"/>
      <c r="AA21" s="154"/>
      <c r="AB21" s="52"/>
    </row>
    <row r="22" spans="1:28" x14ac:dyDescent="0.25">
      <c r="A22" s="48"/>
      <c r="B22" s="127"/>
      <c r="C22" s="48"/>
      <c r="D22" s="48"/>
      <c r="E22" s="48"/>
      <c r="F22" s="48"/>
      <c r="G22" s="48"/>
      <c r="H22" s="154"/>
      <c r="I22" s="52"/>
      <c r="J22" s="48"/>
      <c r="K22" s="127"/>
      <c r="L22" s="48"/>
      <c r="M22" s="48"/>
      <c r="N22" s="48"/>
      <c r="O22" s="48"/>
      <c r="P22" s="48"/>
      <c r="Q22" s="154"/>
      <c r="R22" s="52"/>
      <c r="S22" s="52"/>
      <c r="T22" s="48"/>
      <c r="U22" s="127"/>
      <c r="V22" s="48"/>
      <c r="W22" s="48"/>
      <c r="X22" s="48"/>
      <c r="Y22" s="48"/>
      <c r="Z22" s="48"/>
      <c r="AA22" s="154"/>
      <c r="AB22" s="52"/>
    </row>
    <row r="23" spans="1:28" x14ac:dyDescent="0.25">
      <c r="A23" s="48"/>
      <c r="B23" s="127" t="s">
        <v>131</v>
      </c>
      <c r="C23" s="48"/>
      <c r="D23" s="48"/>
      <c r="E23" s="48"/>
      <c r="F23" s="48"/>
      <c r="G23" s="48"/>
      <c r="H23" s="154">
        <f>SUM(H18:H22)</f>
        <v>0</v>
      </c>
      <c r="I23" s="52"/>
      <c r="J23" s="48"/>
      <c r="K23" s="127" t="s">
        <v>131</v>
      </c>
      <c r="L23" s="48"/>
      <c r="M23" s="48"/>
      <c r="N23" s="48"/>
      <c r="O23" s="48"/>
      <c r="P23" s="48"/>
      <c r="Q23" s="154">
        <f>SUM(Q18:Q22)</f>
        <v>0</v>
      </c>
      <c r="R23" s="52"/>
      <c r="S23" s="52"/>
      <c r="T23" s="48"/>
      <c r="U23" s="127" t="s">
        <v>131</v>
      </c>
      <c r="V23" s="48"/>
      <c r="W23" s="48"/>
      <c r="X23" s="48"/>
      <c r="Y23" s="48"/>
      <c r="Z23" s="48"/>
      <c r="AA23" s="154">
        <f>SUM(AA18:AA22)</f>
        <v>0</v>
      </c>
      <c r="AB23" s="52"/>
    </row>
    <row r="24" spans="1:28" x14ac:dyDescent="0.25">
      <c r="A24" s="48"/>
      <c r="B24" s="48"/>
      <c r="C24" s="48"/>
      <c r="D24" s="48"/>
      <c r="E24" s="48"/>
      <c r="F24" s="48"/>
      <c r="G24" s="48"/>
      <c r="H24" s="114"/>
      <c r="I24" s="52"/>
      <c r="J24" s="48"/>
      <c r="K24" s="48"/>
      <c r="L24" s="48"/>
      <c r="M24" s="48"/>
      <c r="N24" s="48"/>
      <c r="O24" s="48"/>
      <c r="P24" s="48"/>
      <c r="Q24" s="114"/>
      <c r="R24" s="52"/>
      <c r="S24" s="52"/>
      <c r="T24" s="48"/>
      <c r="U24" s="48"/>
      <c r="V24" s="48"/>
      <c r="W24" s="48"/>
      <c r="X24" s="48"/>
      <c r="Y24" s="48"/>
      <c r="Z24" s="48"/>
      <c r="AA24" s="114"/>
      <c r="AB24" s="52"/>
    </row>
    <row r="25" spans="1:28" x14ac:dyDescent="0.25">
      <c r="A25" s="48"/>
      <c r="B25" s="52"/>
      <c r="C25" s="52"/>
      <c r="D25" s="52"/>
      <c r="E25" s="52"/>
      <c r="F25" s="52"/>
      <c r="G25" s="52"/>
      <c r="H25" s="52"/>
      <c r="I25" s="52"/>
      <c r="J25" s="48"/>
      <c r="K25" s="52"/>
      <c r="L25" s="48"/>
      <c r="M25" s="48"/>
      <c r="N25" s="48"/>
      <c r="O25" s="48"/>
      <c r="P25" s="48"/>
      <c r="Q25" s="154"/>
      <c r="R25" s="52"/>
      <c r="S25" s="52"/>
      <c r="T25" s="48"/>
      <c r="U25" s="52"/>
      <c r="V25" s="48"/>
      <c r="W25" s="48"/>
      <c r="X25" s="48"/>
      <c r="Y25" s="48"/>
      <c r="Z25" s="48"/>
      <c r="AA25" s="154"/>
      <c r="AB25" s="52"/>
    </row>
    <row r="26" spans="1:28" x14ac:dyDescent="0.25">
      <c r="A26" s="48"/>
      <c r="B26" s="48"/>
      <c r="C26" s="48"/>
      <c r="D26" s="48"/>
      <c r="E26" s="48"/>
      <c r="F26" s="48"/>
      <c r="G26" s="48"/>
      <c r="H26" s="114"/>
      <c r="I26" s="52"/>
      <c r="J26" s="48"/>
      <c r="K26" s="48"/>
      <c r="L26" s="48"/>
      <c r="M26" s="48"/>
      <c r="N26" s="48"/>
      <c r="O26" s="48"/>
      <c r="P26" s="48"/>
      <c r="Q26" s="114"/>
      <c r="R26" s="52"/>
      <c r="S26" s="52"/>
      <c r="T26" s="48"/>
      <c r="U26" s="48"/>
      <c r="V26" s="48"/>
      <c r="W26" s="48"/>
      <c r="X26" s="48"/>
      <c r="Y26" s="48"/>
      <c r="Z26" s="48"/>
      <c r="AA26" s="114"/>
      <c r="AB26" s="52"/>
    </row>
    <row r="27" spans="1:28" x14ac:dyDescent="0.25">
      <c r="A27" s="48"/>
      <c r="B27" s="127" t="s">
        <v>132</v>
      </c>
      <c r="C27" s="48"/>
      <c r="D27" s="48"/>
      <c r="E27" s="48"/>
      <c r="F27" s="48"/>
      <c r="G27" s="48"/>
      <c r="H27" s="154">
        <f>H12-H23</f>
        <v>0</v>
      </c>
      <c r="I27" s="52"/>
      <c r="J27" s="48"/>
      <c r="K27" s="127" t="s">
        <v>132</v>
      </c>
      <c r="L27" s="48"/>
      <c r="M27" s="48"/>
      <c r="N27" s="48"/>
      <c r="O27" s="48"/>
      <c r="P27" s="48"/>
      <c r="Q27" s="154">
        <f>Q12-Q23</f>
        <v>0</v>
      </c>
      <c r="R27" s="52"/>
      <c r="S27" s="52"/>
      <c r="T27" s="48"/>
      <c r="U27" s="127" t="s">
        <v>132</v>
      </c>
      <c r="V27" s="48"/>
      <c r="W27" s="48"/>
      <c r="X27" s="48"/>
      <c r="Y27" s="48"/>
      <c r="Z27" s="48"/>
      <c r="AA27" s="154">
        <f>AA12-AA23</f>
        <v>0</v>
      </c>
      <c r="AB27" s="52"/>
    </row>
    <row r="28" spans="1:28" x14ac:dyDescent="0.25">
      <c r="A28" s="48"/>
      <c r="B28" s="48"/>
      <c r="C28" s="48"/>
      <c r="D28" s="48"/>
      <c r="E28" s="48"/>
      <c r="F28" s="48"/>
      <c r="G28" s="48"/>
      <c r="H28" s="48"/>
      <c r="I28" s="52"/>
      <c r="J28" s="48"/>
      <c r="K28" s="48"/>
      <c r="L28" s="48"/>
      <c r="M28" s="48"/>
      <c r="N28" s="48"/>
      <c r="O28" s="48"/>
      <c r="P28" s="48"/>
      <c r="Q28" s="48"/>
      <c r="R28" s="52"/>
      <c r="S28" s="52"/>
      <c r="T28" s="48"/>
      <c r="U28" s="48"/>
      <c r="V28" s="48"/>
      <c r="W28" s="48"/>
      <c r="X28" s="48"/>
      <c r="Y28" s="48"/>
      <c r="Z28" s="48"/>
      <c r="AA28" s="48"/>
      <c r="AB28" s="52"/>
    </row>
    <row r="29" spans="1:28" x14ac:dyDescent="0.25">
      <c r="A29" s="127" t="s">
        <v>133</v>
      </c>
      <c r="B29" s="127" t="s">
        <v>134</v>
      </c>
      <c r="C29" s="48"/>
      <c r="D29" s="48"/>
      <c r="E29" s="48"/>
      <c r="F29" s="48"/>
      <c r="G29" s="48"/>
      <c r="H29" s="48"/>
      <c r="I29" s="52"/>
      <c r="J29" s="127" t="s">
        <v>133</v>
      </c>
      <c r="K29" s="127" t="s">
        <v>134</v>
      </c>
      <c r="L29" s="48"/>
      <c r="M29" s="48"/>
      <c r="N29" s="48"/>
      <c r="O29" s="48"/>
      <c r="P29" s="48"/>
      <c r="Q29" s="48"/>
      <c r="R29" s="52"/>
      <c r="S29" s="52"/>
      <c r="T29" s="127" t="s">
        <v>133</v>
      </c>
      <c r="U29" s="127" t="s">
        <v>134</v>
      </c>
      <c r="V29" s="48"/>
      <c r="W29" s="48"/>
      <c r="X29" s="48"/>
      <c r="Y29" s="48"/>
      <c r="Z29" s="48"/>
      <c r="AA29" s="48"/>
      <c r="AB29" s="52"/>
    </row>
    <row r="30" spans="1:28" x14ac:dyDescent="0.25">
      <c r="A30" s="48"/>
      <c r="B30" s="48"/>
      <c r="C30" s="48"/>
      <c r="D30" s="48"/>
      <c r="E30" s="48"/>
      <c r="F30" s="48"/>
      <c r="G30" s="48"/>
      <c r="H30" s="48"/>
      <c r="I30" s="52"/>
      <c r="J30" s="48"/>
      <c r="K30" s="48"/>
      <c r="L30" s="48"/>
      <c r="M30" s="48"/>
      <c r="N30" s="48"/>
      <c r="O30" s="48"/>
      <c r="P30" s="48"/>
      <c r="Q30" s="48"/>
      <c r="R30" s="52"/>
      <c r="S30" s="52"/>
      <c r="T30" s="48"/>
      <c r="U30" s="48"/>
      <c r="V30" s="48"/>
      <c r="W30" s="48"/>
      <c r="X30" s="48"/>
      <c r="Y30" s="48"/>
      <c r="Z30" s="48"/>
      <c r="AA30" s="48"/>
      <c r="AB30" s="52"/>
    </row>
    <row r="31" spans="1:28" x14ac:dyDescent="0.25">
      <c r="A31" s="48"/>
      <c r="B31" s="127" t="s">
        <v>135</v>
      </c>
      <c r="C31" s="48"/>
      <c r="D31" s="48"/>
      <c r="E31" s="48"/>
      <c r="F31" s="48"/>
      <c r="G31" s="48"/>
      <c r="H31" s="154"/>
      <c r="I31" s="52"/>
      <c r="J31" s="48"/>
      <c r="K31" s="127" t="s">
        <v>135</v>
      </c>
      <c r="L31" s="48"/>
      <c r="M31" s="48"/>
      <c r="N31" s="48"/>
      <c r="O31" s="48"/>
      <c r="P31" s="48"/>
      <c r="Q31" s="154"/>
      <c r="R31" s="52"/>
      <c r="S31" s="52"/>
      <c r="T31" s="48"/>
      <c r="U31" s="127" t="s">
        <v>135</v>
      </c>
      <c r="V31" s="48"/>
      <c r="W31" s="48"/>
      <c r="X31" s="48"/>
      <c r="Y31" s="48"/>
      <c r="Z31" s="48"/>
      <c r="AA31" s="154"/>
      <c r="AB31" s="52"/>
    </row>
    <row r="32" spans="1:28" x14ac:dyDescent="0.25">
      <c r="A32" s="48"/>
      <c r="B32" s="127" t="s">
        <v>136</v>
      </c>
      <c r="C32" s="48"/>
      <c r="D32" s="127"/>
      <c r="E32" s="48"/>
      <c r="F32" s="48"/>
      <c r="G32" s="48"/>
      <c r="H32" s="154"/>
      <c r="I32" s="52"/>
      <c r="J32" s="48"/>
      <c r="K32" s="127" t="s">
        <v>136</v>
      </c>
      <c r="L32" s="48"/>
      <c r="M32" s="127" t="s">
        <v>137</v>
      </c>
      <c r="N32" s="48"/>
      <c r="O32" s="48"/>
      <c r="P32" s="48"/>
      <c r="Q32" s="154"/>
      <c r="R32" s="52"/>
      <c r="S32" s="52"/>
      <c r="T32" s="48"/>
      <c r="U32" s="127" t="s">
        <v>136</v>
      </c>
      <c r="V32" s="48"/>
      <c r="W32" s="127" t="s">
        <v>137</v>
      </c>
      <c r="X32" s="48"/>
      <c r="Y32" s="48"/>
      <c r="Z32" s="48"/>
      <c r="AA32" s="154"/>
      <c r="AB32" s="52"/>
    </row>
    <row r="33" spans="1:28" x14ac:dyDescent="0.25">
      <c r="A33" s="48"/>
      <c r="B33" s="48"/>
      <c r="C33" s="48"/>
      <c r="D33" s="48"/>
      <c r="E33" s="48"/>
      <c r="F33" s="48"/>
      <c r="G33" s="48"/>
      <c r="H33" s="114"/>
      <c r="I33" s="52"/>
      <c r="J33" s="48"/>
      <c r="K33" s="48"/>
      <c r="L33" s="48"/>
      <c r="M33" s="48"/>
      <c r="N33" s="48"/>
      <c r="O33" s="48"/>
      <c r="P33" s="48"/>
      <c r="Q33" s="114"/>
      <c r="R33" s="52"/>
      <c r="S33" s="52"/>
      <c r="T33" s="48"/>
      <c r="U33" s="48"/>
      <c r="V33" s="48"/>
      <c r="W33" s="48"/>
      <c r="X33" s="48"/>
      <c r="Y33" s="48"/>
      <c r="Z33" s="48"/>
      <c r="AA33" s="114"/>
      <c r="AB33" s="52"/>
    </row>
    <row r="34" spans="1:28" x14ac:dyDescent="0.25">
      <c r="A34" s="48"/>
      <c r="B34" s="127" t="s">
        <v>138</v>
      </c>
      <c r="C34" s="48"/>
      <c r="D34" s="48"/>
      <c r="E34" s="48"/>
      <c r="F34" s="48"/>
      <c r="G34" s="48"/>
      <c r="H34" s="154">
        <f>SUM(H31:H32)</f>
        <v>0</v>
      </c>
      <c r="I34" s="52"/>
      <c r="J34" s="48"/>
      <c r="K34" s="127" t="s">
        <v>138</v>
      </c>
      <c r="L34" s="48"/>
      <c r="M34" s="48"/>
      <c r="N34" s="48"/>
      <c r="O34" s="48"/>
      <c r="P34" s="48"/>
      <c r="Q34" s="154">
        <f>SUM(Q31:Q32)</f>
        <v>0</v>
      </c>
      <c r="R34" s="52"/>
      <c r="S34" s="52"/>
      <c r="T34" s="48"/>
      <c r="U34" s="127" t="s">
        <v>138</v>
      </c>
      <c r="V34" s="48"/>
      <c r="W34" s="48"/>
      <c r="X34" s="48"/>
      <c r="Y34" s="48"/>
      <c r="Z34" s="48"/>
      <c r="AA34" s="154">
        <f>SUM(AA31:AA32)</f>
        <v>0</v>
      </c>
      <c r="AB34" s="52"/>
    </row>
    <row r="35" spans="1:28" x14ac:dyDescent="0.25">
      <c r="A35" s="48"/>
      <c r="B35" s="48"/>
      <c r="C35" s="48"/>
      <c r="D35" s="48"/>
      <c r="E35" s="48"/>
      <c r="F35" s="48"/>
      <c r="G35" s="48"/>
      <c r="H35" s="114"/>
      <c r="I35" s="52"/>
      <c r="J35" s="48"/>
      <c r="K35" s="48"/>
      <c r="L35" s="48"/>
      <c r="M35" s="48"/>
      <c r="N35" s="48"/>
      <c r="O35" s="48"/>
      <c r="P35" s="48"/>
      <c r="Q35" s="114"/>
      <c r="R35" s="52"/>
      <c r="S35" s="52"/>
      <c r="T35" s="48"/>
      <c r="U35" s="48"/>
      <c r="V35" s="48"/>
      <c r="W35" s="48"/>
      <c r="X35" s="48"/>
      <c r="Y35" s="48"/>
      <c r="Z35" s="48"/>
      <c r="AA35" s="114"/>
      <c r="AB35" s="52"/>
    </row>
    <row r="36" spans="1:28" x14ac:dyDescent="0.25">
      <c r="A36" s="127" t="s">
        <v>139</v>
      </c>
      <c r="B36" s="127" t="s">
        <v>140</v>
      </c>
      <c r="C36" s="48"/>
      <c r="D36" s="48"/>
      <c r="E36" s="48"/>
      <c r="F36" s="48"/>
      <c r="G36" s="48"/>
      <c r="H36" s="154">
        <f>H27+H34</f>
        <v>0</v>
      </c>
      <c r="I36" s="52"/>
      <c r="J36" s="127" t="s">
        <v>139</v>
      </c>
      <c r="K36" s="127" t="s">
        <v>140</v>
      </c>
      <c r="L36" s="48"/>
      <c r="M36" s="48"/>
      <c r="N36" s="48"/>
      <c r="O36" s="48"/>
      <c r="P36" s="48"/>
      <c r="Q36" s="154">
        <f>Q27+Q34</f>
        <v>0</v>
      </c>
      <c r="R36" s="52"/>
      <c r="S36" s="52"/>
      <c r="T36" s="127" t="s">
        <v>139</v>
      </c>
      <c r="U36" s="127" t="s">
        <v>140</v>
      </c>
      <c r="V36" s="48"/>
      <c r="W36" s="48"/>
      <c r="X36" s="48"/>
      <c r="Y36" s="48"/>
      <c r="Z36" s="48"/>
      <c r="AA36" s="154">
        <f>AA27+AA34</f>
        <v>0</v>
      </c>
      <c r="AB36" s="52"/>
    </row>
    <row r="37" spans="1:28" x14ac:dyDescent="0.25">
      <c r="A37" s="48"/>
      <c r="B37" s="48"/>
      <c r="C37" s="48"/>
      <c r="D37" s="48"/>
      <c r="E37" s="48"/>
      <c r="F37" s="48"/>
      <c r="G37" s="48"/>
      <c r="H37" s="48"/>
      <c r="I37" s="52"/>
      <c r="J37" s="48"/>
      <c r="K37" s="48"/>
      <c r="L37" s="48"/>
      <c r="M37" s="48"/>
      <c r="N37" s="48"/>
      <c r="O37" s="48"/>
      <c r="P37" s="48"/>
      <c r="Q37" s="48"/>
      <c r="R37" s="52"/>
      <c r="S37" s="52"/>
      <c r="T37" s="48"/>
      <c r="U37" s="48"/>
      <c r="V37" s="48"/>
      <c r="W37" s="48"/>
      <c r="X37" s="48"/>
      <c r="Y37" s="48"/>
      <c r="Z37" s="48"/>
      <c r="AA37" s="48"/>
      <c r="AB37" s="52"/>
    </row>
    <row r="38" spans="1:28" x14ac:dyDescent="0.25">
      <c r="A38" s="127" t="s">
        <v>141</v>
      </c>
      <c r="B38" s="127" t="s">
        <v>142</v>
      </c>
      <c r="C38" s="48"/>
      <c r="D38" s="48"/>
      <c r="E38" s="48"/>
      <c r="F38" s="48"/>
      <c r="G38" s="48"/>
      <c r="H38" s="48"/>
      <c r="I38" s="52"/>
      <c r="J38" s="127" t="s">
        <v>141</v>
      </c>
      <c r="K38" s="127" t="s">
        <v>142</v>
      </c>
      <c r="L38" s="48"/>
      <c r="M38" s="48"/>
      <c r="N38" s="48"/>
      <c r="O38" s="48"/>
      <c r="P38" s="48"/>
      <c r="Q38" s="48"/>
      <c r="R38" s="52"/>
      <c r="S38" s="52"/>
      <c r="T38" s="127" t="s">
        <v>141</v>
      </c>
      <c r="U38" s="127" t="s">
        <v>142</v>
      </c>
      <c r="V38" s="48"/>
      <c r="W38" s="48"/>
      <c r="X38" s="48"/>
      <c r="Y38" s="48"/>
      <c r="Z38" s="48"/>
      <c r="AA38" s="48"/>
      <c r="AB38" s="52"/>
    </row>
    <row r="39" spans="1:28" x14ac:dyDescent="0.25">
      <c r="A39" s="48"/>
      <c r="B39" s="48"/>
      <c r="C39" s="48"/>
      <c r="D39" s="48"/>
      <c r="E39" s="48"/>
      <c r="F39" s="48"/>
      <c r="G39" s="48"/>
      <c r="H39" s="48"/>
      <c r="I39" s="52"/>
      <c r="J39" s="48"/>
      <c r="K39" s="48"/>
      <c r="L39" s="48"/>
      <c r="M39" s="48"/>
      <c r="N39" s="48"/>
      <c r="O39" s="48"/>
      <c r="P39" s="48"/>
      <c r="Q39" s="48"/>
      <c r="R39" s="52"/>
      <c r="S39" s="52"/>
      <c r="T39" s="48"/>
      <c r="U39" s="48"/>
      <c r="V39" s="48"/>
      <c r="W39" s="48"/>
      <c r="X39" s="48"/>
      <c r="Y39" s="48"/>
      <c r="Z39" s="48"/>
      <c r="AA39" s="48"/>
      <c r="AB39" s="52"/>
    </row>
    <row r="40" spans="1:28" x14ac:dyDescent="0.25">
      <c r="A40" s="48"/>
      <c r="B40" s="127" t="s">
        <v>143</v>
      </c>
      <c r="C40" s="48"/>
      <c r="D40" s="48"/>
      <c r="E40" s="48"/>
      <c r="F40" s="48"/>
      <c r="G40" s="48"/>
      <c r="H40" s="154"/>
      <c r="I40" s="52"/>
      <c r="J40" s="48"/>
      <c r="K40" s="127" t="s">
        <v>143</v>
      </c>
      <c r="L40" s="48"/>
      <c r="M40" s="48"/>
      <c r="N40" s="48"/>
      <c r="O40" s="48"/>
      <c r="P40" s="48"/>
      <c r="Q40" s="154"/>
      <c r="R40" s="52"/>
      <c r="S40" s="52"/>
      <c r="T40" s="48"/>
      <c r="U40" s="127" t="s">
        <v>143</v>
      </c>
      <c r="V40" s="48"/>
      <c r="W40" s="48"/>
      <c r="X40" s="48"/>
      <c r="Y40" s="48"/>
      <c r="Z40" s="48"/>
      <c r="AA40" s="154"/>
      <c r="AB40" s="52"/>
    </row>
    <row r="41" spans="1:28" x14ac:dyDescent="0.25">
      <c r="A41" s="48"/>
      <c r="B41" s="127" t="s">
        <v>144</v>
      </c>
      <c r="C41" s="48"/>
      <c r="D41" s="48"/>
      <c r="E41" s="48"/>
      <c r="F41" s="48"/>
      <c r="G41" s="48"/>
      <c r="H41" s="154"/>
      <c r="I41" s="52"/>
      <c r="J41" s="48"/>
      <c r="K41" s="127" t="s">
        <v>144</v>
      </c>
      <c r="L41" s="48"/>
      <c r="M41" s="48"/>
      <c r="N41" s="48"/>
      <c r="O41" s="48"/>
      <c r="P41" s="48"/>
      <c r="Q41" s="154"/>
      <c r="R41" s="52"/>
      <c r="S41" s="52"/>
      <c r="T41" s="48"/>
      <c r="U41" s="127" t="s">
        <v>144</v>
      </c>
      <c r="V41" s="48"/>
      <c r="W41" s="48"/>
      <c r="X41" s="48"/>
      <c r="Y41" s="48"/>
      <c r="Z41" s="48"/>
      <c r="AA41" s="154"/>
      <c r="AB41" s="52"/>
    </row>
    <row r="42" spans="1:28" x14ac:dyDescent="0.25">
      <c r="A42" s="48"/>
      <c r="B42" s="127" t="s">
        <v>145</v>
      </c>
      <c r="C42" s="48"/>
      <c r="D42" s="48"/>
      <c r="E42" s="48"/>
      <c r="F42" s="48"/>
      <c r="G42" s="48"/>
      <c r="H42" s="154"/>
      <c r="I42" s="52"/>
      <c r="J42" s="48"/>
      <c r="K42" s="127" t="s">
        <v>145</v>
      </c>
      <c r="L42" s="48"/>
      <c r="M42" s="48"/>
      <c r="N42" s="48"/>
      <c r="O42" s="48"/>
      <c r="P42" s="48"/>
      <c r="Q42" s="154"/>
      <c r="R42" s="52"/>
      <c r="S42" s="52"/>
      <c r="T42" s="48"/>
      <c r="U42" s="127" t="s">
        <v>145</v>
      </c>
      <c r="V42" s="48"/>
      <c r="W42" s="48"/>
      <c r="X42" s="48"/>
      <c r="Y42" s="48"/>
      <c r="Z42" s="48"/>
      <c r="AA42" s="154"/>
      <c r="AB42" s="52"/>
    </row>
    <row r="43" spans="1:28" x14ac:dyDescent="0.25">
      <c r="A43" s="48"/>
      <c r="B43" s="127" t="s">
        <v>146</v>
      </c>
      <c r="C43" s="48"/>
      <c r="D43" s="48"/>
      <c r="E43" s="48"/>
      <c r="F43" s="48"/>
      <c r="G43" s="48"/>
      <c r="H43" s="154"/>
      <c r="I43" s="52"/>
      <c r="J43" s="48"/>
      <c r="K43" s="127" t="s">
        <v>146</v>
      </c>
      <c r="L43" s="48"/>
      <c r="M43" s="48"/>
      <c r="N43" s="48"/>
      <c r="O43" s="48"/>
      <c r="P43" s="48"/>
      <c r="Q43" s="154"/>
      <c r="R43" s="52"/>
      <c r="S43" s="52"/>
      <c r="T43" s="48"/>
      <c r="U43" s="127" t="s">
        <v>146</v>
      </c>
      <c r="V43" s="48"/>
      <c r="W43" s="48"/>
      <c r="X43" s="48"/>
      <c r="Y43" s="48"/>
      <c r="Z43" s="48"/>
      <c r="AA43" s="154"/>
      <c r="AB43" s="52"/>
    </row>
    <row r="44" spans="1:28" x14ac:dyDescent="0.25">
      <c r="A44" s="48"/>
      <c r="B44" s="127"/>
      <c r="C44" s="48"/>
      <c r="D44" s="48"/>
      <c r="E44" s="48"/>
      <c r="F44" s="48"/>
      <c r="G44" s="48"/>
      <c r="H44" s="154"/>
      <c r="I44" s="52"/>
      <c r="J44" s="48"/>
      <c r="K44" s="127"/>
      <c r="L44" s="48"/>
      <c r="M44" s="48"/>
      <c r="N44" s="48"/>
      <c r="O44" s="48"/>
      <c r="P44" s="48"/>
      <c r="Q44" s="154"/>
      <c r="R44" s="52"/>
      <c r="S44" s="52"/>
      <c r="T44" s="48"/>
      <c r="U44" s="127"/>
      <c r="V44" s="48"/>
      <c r="W44" s="48"/>
      <c r="X44" s="48"/>
      <c r="Y44" s="48"/>
      <c r="Z44" s="48"/>
      <c r="AA44" s="154"/>
      <c r="AB44" s="52"/>
    </row>
    <row r="45" spans="1:28" x14ac:dyDescent="0.25">
      <c r="A45" s="48"/>
      <c r="B45" s="127"/>
      <c r="C45" s="48"/>
      <c r="D45" s="48"/>
      <c r="E45" s="48"/>
      <c r="F45" s="48"/>
      <c r="G45" s="48"/>
      <c r="H45" s="154"/>
      <c r="I45" s="52"/>
      <c r="J45" s="48"/>
      <c r="K45" s="127"/>
      <c r="L45" s="48"/>
      <c r="M45" s="48"/>
      <c r="N45" s="48"/>
      <c r="O45" s="48"/>
      <c r="P45" s="48"/>
      <c r="Q45" s="154"/>
      <c r="R45" s="52"/>
      <c r="S45" s="52"/>
      <c r="T45" s="48"/>
      <c r="U45" s="127"/>
      <c r="V45" s="48"/>
      <c r="W45" s="48"/>
      <c r="X45" s="48"/>
      <c r="Y45" s="48"/>
      <c r="Z45" s="48"/>
      <c r="AA45" s="154"/>
      <c r="AB45" s="52"/>
    </row>
    <row r="46" spans="1:28" x14ac:dyDescent="0.25">
      <c r="A46" s="48"/>
      <c r="B46" s="48"/>
      <c r="C46" s="48"/>
      <c r="D46" s="48"/>
      <c r="E46" s="48"/>
      <c r="F46" s="48"/>
      <c r="G46" s="48"/>
      <c r="H46" s="114"/>
      <c r="I46" s="52"/>
      <c r="J46" s="48"/>
      <c r="K46" s="48"/>
      <c r="L46" s="48"/>
      <c r="M46" s="48"/>
      <c r="N46" s="48"/>
      <c r="O46" s="48"/>
      <c r="P46" s="48"/>
      <c r="Q46" s="114"/>
      <c r="R46" s="52"/>
      <c r="S46" s="52"/>
      <c r="T46" s="48"/>
      <c r="U46" s="48"/>
      <c r="V46" s="48"/>
      <c r="W46" s="48"/>
      <c r="X46" s="48"/>
      <c r="Y46" s="48"/>
      <c r="Z46" s="48"/>
      <c r="AA46" s="114"/>
      <c r="AB46" s="52"/>
    </row>
    <row r="47" spans="1:28" x14ac:dyDescent="0.25">
      <c r="A47" s="48"/>
      <c r="B47" s="127" t="s">
        <v>147</v>
      </c>
      <c r="C47" s="48"/>
      <c r="D47" s="48"/>
      <c r="E47" s="48"/>
      <c r="F47" s="48"/>
      <c r="G47" s="48"/>
      <c r="H47" s="154">
        <f>SUM(H40:H45)</f>
        <v>0</v>
      </c>
      <c r="I47" s="52"/>
      <c r="J47" s="48"/>
      <c r="K47" s="127" t="s">
        <v>147</v>
      </c>
      <c r="L47" s="48"/>
      <c r="M47" s="48"/>
      <c r="N47" s="48"/>
      <c r="O47" s="48"/>
      <c r="P47" s="48"/>
      <c r="Q47" s="154">
        <f>SUM(Q40:Q45)</f>
        <v>0</v>
      </c>
      <c r="R47" s="52"/>
      <c r="S47" s="52"/>
      <c r="T47" s="48"/>
      <c r="U47" s="127" t="s">
        <v>147</v>
      </c>
      <c r="V47" s="48"/>
      <c r="W47" s="48"/>
      <c r="X47" s="48"/>
      <c r="Y47" s="48"/>
      <c r="Z47" s="48"/>
      <c r="AA47" s="154">
        <f>SUM(AA40:AA45)</f>
        <v>0</v>
      </c>
      <c r="AB47" s="52"/>
    </row>
    <row r="48" spans="1:28" x14ac:dyDescent="0.25">
      <c r="A48" s="48"/>
      <c r="B48" s="48"/>
      <c r="C48" s="48"/>
      <c r="D48" s="48"/>
      <c r="E48" s="48"/>
      <c r="F48" s="48"/>
      <c r="G48" s="48"/>
      <c r="H48" s="114"/>
      <c r="I48" s="52"/>
      <c r="J48" s="48"/>
      <c r="K48" s="48"/>
      <c r="L48" s="48"/>
      <c r="M48" s="48"/>
      <c r="N48" s="48"/>
      <c r="O48" s="48"/>
      <c r="P48" s="48"/>
      <c r="Q48" s="114"/>
      <c r="R48" s="52"/>
      <c r="S48" s="52"/>
      <c r="T48" s="48"/>
      <c r="U48" s="48"/>
      <c r="V48" s="48"/>
      <c r="W48" s="48"/>
      <c r="X48" s="48"/>
      <c r="Y48" s="48"/>
      <c r="Z48" s="48"/>
      <c r="AA48" s="114"/>
      <c r="AB48" s="52"/>
    </row>
    <row r="49" spans="1:28" x14ac:dyDescent="0.25">
      <c r="A49" s="127" t="s">
        <v>148</v>
      </c>
      <c r="B49" s="127" t="s">
        <v>149</v>
      </c>
      <c r="C49" s="48"/>
      <c r="D49" s="48"/>
      <c r="E49" s="48"/>
      <c r="F49" s="48"/>
      <c r="G49" s="48"/>
      <c r="H49" s="154">
        <f>H36-H47</f>
        <v>0</v>
      </c>
      <c r="I49" s="52"/>
      <c r="J49" s="127" t="s">
        <v>148</v>
      </c>
      <c r="K49" s="127" t="s">
        <v>149</v>
      </c>
      <c r="L49" s="48"/>
      <c r="M49" s="48"/>
      <c r="N49" s="48"/>
      <c r="O49" s="48"/>
      <c r="P49" s="48"/>
      <c r="Q49" s="154">
        <f>Q36-Q47</f>
        <v>0</v>
      </c>
      <c r="R49" s="52"/>
      <c r="S49" s="52"/>
      <c r="T49" s="127" t="s">
        <v>148</v>
      </c>
      <c r="U49" s="127" t="s">
        <v>149</v>
      </c>
      <c r="V49" s="48"/>
      <c r="W49" s="48"/>
      <c r="X49" s="48"/>
      <c r="Y49" s="48"/>
      <c r="Z49" s="48"/>
      <c r="AA49" s="154">
        <f>AA36-AA47</f>
        <v>0</v>
      </c>
      <c r="AB49" s="52"/>
    </row>
    <row r="50" spans="1:28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</sheetData>
  <pageMargins left="0.75" right="0.75" top="1" bottom="1" header="0.5" footer="0.5"/>
  <pageSetup firstPageNumber="16" orientation="portrait" useFirstPageNumber="1" r:id="rId1"/>
  <headerFooter alignWithMargins="0">
    <oddFooter>&amp;L&amp;8O'Brien &amp; Gere Engineers, Inc.
&amp;D&amp;C&amp;P</oddFooter>
  </headerFooter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78"/>
  <sheetViews>
    <sheetView tabSelected="1" zoomScaleNormal="100" workbookViewId="0">
      <selection activeCell="Q49" sqref="Q49"/>
    </sheetView>
  </sheetViews>
  <sheetFormatPr defaultRowHeight="13.2" x14ac:dyDescent="0.25"/>
  <cols>
    <col min="9" max="9" width="13.44140625" bestFit="1" customWidth="1"/>
    <col min="17" max="17" width="13.88671875" bestFit="1" customWidth="1"/>
    <col min="26" max="26" width="13.44140625" bestFit="1" customWidth="1"/>
    <col min="35" max="35" width="11.88671875" bestFit="1" customWidth="1"/>
  </cols>
  <sheetData>
    <row r="1" spans="1:54" x14ac:dyDescent="0.25">
      <c r="A1" s="215" t="s">
        <v>150</v>
      </c>
      <c r="B1" s="222"/>
      <c r="C1" s="222"/>
      <c r="D1" s="222"/>
      <c r="E1" s="222"/>
      <c r="F1" s="222"/>
      <c r="G1" s="222"/>
      <c r="H1" s="222"/>
      <c r="I1" s="222"/>
      <c r="J1" s="215" t="s">
        <v>151</v>
      </c>
      <c r="K1" s="222"/>
      <c r="L1" s="222"/>
      <c r="M1" s="222"/>
      <c r="N1" s="222"/>
      <c r="O1" s="222"/>
      <c r="P1" s="260"/>
      <c r="Q1" s="222"/>
      <c r="R1" s="261"/>
      <c r="S1" s="211" t="s">
        <v>152</v>
      </c>
      <c r="T1" s="261"/>
      <c r="U1" s="261"/>
      <c r="V1" s="261"/>
      <c r="W1" s="261"/>
      <c r="X1" s="261"/>
      <c r="Y1" s="262"/>
      <c r="Z1" s="261"/>
      <c r="AA1" s="261"/>
      <c r="AB1" s="211" t="s">
        <v>153</v>
      </c>
      <c r="AC1" s="261"/>
      <c r="AD1" s="261"/>
      <c r="AE1" s="261"/>
      <c r="AF1" s="261"/>
      <c r="AG1" s="261"/>
      <c r="AH1" s="262"/>
      <c r="AI1" s="26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</row>
    <row r="2" spans="1:54" x14ac:dyDescent="0.25">
      <c r="A2" s="222"/>
      <c r="B2" s="215"/>
      <c r="C2" s="222"/>
      <c r="D2" s="222"/>
      <c r="E2" s="222"/>
      <c r="F2" s="222"/>
      <c r="G2" s="260"/>
      <c r="H2" s="216" t="s">
        <v>154</v>
      </c>
      <c r="I2" s="222"/>
      <c r="J2" s="216"/>
      <c r="K2" s="222" t="s">
        <v>155</v>
      </c>
      <c r="L2" s="222"/>
      <c r="M2" s="222"/>
      <c r="N2" s="222"/>
      <c r="O2" s="260"/>
      <c r="P2" s="216" t="s">
        <v>156</v>
      </c>
      <c r="Q2" s="260"/>
      <c r="R2" s="261"/>
      <c r="S2" s="262"/>
      <c r="T2" s="211" t="s">
        <v>157</v>
      </c>
      <c r="U2" s="261"/>
      <c r="V2" s="261"/>
      <c r="W2" s="261"/>
      <c r="X2" s="212"/>
      <c r="Y2" s="262"/>
      <c r="Z2" s="261"/>
      <c r="AA2" s="261"/>
      <c r="AB2" s="212"/>
      <c r="AC2" s="261" t="s">
        <v>155</v>
      </c>
      <c r="AD2" s="261"/>
      <c r="AE2" s="261"/>
      <c r="AF2" s="261"/>
      <c r="AG2" s="262"/>
      <c r="AH2" s="212" t="s">
        <v>156</v>
      </c>
      <c r="AI2" s="262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</row>
    <row r="3" spans="1:54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0"/>
      <c r="K3" s="263"/>
      <c r="L3" s="263"/>
      <c r="M3" s="264"/>
      <c r="N3" s="263"/>
      <c r="O3" s="263"/>
      <c r="P3" s="264"/>
      <c r="Q3" s="264"/>
      <c r="R3" s="265"/>
      <c r="S3" s="213"/>
      <c r="T3" s="265"/>
      <c r="U3" s="265"/>
      <c r="V3" s="266"/>
      <c r="W3" s="265"/>
      <c r="X3" s="265"/>
      <c r="Y3" s="266"/>
      <c r="Z3" s="266"/>
      <c r="AA3" s="265"/>
      <c r="AB3" s="213"/>
      <c r="AC3" s="265"/>
      <c r="AD3" s="214" t="s">
        <v>158</v>
      </c>
      <c r="AE3" s="267"/>
      <c r="AF3" s="265"/>
      <c r="AG3" s="265"/>
      <c r="AH3" s="266"/>
      <c r="AI3" s="266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</row>
    <row r="4" spans="1:54" x14ac:dyDescent="0.25">
      <c r="A4" s="222"/>
      <c r="B4" s="216" t="s">
        <v>115</v>
      </c>
      <c r="C4" s="216" t="s">
        <v>116</v>
      </c>
      <c r="D4" s="222"/>
      <c r="E4" s="222"/>
      <c r="F4" s="222"/>
      <c r="G4" s="222"/>
      <c r="H4" s="222"/>
      <c r="I4" s="222"/>
      <c r="J4" s="216" t="s">
        <v>115</v>
      </c>
      <c r="K4" s="216" t="s">
        <v>116</v>
      </c>
      <c r="L4" s="222"/>
      <c r="M4" s="222"/>
      <c r="N4" s="222"/>
      <c r="O4" s="222"/>
      <c r="P4" s="222"/>
      <c r="Q4" s="222"/>
      <c r="R4" s="262"/>
      <c r="S4" s="212" t="s">
        <v>115</v>
      </c>
      <c r="T4" s="212" t="s">
        <v>116</v>
      </c>
      <c r="U4" s="261"/>
      <c r="V4" s="261"/>
      <c r="W4" s="261"/>
      <c r="X4" s="261"/>
      <c r="Y4" s="261"/>
      <c r="Z4" s="261"/>
      <c r="AA4" s="262"/>
      <c r="AB4" s="212" t="s">
        <v>115</v>
      </c>
      <c r="AC4" s="212" t="s">
        <v>116</v>
      </c>
      <c r="AD4" s="261"/>
      <c r="AE4" s="261"/>
      <c r="AF4" s="261"/>
      <c r="AG4" s="261"/>
      <c r="AH4" s="261"/>
      <c r="AI4" s="26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</row>
    <row r="5" spans="1:54" x14ac:dyDescent="0.25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62"/>
      <c r="S5" s="261"/>
      <c r="T5" s="261"/>
      <c r="U5" s="261"/>
      <c r="V5" s="261"/>
      <c r="W5" s="261"/>
      <c r="X5" s="261"/>
      <c r="Y5" s="261"/>
      <c r="Z5" s="261"/>
      <c r="AA5" s="262"/>
      <c r="AB5" s="261"/>
      <c r="AC5" s="261"/>
      <c r="AD5" s="261"/>
      <c r="AE5" s="261"/>
      <c r="AF5" s="261"/>
      <c r="AG5" s="261"/>
      <c r="AH5" s="261"/>
      <c r="AI5" s="26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</row>
    <row r="6" spans="1:54" x14ac:dyDescent="0.25">
      <c r="A6" s="222"/>
      <c r="B6" s="222"/>
      <c r="C6" s="216" t="s">
        <v>159</v>
      </c>
      <c r="D6" s="222"/>
      <c r="E6" s="222"/>
      <c r="F6" s="222"/>
      <c r="G6" s="222"/>
      <c r="H6" s="222"/>
      <c r="I6" s="268">
        <v>249338.47</v>
      </c>
      <c r="J6" s="222"/>
      <c r="K6" s="216" t="s">
        <v>159</v>
      </c>
      <c r="L6" s="222"/>
      <c r="M6" s="222"/>
      <c r="N6" s="222"/>
      <c r="O6" s="222"/>
      <c r="P6" s="222"/>
      <c r="Q6" s="269">
        <f>('Water Forecast'!R12+'Water Forecast'!U12)*12</f>
        <v>411792.348</v>
      </c>
      <c r="R6" s="262"/>
      <c r="S6" s="261"/>
      <c r="T6" s="212" t="s">
        <v>159</v>
      </c>
      <c r="U6" s="261"/>
      <c r="V6" s="261"/>
      <c r="W6" s="261"/>
      <c r="X6" s="261"/>
      <c r="Y6" s="261"/>
      <c r="Z6" s="270"/>
      <c r="AA6" s="262"/>
      <c r="AB6" s="261"/>
      <c r="AC6" s="212" t="s">
        <v>159</v>
      </c>
      <c r="AD6" s="261"/>
      <c r="AE6" s="261"/>
      <c r="AF6" s="261"/>
      <c r="AG6" s="261"/>
      <c r="AH6" s="261"/>
      <c r="AI6" s="271">
        <f>('Water Forecast'!G18+'Water Forecast'!J18)*12</f>
        <v>247091.03999999998</v>
      </c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</row>
    <row r="7" spans="1:54" x14ac:dyDescent="0.25">
      <c r="A7" s="222"/>
      <c r="B7" s="222"/>
      <c r="C7" s="216" t="s">
        <v>160</v>
      </c>
      <c r="D7" s="222"/>
      <c r="E7" s="222"/>
      <c r="F7" s="222"/>
      <c r="G7" s="222"/>
      <c r="H7" s="222"/>
      <c r="I7" s="272">
        <v>23896.85</v>
      </c>
      <c r="J7" s="222"/>
      <c r="K7" s="216" t="s">
        <v>160</v>
      </c>
      <c r="L7" s="222"/>
      <c r="M7" s="222"/>
      <c r="N7" s="222"/>
      <c r="O7" s="222"/>
      <c r="P7" s="222"/>
      <c r="Q7" s="273">
        <v>720</v>
      </c>
      <c r="R7" s="262"/>
      <c r="S7" s="261"/>
      <c r="T7" s="212" t="s">
        <v>160</v>
      </c>
      <c r="U7" s="261"/>
      <c r="V7" s="261"/>
      <c r="W7" s="261"/>
      <c r="X7" s="261"/>
      <c r="Y7" s="261"/>
      <c r="Z7" s="274"/>
      <c r="AA7" s="262"/>
      <c r="AB7" s="261"/>
      <c r="AC7" s="212" t="s">
        <v>160</v>
      </c>
      <c r="AD7" s="261"/>
      <c r="AE7" s="261"/>
      <c r="AF7" s="261"/>
      <c r="AG7" s="261"/>
      <c r="AH7" s="261"/>
      <c r="AI7" s="275">
        <v>75000</v>
      </c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</row>
    <row r="8" spans="1:54" x14ac:dyDescent="0.25">
      <c r="A8" s="222"/>
      <c r="B8" s="222"/>
      <c r="C8" s="216" t="s">
        <v>119</v>
      </c>
      <c r="D8" s="222"/>
      <c r="E8" s="216" t="s">
        <v>161</v>
      </c>
      <c r="F8" s="222"/>
      <c r="G8" s="222"/>
      <c r="H8" s="222"/>
      <c r="I8" s="272">
        <v>7307.81</v>
      </c>
      <c r="J8" s="222"/>
      <c r="K8" s="216" t="s">
        <v>119</v>
      </c>
      <c r="L8" s="222"/>
      <c r="M8" s="216"/>
      <c r="N8" s="222"/>
      <c r="O8" s="222"/>
      <c r="P8" s="222"/>
      <c r="Q8" s="222">
        <v>7308</v>
      </c>
      <c r="R8" s="262"/>
      <c r="S8" s="261"/>
      <c r="T8" s="212" t="s">
        <v>119</v>
      </c>
      <c r="U8" s="261"/>
      <c r="V8" s="212" t="s">
        <v>162</v>
      </c>
      <c r="W8" s="261"/>
      <c r="X8" s="261"/>
      <c r="Y8" s="261"/>
      <c r="Z8" s="274"/>
      <c r="AA8" s="262"/>
      <c r="AB8" s="261"/>
      <c r="AC8" s="212" t="s">
        <v>119</v>
      </c>
      <c r="AD8" s="261"/>
      <c r="AE8" s="212" t="s">
        <v>162</v>
      </c>
      <c r="AF8" s="261"/>
      <c r="AG8" s="261"/>
      <c r="AH8" s="261"/>
      <c r="AI8" s="26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</row>
    <row r="9" spans="1:54" x14ac:dyDescent="0.25">
      <c r="A9" s="222"/>
      <c r="B9" s="222"/>
      <c r="C9" s="222"/>
      <c r="D9" s="222"/>
      <c r="E9" s="222"/>
      <c r="F9" s="222"/>
      <c r="G9" s="222"/>
      <c r="H9" s="222"/>
      <c r="I9" s="272"/>
      <c r="J9" s="222"/>
      <c r="K9" s="222"/>
      <c r="L9" s="222"/>
      <c r="M9" s="222"/>
      <c r="N9" s="222"/>
      <c r="O9" s="222"/>
      <c r="P9" s="222"/>
      <c r="Q9" s="222"/>
      <c r="R9" s="262"/>
      <c r="S9" s="261"/>
      <c r="T9" s="261"/>
      <c r="U9" s="261"/>
      <c r="V9" s="261"/>
      <c r="W9" s="261"/>
      <c r="X9" s="261"/>
      <c r="Y9" s="261"/>
      <c r="Z9" s="274"/>
      <c r="AA9" s="262"/>
      <c r="AB9" s="261"/>
      <c r="AC9" s="261"/>
      <c r="AD9" s="261"/>
      <c r="AE9" s="261"/>
      <c r="AF9" s="261"/>
      <c r="AG9" s="261"/>
      <c r="AH9" s="261"/>
      <c r="AI9" s="26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</row>
    <row r="10" spans="1:54" x14ac:dyDescent="0.25">
      <c r="A10" s="222"/>
      <c r="B10" s="222"/>
      <c r="C10" s="216" t="s">
        <v>120</v>
      </c>
      <c r="D10" s="216" t="s">
        <v>121</v>
      </c>
      <c r="E10" s="222"/>
      <c r="F10" s="222"/>
      <c r="G10" s="222"/>
      <c r="H10" s="222"/>
      <c r="I10" s="272">
        <v>7308</v>
      </c>
      <c r="J10" s="222"/>
      <c r="K10" s="216" t="s">
        <v>120</v>
      </c>
      <c r="L10" s="216" t="s">
        <v>121</v>
      </c>
      <c r="M10" s="222"/>
      <c r="N10" s="222"/>
      <c r="O10" s="222"/>
      <c r="P10" s="222"/>
      <c r="Q10" s="222">
        <v>7308</v>
      </c>
      <c r="R10" s="262"/>
      <c r="S10" s="261"/>
      <c r="T10" s="212" t="s">
        <v>120</v>
      </c>
      <c r="U10" s="212" t="s">
        <v>121</v>
      </c>
      <c r="V10" s="261"/>
      <c r="W10" s="261"/>
      <c r="X10" s="261"/>
      <c r="Y10" s="261"/>
      <c r="Z10" s="274"/>
      <c r="AA10" s="262"/>
      <c r="AB10" s="261"/>
      <c r="AC10" s="212" t="s">
        <v>120</v>
      </c>
      <c r="AD10" s="212" t="s">
        <v>121</v>
      </c>
      <c r="AE10" s="261"/>
      <c r="AF10" s="261"/>
      <c r="AG10" s="261"/>
      <c r="AH10" s="261"/>
      <c r="AI10" s="26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</row>
    <row r="11" spans="1:54" x14ac:dyDescent="0.25">
      <c r="A11" s="222"/>
      <c r="B11" s="222"/>
      <c r="C11" s="222"/>
      <c r="D11" s="222"/>
      <c r="E11" s="222"/>
      <c r="F11" s="222"/>
      <c r="G11" s="222"/>
      <c r="H11" s="222"/>
      <c r="I11" s="276"/>
      <c r="J11" s="222"/>
      <c r="K11" s="222"/>
      <c r="L11" s="222"/>
      <c r="M11" s="222"/>
      <c r="N11" s="222"/>
      <c r="O11" s="222"/>
      <c r="P11" s="222"/>
      <c r="Q11" s="277"/>
      <c r="R11" s="262"/>
      <c r="S11" s="261"/>
      <c r="T11" s="261"/>
      <c r="U11" s="261"/>
      <c r="V11" s="261"/>
      <c r="W11" s="261"/>
      <c r="X11" s="261"/>
      <c r="Y11" s="261"/>
      <c r="Z11" s="278"/>
      <c r="AA11" s="262"/>
      <c r="AB11" s="261"/>
      <c r="AC11" s="261"/>
      <c r="AD11" s="261"/>
      <c r="AE11" s="261"/>
      <c r="AF11" s="261"/>
      <c r="AG11" s="261"/>
      <c r="AH11" s="261"/>
      <c r="AI11" s="279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</row>
    <row r="12" spans="1:54" x14ac:dyDescent="0.25">
      <c r="A12" s="222"/>
      <c r="B12" s="222"/>
      <c r="C12" s="216" t="s">
        <v>122</v>
      </c>
      <c r="D12" s="222"/>
      <c r="E12" s="222"/>
      <c r="F12" s="222"/>
      <c r="G12" s="222"/>
      <c r="H12" s="222"/>
      <c r="I12" s="268">
        <f>SUM(I6:I8)-I10</f>
        <v>273235.13</v>
      </c>
      <c r="J12" s="222"/>
      <c r="K12" s="216" t="s">
        <v>122</v>
      </c>
      <c r="L12" s="222"/>
      <c r="M12" s="222"/>
      <c r="N12" s="222"/>
      <c r="O12" s="222"/>
      <c r="P12" s="222"/>
      <c r="Q12" s="269">
        <f>SUM(Q6:Q8)-Q10</f>
        <v>412512.348</v>
      </c>
      <c r="R12" s="262"/>
      <c r="S12" s="261"/>
      <c r="T12" s="212" t="s">
        <v>122</v>
      </c>
      <c r="U12" s="261"/>
      <c r="V12" s="261"/>
      <c r="W12" s="261"/>
      <c r="X12" s="261"/>
      <c r="Y12" s="261"/>
      <c r="Z12" s="270">
        <f>SUM(Z6:Z8)</f>
        <v>0</v>
      </c>
      <c r="AA12" s="262"/>
      <c r="AB12" s="261"/>
      <c r="AC12" s="212" t="s">
        <v>122</v>
      </c>
      <c r="AD12" s="261"/>
      <c r="AE12" s="261"/>
      <c r="AF12" s="261"/>
      <c r="AG12" s="261"/>
      <c r="AH12" s="261"/>
      <c r="AI12" s="271">
        <f>SUM(AI6:AI8)</f>
        <v>322091.03999999998</v>
      </c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</row>
    <row r="13" spans="1:54" x14ac:dyDescent="0.25">
      <c r="A13" s="222"/>
      <c r="B13" s="222"/>
      <c r="C13" s="222"/>
      <c r="D13" s="222"/>
      <c r="E13" s="222"/>
      <c r="F13" s="222"/>
      <c r="G13" s="222"/>
      <c r="H13" s="222"/>
      <c r="I13" s="272"/>
      <c r="J13" s="222"/>
      <c r="K13" s="222"/>
      <c r="L13" s="222"/>
      <c r="M13" s="222"/>
      <c r="N13" s="222"/>
      <c r="O13" s="222"/>
      <c r="P13" s="222"/>
      <c r="Q13" s="222"/>
      <c r="R13" s="261"/>
      <c r="S13" s="261"/>
      <c r="T13" s="261"/>
      <c r="U13" s="261"/>
      <c r="V13" s="261"/>
      <c r="W13" s="261"/>
      <c r="X13" s="261"/>
      <c r="Y13" s="261"/>
      <c r="Z13" s="274"/>
      <c r="AA13" s="261"/>
      <c r="AB13" s="261"/>
      <c r="AC13" s="261"/>
      <c r="AD13" s="261"/>
      <c r="AE13" s="261"/>
      <c r="AF13" s="261"/>
      <c r="AG13" s="261"/>
      <c r="AH13" s="261"/>
      <c r="AI13" s="26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</row>
    <row r="14" spans="1:54" x14ac:dyDescent="0.25">
      <c r="A14" s="222"/>
      <c r="B14" s="216" t="s">
        <v>123</v>
      </c>
      <c r="C14" s="216" t="s">
        <v>124</v>
      </c>
      <c r="D14" s="222"/>
      <c r="E14" s="222"/>
      <c r="F14" s="222"/>
      <c r="G14" s="222"/>
      <c r="H14" s="222"/>
      <c r="I14" s="272"/>
      <c r="J14" s="216" t="s">
        <v>123</v>
      </c>
      <c r="K14" s="216" t="s">
        <v>124</v>
      </c>
      <c r="L14" s="222"/>
      <c r="M14" s="222"/>
      <c r="N14" s="222"/>
      <c r="O14" s="222"/>
      <c r="P14" s="222"/>
      <c r="Q14" s="222"/>
      <c r="R14" s="262"/>
      <c r="S14" s="212" t="s">
        <v>123</v>
      </c>
      <c r="T14" s="212" t="s">
        <v>124</v>
      </c>
      <c r="U14" s="261"/>
      <c r="V14" s="261"/>
      <c r="W14" s="261"/>
      <c r="X14" s="261"/>
      <c r="Y14" s="261"/>
      <c r="Z14" s="274"/>
      <c r="AA14" s="262"/>
      <c r="AB14" s="212" t="s">
        <v>123</v>
      </c>
      <c r="AC14" s="212" t="s">
        <v>124</v>
      </c>
      <c r="AD14" s="261"/>
      <c r="AE14" s="261"/>
      <c r="AF14" s="261"/>
      <c r="AG14" s="261"/>
      <c r="AH14" s="261"/>
      <c r="AI14" s="26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</row>
    <row r="15" spans="1:54" x14ac:dyDescent="0.25">
      <c r="A15" s="222"/>
      <c r="B15" s="222"/>
      <c r="C15" s="216" t="s">
        <v>125</v>
      </c>
      <c r="D15" s="222"/>
      <c r="E15" s="222"/>
      <c r="F15" s="222"/>
      <c r="G15" s="222"/>
      <c r="H15" s="222"/>
      <c r="I15" s="272"/>
      <c r="J15" s="222"/>
      <c r="K15" s="216" t="s">
        <v>125</v>
      </c>
      <c r="L15" s="222"/>
      <c r="M15" s="222"/>
      <c r="N15" s="222"/>
      <c r="O15" s="222"/>
      <c r="P15" s="222"/>
      <c r="Q15" s="222"/>
      <c r="R15" s="262"/>
      <c r="S15" s="261"/>
      <c r="T15" s="212" t="s">
        <v>125</v>
      </c>
      <c r="U15" s="261"/>
      <c r="V15" s="261"/>
      <c r="W15" s="261"/>
      <c r="X15" s="261"/>
      <c r="Y15" s="261"/>
      <c r="Z15" s="274"/>
      <c r="AA15" s="262"/>
      <c r="AB15" s="261"/>
      <c r="AC15" s="212" t="s">
        <v>125</v>
      </c>
      <c r="AD15" s="261"/>
      <c r="AE15" s="261"/>
      <c r="AF15" s="261"/>
      <c r="AG15" s="261"/>
      <c r="AH15" s="261"/>
      <c r="AI15" s="26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</row>
    <row r="16" spans="1:54" x14ac:dyDescent="0.25">
      <c r="A16" s="222"/>
      <c r="B16" s="222"/>
      <c r="C16" s="216" t="s">
        <v>126</v>
      </c>
      <c r="D16" s="222"/>
      <c r="E16" s="222"/>
      <c r="F16" s="222"/>
      <c r="G16" s="222"/>
      <c r="H16" s="222"/>
      <c r="I16" s="272"/>
      <c r="J16" s="222"/>
      <c r="K16" s="216" t="s">
        <v>126</v>
      </c>
      <c r="L16" s="222"/>
      <c r="M16" s="222"/>
      <c r="N16" s="222"/>
      <c r="O16" s="222"/>
      <c r="P16" s="222"/>
      <c r="Q16" s="222"/>
      <c r="R16" s="262"/>
      <c r="S16" s="261"/>
      <c r="T16" s="212" t="s">
        <v>126</v>
      </c>
      <c r="U16" s="261"/>
      <c r="V16" s="261"/>
      <c r="W16" s="261"/>
      <c r="X16" s="261"/>
      <c r="Y16" s="261"/>
      <c r="Z16" s="274"/>
      <c r="AA16" s="262"/>
      <c r="AB16" s="261"/>
      <c r="AC16" s="212" t="s">
        <v>126</v>
      </c>
      <c r="AD16" s="261"/>
      <c r="AE16" s="261"/>
      <c r="AF16" s="261"/>
      <c r="AG16" s="261"/>
      <c r="AH16" s="261"/>
      <c r="AI16" s="26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</row>
    <row r="17" spans="1:54" x14ac:dyDescent="0.25">
      <c r="A17" s="222"/>
      <c r="B17" s="222"/>
      <c r="C17" s="222"/>
      <c r="D17" s="222"/>
      <c r="E17" s="222"/>
      <c r="F17" s="222"/>
      <c r="G17" s="222"/>
      <c r="H17" s="222"/>
      <c r="I17" s="272"/>
      <c r="J17" s="222"/>
      <c r="K17" s="222"/>
      <c r="L17" s="222"/>
      <c r="M17" s="222"/>
      <c r="N17" s="222"/>
      <c r="O17" s="222"/>
      <c r="P17" s="222"/>
      <c r="Q17" s="222"/>
      <c r="R17" s="262"/>
      <c r="S17" s="261"/>
      <c r="T17" s="261"/>
      <c r="U17" s="261"/>
      <c r="V17" s="261"/>
      <c r="W17" s="261"/>
      <c r="X17" s="261"/>
      <c r="Y17" s="261"/>
      <c r="Z17" s="274"/>
      <c r="AA17" s="262"/>
      <c r="AB17" s="261"/>
      <c r="AC17" s="261"/>
      <c r="AD17" s="261"/>
      <c r="AE17" s="261"/>
      <c r="AF17" s="261"/>
      <c r="AG17" s="261"/>
      <c r="AH17" s="261"/>
      <c r="AI17" s="26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</row>
    <row r="18" spans="1:54" x14ac:dyDescent="0.25">
      <c r="A18" s="222"/>
      <c r="B18" s="222"/>
      <c r="C18" s="216" t="s">
        <v>163</v>
      </c>
      <c r="D18" s="222"/>
      <c r="E18" s="222"/>
      <c r="F18" s="222"/>
      <c r="G18" s="222"/>
      <c r="H18" s="222"/>
      <c r="I18" s="268">
        <v>150965</v>
      </c>
      <c r="J18" s="222"/>
      <c r="K18" s="216" t="s">
        <v>163</v>
      </c>
      <c r="L18" s="222"/>
      <c r="M18" s="222"/>
      <c r="N18" s="222"/>
      <c r="O18" s="222"/>
      <c r="P18" s="222"/>
      <c r="Q18" s="268">
        <v>163383</v>
      </c>
      <c r="R18" s="262"/>
      <c r="S18" s="261"/>
      <c r="T18" s="212" t="s">
        <v>163</v>
      </c>
      <c r="U18" s="261"/>
      <c r="V18" s="261"/>
      <c r="W18" s="261"/>
      <c r="X18" s="261"/>
      <c r="Y18" s="261"/>
      <c r="Z18" s="270"/>
      <c r="AA18" s="262"/>
      <c r="AB18" s="261"/>
      <c r="AC18" s="212" t="s">
        <v>163</v>
      </c>
      <c r="AD18" s="261"/>
      <c r="AE18" s="261"/>
      <c r="AF18" s="261"/>
      <c r="AG18" s="261"/>
      <c r="AH18" s="261"/>
      <c r="AI18" s="270">
        <v>775000</v>
      </c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</row>
    <row r="19" spans="1:54" x14ac:dyDescent="0.25">
      <c r="A19" s="222"/>
      <c r="B19" s="222"/>
      <c r="C19" s="216" t="s">
        <v>164</v>
      </c>
      <c r="D19" s="222"/>
      <c r="E19" s="222"/>
      <c r="F19" s="222"/>
      <c r="G19" s="222"/>
      <c r="H19" s="222"/>
      <c r="I19" s="268">
        <v>0</v>
      </c>
      <c r="J19" s="222"/>
      <c r="K19" s="216" t="s">
        <v>164</v>
      </c>
      <c r="L19" s="222"/>
      <c r="M19" s="222"/>
      <c r="N19" s="222"/>
      <c r="O19" s="222"/>
      <c r="P19" s="222"/>
      <c r="Q19" s="268">
        <v>0</v>
      </c>
      <c r="R19" s="262"/>
      <c r="S19" s="261"/>
      <c r="T19" s="212" t="s">
        <v>164</v>
      </c>
      <c r="U19" s="261"/>
      <c r="V19" s="261"/>
      <c r="W19" s="261"/>
      <c r="X19" s="261"/>
      <c r="Y19" s="261"/>
      <c r="Z19" s="270"/>
      <c r="AA19" s="262"/>
      <c r="AB19" s="261"/>
      <c r="AC19" s="212" t="s">
        <v>164</v>
      </c>
      <c r="AD19" s="261"/>
      <c r="AE19" s="261"/>
      <c r="AF19" s="261"/>
      <c r="AG19" s="261"/>
      <c r="AH19" s="261"/>
      <c r="AI19" s="270">
        <v>90000</v>
      </c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</row>
    <row r="20" spans="1:54" x14ac:dyDescent="0.25">
      <c r="A20" s="222"/>
      <c r="B20" s="222"/>
      <c r="C20" s="216" t="s">
        <v>165</v>
      </c>
      <c r="D20" s="222"/>
      <c r="E20" s="222"/>
      <c r="F20" s="222"/>
      <c r="G20" s="222"/>
      <c r="H20" s="222"/>
      <c r="I20" s="268">
        <v>0</v>
      </c>
      <c r="J20" s="222"/>
      <c r="K20" s="216" t="s">
        <v>165</v>
      </c>
      <c r="L20" s="222"/>
      <c r="M20" s="222"/>
      <c r="N20" s="222"/>
      <c r="O20" s="222"/>
      <c r="P20" s="222"/>
      <c r="Q20" s="268">
        <v>0</v>
      </c>
      <c r="R20" s="262"/>
      <c r="S20" s="261"/>
      <c r="T20" s="212" t="s">
        <v>165</v>
      </c>
      <c r="U20" s="261"/>
      <c r="V20" s="261"/>
      <c r="W20" s="261"/>
      <c r="X20" s="261"/>
      <c r="Y20" s="261"/>
      <c r="Z20" s="270"/>
      <c r="AA20" s="262"/>
      <c r="AB20" s="261"/>
      <c r="AC20" s="212" t="s">
        <v>165</v>
      </c>
      <c r="AD20" s="261"/>
      <c r="AE20" s="261"/>
      <c r="AF20" s="261"/>
      <c r="AG20" s="261"/>
      <c r="AH20" s="261"/>
      <c r="AI20" s="270">
        <v>0</v>
      </c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</row>
    <row r="21" spans="1:54" x14ac:dyDescent="0.25">
      <c r="A21" s="222"/>
      <c r="B21" s="222"/>
      <c r="C21" s="216" t="s">
        <v>166</v>
      </c>
      <c r="D21" s="222"/>
      <c r="E21" s="222"/>
      <c r="F21" s="222"/>
      <c r="G21" s="222"/>
      <c r="H21" s="222"/>
      <c r="I21" s="268">
        <v>52121</v>
      </c>
      <c r="J21" s="222"/>
      <c r="K21" s="216" t="s">
        <v>166</v>
      </c>
      <c r="L21" s="222"/>
      <c r="M21" s="222"/>
      <c r="N21" s="222"/>
      <c r="O21" s="222"/>
      <c r="P21" s="222"/>
      <c r="Q21" s="268">
        <v>56408</v>
      </c>
      <c r="R21" s="262"/>
      <c r="S21" s="261"/>
      <c r="T21" s="212" t="s">
        <v>166</v>
      </c>
      <c r="U21" s="261"/>
      <c r="V21" s="261"/>
      <c r="W21" s="261"/>
      <c r="X21" s="261"/>
      <c r="Y21" s="261"/>
      <c r="Z21" s="270"/>
      <c r="AA21" s="262"/>
      <c r="AB21" s="261"/>
      <c r="AC21" s="212" t="s">
        <v>166</v>
      </c>
      <c r="AD21" s="261"/>
      <c r="AE21" s="261"/>
      <c r="AF21" s="261"/>
      <c r="AG21" s="261"/>
      <c r="AH21" s="261"/>
      <c r="AI21" s="270">
        <f>360000+100000+35000+75000+45000</f>
        <v>615000</v>
      </c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</row>
    <row r="22" spans="1:54" x14ac:dyDescent="0.25">
      <c r="A22" s="222"/>
      <c r="B22" s="222"/>
      <c r="C22" s="216" t="s">
        <v>129</v>
      </c>
      <c r="D22" s="222"/>
      <c r="E22" s="222"/>
      <c r="F22" s="222"/>
      <c r="G22" s="222"/>
      <c r="H22" s="222"/>
      <c r="I22" s="268">
        <v>0</v>
      </c>
      <c r="J22" s="222"/>
      <c r="K22" s="216" t="s">
        <v>129</v>
      </c>
      <c r="L22" s="222"/>
      <c r="M22" s="222"/>
      <c r="N22" s="222"/>
      <c r="O22" s="222"/>
      <c r="P22" s="222"/>
      <c r="Q22" s="268">
        <v>0</v>
      </c>
      <c r="R22" s="262"/>
      <c r="S22" s="261"/>
      <c r="T22" s="212" t="s">
        <v>129</v>
      </c>
      <c r="U22" s="261"/>
      <c r="V22" s="261"/>
      <c r="W22" s="261"/>
      <c r="X22" s="261"/>
      <c r="Y22" s="261"/>
      <c r="Z22" s="270"/>
      <c r="AA22" s="262"/>
      <c r="AB22" s="261"/>
      <c r="AC22" s="212" t="s">
        <v>129</v>
      </c>
      <c r="AD22" s="261"/>
      <c r="AE22" s="261"/>
      <c r="AF22" s="261"/>
      <c r="AG22" s="261"/>
      <c r="AH22" s="261"/>
      <c r="AI22" s="270">
        <f>36000+15000</f>
        <v>51000</v>
      </c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</row>
    <row r="23" spans="1:54" x14ac:dyDescent="0.25">
      <c r="A23" s="222"/>
      <c r="B23" s="222"/>
      <c r="C23" s="216" t="s">
        <v>130</v>
      </c>
      <c r="D23" s="222"/>
      <c r="E23" s="222"/>
      <c r="F23" s="222"/>
      <c r="G23" s="222"/>
      <c r="H23" s="222"/>
      <c r="I23" s="268">
        <v>58749</v>
      </c>
      <c r="J23" s="222"/>
      <c r="K23" s="216" t="s">
        <v>130</v>
      </c>
      <c r="L23" s="222"/>
      <c r="M23" s="222"/>
      <c r="N23" s="222"/>
      <c r="O23" s="222"/>
      <c r="P23" s="222"/>
      <c r="Q23" s="268">
        <v>63582</v>
      </c>
      <c r="R23" s="262"/>
      <c r="S23" s="261"/>
      <c r="T23" s="212" t="s">
        <v>130</v>
      </c>
      <c r="U23" s="261"/>
      <c r="V23" s="261"/>
      <c r="W23" s="261"/>
      <c r="X23" s="261"/>
      <c r="Y23" s="261"/>
      <c r="Z23" s="270"/>
      <c r="AA23" s="262"/>
      <c r="AB23" s="261"/>
      <c r="AC23" s="212" t="s">
        <v>130</v>
      </c>
      <c r="AD23" s="261"/>
      <c r="AE23" s="261"/>
      <c r="AF23" s="261"/>
      <c r="AG23" s="261"/>
      <c r="AH23" s="261"/>
      <c r="AI23" s="270">
        <f>30000+125000+21500+50000+20000+20000</f>
        <v>266500</v>
      </c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</row>
    <row r="24" spans="1:54" x14ac:dyDescent="0.25">
      <c r="A24" s="222"/>
      <c r="B24" s="222"/>
      <c r="C24" s="222"/>
      <c r="D24" s="222"/>
      <c r="E24" s="222"/>
      <c r="F24" s="222"/>
      <c r="G24" s="222"/>
      <c r="H24" s="222"/>
      <c r="I24" s="280"/>
      <c r="J24" s="222"/>
      <c r="K24" s="222" t="s">
        <v>167</v>
      </c>
      <c r="L24" s="222"/>
      <c r="M24" s="222"/>
      <c r="N24" s="222"/>
      <c r="O24" s="222"/>
      <c r="P24" s="222"/>
      <c r="Q24" s="276">
        <v>51700</v>
      </c>
      <c r="R24" s="262"/>
      <c r="S24" s="261"/>
      <c r="T24" s="261"/>
      <c r="U24" s="261"/>
      <c r="V24" s="261"/>
      <c r="W24" s="261"/>
      <c r="X24" s="261"/>
      <c r="Y24" s="261"/>
      <c r="Z24" s="278"/>
      <c r="AA24" s="262"/>
      <c r="AB24" s="261"/>
      <c r="AC24" s="261"/>
      <c r="AD24" s="261"/>
      <c r="AE24" s="261"/>
      <c r="AF24" s="261"/>
      <c r="AG24" s="261"/>
      <c r="AH24" s="261"/>
      <c r="AI24" s="278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</row>
    <row r="25" spans="1:54" x14ac:dyDescent="0.25">
      <c r="A25" s="222"/>
      <c r="B25" s="222"/>
      <c r="C25" s="216" t="s">
        <v>131</v>
      </c>
      <c r="D25" s="222"/>
      <c r="E25" s="222"/>
      <c r="F25" s="222"/>
      <c r="G25" s="222"/>
      <c r="H25" s="222"/>
      <c r="I25" s="268">
        <f>SUM(I18:I23)</f>
        <v>261835</v>
      </c>
      <c r="J25" s="222"/>
      <c r="K25" s="216" t="s">
        <v>131</v>
      </c>
      <c r="L25" s="222"/>
      <c r="M25" s="222"/>
      <c r="N25" s="222"/>
      <c r="O25" s="222"/>
      <c r="P25" s="222"/>
      <c r="Q25" s="268">
        <f>SUM(Q18:Q24)</f>
        <v>335073</v>
      </c>
      <c r="R25" s="262"/>
      <c r="S25" s="261"/>
      <c r="T25" s="212" t="s">
        <v>131</v>
      </c>
      <c r="U25" s="261"/>
      <c r="V25" s="261"/>
      <c r="W25" s="261"/>
      <c r="X25" s="261"/>
      <c r="Y25" s="261"/>
      <c r="Z25" s="281">
        <f>SUM(Z18:Z23)</f>
        <v>0</v>
      </c>
      <c r="AA25" s="262"/>
      <c r="AB25" s="261"/>
      <c r="AC25" s="212" t="s">
        <v>131</v>
      </c>
      <c r="AD25" s="261"/>
      <c r="AE25" s="261"/>
      <c r="AF25" s="261"/>
      <c r="AG25" s="261"/>
      <c r="AH25" s="261"/>
      <c r="AI25" s="270">
        <f>SUM(AI18:AI23)</f>
        <v>1797500</v>
      </c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</row>
    <row r="26" spans="1:54" x14ac:dyDescent="0.25">
      <c r="A26" s="222"/>
      <c r="B26" s="222"/>
      <c r="C26" s="222"/>
      <c r="D26" s="222"/>
      <c r="E26" s="222"/>
      <c r="F26" s="222"/>
      <c r="G26" s="222"/>
      <c r="H26" s="222"/>
      <c r="I26" s="280"/>
      <c r="J26" s="222"/>
      <c r="K26" s="222"/>
      <c r="L26" s="222"/>
      <c r="M26" s="222"/>
      <c r="N26" s="222"/>
      <c r="O26" s="222"/>
      <c r="P26" s="222"/>
      <c r="Q26" s="276"/>
      <c r="R26" s="262"/>
      <c r="S26" s="261"/>
      <c r="T26" s="261"/>
      <c r="U26" s="261"/>
      <c r="V26" s="261"/>
      <c r="W26" s="261"/>
      <c r="X26" s="261"/>
      <c r="Y26" s="261"/>
      <c r="Z26" s="282"/>
      <c r="AA26" s="262"/>
      <c r="AB26" s="261"/>
      <c r="AC26" s="261"/>
      <c r="AD26" s="261"/>
      <c r="AE26" s="261"/>
      <c r="AF26" s="261"/>
      <c r="AG26" s="261"/>
      <c r="AH26" s="261"/>
      <c r="AI26" s="278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</row>
    <row r="27" spans="1:54" x14ac:dyDescent="0.25">
      <c r="A27" s="222"/>
      <c r="B27" s="222"/>
      <c r="C27" s="216" t="s">
        <v>132</v>
      </c>
      <c r="D27" s="222"/>
      <c r="E27" s="222"/>
      <c r="F27" s="222"/>
      <c r="G27" s="222"/>
      <c r="H27" s="222"/>
      <c r="I27" s="268">
        <f>I12-I25</f>
        <v>11400.130000000005</v>
      </c>
      <c r="J27" s="222"/>
      <c r="K27" s="216" t="s">
        <v>132</v>
      </c>
      <c r="L27" s="222"/>
      <c r="M27" s="222"/>
      <c r="N27" s="222"/>
      <c r="O27" s="222"/>
      <c r="P27" s="222"/>
      <c r="Q27" s="268">
        <f>Q12-Q25</f>
        <v>77439.347999999998</v>
      </c>
      <c r="R27" s="262"/>
      <c r="S27" s="261"/>
      <c r="T27" s="212" t="s">
        <v>132</v>
      </c>
      <c r="U27" s="261"/>
      <c r="V27" s="261"/>
      <c r="W27" s="261"/>
      <c r="X27" s="261"/>
      <c r="Y27" s="261"/>
      <c r="Z27" s="270">
        <f>Z12-Z25</f>
        <v>0</v>
      </c>
      <c r="AA27" s="262"/>
      <c r="AB27" s="261"/>
      <c r="AC27" s="212" t="s">
        <v>132</v>
      </c>
      <c r="AD27" s="261"/>
      <c r="AE27" s="261"/>
      <c r="AF27" s="261"/>
      <c r="AG27" s="261"/>
      <c r="AH27" s="261"/>
      <c r="AI27" s="270">
        <f>AI12-AI25</f>
        <v>-1475408.96</v>
      </c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</row>
    <row r="28" spans="1:54" x14ac:dyDescent="0.25">
      <c r="A28" s="222"/>
      <c r="B28" s="222"/>
      <c r="C28" s="222"/>
      <c r="D28" s="222"/>
      <c r="E28" s="222"/>
      <c r="F28" s="222"/>
      <c r="G28" s="222"/>
      <c r="H28" s="222"/>
      <c r="I28" s="268"/>
      <c r="J28" s="222"/>
      <c r="K28" s="222"/>
      <c r="L28" s="222"/>
      <c r="M28" s="222"/>
      <c r="N28" s="222"/>
      <c r="O28" s="222"/>
      <c r="P28" s="222"/>
      <c r="Q28" s="272"/>
      <c r="R28" s="262"/>
      <c r="S28" s="261"/>
      <c r="T28" s="261"/>
      <c r="U28" s="261"/>
      <c r="V28" s="261"/>
      <c r="W28" s="261"/>
      <c r="X28" s="261"/>
      <c r="Y28" s="261"/>
      <c r="Z28" s="274"/>
      <c r="AA28" s="262"/>
      <c r="AB28" s="261"/>
      <c r="AC28" s="261"/>
      <c r="AD28" s="261"/>
      <c r="AE28" s="261"/>
      <c r="AF28" s="261"/>
      <c r="AG28" s="261"/>
      <c r="AH28" s="261"/>
      <c r="AI28" s="274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</row>
    <row r="29" spans="1:54" x14ac:dyDescent="0.25">
      <c r="A29" s="222"/>
      <c r="B29" s="216" t="s">
        <v>133</v>
      </c>
      <c r="C29" s="216" t="s">
        <v>134</v>
      </c>
      <c r="D29" s="222"/>
      <c r="E29" s="222"/>
      <c r="F29" s="222"/>
      <c r="G29" s="222"/>
      <c r="H29" s="222"/>
      <c r="I29" s="268"/>
      <c r="J29" s="216" t="s">
        <v>133</v>
      </c>
      <c r="K29" s="216" t="s">
        <v>134</v>
      </c>
      <c r="L29" s="222"/>
      <c r="M29" s="222"/>
      <c r="N29" s="222"/>
      <c r="O29" s="222"/>
      <c r="P29" s="222"/>
      <c r="Q29" s="272"/>
      <c r="R29" s="262"/>
      <c r="S29" s="212" t="s">
        <v>133</v>
      </c>
      <c r="T29" s="212" t="s">
        <v>134</v>
      </c>
      <c r="U29" s="261"/>
      <c r="V29" s="261"/>
      <c r="W29" s="261"/>
      <c r="X29" s="261"/>
      <c r="Y29" s="261"/>
      <c r="Z29" s="274"/>
      <c r="AA29" s="262"/>
      <c r="AB29" s="212" t="s">
        <v>133</v>
      </c>
      <c r="AC29" s="212" t="s">
        <v>134</v>
      </c>
      <c r="AD29" s="261"/>
      <c r="AE29" s="261"/>
      <c r="AF29" s="261"/>
      <c r="AG29" s="261"/>
      <c r="AH29" s="261"/>
      <c r="AI29" s="274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</row>
    <row r="30" spans="1:54" x14ac:dyDescent="0.25">
      <c r="A30" s="222"/>
      <c r="B30" s="222"/>
      <c r="C30" s="222"/>
      <c r="D30" s="222"/>
      <c r="E30" s="222"/>
      <c r="F30" s="222"/>
      <c r="G30" s="222"/>
      <c r="H30" s="222"/>
      <c r="I30" s="268"/>
      <c r="J30" s="222"/>
      <c r="K30" s="222"/>
      <c r="L30" s="222"/>
      <c r="M30" s="222"/>
      <c r="N30" s="222"/>
      <c r="O30" s="222"/>
      <c r="P30" s="222"/>
      <c r="Q30" s="272"/>
      <c r="R30" s="262"/>
      <c r="S30" s="261"/>
      <c r="T30" s="261"/>
      <c r="U30" s="261"/>
      <c r="V30" s="261"/>
      <c r="W30" s="261"/>
      <c r="X30" s="261"/>
      <c r="Y30" s="261"/>
      <c r="Z30" s="274"/>
      <c r="AA30" s="262"/>
      <c r="AB30" s="261"/>
      <c r="AC30" s="261"/>
      <c r="AD30" s="261"/>
      <c r="AE30" s="261"/>
      <c r="AF30" s="261"/>
      <c r="AG30" s="261"/>
      <c r="AH30" s="261"/>
      <c r="AI30" s="274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</row>
    <row r="31" spans="1:54" x14ac:dyDescent="0.25">
      <c r="A31" s="222"/>
      <c r="B31" s="222"/>
      <c r="C31" s="216" t="s">
        <v>135</v>
      </c>
      <c r="D31" s="222"/>
      <c r="E31" s="222"/>
      <c r="F31" s="222"/>
      <c r="G31" s="222"/>
      <c r="H31" s="222"/>
      <c r="I31" s="268">
        <v>706</v>
      </c>
      <c r="J31" s="222"/>
      <c r="K31" s="216" t="s">
        <v>135</v>
      </c>
      <c r="L31" s="222"/>
      <c r="M31" s="222"/>
      <c r="N31" s="222"/>
      <c r="O31" s="222"/>
      <c r="P31" s="222"/>
      <c r="Q31" s="272">
        <v>706</v>
      </c>
      <c r="R31" s="262"/>
      <c r="S31" s="261"/>
      <c r="T31" s="212" t="s">
        <v>135</v>
      </c>
      <c r="U31" s="261"/>
      <c r="V31" s="261"/>
      <c r="W31" s="261"/>
      <c r="X31" s="261"/>
      <c r="Y31" s="261"/>
      <c r="Z31" s="274"/>
      <c r="AA31" s="262"/>
      <c r="AB31" s="261"/>
      <c r="AC31" s="212" t="s">
        <v>135</v>
      </c>
      <c r="AD31" s="261"/>
      <c r="AE31" s="261"/>
      <c r="AF31" s="261"/>
      <c r="AG31" s="261"/>
      <c r="AH31" s="261"/>
      <c r="AI31" s="274">
        <v>10000</v>
      </c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</row>
    <row r="32" spans="1:54" x14ac:dyDescent="0.25">
      <c r="A32" s="222"/>
      <c r="B32" s="222"/>
      <c r="C32" s="216" t="s">
        <v>136</v>
      </c>
      <c r="D32" s="222"/>
      <c r="E32" s="217"/>
      <c r="F32" s="222"/>
      <c r="G32" s="222"/>
      <c r="H32" s="222"/>
      <c r="I32" s="268"/>
      <c r="J32" s="222"/>
      <c r="K32" s="216" t="s">
        <v>136</v>
      </c>
      <c r="L32" s="222"/>
      <c r="M32" s="221" t="s">
        <v>168</v>
      </c>
      <c r="N32" s="222"/>
      <c r="O32" s="222"/>
      <c r="P32" s="222"/>
      <c r="Q32" s="272">
        <v>0</v>
      </c>
      <c r="R32" s="262"/>
      <c r="S32" s="261"/>
      <c r="T32" s="212" t="s">
        <v>136</v>
      </c>
      <c r="U32" s="261"/>
      <c r="V32" s="261"/>
      <c r="W32" s="261"/>
      <c r="X32" s="261"/>
      <c r="Y32" s="261"/>
      <c r="Z32" s="274"/>
      <c r="AA32" s="262"/>
      <c r="AB32" s="261"/>
      <c r="AC32" s="212" t="s">
        <v>136</v>
      </c>
      <c r="AD32" s="261"/>
      <c r="AE32" s="261"/>
      <c r="AF32" s="261"/>
      <c r="AG32" s="261"/>
      <c r="AH32" s="261"/>
      <c r="AI32" s="274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</row>
    <row r="33" spans="1:54" x14ac:dyDescent="0.25">
      <c r="A33" s="222"/>
      <c r="B33" s="222"/>
      <c r="C33" s="222"/>
      <c r="D33" s="222"/>
      <c r="E33" s="222"/>
      <c r="F33" s="222"/>
      <c r="G33" s="222"/>
      <c r="H33" s="222"/>
      <c r="I33" s="268"/>
      <c r="J33" s="222"/>
      <c r="K33" s="222"/>
      <c r="L33" s="222"/>
      <c r="M33" s="222"/>
      <c r="N33" s="222"/>
      <c r="O33" s="222"/>
      <c r="P33" s="222"/>
      <c r="Q33" s="272"/>
      <c r="R33" s="262"/>
      <c r="S33" s="261"/>
      <c r="T33" s="261"/>
      <c r="U33" s="261"/>
      <c r="V33" s="261"/>
      <c r="W33" s="261"/>
      <c r="X33" s="261"/>
      <c r="Y33" s="261"/>
      <c r="Z33" s="274"/>
      <c r="AA33" s="262"/>
      <c r="AB33" s="261"/>
      <c r="AC33" s="261"/>
      <c r="AD33" s="261"/>
      <c r="AE33" s="261"/>
      <c r="AF33" s="261"/>
      <c r="AG33" s="261"/>
      <c r="AH33" s="261"/>
      <c r="AI33" s="274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</row>
    <row r="34" spans="1:54" x14ac:dyDescent="0.25">
      <c r="A34" s="222"/>
      <c r="B34" s="222"/>
      <c r="C34" s="216" t="s">
        <v>138</v>
      </c>
      <c r="D34" s="222"/>
      <c r="E34" s="222"/>
      <c r="F34" s="222"/>
      <c r="G34" s="222"/>
      <c r="H34" s="222"/>
      <c r="I34" s="268">
        <f>SUM(I31:I32)</f>
        <v>706</v>
      </c>
      <c r="J34" s="222"/>
      <c r="K34" s="216" t="s">
        <v>138</v>
      </c>
      <c r="L34" s="222"/>
      <c r="M34" s="222"/>
      <c r="N34" s="222"/>
      <c r="O34" s="222"/>
      <c r="P34" s="222"/>
      <c r="Q34" s="268">
        <f>SUM(Q31:Q32)</f>
        <v>706</v>
      </c>
      <c r="R34" s="262"/>
      <c r="S34" s="261"/>
      <c r="T34" s="212" t="s">
        <v>138</v>
      </c>
      <c r="U34" s="261"/>
      <c r="V34" s="261"/>
      <c r="W34" s="261"/>
      <c r="X34" s="261"/>
      <c r="Y34" s="261"/>
      <c r="Z34" s="283">
        <f>SUM(Z31:Z32)</f>
        <v>0</v>
      </c>
      <c r="AA34" s="262"/>
      <c r="AB34" s="261"/>
      <c r="AC34" s="212" t="s">
        <v>138</v>
      </c>
      <c r="AD34" s="261"/>
      <c r="AE34" s="261"/>
      <c r="AF34" s="261"/>
      <c r="AG34" s="261"/>
      <c r="AH34" s="261"/>
      <c r="AI34" s="270">
        <f>SUM(AI31:AI32)</f>
        <v>10000</v>
      </c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</row>
    <row r="35" spans="1:54" x14ac:dyDescent="0.25">
      <c r="A35" s="222"/>
      <c r="B35" s="222"/>
      <c r="C35" s="222"/>
      <c r="D35" s="222"/>
      <c r="E35" s="222"/>
      <c r="F35" s="222"/>
      <c r="G35" s="222"/>
      <c r="H35" s="222"/>
      <c r="I35" s="280"/>
      <c r="J35" s="222"/>
      <c r="K35" s="222"/>
      <c r="L35" s="222"/>
      <c r="M35" s="222"/>
      <c r="N35" s="222"/>
      <c r="O35" s="222"/>
      <c r="P35" s="222"/>
      <c r="Q35" s="276"/>
      <c r="R35" s="262"/>
      <c r="S35" s="261"/>
      <c r="T35" s="261"/>
      <c r="U35" s="261"/>
      <c r="V35" s="261"/>
      <c r="W35" s="261"/>
      <c r="X35" s="261"/>
      <c r="Y35" s="261"/>
      <c r="Z35" s="282"/>
      <c r="AA35" s="262"/>
      <c r="AB35" s="261"/>
      <c r="AC35" s="261"/>
      <c r="AD35" s="261"/>
      <c r="AE35" s="261"/>
      <c r="AF35" s="261"/>
      <c r="AG35" s="261"/>
      <c r="AH35" s="261"/>
      <c r="AI35" s="278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</row>
    <row r="36" spans="1:54" x14ac:dyDescent="0.25">
      <c r="A36" s="222"/>
      <c r="B36" s="216" t="s">
        <v>139</v>
      </c>
      <c r="C36" s="216" t="s">
        <v>140</v>
      </c>
      <c r="D36" s="222"/>
      <c r="E36" s="222"/>
      <c r="F36" s="222"/>
      <c r="G36" s="222"/>
      <c r="H36" s="222"/>
      <c r="I36" s="268">
        <f>I27+I34</f>
        <v>12106.130000000005</v>
      </c>
      <c r="J36" s="216" t="s">
        <v>139</v>
      </c>
      <c r="K36" s="216" t="s">
        <v>140</v>
      </c>
      <c r="L36" s="222"/>
      <c r="M36" s="222"/>
      <c r="N36" s="222"/>
      <c r="O36" s="222"/>
      <c r="P36" s="222"/>
      <c r="Q36" s="268">
        <f>Q27+Q34</f>
        <v>78145.347999999998</v>
      </c>
      <c r="R36" s="262"/>
      <c r="S36" s="212" t="s">
        <v>139</v>
      </c>
      <c r="T36" s="212" t="s">
        <v>140</v>
      </c>
      <c r="U36" s="261"/>
      <c r="V36" s="261"/>
      <c r="W36" s="261"/>
      <c r="X36" s="261"/>
      <c r="Y36" s="261"/>
      <c r="Z36" s="270">
        <f>Z27+Z34</f>
        <v>0</v>
      </c>
      <c r="AA36" s="262"/>
      <c r="AB36" s="212" t="s">
        <v>139</v>
      </c>
      <c r="AC36" s="212" t="s">
        <v>140</v>
      </c>
      <c r="AD36" s="261"/>
      <c r="AE36" s="261"/>
      <c r="AF36" s="261"/>
      <c r="AG36" s="261"/>
      <c r="AH36" s="261"/>
      <c r="AI36" s="270">
        <f>AI27+AI34</f>
        <v>-1465408.96</v>
      </c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</row>
    <row r="37" spans="1:54" x14ac:dyDescent="0.25">
      <c r="A37" s="222"/>
      <c r="B37" s="222"/>
      <c r="C37" s="222"/>
      <c r="D37" s="222"/>
      <c r="E37" s="222"/>
      <c r="F37" s="222"/>
      <c r="G37" s="222"/>
      <c r="H37" s="222"/>
      <c r="I37" s="268"/>
      <c r="J37" s="222"/>
      <c r="K37" s="222"/>
      <c r="L37" s="222"/>
      <c r="M37" s="222"/>
      <c r="N37" s="222"/>
      <c r="O37" s="222"/>
      <c r="P37" s="222"/>
      <c r="Q37" s="272"/>
      <c r="R37" s="261"/>
      <c r="S37" s="261"/>
      <c r="T37" s="261"/>
      <c r="U37" s="261"/>
      <c r="V37" s="261"/>
      <c r="W37" s="261"/>
      <c r="X37" s="261"/>
      <c r="Y37" s="261"/>
      <c r="Z37" s="274"/>
      <c r="AA37" s="261"/>
      <c r="AB37" s="261"/>
      <c r="AC37" s="261"/>
      <c r="AD37" s="261"/>
      <c r="AE37" s="261"/>
      <c r="AF37" s="261"/>
      <c r="AG37" s="261"/>
      <c r="AH37" s="261"/>
      <c r="AI37" s="274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</row>
    <row r="38" spans="1:54" x14ac:dyDescent="0.25">
      <c r="A38" s="222"/>
      <c r="B38" s="216" t="s">
        <v>141</v>
      </c>
      <c r="C38" s="216" t="s">
        <v>142</v>
      </c>
      <c r="D38" s="222"/>
      <c r="E38" s="222"/>
      <c r="F38" s="222"/>
      <c r="G38" s="222"/>
      <c r="H38" s="222"/>
      <c r="I38" s="268"/>
      <c r="J38" s="216" t="s">
        <v>141</v>
      </c>
      <c r="K38" s="216" t="s">
        <v>142</v>
      </c>
      <c r="L38" s="222"/>
      <c r="M38" s="222"/>
      <c r="N38" s="222"/>
      <c r="O38" s="222"/>
      <c r="P38" s="222"/>
      <c r="Q38" s="272"/>
      <c r="R38" s="262"/>
      <c r="S38" s="212" t="s">
        <v>141</v>
      </c>
      <c r="T38" s="212" t="s">
        <v>142</v>
      </c>
      <c r="U38" s="261"/>
      <c r="V38" s="261"/>
      <c r="W38" s="261"/>
      <c r="X38" s="261"/>
      <c r="Y38" s="261"/>
      <c r="Z38" s="274"/>
      <c r="AA38" s="262"/>
      <c r="AB38" s="212" t="s">
        <v>141</v>
      </c>
      <c r="AC38" s="212" t="s">
        <v>142</v>
      </c>
      <c r="AD38" s="261"/>
      <c r="AE38" s="261"/>
      <c r="AF38" s="261"/>
      <c r="AG38" s="261"/>
      <c r="AH38" s="261"/>
      <c r="AI38" s="274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</row>
    <row r="39" spans="1:54" x14ac:dyDescent="0.25">
      <c r="A39" s="222"/>
      <c r="B39" s="222"/>
      <c r="C39" s="222"/>
      <c r="D39" s="222"/>
      <c r="E39" s="222"/>
      <c r="F39" s="222"/>
      <c r="G39" s="222"/>
      <c r="H39" s="222"/>
      <c r="I39" s="268"/>
      <c r="J39" s="222"/>
      <c r="K39" s="222"/>
      <c r="L39" s="222"/>
      <c r="M39" s="222"/>
      <c r="N39" s="222"/>
      <c r="O39" s="222"/>
      <c r="P39" s="222"/>
      <c r="Q39" s="272"/>
      <c r="R39" s="262"/>
      <c r="S39" s="261"/>
      <c r="T39" s="261"/>
      <c r="U39" s="261"/>
      <c r="V39" s="261"/>
      <c r="W39" s="261"/>
      <c r="X39" s="261"/>
      <c r="Y39" s="261"/>
      <c r="Z39" s="274"/>
      <c r="AA39" s="262"/>
      <c r="AB39" s="261"/>
      <c r="AC39" s="261"/>
      <c r="AD39" s="261"/>
      <c r="AE39" s="261"/>
      <c r="AF39" s="261"/>
      <c r="AG39" s="261"/>
      <c r="AH39" s="261"/>
      <c r="AI39" s="274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</row>
    <row r="40" spans="1:54" x14ac:dyDescent="0.25">
      <c r="A40" s="222"/>
      <c r="B40" s="222"/>
      <c r="C40" s="216" t="s">
        <v>143</v>
      </c>
      <c r="D40" s="222"/>
      <c r="E40" s="222"/>
      <c r="F40" s="222"/>
      <c r="G40" s="222"/>
      <c r="H40" s="222"/>
      <c r="I40" s="268">
        <v>6060.58</v>
      </c>
      <c r="J40" s="222"/>
      <c r="K40" s="216" t="s">
        <v>143</v>
      </c>
      <c r="L40" s="222"/>
      <c r="M40" s="222"/>
      <c r="N40" s="222"/>
      <c r="O40" s="222"/>
      <c r="P40" s="222"/>
      <c r="Q40" s="268">
        <v>29686</v>
      </c>
      <c r="R40" s="262"/>
      <c r="S40" s="261"/>
      <c r="T40" s="212" t="s">
        <v>143</v>
      </c>
      <c r="U40" s="261"/>
      <c r="V40" s="261"/>
      <c r="W40" s="261"/>
      <c r="X40" s="261"/>
      <c r="Y40" s="261"/>
      <c r="Z40" s="270"/>
      <c r="AA40" s="262"/>
      <c r="AB40" s="261"/>
      <c r="AC40" s="212" t="s">
        <v>143</v>
      </c>
      <c r="AD40" s="261"/>
      <c r="AE40" s="261"/>
      <c r="AF40" s="261"/>
      <c r="AG40" s="261"/>
      <c r="AH40" s="261"/>
      <c r="AI40" s="270">
        <f>[1]Sheet1!$D$3+[1]Sheet1!$D$10+[1]Sheet1!$D$17+[1]Sheet1!$D$23+[1]Sheet1!$D$30+[1]Sheet1!$D$37+[1]Sheet1!$D$44+41450</f>
        <v>205579.31000000003</v>
      </c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</row>
    <row r="41" spans="1:54" x14ac:dyDescent="0.25">
      <c r="A41" s="222"/>
      <c r="B41" s="222"/>
      <c r="C41" s="216" t="s">
        <v>144</v>
      </c>
      <c r="D41" s="222"/>
      <c r="E41" s="222"/>
      <c r="F41" s="222"/>
      <c r="G41" s="222"/>
      <c r="H41" s="222"/>
      <c r="I41" s="268">
        <v>4443.42</v>
      </c>
      <c r="J41" s="222"/>
      <c r="K41" s="216" t="s">
        <v>144</v>
      </c>
      <c r="L41" s="222"/>
      <c r="M41" s="222"/>
      <c r="N41" s="222"/>
      <c r="O41" s="222"/>
      <c r="P41" s="222"/>
      <c r="Q41" s="272">
        <v>20913</v>
      </c>
      <c r="R41" s="262"/>
      <c r="S41" s="261"/>
      <c r="T41" s="212" t="s">
        <v>144</v>
      </c>
      <c r="U41" s="261"/>
      <c r="V41" s="261"/>
      <c r="W41" s="261"/>
      <c r="X41" s="261"/>
      <c r="Y41" s="261"/>
      <c r="Z41" s="274"/>
      <c r="AA41" s="262"/>
      <c r="AB41" s="261"/>
      <c r="AC41" s="212" t="s">
        <v>144</v>
      </c>
      <c r="AD41" s="261"/>
      <c r="AE41" s="261"/>
      <c r="AF41" s="261"/>
      <c r="AG41" s="261"/>
      <c r="AH41" s="261"/>
      <c r="AI41" s="274">
        <f>[1]Sheet1!$C$3+[1]Sheet1!$C$10+[1]Sheet1!$C$17+[1]Sheet1!$C$23+[1]Sheet1!$C$30+[1]Sheet1!$C$37+[1]Sheet1!$C$44+8450</f>
        <v>70978.12</v>
      </c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</row>
    <row r="42" spans="1:54" x14ac:dyDescent="0.25">
      <c r="A42" s="222"/>
      <c r="B42" s="222"/>
      <c r="C42" s="216" t="s">
        <v>145</v>
      </c>
      <c r="D42" s="222"/>
      <c r="E42" s="222"/>
      <c r="F42" s="222"/>
      <c r="G42" s="222"/>
      <c r="H42" s="222"/>
      <c r="I42" s="268"/>
      <c r="J42" s="222"/>
      <c r="K42" s="216" t="s">
        <v>145</v>
      </c>
      <c r="L42" s="222"/>
      <c r="M42" s="222"/>
      <c r="N42" s="222"/>
      <c r="O42" s="222"/>
      <c r="P42" s="222"/>
      <c r="Q42" s="272"/>
      <c r="R42" s="262"/>
      <c r="S42" s="261"/>
      <c r="T42" s="212" t="s">
        <v>145</v>
      </c>
      <c r="U42" s="261"/>
      <c r="V42" s="261"/>
      <c r="W42" s="261"/>
      <c r="X42" s="261"/>
      <c r="Y42" s="261"/>
      <c r="Z42" s="274"/>
      <c r="AA42" s="262"/>
      <c r="AB42" s="261"/>
      <c r="AC42" s="212" t="s">
        <v>145</v>
      </c>
      <c r="AD42" s="261"/>
      <c r="AE42" s="261"/>
      <c r="AF42" s="261"/>
      <c r="AG42" s="261"/>
      <c r="AH42" s="261"/>
      <c r="AI42" s="274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</row>
    <row r="43" spans="1:54" x14ac:dyDescent="0.25">
      <c r="A43" s="222"/>
      <c r="B43" s="222"/>
      <c r="C43" s="216" t="s">
        <v>146</v>
      </c>
      <c r="D43" s="222"/>
      <c r="E43" s="222"/>
      <c r="F43" s="222"/>
      <c r="G43" s="222"/>
      <c r="H43" s="222"/>
      <c r="I43" s="268"/>
      <c r="J43" s="222"/>
      <c r="K43" s="216" t="s">
        <v>146</v>
      </c>
      <c r="L43" s="222"/>
      <c r="M43" s="222"/>
      <c r="N43" s="222"/>
      <c r="O43" s="222"/>
      <c r="P43" s="222"/>
      <c r="Q43" s="272"/>
      <c r="R43" s="262"/>
      <c r="S43" s="261"/>
      <c r="T43" s="212" t="s">
        <v>146</v>
      </c>
      <c r="U43" s="261"/>
      <c r="V43" s="261"/>
      <c r="W43" s="261"/>
      <c r="X43" s="261"/>
      <c r="Y43" s="261"/>
      <c r="Z43" s="284"/>
      <c r="AA43" s="262"/>
      <c r="AB43" s="261"/>
      <c r="AC43" s="212" t="s">
        <v>146</v>
      </c>
      <c r="AD43" s="261"/>
      <c r="AE43" s="261"/>
      <c r="AF43" s="261"/>
      <c r="AG43" s="261"/>
      <c r="AH43" s="261"/>
      <c r="AI43" s="274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</row>
    <row r="44" spans="1:54" x14ac:dyDescent="0.25">
      <c r="A44" s="222"/>
      <c r="B44" s="222"/>
      <c r="C44" s="216"/>
      <c r="D44" s="222"/>
      <c r="E44" s="222"/>
      <c r="F44" s="222"/>
      <c r="G44" s="222"/>
      <c r="H44" s="222"/>
      <c r="I44" s="268"/>
      <c r="J44" s="222"/>
      <c r="K44" s="216"/>
      <c r="L44" s="222"/>
      <c r="M44" s="222"/>
      <c r="N44" s="222"/>
      <c r="O44" s="222"/>
      <c r="P44" s="222"/>
      <c r="Q44" s="272"/>
      <c r="R44" s="262"/>
      <c r="S44" s="261"/>
      <c r="T44" s="212"/>
      <c r="U44" s="261"/>
      <c r="V44" s="261"/>
      <c r="W44" s="261"/>
      <c r="X44" s="261"/>
      <c r="Y44" s="261"/>
      <c r="Z44" s="274"/>
      <c r="AA44" s="262"/>
      <c r="AB44" s="261"/>
      <c r="AC44" s="212"/>
      <c r="AD44" s="261"/>
      <c r="AE44" s="261"/>
      <c r="AF44" s="261"/>
      <c r="AG44" s="261"/>
      <c r="AH44" s="261"/>
      <c r="AI44" s="274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</row>
    <row r="45" spans="1:54" x14ac:dyDescent="0.25">
      <c r="A45" s="222"/>
      <c r="B45" s="222"/>
      <c r="C45" s="216"/>
      <c r="D45" s="222"/>
      <c r="E45" s="222"/>
      <c r="F45" s="222"/>
      <c r="G45" s="222"/>
      <c r="H45" s="222"/>
      <c r="I45" s="268"/>
      <c r="J45" s="222"/>
      <c r="K45" s="216" t="s">
        <v>169</v>
      </c>
      <c r="L45" s="222"/>
      <c r="M45" s="222"/>
      <c r="N45" s="222"/>
      <c r="O45" s="222"/>
      <c r="P45" s="222"/>
      <c r="Q45" s="272">
        <v>23510</v>
      </c>
      <c r="R45" s="262"/>
      <c r="S45" s="261"/>
      <c r="T45" s="212"/>
      <c r="U45" s="261"/>
      <c r="V45" s="261"/>
      <c r="W45" s="261"/>
      <c r="X45" s="261"/>
      <c r="Y45" s="261"/>
      <c r="Z45" s="274"/>
      <c r="AA45" s="262"/>
      <c r="AB45" s="261"/>
      <c r="AC45" s="212"/>
      <c r="AD45" s="261"/>
      <c r="AE45" s="261"/>
      <c r="AF45" s="261"/>
      <c r="AG45" s="261"/>
      <c r="AH45" s="261"/>
      <c r="AI45" s="274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</row>
    <row r="46" spans="1:54" x14ac:dyDescent="0.25">
      <c r="A46" s="222"/>
      <c r="B46" s="222"/>
      <c r="C46" s="222"/>
      <c r="D46" s="222"/>
      <c r="E46" s="222"/>
      <c r="F46" s="222"/>
      <c r="G46" s="222"/>
      <c r="H46" s="222"/>
      <c r="I46" s="276"/>
      <c r="J46" s="222"/>
      <c r="K46" s="222"/>
      <c r="L46" s="222"/>
      <c r="M46" s="222"/>
      <c r="N46" s="222"/>
      <c r="O46" s="222"/>
      <c r="P46" s="222"/>
      <c r="Q46" s="276"/>
      <c r="R46" s="262"/>
      <c r="S46" s="261"/>
      <c r="T46" s="261"/>
      <c r="U46" s="261"/>
      <c r="V46" s="261"/>
      <c r="W46" s="261"/>
      <c r="X46" s="261"/>
      <c r="Y46" s="261"/>
      <c r="Z46" s="282"/>
      <c r="AA46" s="262"/>
      <c r="AB46" s="261"/>
      <c r="AC46" s="261"/>
      <c r="AD46" s="261"/>
      <c r="AE46" s="261"/>
      <c r="AF46" s="261"/>
      <c r="AG46" s="261"/>
      <c r="AH46" s="261"/>
      <c r="AI46" s="278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</row>
    <row r="47" spans="1:54" x14ac:dyDescent="0.25">
      <c r="A47" s="222"/>
      <c r="B47" s="222"/>
      <c r="C47" s="216" t="s">
        <v>147</v>
      </c>
      <c r="D47" s="222"/>
      <c r="E47" s="222"/>
      <c r="F47" s="222"/>
      <c r="G47" s="222"/>
      <c r="H47" s="222"/>
      <c r="I47" s="268">
        <f>SUM(I40:I45)</f>
        <v>10504</v>
      </c>
      <c r="J47" s="222"/>
      <c r="K47" s="216" t="s">
        <v>147</v>
      </c>
      <c r="L47" s="222"/>
      <c r="M47" s="222"/>
      <c r="N47" s="222"/>
      <c r="O47" s="222"/>
      <c r="P47" s="222"/>
      <c r="Q47" s="268">
        <f>SUM(Q40:Q45)</f>
        <v>74109</v>
      </c>
      <c r="R47" s="262"/>
      <c r="S47" s="261"/>
      <c r="T47" s="212" t="s">
        <v>147</v>
      </c>
      <c r="U47" s="261"/>
      <c r="V47" s="261"/>
      <c r="W47" s="261"/>
      <c r="X47" s="261"/>
      <c r="Y47" s="261"/>
      <c r="Z47" s="283">
        <f>SUM(Z40:Z43)</f>
        <v>0</v>
      </c>
      <c r="AA47" s="262"/>
      <c r="AB47" s="261"/>
      <c r="AC47" s="212" t="s">
        <v>147</v>
      </c>
      <c r="AD47" s="261"/>
      <c r="AE47" s="261"/>
      <c r="AF47" s="261"/>
      <c r="AG47" s="261"/>
      <c r="AH47" s="261"/>
      <c r="AI47" s="270">
        <f>SUM(AI40:AI43)</f>
        <v>276557.43000000005</v>
      </c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</row>
    <row r="48" spans="1:54" x14ac:dyDescent="0.25">
      <c r="A48" s="222"/>
      <c r="B48" s="222"/>
      <c r="C48" s="222"/>
      <c r="D48" s="222"/>
      <c r="E48" s="222"/>
      <c r="F48" s="222"/>
      <c r="G48" s="222"/>
      <c r="H48" s="222"/>
      <c r="I48" s="276"/>
      <c r="J48" s="222"/>
      <c r="K48" s="222"/>
      <c r="L48" s="222"/>
      <c r="M48" s="222"/>
      <c r="N48" s="222"/>
      <c r="O48" s="222"/>
      <c r="P48" s="222"/>
      <c r="Q48" s="276"/>
      <c r="R48" s="262"/>
      <c r="S48" s="261"/>
      <c r="T48" s="261"/>
      <c r="U48" s="261"/>
      <c r="V48" s="261"/>
      <c r="W48" s="261"/>
      <c r="X48" s="261"/>
      <c r="Y48" s="261"/>
      <c r="Z48" s="282"/>
      <c r="AA48" s="262"/>
      <c r="AB48" s="261"/>
      <c r="AC48" s="261"/>
      <c r="AD48" s="261"/>
      <c r="AE48" s="261"/>
      <c r="AF48" s="261"/>
      <c r="AG48" s="261"/>
      <c r="AH48" s="261"/>
      <c r="AI48" s="278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</row>
    <row r="49" spans="1:54" x14ac:dyDescent="0.25">
      <c r="A49" s="222"/>
      <c r="B49" s="216" t="s">
        <v>148</v>
      </c>
      <c r="C49" s="216" t="s">
        <v>170</v>
      </c>
      <c r="D49" s="222"/>
      <c r="E49" s="222"/>
      <c r="F49" s="222"/>
      <c r="G49" s="222"/>
      <c r="H49" s="222"/>
      <c r="I49" s="218">
        <f>I36-I47</f>
        <v>1602.1300000000047</v>
      </c>
      <c r="J49" s="216" t="s">
        <v>148</v>
      </c>
      <c r="K49" s="216" t="s">
        <v>170</v>
      </c>
      <c r="L49" s="222"/>
      <c r="M49" s="222"/>
      <c r="N49" s="222"/>
      <c r="O49" s="222"/>
      <c r="P49" s="222"/>
      <c r="Q49" s="268">
        <f>Q36-Q47</f>
        <v>4036.3479999999981</v>
      </c>
      <c r="R49" s="262"/>
      <c r="S49" s="212" t="s">
        <v>148</v>
      </c>
      <c r="T49" s="212" t="s">
        <v>171</v>
      </c>
      <c r="U49" s="261"/>
      <c r="V49" s="261"/>
      <c r="W49" s="261"/>
      <c r="X49" s="261"/>
      <c r="Y49" s="261"/>
      <c r="Z49" s="270">
        <f>Z36-Z47</f>
        <v>0</v>
      </c>
      <c r="AA49" s="262"/>
      <c r="AB49" s="212" t="s">
        <v>148</v>
      </c>
      <c r="AC49" s="212" t="s">
        <v>170</v>
      </c>
      <c r="AD49" s="261"/>
      <c r="AE49" s="261"/>
      <c r="AF49" s="261"/>
      <c r="AG49" s="261"/>
      <c r="AH49" s="261"/>
      <c r="AI49" s="270">
        <f>AI36-AI47</f>
        <v>-1741966.3900000001</v>
      </c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</row>
    <row r="50" spans="1:54" x14ac:dyDescent="0.25">
      <c r="A50" s="260"/>
      <c r="B50" s="260"/>
      <c r="C50" s="260"/>
      <c r="D50" s="260"/>
      <c r="E50" s="260"/>
      <c r="F50" s="260"/>
      <c r="G50" s="260"/>
      <c r="H50" s="260"/>
      <c r="I50" s="272"/>
      <c r="J50" s="260"/>
      <c r="K50" s="260"/>
      <c r="L50" s="260"/>
      <c r="M50" s="260"/>
      <c r="N50" s="260"/>
      <c r="O50" s="260"/>
      <c r="P50" s="260"/>
      <c r="Q50" s="272"/>
      <c r="R50" s="262"/>
      <c r="S50" s="262"/>
      <c r="T50" s="262"/>
      <c r="U50" s="262"/>
      <c r="V50" s="262"/>
      <c r="W50" s="262"/>
      <c r="X50" s="262"/>
      <c r="Y50" s="262"/>
      <c r="Z50" s="274"/>
      <c r="AA50" s="262"/>
      <c r="AB50" s="262"/>
      <c r="AC50" s="262"/>
      <c r="AD50" s="262"/>
      <c r="AE50" s="262"/>
      <c r="AF50" s="262"/>
      <c r="AG50" s="262"/>
      <c r="AH50" s="262"/>
      <c r="AI50" s="262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</row>
    <row r="51" spans="1:54" x14ac:dyDescent="0.25">
      <c r="A51" s="260"/>
      <c r="B51" s="260"/>
      <c r="C51" s="260"/>
      <c r="D51" s="260"/>
      <c r="E51" s="260"/>
      <c r="F51" s="260"/>
      <c r="G51" s="260"/>
      <c r="H51" s="260"/>
      <c r="I51" s="273">
        <f>I36/I47</f>
        <v>1.1525257044935266</v>
      </c>
      <c r="J51" s="260"/>
      <c r="K51" s="260" t="s">
        <v>172</v>
      </c>
      <c r="L51" s="260"/>
      <c r="M51" s="260"/>
      <c r="N51" s="260"/>
      <c r="O51" s="260"/>
      <c r="P51" s="260"/>
      <c r="Q51" s="273">
        <f>Q36/Q47</f>
        <v>1.0544650177441337</v>
      </c>
      <c r="R51" s="262"/>
      <c r="S51" s="262"/>
      <c r="T51" s="262"/>
      <c r="U51" s="262"/>
      <c r="V51" s="262"/>
      <c r="W51" s="262"/>
      <c r="X51" s="262"/>
      <c r="Y51" s="262"/>
      <c r="Z51" s="274"/>
      <c r="AA51" s="262"/>
      <c r="AB51" s="262"/>
      <c r="AC51" s="262"/>
      <c r="AD51" s="262"/>
      <c r="AE51" s="262"/>
      <c r="AF51" s="262"/>
      <c r="AG51" s="262"/>
      <c r="AH51" s="262"/>
      <c r="AI51" s="262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</row>
    <row r="52" spans="1:54" x14ac:dyDescent="0.25">
      <c r="A52" s="260"/>
      <c r="B52" s="260"/>
      <c r="C52" s="260"/>
      <c r="D52" s="260"/>
      <c r="E52" s="260"/>
      <c r="F52" s="260"/>
      <c r="G52" s="260"/>
      <c r="H52" s="260"/>
      <c r="I52" s="272"/>
      <c r="J52" s="260"/>
      <c r="K52" s="260"/>
      <c r="L52" s="260"/>
      <c r="M52" s="260"/>
      <c r="N52" s="260"/>
      <c r="O52" s="260"/>
      <c r="P52" s="260"/>
      <c r="Q52" s="272"/>
      <c r="R52" s="262"/>
      <c r="S52" s="262"/>
      <c r="T52" s="262"/>
      <c r="U52" s="262"/>
      <c r="V52" s="262"/>
      <c r="W52" s="262"/>
      <c r="X52" s="262"/>
      <c r="Y52" s="262"/>
      <c r="Z52" s="274"/>
      <c r="AA52" s="262"/>
      <c r="AB52" s="262"/>
      <c r="AC52" s="262"/>
      <c r="AD52" s="262"/>
      <c r="AE52" s="262"/>
      <c r="AF52" s="262"/>
      <c r="AG52" s="262"/>
      <c r="AH52" s="262"/>
      <c r="AI52" s="262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</row>
    <row r="53" spans="1:54" x14ac:dyDescent="0.25">
      <c r="A53" s="201"/>
      <c r="B53" s="201"/>
      <c r="C53" s="201"/>
      <c r="D53" s="201"/>
      <c r="E53" s="201"/>
      <c r="F53" s="201"/>
      <c r="G53" s="201"/>
      <c r="H53" s="201"/>
      <c r="I53" s="285"/>
      <c r="J53" s="201"/>
      <c r="K53" s="201"/>
      <c r="L53" s="201"/>
      <c r="M53" s="201"/>
      <c r="N53" s="201"/>
      <c r="O53" s="201"/>
      <c r="P53" s="201"/>
      <c r="Q53" s="285"/>
      <c r="R53" s="201"/>
      <c r="S53" s="201"/>
      <c r="T53" s="201"/>
      <c r="U53" s="201"/>
      <c r="V53" s="201"/>
      <c r="W53" s="201"/>
      <c r="X53" s="201"/>
      <c r="Y53" s="201"/>
      <c r="Z53" s="285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</row>
    <row r="54" spans="1:54" x14ac:dyDescent="0.25">
      <c r="A54" s="201"/>
      <c r="B54" s="201"/>
      <c r="C54" s="201"/>
      <c r="D54" s="201"/>
      <c r="E54" s="201"/>
      <c r="F54" s="201"/>
      <c r="G54" s="201"/>
      <c r="H54" s="201"/>
      <c r="I54" s="285"/>
      <c r="J54" s="201"/>
      <c r="K54" s="201"/>
      <c r="L54" s="201"/>
      <c r="M54" s="201"/>
      <c r="N54" s="201"/>
      <c r="O54" s="201"/>
      <c r="P54" s="201"/>
      <c r="Q54" s="285"/>
      <c r="R54" s="201"/>
      <c r="S54" s="201"/>
      <c r="T54" s="201"/>
      <c r="U54" s="201"/>
      <c r="V54" s="201"/>
      <c r="W54" s="201"/>
      <c r="X54" s="201"/>
      <c r="Y54" s="201"/>
      <c r="Z54" s="285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</row>
    <row r="55" spans="1:54" x14ac:dyDescent="0.25">
      <c r="A55" s="201"/>
      <c r="B55" s="201"/>
      <c r="C55" s="201"/>
      <c r="D55" s="201"/>
      <c r="E55" s="201"/>
      <c r="F55" s="201"/>
      <c r="G55" s="201"/>
      <c r="H55" s="201"/>
      <c r="I55" s="285"/>
      <c r="J55" s="201"/>
      <c r="K55" s="201"/>
      <c r="L55" s="201"/>
      <c r="M55" s="201"/>
      <c r="N55" s="201"/>
      <c r="O55" s="201"/>
      <c r="P55" s="201"/>
      <c r="Q55" s="285"/>
      <c r="R55" s="201"/>
      <c r="S55" s="201"/>
      <c r="T55" s="201"/>
      <c r="U55" s="201"/>
      <c r="V55" s="201"/>
      <c r="W55" s="201"/>
      <c r="X55" s="201"/>
      <c r="Y55" s="201"/>
      <c r="Z55" s="285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</row>
    <row r="56" spans="1:54" x14ac:dyDescent="0.25">
      <c r="A56" s="201"/>
      <c r="B56" s="201"/>
      <c r="C56" s="201"/>
      <c r="D56" s="201"/>
      <c r="E56" s="201"/>
      <c r="F56" s="201"/>
      <c r="G56" s="201"/>
      <c r="H56" s="201"/>
      <c r="I56" s="285"/>
      <c r="J56" s="201"/>
      <c r="K56" s="201"/>
      <c r="L56" s="201"/>
      <c r="M56" s="201"/>
      <c r="N56" s="201"/>
      <c r="O56" s="201"/>
      <c r="P56" s="201"/>
      <c r="Q56" s="285"/>
      <c r="R56" s="201"/>
      <c r="S56" s="201"/>
      <c r="T56" s="201"/>
      <c r="U56" s="201"/>
      <c r="V56" s="201"/>
      <c r="W56" s="201"/>
      <c r="X56" s="201"/>
      <c r="Y56" s="201"/>
      <c r="Z56" s="285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</row>
    <row r="57" spans="1:54" x14ac:dyDescent="0.25">
      <c r="A57" s="201"/>
      <c r="B57" s="201"/>
      <c r="C57" s="201"/>
      <c r="D57" s="201"/>
      <c r="E57" s="201"/>
      <c r="F57" s="201"/>
      <c r="G57" s="201"/>
      <c r="H57" s="201"/>
      <c r="I57" s="285"/>
      <c r="J57" s="201"/>
      <c r="K57" s="201"/>
      <c r="L57" s="201"/>
      <c r="M57" s="201"/>
      <c r="N57" s="201"/>
      <c r="O57" s="201"/>
      <c r="P57" s="201"/>
      <c r="Q57" s="285"/>
      <c r="R57" s="201"/>
      <c r="S57" s="201"/>
      <c r="T57" s="201"/>
      <c r="U57" s="201"/>
      <c r="V57" s="201"/>
      <c r="W57" s="201"/>
      <c r="X57" s="201"/>
      <c r="Y57" s="201"/>
      <c r="Z57" s="285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</row>
    <row r="58" spans="1:54" x14ac:dyDescent="0.25">
      <c r="A58" s="201"/>
      <c r="B58" s="201"/>
      <c r="C58" s="201"/>
      <c r="D58" s="201"/>
      <c r="E58" s="201"/>
      <c r="F58" s="201"/>
      <c r="G58" s="201"/>
      <c r="H58" s="201"/>
      <c r="I58" s="285"/>
      <c r="J58" s="201"/>
      <c r="K58" s="201"/>
      <c r="L58" s="201"/>
      <c r="M58" s="201"/>
      <c r="N58" s="201"/>
      <c r="O58" s="201"/>
      <c r="P58" s="201"/>
      <c r="Q58" s="285"/>
      <c r="R58" s="201"/>
      <c r="S58" s="201"/>
      <c r="T58" s="201"/>
      <c r="U58" s="201"/>
      <c r="V58" s="201"/>
      <c r="W58" s="201"/>
      <c r="X58" s="201"/>
      <c r="Y58" s="201"/>
      <c r="Z58" s="285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</row>
    <row r="59" spans="1:54" x14ac:dyDescent="0.25">
      <c r="A59" s="201"/>
      <c r="B59" s="201"/>
      <c r="C59" s="201"/>
      <c r="D59" s="201"/>
      <c r="E59" s="201"/>
      <c r="F59" s="201"/>
      <c r="G59" s="201"/>
      <c r="H59" s="201"/>
      <c r="I59" s="285"/>
      <c r="J59" s="201"/>
      <c r="K59" s="201"/>
      <c r="L59" s="201"/>
      <c r="M59" s="201"/>
      <c r="N59" s="201"/>
      <c r="O59" s="201"/>
      <c r="P59" s="201"/>
      <c r="Q59" s="285"/>
      <c r="R59" s="201"/>
      <c r="S59" s="201"/>
      <c r="T59" s="201"/>
      <c r="U59" s="201"/>
      <c r="V59" s="201"/>
      <c r="W59" s="201"/>
      <c r="X59" s="201"/>
      <c r="Y59" s="201"/>
      <c r="Z59" s="285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</row>
    <row r="60" spans="1:54" x14ac:dyDescent="0.25">
      <c r="A60" s="201"/>
      <c r="B60" s="201"/>
      <c r="C60" s="201"/>
      <c r="D60" s="201"/>
      <c r="E60" s="201"/>
      <c r="F60" s="201"/>
      <c r="G60" s="201"/>
      <c r="H60" s="201"/>
      <c r="I60" s="285"/>
      <c r="J60" s="201"/>
      <c r="K60" s="201"/>
      <c r="L60" s="201"/>
      <c r="M60" s="201"/>
      <c r="N60" s="201"/>
      <c r="O60" s="201"/>
      <c r="P60" s="201"/>
      <c r="Q60" s="285"/>
      <c r="R60" s="201"/>
      <c r="S60" s="201"/>
      <c r="T60" s="201"/>
      <c r="U60" s="201"/>
      <c r="V60" s="201"/>
      <c r="W60" s="201"/>
      <c r="X60" s="201"/>
      <c r="Y60" s="201"/>
      <c r="Z60" s="285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</row>
    <row r="61" spans="1:54" x14ac:dyDescent="0.25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85"/>
      <c r="R61" s="201"/>
      <c r="S61" s="201"/>
      <c r="T61" s="201"/>
      <c r="U61" s="201"/>
      <c r="V61" s="201"/>
      <c r="W61" s="201"/>
      <c r="X61" s="201"/>
      <c r="Y61" s="201"/>
      <c r="Z61" s="285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</row>
    <row r="62" spans="1:54" x14ac:dyDescent="0.25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85"/>
      <c r="R62" s="201"/>
      <c r="S62" s="201"/>
      <c r="T62" s="201"/>
      <c r="U62" s="201"/>
      <c r="V62" s="201"/>
      <c r="W62" s="201"/>
      <c r="X62" s="201"/>
      <c r="Y62" s="201"/>
      <c r="Z62" s="285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</row>
    <row r="63" spans="1:54" x14ac:dyDescent="0.25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85"/>
      <c r="R63" s="201"/>
      <c r="S63" s="201"/>
      <c r="T63" s="201"/>
      <c r="U63" s="201"/>
      <c r="V63" s="201"/>
      <c r="W63" s="201"/>
      <c r="X63" s="201"/>
      <c r="Y63" s="201"/>
      <c r="Z63" s="285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</row>
    <row r="64" spans="1:54" x14ac:dyDescent="0.25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</row>
    <row r="65" spans="1:54" x14ac:dyDescent="0.25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</row>
    <row r="66" spans="1:54" x14ac:dyDescent="0.25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</row>
    <row r="67" spans="1:54" x14ac:dyDescent="0.25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</row>
    <row r="68" spans="1:54" x14ac:dyDescent="0.25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</row>
    <row r="69" spans="1:54" x14ac:dyDescent="0.25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</row>
    <row r="70" spans="1:54" x14ac:dyDescent="0.25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</row>
    <row r="71" spans="1:54" x14ac:dyDescent="0.25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</row>
    <row r="72" spans="1:54" x14ac:dyDescent="0.25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</row>
    <row r="73" spans="1:54" x14ac:dyDescent="0.25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</row>
    <row r="74" spans="1:54" x14ac:dyDescent="0.25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</row>
    <row r="75" spans="1:54" x14ac:dyDescent="0.25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</row>
    <row r="76" spans="1:54" x14ac:dyDescent="0.25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</row>
    <row r="77" spans="1:54" x14ac:dyDescent="0.25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</row>
    <row r="78" spans="1:54" x14ac:dyDescent="0.25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</row>
    <row r="79" spans="1:54" x14ac:dyDescent="0.25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</row>
    <row r="80" spans="1:54" x14ac:dyDescent="0.25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</row>
    <row r="81" spans="1:54" x14ac:dyDescent="0.25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</row>
    <row r="82" spans="1:54" x14ac:dyDescent="0.25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</row>
    <row r="83" spans="1:54" x14ac:dyDescent="0.25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</row>
    <row r="84" spans="1:54" x14ac:dyDescent="0.25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</row>
    <row r="85" spans="1:54" x14ac:dyDescent="0.25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</row>
    <row r="86" spans="1:54" x14ac:dyDescent="0.25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</row>
    <row r="87" spans="1:54" x14ac:dyDescent="0.25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</row>
    <row r="88" spans="1:54" x14ac:dyDescent="0.25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</row>
    <row r="89" spans="1:54" x14ac:dyDescent="0.25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</row>
    <row r="90" spans="1:54" x14ac:dyDescent="0.25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</row>
    <row r="91" spans="1:54" x14ac:dyDescent="0.25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</row>
    <row r="92" spans="1:54" x14ac:dyDescent="0.25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</row>
    <row r="93" spans="1:54" x14ac:dyDescent="0.25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</row>
    <row r="94" spans="1:54" x14ac:dyDescent="0.25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</row>
    <row r="95" spans="1:54" x14ac:dyDescent="0.25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</row>
    <row r="96" spans="1:54" x14ac:dyDescent="0.25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</row>
    <row r="97" spans="1:54" x14ac:dyDescent="0.25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</row>
    <row r="98" spans="1:54" x14ac:dyDescent="0.25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</row>
    <row r="99" spans="1:54" x14ac:dyDescent="0.25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</row>
    <row r="100" spans="1:54" x14ac:dyDescent="0.25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</row>
    <row r="101" spans="1:54" x14ac:dyDescent="0.25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</row>
    <row r="102" spans="1:54" x14ac:dyDescent="0.25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</row>
    <row r="103" spans="1:54" x14ac:dyDescent="0.25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</row>
    <row r="104" spans="1:54" x14ac:dyDescent="0.25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</row>
    <row r="105" spans="1:54" x14ac:dyDescent="0.25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</row>
    <row r="106" spans="1:54" x14ac:dyDescent="0.25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</row>
    <row r="107" spans="1:54" x14ac:dyDescent="0.25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</row>
    <row r="108" spans="1:54" x14ac:dyDescent="0.25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</row>
    <row r="109" spans="1:54" x14ac:dyDescent="0.25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</row>
    <row r="110" spans="1:54" x14ac:dyDescent="0.25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</row>
    <row r="111" spans="1:54" x14ac:dyDescent="0.25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</row>
    <row r="112" spans="1:54" x14ac:dyDescent="0.25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</row>
    <row r="113" spans="1:54" x14ac:dyDescent="0.25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</row>
    <row r="114" spans="1:54" x14ac:dyDescent="0.25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</row>
    <row r="115" spans="1:54" x14ac:dyDescent="0.25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</row>
    <row r="116" spans="1:54" x14ac:dyDescent="0.25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</row>
    <row r="117" spans="1:54" x14ac:dyDescent="0.25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</row>
    <row r="118" spans="1:54" x14ac:dyDescent="0.25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</row>
    <row r="119" spans="1:54" x14ac:dyDescent="0.25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</row>
    <row r="120" spans="1:54" x14ac:dyDescent="0.25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</row>
    <row r="121" spans="1:54" x14ac:dyDescent="0.25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</row>
    <row r="122" spans="1:54" x14ac:dyDescent="0.25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</row>
    <row r="123" spans="1:54" x14ac:dyDescent="0.25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</row>
    <row r="124" spans="1:54" x14ac:dyDescent="0.25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</row>
    <row r="125" spans="1:54" x14ac:dyDescent="0.25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</row>
    <row r="126" spans="1:54" x14ac:dyDescent="0.25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</row>
    <row r="127" spans="1:54" x14ac:dyDescent="0.25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</row>
    <row r="128" spans="1:54" x14ac:dyDescent="0.25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</row>
    <row r="129" spans="1:54" x14ac:dyDescent="0.25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</row>
    <row r="130" spans="1:54" x14ac:dyDescent="0.25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</row>
    <row r="131" spans="1:54" x14ac:dyDescent="0.25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</row>
    <row r="132" spans="1:54" x14ac:dyDescent="0.25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</row>
    <row r="133" spans="1:54" x14ac:dyDescent="0.25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</row>
    <row r="134" spans="1:54" x14ac:dyDescent="0.25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</row>
    <row r="135" spans="1:54" x14ac:dyDescent="0.25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</row>
    <row r="136" spans="1:54" x14ac:dyDescent="0.25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</row>
    <row r="137" spans="1:54" x14ac:dyDescent="0.25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</row>
    <row r="138" spans="1:54" x14ac:dyDescent="0.25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</row>
    <row r="139" spans="1:54" x14ac:dyDescent="0.25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</row>
    <row r="140" spans="1:54" x14ac:dyDescent="0.25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</row>
    <row r="141" spans="1:54" x14ac:dyDescent="0.25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</row>
    <row r="142" spans="1:54" x14ac:dyDescent="0.25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</row>
    <row r="143" spans="1:54" x14ac:dyDescent="0.25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</row>
    <row r="144" spans="1:54" x14ac:dyDescent="0.25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</row>
    <row r="145" spans="1:54" x14ac:dyDescent="0.25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</row>
    <row r="146" spans="1:54" x14ac:dyDescent="0.25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</row>
    <row r="147" spans="1:54" x14ac:dyDescent="0.25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</row>
    <row r="148" spans="1:54" x14ac:dyDescent="0.25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</row>
    <row r="149" spans="1:54" x14ac:dyDescent="0.25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</row>
    <row r="150" spans="1:54" x14ac:dyDescent="0.25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</row>
    <row r="151" spans="1:54" x14ac:dyDescent="0.25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</row>
    <row r="152" spans="1:54" x14ac:dyDescent="0.25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</row>
    <row r="153" spans="1:54" x14ac:dyDescent="0.25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</row>
    <row r="154" spans="1:54" x14ac:dyDescent="0.25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</row>
    <row r="155" spans="1:54" x14ac:dyDescent="0.25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</row>
    <row r="156" spans="1:54" x14ac:dyDescent="0.25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</row>
    <row r="157" spans="1:54" x14ac:dyDescent="0.25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</row>
    <row r="158" spans="1:54" x14ac:dyDescent="0.25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</row>
    <row r="159" spans="1:54" x14ac:dyDescent="0.25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</row>
    <row r="160" spans="1:54" x14ac:dyDescent="0.25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</row>
    <row r="161" spans="1:54" x14ac:dyDescent="0.25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</row>
    <row r="162" spans="1:54" x14ac:dyDescent="0.25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</row>
    <row r="163" spans="1:54" x14ac:dyDescent="0.25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</row>
    <row r="164" spans="1:54" x14ac:dyDescent="0.25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</row>
    <row r="165" spans="1:54" x14ac:dyDescent="0.25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</row>
    <row r="166" spans="1:54" x14ac:dyDescent="0.25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</row>
    <row r="167" spans="1:54" x14ac:dyDescent="0.25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</row>
    <row r="168" spans="1:54" x14ac:dyDescent="0.25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</row>
    <row r="169" spans="1:54" x14ac:dyDescent="0.25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</row>
    <row r="170" spans="1:54" x14ac:dyDescent="0.25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</row>
    <row r="171" spans="1:54" x14ac:dyDescent="0.25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</row>
    <row r="172" spans="1:54" x14ac:dyDescent="0.25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</row>
    <row r="173" spans="1:54" x14ac:dyDescent="0.25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</row>
    <row r="174" spans="1:54" x14ac:dyDescent="0.25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</row>
    <row r="175" spans="1:54" x14ac:dyDescent="0.25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</row>
    <row r="176" spans="1:54" x14ac:dyDescent="0.25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</row>
    <row r="177" spans="1:54" x14ac:dyDescent="0.25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</row>
    <row r="178" spans="1:54" x14ac:dyDescent="0.25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</row>
    <row r="179" spans="1:54" x14ac:dyDescent="0.25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</row>
    <row r="180" spans="1:54" x14ac:dyDescent="0.25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</row>
    <row r="181" spans="1:54" x14ac:dyDescent="0.25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</row>
    <row r="182" spans="1:54" x14ac:dyDescent="0.25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</row>
    <row r="183" spans="1:54" x14ac:dyDescent="0.25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</row>
    <row r="184" spans="1:54" x14ac:dyDescent="0.25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</row>
    <row r="185" spans="1:54" x14ac:dyDescent="0.25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</row>
    <row r="186" spans="1:54" x14ac:dyDescent="0.25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</row>
    <row r="187" spans="1:54" x14ac:dyDescent="0.25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</row>
    <row r="188" spans="1:54" x14ac:dyDescent="0.25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</row>
    <row r="189" spans="1:54" x14ac:dyDescent="0.25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</row>
    <row r="190" spans="1:54" x14ac:dyDescent="0.25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</row>
    <row r="191" spans="1:54" x14ac:dyDescent="0.25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</row>
    <row r="192" spans="1:54" x14ac:dyDescent="0.25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</row>
    <row r="193" spans="1:54" x14ac:dyDescent="0.25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</row>
    <row r="194" spans="1:54" x14ac:dyDescent="0.25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</row>
    <row r="195" spans="1:54" x14ac:dyDescent="0.25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</row>
    <row r="196" spans="1:54" x14ac:dyDescent="0.25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</row>
    <row r="197" spans="1:54" x14ac:dyDescent="0.25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</row>
    <row r="198" spans="1:54" x14ac:dyDescent="0.25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</row>
    <row r="199" spans="1:54" x14ac:dyDescent="0.25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</row>
    <row r="200" spans="1:54" x14ac:dyDescent="0.25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</row>
    <row r="201" spans="1:54" x14ac:dyDescent="0.25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</row>
    <row r="202" spans="1:54" x14ac:dyDescent="0.25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</row>
    <row r="203" spans="1:54" x14ac:dyDescent="0.25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</row>
    <row r="204" spans="1:54" x14ac:dyDescent="0.25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</row>
    <row r="205" spans="1:54" x14ac:dyDescent="0.25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</row>
    <row r="206" spans="1:54" x14ac:dyDescent="0.25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</row>
    <row r="207" spans="1:54" x14ac:dyDescent="0.25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</row>
    <row r="208" spans="1:54" x14ac:dyDescent="0.25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</row>
    <row r="209" spans="1:54" x14ac:dyDescent="0.25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</row>
    <row r="210" spans="1:54" x14ac:dyDescent="0.25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</row>
    <row r="211" spans="1:54" x14ac:dyDescent="0.25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</row>
    <row r="212" spans="1:54" x14ac:dyDescent="0.25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</row>
    <row r="213" spans="1:54" x14ac:dyDescent="0.25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</row>
    <row r="214" spans="1:54" x14ac:dyDescent="0.25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</row>
    <row r="215" spans="1:54" x14ac:dyDescent="0.25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</row>
    <row r="216" spans="1:54" x14ac:dyDescent="0.25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</row>
    <row r="217" spans="1:54" x14ac:dyDescent="0.25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</row>
    <row r="218" spans="1:54" x14ac:dyDescent="0.25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</row>
    <row r="219" spans="1:54" x14ac:dyDescent="0.25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</row>
    <row r="220" spans="1:54" x14ac:dyDescent="0.25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</row>
    <row r="221" spans="1:54" x14ac:dyDescent="0.25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</row>
    <row r="222" spans="1:54" x14ac:dyDescent="0.25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</row>
    <row r="223" spans="1:54" x14ac:dyDescent="0.25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</row>
    <row r="224" spans="1:54" x14ac:dyDescent="0.25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</row>
    <row r="225" spans="1:54" x14ac:dyDescent="0.25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</row>
    <row r="226" spans="1:54" x14ac:dyDescent="0.25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</row>
    <row r="227" spans="1:54" x14ac:dyDescent="0.25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</row>
    <row r="228" spans="1:54" x14ac:dyDescent="0.25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</row>
    <row r="229" spans="1:54" x14ac:dyDescent="0.25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</row>
    <row r="230" spans="1:54" x14ac:dyDescent="0.25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</row>
    <row r="231" spans="1:54" x14ac:dyDescent="0.25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</row>
    <row r="232" spans="1:54" x14ac:dyDescent="0.25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</row>
    <row r="233" spans="1:54" x14ac:dyDescent="0.25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</row>
    <row r="234" spans="1:54" x14ac:dyDescent="0.25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</row>
    <row r="235" spans="1:54" x14ac:dyDescent="0.25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</row>
    <row r="236" spans="1:54" x14ac:dyDescent="0.25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</row>
    <row r="237" spans="1:54" x14ac:dyDescent="0.25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</row>
    <row r="238" spans="1:54" x14ac:dyDescent="0.25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</row>
    <row r="239" spans="1:54" x14ac:dyDescent="0.25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</row>
    <row r="240" spans="1:54" x14ac:dyDescent="0.25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</row>
    <row r="241" spans="1:54" x14ac:dyDescent="0.25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</row>
    <row r="242" spans="1:54" x14ac:dyDescent="0.25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</row>
    <row r="243" spans="1:54" x14ac:dyDescent="0.25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</row>
    <row r="244" spans="1:54" x14ac:dyDescent="0.25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</row>
    <row r="245" spans="1:54" x14ac:dyDescent="0.25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</row>
    <row r="246" spans="1:54" x14ac:dyDescent="0.25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</row>
    <row r="247" spans="1:54" x14ac:dyDescent="0.25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</row>
    <row r="248" spans="1:54" x14ac:dyDescent="0.25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</row>
    <row r="249" spans="1:54" x14ac:dyDescent="0.25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</row>
    <row r="250" spans="1:54" x14ac:dyDescent="0.25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</row>
    <row r="251" spans="1:54" x14ac:dyDescent="0.25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</row>
    <row r="252" spans="1:54" x14ac:dyDescent="0.25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</row>
    <row r="253" spans="1:54" x14ac:dyDescent="0.25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</row>
    <row r="254" spans="1:54" x14ac:dyDescent="0.25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</row>
    <row r="255" spans="1:54" x14ac:dyDescent="0.25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</row>
    <row r="256" spans="1:54" x14ac:dyDescent="0.25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</row>
    <row r="257" spans="1:54" x14ac:dyDescent="0.25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</row>
    <row r="258" spans="1:54" x14ac:dyDescent="0.25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</row>
    <row r="259" spans="1:54" x14ac:dyDescent="0.25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</row>
    <row r="260" spans="1:54" x14ac:dyDescent="0.25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</row>
    <row r="261" spans="1:54" x14ac:dyDescent="0.25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</row>
    <row r="262" spans="1:54" x14ac:dyDescent="0.25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</row>
    <row r="263" spans="1:54" x14ac:dyDescent="0.25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</row>
    <row r="264" spans="1:54" x14ac:dyDescent="0.25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</row>
    <row r="265" spans="1:54" x14ac:dyDescent="0.25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</row>
    <row r="266" spans="1:54" x14ac:dyDescent="0.25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</row>
    <row r="267" spans="1:54" x14ac:dyDescent="0.25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</row>
    <row r="268" spans="1:54" x14ac:dyDescent="0.25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</row>
    <row r="269" spans="1:54" x14ac:dyDescent="0.25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</row>
    <row r="270" spans="1:54" x14ac:dyDescent="0.25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</row>
    <row r="271" spans="1:54" x14ac:dyDescent="0.25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</row>
    <row r="272" spans="1:54" x14ac:dyDescent="0.25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</row>
    <row r="273" spans="1:54" x14ac:dyDescent="0.25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</row>
    <row r="274" spans="1:54" x14ac:dyDescent="0.25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</row>
    <row r="275" spans="1:54" x14ac:dyDescent="0.25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</row>
    <row r="276" spans="1:54" x14ac:dyDescent="0.25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</row>
    <row r="277" spans="1:54" x14ac:dyDescent="0.25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</row>
    <row r="278" spans="1:54" x14ac:dyDescent="0.25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</row>
    <row r="279" spans="1:54" x14ac:dyDescent="0.25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</row>
    <row r="280" spans="1:54" x14ac:dyDescent="0.25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</row>
    <row r="281" spans="1:54" x14ac:dyDescent="0.25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</row>
    <row r="282" spans="1:54" x14ac:dyDescent="0.25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</row>
    <row r="283" spans="1:54" x14ac:dyDescent="0.25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</row>
    <row r="284" spans="1:54" x14ac:dyDescent="0.25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</row>
    <row r="285" spans="1:54" x14ac:dyDescent="0.25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</row>
    <row r="286" spans="1:54" x14ac:dyDescent="0.25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</row>
    <row r="287" spans="1:54" x14ac:dyDescent="0.25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</row>
    <row r="288" spans="1:54" x14ac:dyDescent="0.25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</row>
    <row r="289" spans="1:54" x14ac:dyDescent="0.25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</row>
    <row r="290" spans="1:54" x14ac:dyDescent="0.25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</row>
    <row r="291" spans="1:54" x14ac:dyDescent="0.25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</row>
    <row r="292" spans="1:54" x14ac:dyDescent="0.25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</row>
    <row r="293" spans="1:54" x14ac:dyDescent="0.25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</row>
    <row r="294" spans="1:54" x14ac:dyDescent="0.25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</row>
    <row r="295" spans="1:54" x14ac:dyDescent="0.25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</row>
    <row r="296" spans="1:54" x14ac:dyDescent="0.25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</row>
    <row r="297" spans="1:54" x14ac:dyDescent="0.25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</row>
    <row r="298" spans="1:54" x14ac:dyDescent="0.25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</row>
    <row r="299" spans="1:54" x14ac:dyDescent="0.25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</row>
    <row r="300" spans="1:54" x14ac:dyDescent="0.25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</row>
    <row r="301" spans="1:54" x14ac:dyDescent="0.25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</row>
    <row r="302" spans="1:54" x14ac:dyDescent="0.25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</row>
    <row r="303" spans="1:54" x14ac:dyDescent="0.25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</row>
    <row r="304" spans="1:54" x14ac:dyDescent="0.25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</row>
    <row r="305" spans="1:54" x14ac:dyDescent="0.25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</row>
    <row r="306" spans="1:54" x14ac:dyDescent="0.25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</row>
    <row r="307" spans="1:54" x14ac:dyDescent="0.25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</row>
    <row r="308" spans="1:54" x14ac:dyDescent="0.25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</row>
    <row r="309" spans="1:54" x14ac:dyDescent="0.25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</row>
    <row r="310" spans="1:54" x14ac:dyDescent="0.25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</row>
    <row r="311" spans="1:54" x14ac:dyDescent="0.25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</row>
    <row r="312" spans="1:54" x14ac:dyDescent="0.25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</row>
    <row r="313" spans="1:54" x14ac:dyDescent="0.25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</row>
    <row r="314" spans="1:54" x14ac:dyDescent="0.25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</row>
    <row r="315" spans="1:54" x14ac:dyDescent="0.25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</row>
    <row r="316" spans="1:54" x14ac:dyDescent="0.25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</row>
    <row r="317" spans="1:54" x14ac:dyDescent="0.25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</row>
    <row r="318" spans="1:54" x14ac:dyDescent="0.25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</row>
    <row r="319" spans="1:54" x14ac:dyDescent="0.25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</row>
    <row r="320" spans="1:54" x14ac:dyDescent="0.25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</row>
    <row r="321" spans="1:54" x14ac:dyDescent="0.25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</row>
    <row r="322" spans="1:54" x14ac:dyDescent="0.25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</row>
    <row r="323" spans="1:54" x14ac:dyDescent="0.25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</row>
    <row r="324" spans="1:54" x14ac:dyDescent="0.25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</row>
    <row r="325" spans="1:54" x14ac:dyDescent="0.25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</row>
    <row r="326" spans="1:54" x14ac:dyDescent="0.25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</row>
    <row r="327" spans="1:54" x14ac:dyDescent="0.25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</row>
    <row r="328" spans="1:54" x14ac:dyDescent="0.25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</row>
    <row r="329" spans="1:54" x14ac:dyDescent="0.25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</row>
    <row r="330" spans="1:54" x14ac:dyDescent="0.25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</row>
    <row r="331" spans="1:54" x14ac:dyDescent="0.25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</row>
    <row r="332" spans="1:54" x14ac:dyDescent="0.25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</row>
    <row r="333" spans="1:54" x14ac:dyDescent="0.25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</row>
    <row r="334" spans="1:54" x14ac:dyDescent="0.25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</row>
    <row r="335" spans="1:54" x14ac:dyDescent="0.25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</row>
    <row r="336" spans="1:54" x14ac:dyDescent="0.25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</row>
    <row r="337" spans="1:54" x14ac:dyDescent="0.25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</row>
    <row r="338" spans="1:54" x14ac:dyDescent="0.25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</row>
    <row r="339" spans="1:54" x14ac:dyDescent="0.25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</row>
    <row r="340" spans="1:54" x14ac:dyDescent="0.25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</row>
    <row r="341" spans="1:54" x14ac:dyDescent="0.25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</row>
    <row r="342" spans="1:54" x14ac:dyDescent="0.25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</row>
    <row r="343" spans="1:54" x14ac:dyDescent="0.25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</row>
    <row r="344" spans="1:54" x14ac:dyDescent="0.25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</row>
    <row r="345" spans="1:54" x14ac:dyDescent="0.25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</row>
    <row r="346" spans="1:54" x14ac:dyDescent="0.25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</row>
    <row r="347" spans="1:54" x14ac:dyDescent="0.25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</row>
    <row r="348" spans="1:54" x14ac:dyDescent="0.25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</row>
    <row r="349" spans="1:54" x14ac:dyDescent="0.25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</row>
    <row r="350" spans="1:54" x14ac:dyDescent="0.25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</row>
    <row r="351" spans="1:54" x14ac:dyDescent="0.25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</row>
    <row r="352" spans="1:54" x14ac:dyDescent="0.25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</row>
    <row r="353" spans="1:54" x14ac:dyDescent="0.25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</row>
    <row r="354" spans="1:54" x14ac:dyDescent="0.25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</row>
    <row r="355" spans="1:54" x14ac:dyDescent="0.25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</row>
    <row r="356" spans="1:54" x14ac:dyDescent="0.25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</row>
    <row r="357" spans="1:54" x14ac:dyDescent="0.25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</row>
    <row r="358" spans="1:54" x14ac:dyDescent="0.25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</row>
    <row r="359" spans="1:54" x14ac:dyDescent="0.25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</row>
    <row r="360" spans="1:54" x14ac:dyDescent="0.25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</row>
    <row r="361" spans="1:54" x14ac:dyDescent="0.25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</row>
    <row r="362" spans="1:54" x14ac:dyDescent="0.25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</row>
    <row r="363" spans="1:54" x14ac:dyDescent="0.25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</row>
    <row r="364" spans="1:54" x14ac:dyDescent="0.25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</row>
    <row r="365" spans="1:54" x14ac:dyDescent="0.25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</row>
    <row r="366" spans="1:54" x14ac:dyDescent="0.25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</row>
    <row r="367" spans="1:54" x14ac:dyDescent="0.25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</row>
    <row r="368" spans="1:54" x14ac:dyDescent="0.25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</row>
    <row r="369" spans="1:54" x14ac:dyDescent="0.25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</row>
    <row r="370" spans="1:54" x14ac:dyDescent="0.25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</row>
    <row r="371" spans="1:54" x14ac:dyDescent="0.25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</row>
    <row r="372" spans="1:54" x14ac:dyDescent="0.25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</row>
    <row r="373" spans="1:54" x14ac:dyDescent="0.25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</row>
    <row r="374" spans="1:54" x14ac:dyDescent="0.25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</row>
    <row r="375" spans="1:54" x14ac:dyDescent="0.25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</row>
    <row r="376" spans="1:54" x14ac:dyDescent="0.25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</row>
    <row r="377" spans="1:54" x14ac:dyDescent="0.25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</row>
    <row r="378" spans="1:54" x14ac:dyDescent="0.25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</row>
    <row r="379" spans="1:54" x14ac:dyDescent="0.25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</row>
    <row r="380" spans="1:54" x14ac:dyDescent="0.25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</row>
    <row r="381" spans="1:54" x14ac:dyDescent="0.25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</row>
    <row r="382" spans="1:54" x14ac:dyDescent="0.25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</row>
    <row r="383" spans="1:54" x14ac:dyDescent="0.25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</row>
    <row r="384" spans="1:54" x14ac:dyDescent="0.25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</row>
    <row r="385" spans="1:54" x14ac:dyDescent="0.25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</row>
    <row r="386" spans="1:54" x14ac:dyDescent="0.25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</row>
    <row r="387" spans="1:54" x14ac:dyDescent="0.25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</row>
    <row r="388" spans="1:54" x14ac:dyDescent="0.25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</row>
    <row r="389" spans="1:54" x14ac:dyDescent="0.25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</row>
    <row r="390" spans="1:54" x14ac:dyDescent="0.25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</row>
    <row r="391" spans="1:54" x14ac:dyDescent="0.25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</row>
    <row r="392" spans="1:54" x14ac:dyDescent="0.25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</row>
    <row r="393" spans="1:54" x14ac:dyDescent="0.25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</row>
    <row r="394" spans="1:54" x14ac:dyDescent="0.25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</row>
    <row r="395" spans="1:54" x14ac:dyDescent="0.25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</row>
    <row r="396" spans="1:54" x14ac:dyDescent="0.25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</row>
    <row r="397" spans="1:54" x14ac:dyDescent="0.25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</row>
    <row r="398" spans="1:54" x14ac:dyDescent="0.25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</row>
    <row r="399" spans="1:54" x14ac:dyDescent="0.25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</row>
    <row r="400" spans="1:54" x14ac:dyDescent="0.25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</row>
    <row r="401" spans="1:54" x14ac:dyDescent="0.25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</row>
    <row r="402" spans="1:54" x14ac:dyDescent="0.25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</row>
    <row r="403" spans="1:54" x14ac:dyDescent="0.25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</row>
    <row r="404" spans="1:54" x14ac:dyDescent="0.25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</row>
    <row r="405" spans="1:54" x14ac:dyDescent="0.25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</row>
    <row r="406" spans="1:54" x14ac:dyDescent="0.25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</row>
    <row r="407" spans="1:54" x14ac:dyDescent="0.25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</row>
    <row r="408" spans="1:54" x14ac:dyDescent="0.25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</row>
    <row r="409" spans="1:54" x14ac:dyDescent="0.25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</row>
    <row r="410" spans="1:54" x14ac:dyDescent="0.25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</row>
    <row r="411" spans="1:54" x14ac:dyDescent="0.25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</row>
    <row r="412" spans="1:54" x14ac:dyDescent="0.25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</row>
    <row r="413" spans="1:54" x14ac:dyDescent="0.25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</row>
    <row r="414" spans="1:54" x14ac:dyDescent="0.25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</row>
    <row r="415" spans="1:54" x14ac:dyDescent="0.25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</row>
    <row r="416" spans="1:54" x14ac:dyDescent="0.25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</row>
    <row r="417" spans="1:54" x14ac:dyDescent="0.25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</row>
    <row r="418" spans="1:54" x14ac:dyDescent="0.25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</row>
    <row r="419" spans="1:54" x14ac:dyDescent="0.25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</row>
    <row r="420" spans="1:54" x14ac:dyDescent="0.25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</row>
    <row r="421" spans="1:54" x14ac:dyDescent="0.25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</row>
    <row r="422" spans="1:54" x14ac:dyDescent="0.25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</row>
    <row r="423" spans="1:54" x14ac:dyDescent="0.25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</row>
    <row r="424" spans="1:54" x14ac:dyDescent="0.25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</row>
    <row r="425" spans="1:54" x14ac:dyDescent="0.25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</row>
    <row r="426" spans="1:54" x14ac:dyDescent="0.25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</row>
    <row r="427" spans="1:54" x14ac:dyDescent="0.25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</row>
    <row r="428" spans="1:54" x14ac:dyDescent="0.25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</row>
    <row r="429" spans="1:54" x14ac:dyDescent="0.25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</row>
    <row r="430" spans="1:54" x14ac:dyDescent="0.25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</row>
    <row r="431" spans="1:54" x14ac:dyDescent="0.25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</row>
    <row r="432" spans="1:54" x14ac:dyDescent="0.25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</row>
    <row r="433" spans="1:54" x14ac:dyDescent="0.25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</row>
    <row r="434" spans="1:54" x14ac:dyDescent="0.25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</row>
    <row r="435" spans="1:54" x14ac:dyDescent="0.25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</row>
    <row r="436" spans="1:54" x14ac:dyDescent="0.25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</row>
    <row r="437" spans="1:54" x14ac:dyDescent="0.25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</row>
    <row r="438" spans="1:54" x14ac:dyDescent="0.25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</row>
    <row r="439" spans="1:54" x14ac:dyDescent="0.25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</row>
    <row r="440" spans="1:54" x14ac:dyDescent="0.25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</row>
    <row r="441" spans="1:54" x14ac:dyDescent="0.25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</row>
    <row r="442" spans="1:54" x14ac:dyDescent="0.25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</row>
    <row r="443" spans="1:54" x14ac:dyDescent="0.25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</row>
    <row r="444" spans="1:54" x14ac:dyDescent="0.25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</row>
    <row r="445" spans="1:54" x14ac:dyDescent="0.25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</row>
    <row r="446" spans="1:54" x14ac:dyDescent="0.25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</row>
    <row r="447" spans="1:54" x14ac:dyDescent="0.25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</row>
    <row r="448" spans="1:54" x14ac:dyDescent="0.25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</row>
    <row r="449" spans="1:54" x14ac:dyDescent="0.25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</row>
    <row r="450" spans="1:54" x14ac:dyDescent="0.25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</row>
    <row r="451" spans="1:54" x14ac:dyDescent="0.25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</row>
    <row r="452" spans="1:54" x14ac:dyDescent="0.25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</row>
    <row r="453" spans="1:54" x14ac:dyDescent="0.25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</row>
    <row r="454" spans="1:54" x14ac:dyDescent="0.25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</row>
    <row r="455" spans="1:54" x14ac:dyDescent="0.25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</row>
    <row r="456" spans="1:54" x14ac:dyDescent="0.25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</row>
    <row r="457" spans="1:54" x14ac:dyDescent="0.25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</row>
    <row r="458" spans="1:54" x14ac:dyDescent="0.25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</row>
    <row r="459" spans="1:54" x14ac:dyDescent="0.25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</row>
    <row r="460" spans="1:54" x14ac:dyDescent="0.25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</row>
    <row r="461" spans="1:54" x14ac:dyDescent="0.25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</row>
    <row r="462" spans="1:54" x14ac:dyDescent="0.25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</row>
    <row r="463" spans="1:54" x14ac:dyDescent="0.25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</row>
    <row r="464" spans="1:54" x14ac:dyDescent="0.25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</row>
    <row r="465" spans="1:54" x14ac:dyDescent="0.25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</row>
    <row r="466" spans="1:54" x14ac:dyDescent="0.25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</row>
    <row r="467" spans="1:54" x14ac:dyDescent="0.25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</row>
    <row r="468" spans="1:54" x14ac:dyDescent="0.25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</row>
    <row r="469" spans="1:54" x14ac:dyDescent="0.25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</row>
    <row r="470" spans="1:54" x14ac:dyDescent="0.25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</row>
    <row r="471" spans="1:54" x14ac:dyDescent="0.25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</row>
    <row r="472" spans="1:54" x14ac:dyDescent="0.25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</row>
    <row r="473" spans="1:54" x14ac:dyDescent="0.25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</row>
    <row r="474" spans="1:54" x14ac:dyDescent="0.25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</row>
    <row r="475" spans="1:54" x14ac:dyDescent="0.25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</row>
    <row r="476" spans="1:54" x14ac:dyDescent="0.25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</row>
    <row r="477" spans="1:54" x14ac:dyDescent="0.25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</row>
    <row r="478" spans="1:54" x14ac:dyDescent="0.25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</row>
    <row r="479" spans="1:54" x14ac:dyDescent="0.25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</row>
    <row r="480" spans="1:54" x14ac:dyDescent="0.25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</row>
    <row r="481" spans="1:54" x14ac:dyDescent="0.25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</row>
    <row r="482" spans="1:54" x14ac:dyDescent="0.25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</row>
    <row r="483" spans="1:54" x14ac:dyDescent="0.25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</row>
    <row r="484" spans="1:54" x14ac:dyDescent="0.25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</row>
    <row r="485" spans="1:54" x14ac:dyDescent="0.25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</row>
    <row r="486" spans="1:54" x14ac:dyDescent="0.25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</row>
    <row r="487" spans="1:54" x14ac:dyDescent="0.25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</row>
    <row r="488" spans="1:54" x14ac:dyDescent="0.25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</row>
    <row r="489" spans="1:54" x14ac:dyDescent="0.25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</row>
    <row r="490" spans="1:54" x14ac:dyDescent="0.25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</row>
    <row r="491" spans="1:54" x14ac:dyDescent="0.25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</row>
    <row r="492" spans="1:54" x14ac:dyDescent="0.25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</row>
    <row r="493" spans="1:54" x14ac:dyDescent="0.25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</row>
    <row r="494" spans="1:54" x14ac:dyDescent="0.25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</row>
    <row r="495" spans="1:54" x14ac:dyDescent="0.25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</row>
    <row r="496" spans="1:54" x14ac:dyDescent="0.25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</row>
    <row r="497" spans="1:54" x14ac:dyDescent="0.25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</row>
    <row r="498" spans="1:54" x14ac:dyDescent="0.25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</row>
    <row r="499" spans="1:54" x14ac:dyDescent="0.25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</row>
    <row r="500" spans="1:54" x14ac:dyDescent="0.25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</row>
    <row r="501" spans="1:54" x14ac:dyDescent="0.25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</row>
    <row r="502" spans="1:54" x14ac:dyDescent="0.25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</row>
    <row r="503" spans="1:54" x14ac:dyDescent="0.25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</row>
    <row r="504" spans="1:54" x14ac:dyDescent="0.25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</row>
    <row r="505" spans="1:54" x14ac:dyDescent="0.25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</row>
    <row r="506" spans="1:54" x14ac:dyDescent="0.25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</row>
    <row r="507" spans="1:54" x14ac:dyDescent="0.25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</row>
    <row r="508" spans="1:54" x14ac:dyDescent="0.25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</row>
    <row r="509" spans="1:54" x14ac:dyDescent="0.25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</row>
    <row r="510" spans="1:54" x14ac:dyDescent="0.25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</row>
    <row r="511" spans="1:54" x14ac:dyDescent="0.25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</row>
    <row r="512" spans="1:54" x14ac:dyDescent="0.25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</row>
    <row r="513" spans="1:54" x14ac:dyDescent="0.25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</row>
    <row r="514" spans="1:54" x14ac:dyDescent="0.25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</row>
    <row r="515" spans="1:54" x14ac:dyDescent="0.25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</row>
    <row r="516" spans="1:54" x14ac:dyDescent="0.25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</row>
    <row r="517" spans="1:54" x14ac:dyDescent="0.25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</row>
    <row r="518" spans="1:54" x14ac:dyDescent="0.25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</row>
    <row r="519" spans="1:54" x14ac:dyDescent="0.25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</row>
    <row r="520" spans="1:54" x14ac:dyDescent="0.25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</row>
    <row r="521" spans="1:54" x14ac:dyDescent="0.25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</row>
    <row r="522" spans="1:54" x14ac:dyDescent="0.25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</row>
    <row r="523" spans="1:54" x14ac:dyDescent="0.25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</row>
    <row r="524" spans="1:54" x14ac:dyDescent="0.25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</row>
    <row r="525" spans="1:54" x14ac:dyDescent="0.25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</row>
    <row r="526" spans="1:54" x14ac:dyDescent="0.25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</row>
    <row r="527" spans="1:54" x14ac:dyDescent="0.25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</row>
    <row r="528" spans="1:54" x14ac:dyDescent="0.25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</row>
    <row r="529" spans="1:54" x14ac:dyDescent="0.25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</row>
    <row r="530" spans="1:54" x14ac:dyDescent="0.25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</row>
    <row r="531" spans="1:54" x14ac:dyDescent="0.25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</row>
    <row r="532" spans="1:54" x14ac:dyDescent="0.25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</row>
    <row r="533" spans="1:54" x14ac:dyDescent="0.25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</row>
    <row r="534" spans="1:54" x14ac:dyDescent="0.25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</row>
    <row r="535" spans="1:54" x14ac:dyDescent="0.25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</row>
    <row r="536" spans="1:54" x14ac:dyDescent="0.25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</row>
    <row r="537" spans="1:54" x14ac:dyDescent="0.25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</row>
    <row r="538" spans="1:54" x14ac:dyDescent="0.25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</row>
    <row r="539" spans="1:54" x14ac:dyDescent="0.25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</row>
    <row r="540" spans="1:54" x14ac:dyDescent="0.25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</row>
    <row r="541" spans="1:54" x14ac:dyDescent="0.25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</row>
    <row r="542" spans="1:54" x14ac:dyDescent="0.25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</row>
    <row r="543" spans="1:54" x14ac:dyDescent="0.25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</row>
    <row r="544" spans="1:54" x14ac:dyDescent="0.25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</row>
    <row r="545" spans="1:54" x14ac:dyDescent="0.25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</row>
    <row r="546" spans="1:54" x14ac:dyDescent="0.25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</row>
    <row r="547" spans="1:54" x14ac:dyDescent="0.25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</row>
    <row r="548" spans="1:54" x14ac:dyDescent="0.25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</row>
    <row r="549" spans="1:54" x14ac:dyDescent="0.25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</row>
    <row r="550" spans="1:54" x14ac:dyDescent="0.25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</row>
    <row r="551" spans="1:54" x14ac:dyDescent="0.25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</row>
    <row r="552" spans="1:54" x14ac:dyDescent="0.25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</row>
    <row r="553" spans="1:54" x14ac:dyDescent="0.25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</row>
    <row r="554" spans="1:54" x14ac:dyDescent="0.25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</row>
    <row r="555" spans="1:54" x14ac:dyDescent="0.25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</row>
    <row r="556" spans="1:54" x14ac:dyDescent="0.25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</row>
    <row r="557" spans="1:54" x14ac:dyDescent="0.25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</row>
    <row r="558" spans="1:54" x14ac:dyDescent="0.25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</row>
    <row r="559" spans="1:54" x14ac:dyDescent="0.25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</row>
    <row r="560" spans="1:54" x14ac:dyDescent="0.25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</row>
    <row r="561" spans="1:54" x14ac:dyDescent="0.25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</row>
    <row r="562" spans="1:54" x14ac:dyDescent="0.25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</row>
    <row r="563" spans="1:54" x14ac:dyDescent="0.25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</row>
    <row r="564" spans="1:54" x14ac:dyDescent="0.25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</row>
    <row r="565" spans="1:54" x14ac:dyDescent="0.25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</row>
    <row r="566" spans="1:54" x14ac:dyDescent="0.25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</row>
    <row r="567" spans="1:54" x14ac:dyDescent="0.25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</row>
    <row r="568" spans="1:54" x14ac:dyDescent="0.25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</row>
    <row r="569" spans="1:54" x14ac:dyDescent="0.25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</row>
    <row r="570" spans="1:54" x14ac:dyDescent="0.25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</row>
    <row r="571" spans="1:54" x14ac:dyDescent="0.25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</row>
    <row r="572" spans="1:54" x14ac:dyDescent="0.25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</row>
    <row r="573" spans="1:54" x14ac:dyDescent="0.25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</row>
    <row r="574" spans="1:54" x14ac:dyDescent="0.25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</row>
    <row r="575" spans="1:54" x14ac:dyDescent="0.25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</row>
    <row r="576" spans="1:54" x14ac:dyDescent="0.25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</row>
    <row r="577" spans="1:54" x14ac:dyDescent="0.25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</row>
    <row r="578" spans="1:54" x14ac:dyDescent="0.25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</row>
    <row r="579" spans="1:54" x14ac:dyDescent="0.25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</row>
    <row r="580" spans="1:54" x14ac:dyDescent="0.25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</row>
    <row r="581" spans="1:54" x14ac:dyDescent="0.25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</row>
    <row r="582" spans="1:54" x14ac:dyDescent="0.25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</row>
    <row r="583" spans="1:54" x14ac:dyDescent="0.25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</row>
    <row r="584" spans="1:54" x14ac:dyDescent="0.25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</row>
    <row r="585" spans="1:54" x14ac:dyDescent="0.25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</row>
    <row r="586" spans="1:54" x14ac:dyDescent="0.25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</row>
    <row r="587" spans="1:54" x14ac:dyDescent="0.25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</row>
    <row r="588" spans="1:54" x14ac:dyDescent="0.25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</row>
    <row r="589" spans="1:54" x14ac:dyDescent="0.25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</row>
    <row r="590" spans="1:54" x14ac:dyDescent="0.25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</row>
    <row r="591" spans="1:54" x14ac:dyDescent="0.25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</row>
    <row r="592" spans="1:54" x14ac:dyDescent="0.25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</row>
    <row r="593" spans="1:54" x14ac:dyDescent="0.25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</row>
    <row r="594" spans="1:54" x14ac:dyDescent="0.25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</row>
    <row r="595" spans="1:54" x14ac:dyDescent="0.25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</row>
    <row r="596" spans="1:54" x14ac:dyDescent="0.25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</row>
    <row r="597" spans="1:54" x14ac:dyDescent="0.25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</row>
    <row r="598" spans="1:54" x14ac:dyDescent="0.25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</row>
    <row r="599" spans="1:54" x14ac:dyDescent="0.25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</row>
    <row r="600" spans="1:54" x14ac:dyDescent="0.25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</row>
    <row r="601" spans="1:54" x14ac:dyDescent="0.25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</row>
    <row r="602" spans="1:54" x14ac:dyDescent="0.25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</row>
    <row r="603" spans="1:54" x14ac:dyDescent="0.25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</row>
    <row r="604" spans="1:54" x14ac:dyDescent="0.25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</row>
    <row r="605" spans="1:54" x14ac:dyDescent="0.25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</row>
    <row r="606" spans="1:54" x14ac:dyDescent="0.25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</row>
    <row r="607" spans="1:54" x14ac:dyDescent="0.25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</row>
    <row r="608" spans="1:54" x14ac:dyDescent="0.25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</row>
    <row r="609" spans="1:54" x14ac:dyDescent="0.25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</row>
    <row r="610" spans="1:54" x14ac:dyDescent="0.25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</row>
    <row r="611" spans="1:54" x14ac:dyDescent="0.25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</row>
    <row r="612" spans="1:54" x14ac:dyDescent="0.25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</row>
    <row r="613" spans="1:54" x14ac:dyDescent="0.25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</row>
    <row r="614" spans="1:54" x14ac:dyDescent="0.25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</row>
    <row r="615" spans="1:54" x14ac:dyDescent="0.25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</row>
    <row r="616" spans="1:54" x14ac:dyDescent="0.25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</row>
    <row r="617" spans="1:54" x14ac:dyDescent="0.25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</row>
    <row r="618" spans="1:54" x14ac:dyDescent="0.25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</row>
    <row r="619" spans="1:54" x14ac:dyDescent="0.25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</row>
    <row r="620" spans="1:54" x14ac:dyDescent="0.25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</row>
    <row r="621" spans="1:54" x14ac:dyDescent="0.25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</row>
    <row r="622" spans="1:54" x14ac:dyDescent="0.25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</row>
    <row r="623" spans="1:54" x14ac:dyDescent="0.25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</row>
    <row r="624" spans="1:54" x14ac:dyDescent="0.25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</row>
    <row r="625" spans="1:54" x14ac:dyDescent="0.25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</row>
    <row r="626" spans="1:54" x14ac:dyDescent="0.25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</row>
    <row r="627" spans="1:54" x14ac:dyDescent="0.25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</row>
    <row r="628" spans="1:54" x14ac:dyDescent="0.25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</row>
    <row r="629" spans="1:54" x14ac:dyDescent="0.25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</row>
    <row r="630" spans="1:54" x14ac:dyDescent="0.25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</row>
    <row r="631" spans="1:54" x14ac:dyDescent="0.25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</row>
    <row r="632" spans="1:54" x14ac:dyDescent="0.25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</row>
    <row r="633" spans="1:54" x14ac:dyDescent="0.25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</row>
    <row r="634" spans="1:54" x14ac:dyDescent="0.25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</row>
    <row r="635" spans="1:54" x14ac:dyDescent="0.25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</row>
    <row r="636" spans="1:54" x14ac:dyDescent="0.25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</row>
    <row r="637" spans="1:54" x14ac:dyDescent="0.25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</row>
    <row r="638" spans="1:54" x14ac:dyDescent="0.25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</row>
    <row r="639" spans="1:54" x14ac:dyDescent="0.25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</row>
    <row r="640" spans="1:54" x14ac:dyDescent="0.25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</row>
    <row r="641" spans="1:54" x14ac:dyDescent="0.25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</row>
    <row r="642" spans="1:54" x14ac:dyDescent="0.25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</row>
    <row r="643" spans="1:54" x14ac:dyDescent="0.25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</row>
    <row r="644" spans="1:54" x14ac:dyDescent="0.25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</row>
    <row r="645" spans="1:54" x14ac:dyDescent="0.25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</row>
    <row r="646" spans="1:54" x14ac:dyDescent="0.25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</row>
    <row r="647" spans="1:54" x14ac:dyDescent="0.25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</row>
    <row r="648" spans="1:54" x14ac:dyDescent="0.25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</row>
    <row r="649" spans="1:54" x14ac:dyDescent="0.25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</row>
    <row r="650" spans="1:54" x14ac:dyDescent="0.25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</row>
    <row r="651" spans="1:54" x14ac:dyDescent="0.25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</row>
    <row r="652" spans="1:54" x14ac:dyDescent="0.25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</row>
    <row r="653" spans="1:54" x14ac:dyDescent="0.25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</row>
    <row r="654" spans="1:54" x14ac:dyDescent="0.25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</row>
    <row r="655" spans="1:54" x14ac:dyDescent="0.25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</row>
    <row r="656" spans="1:54" x14ac:dyDescent="0.25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</row>
    <row r="657" spans="1:54" x14ac:dyDescent="0.25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</row>
    <row r="658" spans="1:54" x14ac:dyDescent="0.25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</row>
    <row r="659" spans="1:54" x14ac:dyDescent="0.25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</row>
    <row r="660" spans="1:54" x14ac:dyDescent="0.25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</row>
    <row r="661" spans="1:54" x14ac:dyDescent="0.25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</row>
    <row r="662" spans="1:54" x14ac:dyDescent="0.25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</row>
    <row r="663" spans="1:54" x14ac:dyDescent="0.25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</row>
    <row r="664" spans="1:54" x14ac:dyDescent="0.25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</row>
    <row r="665" spans="1:54" x14ac:dyDescent="0.25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</row>
    <row r="666" spans="1:54" x14ac:dyDescent="0.25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</row>
    <row r="667" spans="1:54" x14ac:dyDescent="0.25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</row>
    <row r="668" spans="1:54" x14ac:dyDescent="0.25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</row>
    <row r="669" spans="1:54" x14ac:dyDescent="0.25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</row>
    <row r="670" spans="1:54" x14ac:dyDescent="0.25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</row>
    <row r="671" spans="1:54" x14ac:dyDescent="0.25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</row>
    <row r="672" spans="1:54" x14ac:dyDescent="0.25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</row>
    <row r="673" spans="1:54" x14ac:dyDescent="0.25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</row>
    <row r="674" spans="1:54" x14ac:dyDescent="0.25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</row>
    <row r="675" spans="1:54" x14ac:dyDescent="0.25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</row>
    <row r="676" spans="1:54" x14ac:dyDescent="0.25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</row>
    <row r="677" spans="1:54" x14ac:dyDescent="0.25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</row>
    <row r="678" spans="1:54" x14ac:dyDescent="0.25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</row>
    <row r="679" spans="1:54" x14ac:dyDescent="0.25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</row>
    <row r="680" spans="1:54" x14ac:dyDescent="0.25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</row>
    <row r="681" spans="1:54" x14ac:dyDescent="0.25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</row>
    <row r="682" spans="1:54" x14ac:dyDescent="0.25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</row>
    <row r="683" spans="1:54" x14ac:dyDescent="0.25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</row>
    <row r="684" spans="1:54" x14ac:dyDescent="0.25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</row>
    <row r="685" spans="1:54" x14ac:dyDescent="0.25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</row>
    <row r="686" spans="1:54" x14ac:dyDescent="0.25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</row>
    <row r="687" spans="1:54" x14ac:dyDescent="0.25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</row>
    <row r="688" spans="1:54" x14ac:dyDescent="0.25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</row>
    <row r="689" spans="1:54" x14ac:dyDescent="0.25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</row>
    <row r="690" spans="1:54" x14ac:dyDescent="0.25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</row>
    <row r="691" spans="1:54" x14ac:dyDescent="0.25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</row>
    <row r="692" spans="1:54" x14ac:dyDescent="0.25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</row>
    <row r="693" spans="1:54" x14ac:dyDescent="0.25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</row>
    <row r="694" spans="1:54" x14ac:dyDescent="0.25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</row>
    <row r="695" spans="1:54" x14ac:dyDescent="0.25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</row>
    <row r="696" spans="1:54" x14ac:dyDescent="0.25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</row>
    <row r="697" spans="1:54" x14ac:dyDescent="0.25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</row>
    <row r="698" spans="1:54" x14ac:dyDescent="0.25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</row>
    <row r="699" spans="1:54" x14ac:dyDescent="0.25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</row>
    <row r="700" spans="1:54" x14ac:dyDescent="0.25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</row>
    <row r="701" spans="1:54" x14ac:dyDescent="0.25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</row>
    <row r="702" spans="1:54" x14ac:dyDescent="0.25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</row>
    <row r="703" spans="1:54" x14ac:dyDescent="0.25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</row>
    <row r="704" spans="1:54" x14ac:dyDescent="0.25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</row>
    <row r="705" spans="1:54" x14ac:dyDescent="0.25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</row>
    <row r="706" spans="1:54" x14ac:dyDescent="0.25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</row>
    <row r="707" spans="1:54" x14ac:dyDescent="0.25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</row>
    <row r="708" spans="1:54" x14ac:dyDescent="0.25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</row>
    <row r="709" spans="1:54" x14ac:dyDescent="0.25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</row>
    <row r="710" spans="1:54" x14ac:dyDescent="0.25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</row>
    <row r="711" spans="1:54" x14ac:dyDescent="0.25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</row>
    <row r="712" spans="1:54" x14ac:dyDescent="0.25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</row>
    <row r="713" spans="1:54" x14ac:dyDescent="0.25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</row>
    <row r="714" spans="1:54" x14ac:dyDescent="0.25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</row>
    <row r="715" spans="1:54" x14ac:dyDescent="0.25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</row>
    <row r="716" spans="1:54" x14ac:dyDescent="0.25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</row>
    <row r="717" spans="1:54" x14ac:dyDescent="0.25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</row>
    <row r="718" spans="1:54" x14ac:dyDescent="0.25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</row>
    <row r="719" spans="1:54" x14ac:dyDescent="0.25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</row>
    <row r="720" spans="1:54" x14ac:dyDescent="0.25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</row>
    <row r="721" spans="1:54" x14ac:dyDescent="0.25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</row>
    <row r="722" spans="1:54" x14ac:dyDescent="0.25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</row>
    <row r="723" spans="1:54" x14ac:dyDescent="0.25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</row>
    <row r="724" spans="1:54" x14ac:dyDescent="0.25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</row>
    <row r="725" spans="1:54" x14ac:dyDescent="0.25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</row>
    <row r="726" spans="1:54" x14ac:dyDescent="0.25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</row>
    <row r="727" spans="1:54" x14ac:dyDescent="0.25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</row>
    <row r="728" spans="1:54" x14ac:dyDescent="0.25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</row>
    <row r="729" spans="1:54" x14ac:dyDescent="0.25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</row>
    <row r="730" spans="1:54" x14ac:dyDescent="0.25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</row>
    <row r="731" spans="1:54" x14ac:dyDescent="0.25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</row>
    <row r="732" spans="1:54" x14ac:dyDescent="0.25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</row>
    <row r="733" spans="1:54" x14ac:dyDescent="0.25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</row>
    <row r="734" spans="1:54" x14ac:dyDescent="0.25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</row>
    <row r="735" spans="1:54" x14ac:dyDescent="0.25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</row>
    <row r="736" spans="1:54" x14ac:dyDescent="0.25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</row>
    <row r="737" spans="1:54" x14ac:dyDescent="0.25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</row>
    <row r="738" spans="1:54" x14ac:dyDescent="0.25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</row>
    <row r="739" spans="1:54" x14ac:dyDescent="0.25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</row>
    <row r="740" spans="1:54" x14ac:dyDescent="0.25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</row>
    <row r="741" spans="1:54" x14ac:dyDescent="0.25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</row>
    <row r="742" spans="1:54" x14ac:dyDescent="0.25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</row>
    <row r="743" spans="1:54" x14ac:dyDescent="0.25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</row>
    <row r="744" spans="1:54" x14ac:dyDescent="0.25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</row>
    <row r="745" spans="1:54" x14ac:dyDescent="0.25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</row>
    <row r="746" spans="1:54" x14ac:dyDescent="0.25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</row>
    <row r="747" spans="1:54" x14ac:dyDescent="0.25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</row>
    <row r="748" spans="1:54" x14ac:dyDescent="0.25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</row>
    <row r="749" spans="1:54" x14ac:dyDescent="0.25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</row>
    <row r="750" spans="1:54" x14ac:dyDescent="0.25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</row>
    <row r="751" spans="1:54" x14ac:dyDescent="0.25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</row>
    <row r="752" spans="1:54" x14ac:dyDescent="0.25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</row>
    <row r="753" spans="1:54" x14ac:dyDescent="0.25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</row>
    <row r="754" spans="1:54" x14ac:dyDescent="0.25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</row>
    <row r="755" spans="1:54" x14ac:dyDescent="0.25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</row>
    <row r="756" spans="1:54" x14ac:dyDescent="0.25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</row>
    <row r="757" spans="1:54" x14ac:dyDescent="0.25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</row>
    <row r="758" spans="1:54" x14ac:dyDescent="0.25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</row>
    <row r="759" spans="1:54" x14ac:dyDescent="0.25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</row>
    <row r="760" spans="1:54" x14ac:dyDescent="0.25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</row>
    <row r="761" spans="1:54" x14ac:dyDescent="0.25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</row>
    <row r="762" spans="1:54" x14ac:dyDescent="0.25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</row>
    <row r="763" spans="1:54" x14ac:dyDescent="0.25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</row>
    <row r="764" spans="1:54" x14ac:dyDescent="0.25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</row>
    <row r="765" spans="1:54" x14ac:dyDescent="0.25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</row>
    <row r="766" spans="1:54" x14ac:dyDescent="0.25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</row>
    <row r="767" spans="1:54" x14ac:dyDescent="0.25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</row>
    <row r="768" spans="1:54" x14ac:dyDescent="0.25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</row>
    <row r="769" spans="1:54" x14ac:dyDescent="0.25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</row>
    <row r="770" spans="1:54" x14ac:dyDescent="0.25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</row>
    <row r="771" spans="1:54" x14ac:dyDescent="0.25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</row>
    <row r="772" spans="1:54" x14ac:dyDescent="0.25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</row>
    <row r="773" spans="1:54" x14ac:dyDescent="0.25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</row>
    <row r="774" spans="1:54" x14ac:dyDescent="0.25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</row>
    <row r="775" spans="1:54" x14ac:dyDescent="0.25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</row>
    <row r="776" spans="1:54" x14ac:dyDescent="0.25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</row>
    <row r="777" spans="1:54" x14ac:dyDescent="0.25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</row>
    <row r="778" spans="1:54" x14ac:dyDescent="0.25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</row>
    <row r="779" spans="1:54" x14ac:dyDescent="0.25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</row>
    <row r="780" spans="1:54" x14ac:dyDescent="0.25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</row>
    <row r="781" spans="1:54" x14ac:dyDescent="0.25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</row>
    <row r="782" spans="1:54" x14ac:dyDescent="0.25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</row>
    <row r="783" spans="1:54" x14ac:dyDescent="0.25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</row>
    <row r="784" spans="1:54" x14ac:dyDescent="0.25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</row>
    <row r="785" spans="1:54" x14ac:dyDescent="0.25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</row>
    <row r="786" spans="1:54" x14ac:dyDescent="0.25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</row>
    <row r="787" spans="1:54" x14ac:dyDescent="0.25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</row>
    <row r="788" spans="1:54" x14ac:dyDescent="0.25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</row>
    <row r="789" spans="1:54" x14ac:dyDescent="0.25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</row>
    <row r="790" spans="1:54" x14ac:dyDescent="0.25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</row>
    <row r="791" spans="1:54" x14ac:dyDescent="0.25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</row>
    <row r="792" spans="1:54" x14ac:dyDescent="0.25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</row>
    <row r="793" spans="1:54" x14ac:dyDescent="0.25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</row>
    <row r="794" spans="1:54" x14ac:dyDescent="0.25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</row>
    <row r="795" spans="1:54" x14ac:dyDescent="0.25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</row>
    <row r="796" spans="1:54" x14ac:dyDescent="0.25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</row>
    <row r="797" spans="1:54" x14ac:dyDescent="0.25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</row>
    <row r="798" spans="1:54" x14ac:dyDescent="0.25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</row>
    <row r="799" spans="1:54" x14ac:dyDescent="0.25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</row>
    <row r="800" spans="1:54" x14ac:dyDescent="0.25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</row>
    <row r="801" spans="1:54" x14ac:dyDescent="0.25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</row>
    <row r="802" spans="1:54" x14ac:dyDescent="0.25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</row>
    <row r="803" spans="1:54" x14ac:dyDescent="0.25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</row>
    <row r="804" spans="1:54" x14ac:dyDescent="0.25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</row>
    <row r="805" spans="1:54" x14ac:dyDescent="0.25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</row>
    <row r="806" spans="1:54" x14ac:dyDescent="0.25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</row>
    <row r="807" spans="1:54" x14ac:dyDescent="0.25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</row>
    <row r="808" spans="1:54" x14ac:dyDescent="0.25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</row>
    <row r="809" spans="1:54" x14ac:dyDescent="0.25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</row>
    <row r="810" spans="1:54" x14ac:dyDescent="0.25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</row>
    <row r="811" spans="1:54" x14ac:dyDescent="0.25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</row>
    <row r="812" spans="1:54" x14ac:dyDescent="0.25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</row>
    <row r="813" spans="1:54" x14ac:dyDescent="0.25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</row>
    <row r="814" spans="1:54" x14ac:dyDescent="0.25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</row>
    <row r="815" spans="1:54" x14ac:dyDescent="0.25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</row>
    <row r="816" spans="1:54" x14ac:dyDescent="0.25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</row>
    <row r="817" spans="1:54" x14ac:dyDescent="0.25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</row>
    <row r="818" spans="1:54" x14ac:dyDescent="0.25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</row>
    <row r="819" spans="1:54" x14ac:dyDescent="0.25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</row>
    <row r="820" spans="1:54" x14ac:dyDescent="0.25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</row>
    <row r="821" spans="1:54" x14ac:dyDescent="0.25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</row>
    <row r="822" spans="1:54" x14ac:dyDescent="0.25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</row>
    <row r="823" spans="1:54" x14ac:dyDescent="0.25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</row>
    <row r="824" spans="1:54" x14ac:dyDescent="0.25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</row>
    <row r="825" spans="1:54" x14ac:dyDescent="0.25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</row>
    <row r="826" spans="1:54" x14ac:dyDescent="0.25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</row>
    <row r="827" spans="1:54" x14ac:dyDescent="0.25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</row>
    <row r="828" spans="1:54" x14ac:dyDescent="0.25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</row>
    <row r="829" spans="1:54" x14ac:dyDescent="0.25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</row>
    <row r="830" spans="1:54" x14ac:dyDescent="0.25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</row>
    <row r="831" spans="1:54" x14ac:dyDescent="0.25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</row>
    <row r="832" spans="1:54" x14ac:dyDescent="0.25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</row>
    <row r="833" spans="1:54" x14ac:dyDescent="0.25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</row>
    <row r="834" spans="1:54" x14ac:dyDescent="0.25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</row>
    <row r="835" spans="1:54" x14ac:dyDescent="0.25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</row>
    <row r="836" spans="1:54" x14ac:dyDescent="0.25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</row>
    <row r="837" spans="1:54" x14ac:dyDescent="0.25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</row>
    <row r="838" spans="1:54" x14ac:dyDescent="0.25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</row>
    <row r="839" spans="1:54" x14ac:dyDescent="0.25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</row>
    <row r="840" spans="1:54" x14ac:dyDescent="0.25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</row>
    <row r="841" spans="1:54" x14ac:dyDescent="0.25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</row>
    <row r="842" spans="1:54" x14ac:dyDescent="0.25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</row>
    <row r="843" spans="1:54" x14ac:dyDescent="0.25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</row>
    <row r="844" spans="1:54" x14ac:dyDescent="0.25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</row>
    <row r="845" spans="1:54" x14ac:dyDescent="0.25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</row>
    <row r="846" spans="1:54" x14ac:dyDescent="0.25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</row>
    <row r="847" spans="1:54" x14ac:dyDescent="0.25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</row>
    <row r="848" spans="1:54" x14ac:dyDescent="0.25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</row>
    <row r="849" spans="1:54" x14ac:dyDescent="0.25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</row>
    <row r="850" spans="1:54" x14ac:dyDescent="0.25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</row>
    <row r="851" spans="1:54" x14ac:dyDescent="0.25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</row>
    <row r="852" spans="1:54" x14ac:dyDescent="0.25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</row>
    <row r="853" spans="1:54" x14ac:dyDescent="0.25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</row>
    <row r="854" spans="1:54" x14ac:dyDescent="0.25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</row>
    <row r="855" spans="1:54" x14ac:dyDescent="0.25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</row>
    <row r="856" spans="1:54" x14ac:dyDescent="0.25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</row>
    <row r="857" spans="1:54" x14ac:dyDescent="0.25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</row>
    <row r="858" spans="1:54" x14ac:dyDescent="0.25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F858" s="201"/>
      <c r="AG858" s="201"/>
      <c r="AH858" s="201"/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</row>
    <row r="859" spans="1:54" x14ac:dyDescent="0.25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</row>
    <row r="860" spans="1:54" x14ac:dyDescent="0.25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</row>
    <row r="861" spans="1:54" x14ac:dyDescent="0.25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</row>
    <row r="862" spans="1:54" x14ac:dyDescent="0.25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</row>
    <row r="863" spans="1:54" x14ac:dyDescent="0.25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</row>
    <row r="864" spans="1:54" x14ac:dyDescent="0.25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</row>
    <row r="865" spans="1:54" x14ac:dyDescent="0.25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</row>
    <row r="866" spans="1:54" x14ac:dyDescent="0.25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</row>
    <row r="867" spans="1:54" x14ac:dyDescent="0.25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</row>
    <row r="868" spans="1:54" x14ac:dyDescent="0.25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</row>
    <row r="869" spans="1:54" x14ac:dyDescent="0.25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</row>
    <row r="870" spans="1:54" x14ac:dyDescent="0.25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</row>
    <row r="871" spans="1:54" x14ac:dyDescent="0.25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</row>
    <row r="872" spans="1:54" x14ac:dyDescent="0.25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</row>
    <row r="873" spans="1:54" x14ac:dyDescent="0.25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</row>
    <row r="874" spans="1:54" x14ac:dyDescent="0.25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</row>
    <row r="875" spans="1:54" x14ac:dyDescent="0.25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</row>
    <row r="876" spans="1:54" x14ac:dyDescent="0.25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</row>
    <row r="877" spans="1:54" x14ac:dyDescent="0.25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</row>
    <row r="878" spans="1:54" x14ac:dyDescent="0.25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</row>
  </sheetData>
  <pageMargins left="0.75" right="0.75" top="1" bottom="1" header="0.5" footer="0.5"/>
  <pageSetup scale="95" firstPageNumber="17" orientation="portrait" useFirstPageNumber="1" r:id="rId1"/>
  <headerFooter alignWithMargins="0">
    <oddHeader>&amp;R&amp;"Arial,Bold Italic"&amp;KFF0000REVISED</oddHeader>
    <oddFooter>&amp;L&amp;8Kentucky Engineering Group, PLLC
&amp;D&amp;C&amp;P</oddFooter>
  </headerFooter>
  <colBreaks count="2" manualBreakCount="2">
    <brk id="9" max="1048575" man="1"/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B4" sqref="B4"/>
    </sheetView>
  </sheetViews>
  <sheetFormatPr defaultRowHeight="13.2" x14ac:dyDescent="0.25"/>
  <cols>
    <col min="1" max="1" width="15.109375" customWidth="1"/>
    <col min="3" max="4" width="1.88671875" customWidth="1"/>
  </cols>
  <sheetData>
    <row r="1" spans="1:14" x14ac:dyDescent="0.25">
      <c r="A1" s="286" t="s">
        <v>173</v>
      </c>
      <c r="B1" s="286"/>
      <c r="C1" s="286"/>
      <c r="D1" s="286"/>
      <c r="E1" s="286"/>
      <c r="F1" s="286"/>
    </row>
    <row r="2" spans="1:14" x14ac:dyDescent="0.25">
      <c r="A2" s="106" t="s">
        <v>174</v>
      </c>
    </row>
    <row r="3" spans="1:14" x14ac:dyDescent="0.25">
      <c r="A3" t="s">
        <v>175</v>
      </c>
      <c r="B3" s="193">
        <v>23.25</v>
      </c>
      <c r="D3" s="105"/>
      <c r="E3" t="s">
        <v>176</v>
      </c>
    </row>
    <row r="4" spans="1:14" x14ac:dyDescent="0.25">
      <c r="A4" t="s">
        <v>177</v>
      </c>
      <c r="B4" s="193">
        <v>8</v>
      </c>
      <c r="D4" s="105"/>
      <c r="E4" t="s">
        <v>178</v>
      </c>
    </row>
    <row r="5" spans="1:14" x14ac:dyDescent="0.25">
      <c r="A5" t="s">
        <v>179</v>
      </c>
      <c r="B5" s="193">
        <v>6</v>
      </c>
      <c r="D5" s="105"/>
      <c r="E5" t="s">
        <v>178</v>
      </c>
    </row>
    <row r="6" spans="1:14" x14ac:dyDescent="0.25">
      <c r="A6" t="s">
        <v>180</v>
      </c>
      <c r="B6" s="193">
        <v>5.5</v>
      </c>
      <c r="D6" s="105"/>
      <c r="E6" t="s">
        <v>178</v>
      </c>
    </row>
    <row r="7" spans="1:14" x14ac:dyDescent="0.25">
      <c r="B7" s="193"/>
      <c r="D7" s="105"/>
    </row>
    <row r="8" spans="1:14" x14ac:dyDescent="0.25">
      <c r="B8" s="193"/>
      <c r="D8" s="105"/>
    </row>
    <row r="9" spans="1:14" x14ac:dyDescent="0.25">
      <c r="B9" s="193"/>
      <c r="D9" s="105"/>
    </row>
    <row r="12" spans="1:14" x14ac:dyDescent="0.25">
      <c r="B12" t="s">
        <v>181</v>
      </c>
    </row>
    <row r="13" spans="1:14" x14ac:dyDescent="0.25">
      <c r="B13" t="s">
        <v>182</v>
      </c>
    </row>
    <row r="14" spans="1:14" x14ac:dyDescent="0.25">
      <c r="B14" t="s">
        <v>183</v>
      </c>
      <c r="L14">
        <v>2015</v>
      </c>
      <c r="M14">
        <v>2.85</v>
      </c>
    </row>
    <row r="15" spans="1:14" x14ac:dyDescent="0.25">
      <c r="B15" t="s">
        <v>184</v>
      </c>
      <c r="L15">
        <v>2016</v>
      </c>
      <c r="M15">
        <v>2.96</v>
      </c>
      <c r="N15">
        <f>M15/M14</f>
        <v>1.0385964912280701</v>
      </c>
    </row>
    <row r="16" spans="1:14" x14ac:dyDescent="0.25">
      <c r="L16">
        <v>2017</v>
      </c>
      <c r="M16">
        <v>3.02</v>
      </c>
      <c r="N16">
        <f>M16/M15</f>
        <v>1.0202702702702704</v>
      </c>
    </row>
    <row r="17" spans="12:14" x14ac:dyDescent="0.25">
      <c r="L17">
        <v>2018</v>
      </c>
      <c r="M17">
        <v>3.11</v>
      </c>
      <c r="N17">
        <f>M17/M16</f>
        <v>1.0298013245033113</v>
      </c>
    </row>
    <row r="18" spans="12:14" x14ac:dyDescent="0.25">
      <c r="L18">
        <v>2019</v>
      </c>
      <c r="M18">
        <v>3.17</v>
      </c>
      <c r="N18">
        <f>M18/M17</f>
        <v>1.0192926045016077</v>
      </c>
    </row>
  </sheetData>
  <mergeCells count="1">
    <mergeCell ref="A1:F1"/>
  </mergeCells>
  <pageMargins left="1.54" right="0.75" top="1" bottom="1" header="0.5" footer="0.5"/>
  <pageSetup orientation="portrait" r:id="rId1"/>
  <headerFooter alignWithMargins="0">
    <oddHeader xml:space="preserve">&amp;LRowan Water, Inc,&amp;RRate 2
Five Percent Increase
Reduction in Minimum Bill and Amount of Water 
</oddHeader>
    <oddFooter>&amp;L&amp;D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B4" sqref="B4"/>
    </sheetView>
  </sheetViews>
  <sheetFormatPr defaultRowHeight="13.2" x14ac:dyDescent="0.25"/>
  <cols>
    <col min="1" max="1" width="15.109375" customWidth="1"/>
    <col min="3" max="4" width="1.88671875" customWidth="1"/>
  </cols>
  <sheetData>
    <row r="1" spans="1:12" x14ac:dyDescent="0.25">
      <c r="A1" s="286" t="s">
        <v>185</v>
      </c>
      <c r="B1" s="286"/>
      <c r="C1" s="286"/>
      <c r="D1" s="286"/>
      <c r="E1" s="286"/>
    </row>
    <row r="2" spans="1:12" x14ac:dyDescent="0.25">
      <c r="A2" s="106" t="s">
        <v>174</v>
      </c>
      <c r="H2" t="s">
        <v>186</v>
      </c>
      <c r="I2" t="s">
        <v>187</v>
      </c>
      <c r="L2" s="201" t="s">
        <v>188</v>
      </c>
    </row>
    <row r="3" spans="1:12" x14ac:dyDescent="0.25">
      <c r="A3" t="s">
        <v>189</v>
      </c>
      <c r="B3">
        <f t="shared" ref="B3:B8" si="0">AVERAGE(H3:I3)</f>
        <v>11.16</v>
      </c>
      <c r="D3" s="105"/>
      <c r="E3" t="s">
        <v>176</v>
      </c>
      <c r="H3">
        <v>10.95</v>
      </c>
      <c r="I3">
        <v>11.37</v>
      </c>
      <c r="L3">
        <v>11.45</v>
      </c>
    </row>
    <row r="4" spans="1:12" x14ac:dyDescent="0.25">
      <c r="A4" t="s">
        <v>190</v>
      </c>
      <c r="B4">
        <f t="shared" si="0"/>
        <v>4.76</v>
      </c>
      <c r="D4" s="105"/>
      <c r="E4" t="s">
        <v>178</v>
      </c>
      <c r="H4">
        <v>4.55</v>
      </c>
      <c r="I4">
        <v>4.97</v>
      </c>
      <c r="L4">
        <v>5.05</v>
      </c>
    </row>
    <row r="5" spans="1:12" x14ac:dyDescent="0.25">
      <c r="A5" t="s">
        <v>191</v>
      </c>
      <c r="B5">
        <f t="shared" si="0"/>
        <v>4.0599999999999996</v>
      </c>
      <c r="D5" s="105"/>
      <c r="E5" t="s">
        <v>178</v>
      </c>
      <c r="H5">
        <v>3.85</v>
      </c>
      <c r="I5">
        <v>4.2699999999999996</v>
      </c>
      <c r="L5">
        <v>4.3499999999999996</v>
      </c>
    </row>
    <row r="6" spans="1:12" x14ac:dyDescent="0.25">
      <c r="A6" t="s">
        <v>192</v>
      </c>
      <c r="B6">
        <f t="shared" si="0"/>
        <v>3.31</v>
      </c>
      <c r="D6" s="105"/>
      <c r="E6" t="s">
        <v>178</v>
      </c>
      <c r="H6">
        <v>3.1</v>
      </c>
      <c r="I6">
        <v>3.52</v>
      </c>
      <c r="L6">
        <v>3.6</v>
      </c>
    </row>
    <row r="7" spans="1:12" x14ac:dyDescent="0.25">
      <c r="A7" t="s">
        <v>193</v>
      </c>
      <c r="B7">
        <f t="shared" si="0"/>
        <v>2.96</v>
      </c>
      <c r="D7" s="105"/>
      <c r="E7" t="s">
        <v>178</v>
      </c>
      <c r="H7">
        <v>2.75</v>
      </c>
      <c r="I7">
        <v>3.17</v>
      </c>
      <c r="L7">
        <v>3.25</v>
      </c>
    </row>
    <row r="8" spans="1:12" x14ac:dyDescent="0.25">
      <c r="A8" t="s">
        <v>194</v>
      </c>
      <c r="B8">
        <f t="shared" si="0"/>
        <v>2.66</v>
      </c>
      <c r="D8" s="105"/>
      <c r="E8" t="s">
        <v>178</v>
      </c>
      <c r="H8">
        <v>2.4500000000000002</v>
      </c>
      <c r="I8">
        <v>2.87</v>
      </c>
      <c r="L8">
        <v>2.95</v>
      </c>
    </row>
    <row r="9" spans="1:12" x14ac:dyDescent="0.25">
      <c r="B9" s="193"/>
      <c r="D9" s="105"/>
    </row>
    <row r="10" spans="1:12" x14ac:dyDescent="0.25">
      <c r="B10" s="193"/>
      <c r="D10" s="105"/>
    </row>
    <row r="11" spans="1:12" x14ac:dyDescent="0.25">
      <c r="B11" s="193"/>
      <c r="D11" s="105"/>
    </row>
    <row r="12" spans="1:12" x14ac:dyDescent="0.25">
      <c r="B12" s="105"/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Usage</vt:lpstr>
      <vt:lpstr>Sewer Forecast</vt:lpstr>
      <vt:lpstr>Water Forecast</vt:lpstr>
      <vt:lpstr>Sewer Budget</vt:lpstr>
      <vt:lpstr>Water Budget</vt:lpstr>
      <vt:lpstr>Proposed Rates</vt:lpstr>
      <vt:lpstr>Existing Rates</vt:lpstr>
      <vt:lpstr>Debt</vt:lpstr>
      <vt:lpstr>Usage!Print_Area</vt:lpstr>
      <vt:lpstr>'Water Forecast'!Print_Area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USAGE ANALYSIS</dc:title>
  <dc:subject>SUMMARY ADDENDUM</dc:subject>
  <dc:creator>HLN</dc:creator>
  <cp:lastModifiedBy>Jones</cp:lastModifiedBy>
  <cp:revision/>
  <dcterms:created xsi:type="dcterms:W3CDTF">1998-10-22T21:35:03Z</dcterms:created>
  <dcterms:modified xsi:type="dcterms:W3CDTF">2021-01-12T21:11:13Z</dcterms:modified>
</cp:coreProperties>
</file>