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254353\Desktop\AG_KIUC 1-2\KIUC-AG\"/>
    </mc:Choice>
  </mc:AlternateContent>
  <bookViews>
    <workbookView xWindow="0" yWindow="0" windowWidth="28800" windowHeight="12435" tabRatio="868" firstSheet="2" activeTab="2"/>
  </bookViews>
  <sheets>
    <sheet name="AM 11.20.20" sheetId="1" state="hidden" r:id="rId1"/>
    <sheet name="MT 11.20.2020" sheetId="2" state="hidden" r:id="rId2"/>
    <sheet name="ML CCR ELG Monthly 100%" sheetId="28" r:id="rId3"/>
    <sheet name="ML CCR Only Monthly 100%" sheetId="27" r:id="rId4"/>
  </sheets>
  <definedNames>
    <definedName name="_xlnm.Print_Area" localSheetId="2">'ML CCR ELG Monthly 100%'!$A$1:$R$86</definedName>
    <definedName name="_xlnm.Print_Area" localSheetId="3">'ML CCR Only Monthly 100%'!$A$2:$R$64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4" i="28" l="1"/>
  <c r="N64" i="28"/>
  <c r="M64" i="28"/>
  <c r="L64" i="28"/>
  <c r="K64" i="28"/>
  <c r="J64" i="28"/>
  <c r="I64" i="28"/>
  <c r="H64" i="28"/>
  <c r="G64" i="28"/>
  <c r="F64" i="28"/>
  <c r="E64" i="28"/>
  <c r="D64" i="28"/>
  <c r="C64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C69" i="28"/>
  <c r="C70" i="28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C68" i="28" l="1"/>
  <c r="D1" i="27"/>
  <c r="E1" i="27"/>
  <c r="F1" i="27"/>
  <c r="G1" i="27"/>
  <c r="H1" i="27"/>
  <c r="I1" i="27"/>
  <c r="J1" i="27"/>
  <c r="K1" i="27"/>
  <c r="L1" i="27"/>
  <c r="C82" i="28" l="1"/>
  <c r="C81" i="28"/>
  <c r="C79" i="28"/>
  <c r="C78" i="28"/>
  <c r="C76" i="28"/>
  <c r="C75" i="28"/>
  <c r="C74" i="28" s="1"/>
  <c r="C73" i="28"/>
  <c r="C72" i="28"/>
  <c r="BK17" i="28"/>
  <c r="BJ17" i="28"/>
  <c r="BI17" i="28"/>
  <c r="BH17" i="28"/>
  <c r="BG17" i="28"/>
  <c r="BF17" i="28"/>
  <c r="BE17" i="28"/>
  <c r="BD17" i="28"/>
  <c r="BC17" i="28"/>
  <c r="BB17" i="28"/>
  <c r="BA17" i="28"/>
  <c r="AZ17" i="28"/>
  <c r="AY17" i="28"/>
  <c r="AX17" i="28"/>
  <c r="AW17" i="28"/>
  <c r="AV17" i="28"/>
  <c r="AU17" i="28"/>
  <c r="AT17" i="28"/>
  <c r="AS17" i="28"/>
  <c r="AR17" i="28"/>
  <c r="AQ17" i="28"/>
  <c r="AP17" i="28"/>
  <c r="AO17" i="28"/>
  <c r="AN17" i="28"/>
  <c r="AM17" i="28"/>
  <c r="AL17" i="28"/>
  <c r="AK17" i="28"/>
  <c r="AJ17" i="28"/>
  <c r="AI17" i="28"/>
  <c r="AH17" i="28"/>
  <c r="AG17" i="28"/>
  <c r="AF17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K14" i="28"/>
  <c r="BJ14" i="28"/>
  <c r="BI14" i="28"/>
  <c r="BH14" i="28"/>
  <c r="BG14" i="28"/>
  <c r="BF14" i="28"/>
  <c r="BE14" i="28"/>
  <c r="BD14" i="28"/>
  <c r="BC14" i="28"/>
  <c r="BB14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AK14" i="28"/>
  <c r="AJ14" i="28"/>
  <c r="AI14" i="28"/>
  <c r="AH14" i="28"/>
  <c r="AG14" i="28"/>
  <c r="AF14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K11" i="28"/>
  <c r="BJ11" i="28"/>
  <c r="BI11" i="28"/>
  <c r="BH11" i="28"/>
  <c r="BG11" i="28"/>
  <c r="BF11" i="28"/>
  <c r="BE11" i="28"/>
  <c r="BD11" i="28"/>
  <c r="BC11" i="28"/>
  <c r="BB11" i="28"/>
  <c r="BA11" i="28"/>
  <c r="AZ11" i="28"/>
  <c r="AY11" i="28"/>
  <c r="AX11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K8" i="28"/>
  <c r="BJ8" i="28"/>
  <c r="BI8" i="28"/>
  <c r="BH8" i="28"/>
  <c r="BG8" i="28"/>
  <c r="BF8" i="28"/>
  <c r="BE8" i="28"/>
  <c r="BD8" i="28"/>
  <c r="BC8" i="28"/>
  <c r="BB8" i="28"/>
  <c r="BA8" i="28"/>
  <c r="AZ8" i="28"/>
  <c r="AY8" i="28"/>
  <c r="AX8" i="28"/>
  <c r="AW8" i="28"/>
  <c r="AV8" i="28"/>
  <c r="AU8" i="28"/>
  <c r="AT8" i="28"/>
  <c r="AS8" i="28"/>
  <c r="AR8" i="28"/>
  <c r="AQ8" i="28"/>
  <c r="AP8" i="28"/>
  <c r="AO8" i="28"/>
  <c r="AN8" i="28"/>
  <c r="AM8" i="28"/>
  <c r="AL8" i="28"/>
  <c r="AK8" i="28"/>
  <c r="AJ8" i="28"/>
  <c r="AI8" i="28"/>
  <c r="AH8" i="28"/>
  <c r="AG8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K5" i="28"/>
  <c r="BJ5" i="28"/>
  <c r="BI5" i="28"/>
  <c r="BH5" i="28"/>
  <c r="BG5" i="28"/>
  <c r="BF5" i="28"/>
  <c r="BE5" i="28"/>
  <c r="BD5" i="28"/>
  <c r="BC5" i="28"/>
  <c r="BB5" i="28"/>
  <c r="BA5" i="28"/>
  <c r="AZ5" i="28"/>
  <c r="AY5" i="28"/>
  <c r="AX5" i="28"/>
  <c r="AW5" i="28"/>
  <c r="AV5" i="28"/>
  <c r="AU5" i="28"/>
  <c r="AT5" i="28"/>
  <c r="AS5" i="28"/>
  <c r="AR5" i="28"/>
  <c r="AQ5" i="28"/>
  <c r="AP5" i="28"/>
  <c r="AO5" i="28"/>
  <c r="AN5" i="28"/>
  <c r="AM5" i="28"/>
  <c r="AL5" i="28"/>
  <c r="AK5" i="28"/>
  <c r="AJ5" i="28"/>
  <c r="AI5" i="28"/>
  <c r="AH5" i="28"/>
  <c r="AG5" i="28"/>
  <c r="AF5" i="28"/>
  <c r="AE5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K1" i="28"/>
  <c r="BJ1" i="28"/>
  <c r="BI1" i="28"/>
  <c r="BH1" i="28"/>
  <c r="BG1" i="28"/>
  <c r="BF1" i="28"/>
  <c r="BE1" i="28"/>
  <c r="BD1" i="28"/>
  <c r="BC1" i="28"/>
  <c r="BB1" i="28"/>
  <c r="BA1" i="28"/>
  <c r="AZ1" i="28"/>
  <c r="AY1" i="28"/>
  <c r="AX1" i="28"/>
  <c r="AW1" i="28"/>
  <c r="AV1" i="28"/>
  <c r="AU1" i="28"/>
  <c r="AT1" i="28"/>
  <c r="AS1" i="28"/>
  <c r="AR1" i="28"/>
  <c r="AQ1" i="28"/>
  <c r="AP1" i="28"/>
  <c r="AO1" i="28"/>
  <c r="AN1" i="28"/>
  <c r="AM1" i="28"/>
  <c r="AL1" i="28"/>
  <c r="AK1" i="28"/>
  <c r="AJ1" i="28"/>
  <c r="AI1" i="28"/>
  <c r="AH1" i="28"/>
  <c r="AG1" i="28"/>
  <c r="AF1" i="28"/>
  <c r="AE1" i="28"/>
  <c r="AD1" i="28"/>
  <c r="AC1" i="28"/>
  <c r="AB1" i="28"/>
  <c r="AA1" i="28"/>
  <c r="Z1" i="28"/>
  <c r="Y1" i="28"/>
  <c r="X1" i="28"/>
  <c r="W1" i="28"/>
  <c r="V1" i="28"/>
  <c r="U1" i="28"/>
  <c r="T1" i="28"/>
  <c r="S1" i="28"/>
  <c r="R1" i="28"/>
  <c r="Q1" i="28"/>
  <c r="P1" i="28"/>
  <c r="O1" i="28"/>
  <c r="N1" i="28"/>
  <c r="M1" i="28"/>
  <c r="L1" i="28"/>
  <c r="K1" i="28"/>
  <c r="J1" i="28"/>
  <c r="I1" i="28"/>
  <c r="H1" i="28"/>
  <c r="G1" i="28"/>
  <c r="F1" i="28"/>
  <c r="E1" i="28"/>
  <c r="D1" i="28"/>
  <c r="AT5" i="27"/>
  <c r="AN5" i="27"/>
  <c r="AH5" i="27"/>
  <c r="AB5" i="27"/>
  <c r="V5" i="27"/>
  <c r="P5" i="27"/>
  <c r="J5" i="27"/>
  <c r="D5" i="27"/>
  <c r="BW11" i="27"/>
  <c r="BV11" i="27"/>
  <c r="BU11" i="27"/>
  <c r="BT11" i="27"/>
  <c r="BS11" i="27"/>
  <c r="BR11" i="27"/>
  <c r="BQ11" i="27"/>
  <c r="BP11" i="27"/>
  <c r="BO11" i="27"/>
  <c r="BN11" i="27"/>
  <c r="BM11" i="27"/>
  <c r="BL11" i="27"/>
  <c r="BK11" i="27"/>
  <c r="BJ11" i="27"/>
  <c r="BI11" i="27"/>
  <c r="BH11" i="27"/>
  <c r="BG11" i="27"/>
  <c r="BF11" i="27"/>
  <c r="BE11" i="27"/>
  <c r="BD11" i="27"/>
  <c r="BC11" i="27"/>
  <c r="BB11" i="27"/>
  <c r="BA11" i="27"/>
  <c r="AZ11" i="27"/>
  <c r="AX11" i="27"/>
  <c r="AW11" i="27"/>
  <c r="AV11" i="27"/>
  <c r="AU11" i="27"/>
  <c r="AT11" i="27"/>
  <c r="AS11" i="27"/>
  <c r="AR11" i="27"/>
  <c r="AQ11" i="27"/>
  <c r="AP11" i="27"/>
  <c r="AO11" i="27"/>
  <c r="AN11" i="27"/>
  <c r="AM11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X8" i="27"/>
  <c r="AW8" i="27"/>
  <c r="AV8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AX5" i="27"/>
  <c r="AW5" i="27"/>
  <c r="AV5" i="27"/>
  <c r="AU5" i="27"/>
  <c r="AR5" i="27"/>
  <c r="AQ5" i="27"/>
  <c r="AP5" i="27"/>
  <c r="AO5" i="27"/>
  <c r="AL5" i="27"/>
  <c r="AK5" i="27"/>
  <c r="AJ5" i="27"/>
  <c r="AI5" i="27"/>
  <c r="AF5" i="27"/>
  <c r="AE5" i="27"/>
  <c r="AD5" i="27"/>
  <c r="AC5" i="27"/>
  <c r="Z5" i="27"/>
  <c r="Y5" i="27"/>
  <c r="X5" i="27"/>
  <c r="W5" i="27"/>
  <c r="T5" i="27"/>
  <c r="S5" i="27"/>
  <c r="R5" i="27"/>
  <c r="Q5" i="27"/>
  <c r="N5" i="27"/>
  <c r="M5" i="27"/>
  <c r="L5" i="27"/>
  <c r="K5" i="27"/>
  <c r="H5" i="27"/>
  <c r="G5" i="27"/>
  <c r="F5" i="27"/>
  <c r="E5" i="27"/>
  <c r="BW1" i="27"/>
  <c r="BV1" i="27"/>
  <c r="BU1" i="27"/>
  <c r="BT1" i="27"/>
  <c r="BS1" i="27"/>
  <c r="BR1" i="27"/>
  <c r="BQ1" i="27"/>
  <c r="BP1" i="27"/>
  <c r="BO1" i="27"/>
  <c r="BN1" i="27"/>
  <c r="BM1" i="27"/>
  <c r="BL1" i="27"/>
  <c r="BK1" i="27"/>
  <c r="BJ1" i="27"/>
  <c r="BI1" i="27"/>
  <c r="BH1" i="27"/>
  <c r="BG1" i="27"/>
  <c r="BF1" i="27"/>
  <c r="BE1" i="27"/>
  <c r="BD1" i="27"/>
  <c r="BC1" i="27"/>
  <c r="BB1" i="27"/>
  <c r="BA1" i="27"/>
  <c r="AZ1" i="27"/>
  <c r="AX1" i="27"/>
  <c r="AW1" i="27"/>
  <c r="AV1" i="27"/>
  <c r="AU1" i="27"/>
  <c r="AT1" i="27"/>
  <c r="AS1" i="27"/>
  <c r="AR1" i="27"/>
  <c r="AQ1" i="27"/>
  <c r="AP1" i="27"/>
  <c r="AO1" i="27"/>
  <c r="AN1" i="27"/>
  <c r="AM1" i="27"/>
  <c r="AL1" i="27"/>
  <c r="AK1" i="27"/>
  <c r="AJ1" i="27"/>
  <c r="AI1" i="27"/>
  <c r="AH1" i="27"/>
  <c r="AG1" i="27"/>
  <c r="AF1" i="27"/>
  <c r="AE1" i="27"/>
  <c r="AD1" i="27"/>
  <c r="AC1" i="27"/>
  <c r="AB1" i="27"/>
  <c r="AA1" i="27"/>
  <c r="Z1" i="27"/>
  <c r="Y1" i="27"/>
  <c r="X1" i="27"/>
  <c r="W1" i="27"/>
  <c r="V1" i="27"/>
  <c r="U1" i="27"/>
  <c r="T1" i="27"/>
  <c r="S1" i="27"/>
  <c r="R1" i="27"/>
  <c r="Q1" i="27"/>
  <c r="P1" i="27"/>
  <c r="O1" i="27"/>
  <c r="N1" i="27"/>
  <c r="M1" i="27"/>
  <c r="C1" i="27"/>
  <c r="F82" i="28" l="1"/>
  <c r="G78" i="28"/>
  <c r="E69" i="28"/>
  <c r="G70" i="28"/>
  <c r="G69" i="28"/>
  <c r="E70" i="28"/>
  <c r="H69" i="28"/>
  <c r="F70" i="28"/>
  <c r="F69" i="28"/>
  <c r="D70" i="28"/>
  <c r="H70" i="28"/>
  <c r="D69" i="28"/>
  <c r="D72" i="28"/>
  <c r="E53" i="27"/>
  <c r="C54" i="27"/>
  <c r="G54" i="27"/>
  <c r="D53" i="27"/>
  <c r="F53" i="27"/>
  <c r="D54" i="27"/>
  <c r="F54" i="27"/>
  <c r="C53" i="27"/>
  <c r="G53" i="27"/>
  <c r="E54" i="27"/>
  <c r="C85" i="28"/>
  <c r="E72" i="28"/>
  <c r="H75" i="28"/>
  <c r="D79" i="28"/>
  <c r="G82" i="28"/>
  <c r="F72" i="28"/>
  <c r="E79" i="28"/>
  <c r="H82" i="28"/>
  <c r="G72" i="28"/>
  <c r="F79" i="28"/>
  <c r="D81" i="28"/>
  <c r="G79" i="28"/>
  <c r="G77" i="28" s="1"/>
  <c r="H72" i="28"/>
  <c r="C71" i="28"/>
  <c r="C84" i="28"/>
  <c r="E76" i="28"/>
  <c r="H79" i="28"/>
  <c r="F81" i="28"/>
  <c r="F80" i="28" s="1"/>
  <c r="F76" i="28"/>
  <c r="D78" i="28"/>
  <c r="G81" i="28"/>
  <c r="E81" i="28"/>
  <c r="D73" i="28"/>
  <c r="G76" i="28"/>
  <c r="C80" i="28"/>
  <c r="E73" i="28"/>
  <c r="H76" i="28"/>
  <c r="F78" i="28"/>
  <c r="D76" i="28"/>
  <c r="E78" i="28"/>
  <c r="H81" i="28"/>
  <c r="F73" i="28"/>
  <c r="D75" i="28"/>
  <c r="G73" i="28"/>
  <c r="E75" i="28"/>
  <c r="C77" i="28"/>
  <c r="H78" i="28"/>
  <c r="D82" i="28"/>
  <c r="H73" i="28"/>
  <c r="F75" i="28"/>
  <c r="E82" i="28"/>
  <c r="G75" i="28"/>
  <c r="C5" i="27"/>
  <c r="O5" i="27"/>
  <c r="AA5" i="27"/>
  <c r="AM5" i="27"/>
  <c r="I5" i="27"/>
  <c r="U5" i="27"/>
  <c r="AG5" i="27"/>
  <c r="AS5" i="27"/>
  <c r="H60" i="27"/>
  <c r="H63" i="27" s="1"/>
  <c r="H59" i="27"/>
  <c r="H68" i="28" l="1"/>
  <c r="D68" i="28"/>
  <c r="I69" i="28"/>
  <c r="E74" i="28"/>
  <c r="I70" i="28"/>
  <c r="E68" i="28"/>
  <c r="F68" i="28"/>
  <c r="G68" i="28"/>
  <c r="H80" i="28"/>
  <c r="D52" i="27"/>
  <c r="I54" i="27"/>
  <c r="C52" i="27"/>
  <c r="I53" i="27"/>
  <c r="I52" i="27" s="1"/>
  <c r="G52" i="27"/>
  <c r="F52" i="27"/>
  <c r="E52" i="27"/>
  <c r="G74" i="28"/>
  <c r="I76" i="28"/>
  <c r="H71" i="28"/>
  <c r="H85" i="28" s="1"/>
  <c r="I82" i="28"/>
  <c r="H77" i="28"/>
  <c r="F77" i="28"/>
  <c r="I79" i="28"/>
  <c r="C86" i="28"/>
  <c r="I73" i="28"/>
  <c r="D71" i="28"/>
  <c r="E85" i="28"/>
  <c r="G71" i="28"/>
  <c r="G85" i="28" s="1"/>
  <c r="I81" i="28"/>
  <c r="F71" i="28"/>
  <c r="D85" i="28"/>
  <c r="F84" i="28"/>
  <c r="G84" i="28"/>
  <c r="E84" i="28"/>
  <c r="F85" i="28"/>
  <c r="H74" i="28"/>
  <c r="F74" i="28"/>
  <c r="E77" i="28"/>
  <c r="G80" i="28"/>
  <c r="E71" i="28"/>
  <c r="I75" i="28"/>
  <c r="D74" i="28"/>
  <c r="E80" i="28"/>
  <c r="H84" i="28"/>
  <c r="D80" i="28"/>
  <c r="I78" i="28"/>
  <c r="D77" i="28"/>
  <c r="D84" i="28"/>
  <c r="I72" i="28"/>
  <c r="H62" i="27"/>
  <c r="H64" i="27" s="1"/>
  <c r="H58" i="27"/>
  <c r="I68" i="28" l="1"/>
  <c r="D86" i="28"/>
  <c r="E86" i="28"/>
  <c r="I80" i="28"/>
  <c r="I77" i="28"/>
  <c r="I74" i="28"/>
  <c r="I71" i="28"/>
  <c r="H86" i="28"/>
  <c r="I85" i="28"/>
  <c r="I84" i="28"/>
  <c r="F86" i="28"/>
  <c r="G86" i="28"/>
  <c r="I86" i="28" l="1"/>
  <c r="F43" i="1" l="1"/>
  <c r="E51" i="1"/>
  <c r="F51" i="1"/>
  <c r="G51" i="1"/>
  <c r="H51" i="1"/>
  <c r="I51" i="1"/>
  <c r="J51" i="1"/>
  <c r="D51" i="1"/>
  <c r="L3" i="2" l="1"/>
  <c r="L4" i="2" s="1"/>
  <c r="X3" i="2"/>
  <c r="AJ3" i="2"/>
  <c r="AV3" i="2"/>
  <c r="D4" i="2"/>
  <c r="D3" i="2" s="1"/>
  <c r="D5" i="2"/>
  <c r="E5" i="2"/>
  <c r="E3" i="2" s="1"/>
  <c r="E19" i="2" s="1"/>
  <c r="F5" i="2"/>
  <c r="I5" i="2" s="1"/>
  <c r="G5" i="2"/>
  <c r="G3" i="2" s="1"/>
  <c r="H5" i="2"/>
  <c r="H3" i="2" s="1"/>
  <c r="D6" i="2"/>
  <c r="I6" i="2" s="1"/>
  <c r="D7" i="2"/>
  <c r="E7" i="2"/>
  <c r="F7" i="2"/>
  <c r="I8" i="2"/>
  <c r="E9" i="2"/>
  <c r="F9" i="2"/>
  <c r="I9" i="2" s="1"/>
  <c r="G9" i="2"/>
  <c r="G7" i="2" s="1"/>
  <c r="H9" i="2"/>
  <c r="H7" i="2" s="1"/>
  <c r="I10" i="2"/>
  <c r="D11" i="2"/>
  <c r="E11" i="2"/>
  <c r="F11" i="2"/>
  <c r="I12" i="2"/>
  <c r="E13" i="2"/>
  <c r="F13" i="2"/>
  <c r="I13" i="2" s="1"/>
  <c r="G13" i="2"/>
  <c r="G11" i="2" s="1"/>
  <c r="H13" i="2"/>
  <c r="H11" i="2" s="1"/>
  <c r="I14" i="2"/>
  <c r="D15" i="2"/>
  <c r="G15" i="2"/>
  <c r="H15" i="2"/>
  <c r="I16" i="2"/>
  <c r="E17" i="2"/>
  <c r="E15" i="2" s="1"/>
  <c r="E21" i="2" s="1"/>
  <c r="F17" i="2"/>
  <c r="F15" i="2" s="1"/>
  <c r="F21" i="2" s="1"/>
  <c r="G17" i="2"/>
  <c r="H17" i="2"/>
  <c r="K19" i="2"/>
  <c r="D20" i="2"/>
  <c r="E20" i="2"/>
  <c r="F20" i="2"/>
  <c r="G20" i="2"/>
  <c r="H20" i="2"/>
  <c r="D21" i="2"/>
  <c r="G21" i="2"/>
  <c r="H21" i="2"/>
  <c r="D29" i="2"/>
  <c r="E29" i="2"/>
  <c r="F29" i="2"/>
  <c r="G29" i="2"/>
  <c r="H29" i="2"/>
  <c r="D30" i="2"/>
  <c r="D31" i="2" s="1"/>
  <c r="E30" i="2"/>
  <c r="E31" i="2" s="1"/>
  <c r="E33" i="2" s="1"/>
  <c r="F30" i="2"/>
  <c r="G30" i="2"/>
  <c r="H30" i="2"/>
  <c r="H31" i="2" s="1"/>
  <c r="H33" i="2" s="1"/>
  <c r="F31" i="2"/>
  <c r="G31" i="2"/>
  <c r="D32" i="2"/>
  <c r="E32" i="2"/>
  <c r="F32" i="2"/>
  <c r="G32" i="2"/>
  <c r="H32" i="2"/>
  <c r="I32" i="2"/>
  <c r="F33" i="2"/>
  <c r="G33" i="2"/>
  <c r="I11" i="2" l="1"/>
  <c r="E22" i="2"/>
  <c r="I15" i="2"/>
  <c r="I7" i="2"/>
  <c r="H19" i="2"/>
  <c r="H22" i="2" s="1"/>
  <c r="D33" i="2"/>
  <c r="I33" i="2" s="1"/>
  <c r="I31" i="2"/>
  <c r="G19" i="2"/>
  <c r="G22" i="2" s="1"/>
  <c r="D19" i="2"/>
  <c r="D22" i="2" s="1"/>
  <c r="L6" i="2"/>
  <c r="M4" i="2"/>
  <c r="I30" i="2"/>
  <c r="I4" i="2"/>
  <c r="I29" i="2" s="1"/>
  <c r="F3" i="2"/>
  <c r="F19" i="2" s="1"/>
  <c r="F22" i="2" s="1"/>
  <c r="I17" i="2"/>
  <c r="J47" i="1"/>
  <c r="E47" i="1"/>
  <c r="F47" i="1"/>
  <c r="G47" i="1"/>
  <c r="H47" i="1"/>
  <c r="I47" i="1"/>
  <c r="D47" i="1"/>
  <c r="J46" i="1"/>
  <c r="E46" i="1"/>
  <c r="F46" i="1"/>
  <c r="G46" i="1"/>
  <c r="H46" i="1"/>
  <c r="I46" i="1"/>
  <c r="D46" i="1"/>
  <c r="J45" i="1"/>
  <c r="E45" i="1"/>
  <c r="F45" i="1"/>
  <c r="G45" i="1"/>
  <c r="H45" i="1"/>
  <c r="I45" i="1"/>
  <c r="D45" i="1"/>
  <c r="E44" i="1"/>
  <c r="F44" i="1"/>
  <c r="G44" i="1"/>
  <c r="H44" i="1"/>
  <c r="I44" i="1"/>
  <c r="D44" i="1"/>
  <c r="J44" i="1"/>
  <c r="M6" i="2" l="1"/>
  <c r="N4" i="2"/>
  <c r="I22" i="2"/>
  <c r="I3" i="2"/>
  <c r="I43" i="1"/>
  <c r="H43" i="1"/>
  <c r="G43" i="1"/>
  <c r="E43" i="1"/>
  <c r="D43" i="1"/>
  <c r="AW3" i="1"/>
  <c r="Y3" i="1"/>
  <c r="M3" i="1"/>
  <c r="M4" i="1" s="1"/>
  <c r="R24" i="1"/>
  <c r="S24" i="1"/>
  <c r="T24" i="1"/>
  <c r="U24" i="1"/>
  <c r="V24" i="1"/>
  <c r="Q24" i="1"/>
  <c r="R23" i="1"/>
  <c r="S23" i="1"/>
  <c r="T23" i="1"/>
  <c r="U23" i="1"/>
  <c r="V23" i="1"/>
  <c r="Q23" i="1"/>
  <c r="R22" i="1"/>
  <c r="S22" i="1"/>
  <c r="T22" i="1"/>
  <c r="U22" i="1"/>
  <c r="V22" i="1"/>
  <c r="Q22" i="1"/>
  <c r="I31" i="1"/>
  <c r="J31" i="1" s="1"/>
  <c r="H28" i="1"/>
  <c r="H26" i="1" s="1"/>
  <c r="G25" i="1"/>
  <c r="G23" i="1" s="1"/>
  <c r="G35" i="1" s="1"/>
  <c r="F25" i="1"/>
  <c r="F23" i="1" s="1"/>
  <c r="F35" i="1" s="1"/>
  <c r="E7" i="1"/>
  <c r="F21" i="1"/>
  <c r="F19" i="1" s="1"/>
  <c r="G21" i="1"/>
  <c r="H21" i="1"/>
  <c r="E21" i="1"/>
  <c r="E19" i="1" s="1"/>
  <c r="F17" i="1"/>
  <c r="F15" i="1" s="1"/>
  <c r="G17" i="1"/>
  <c r="G15" i="1" s="1"/>
  <c r="H17" i="1"/>
  <c r="H15" i="1" s="1"/>
  <c r="I17" i="1"/>
  <c r="I15" i="1" s="1"/>
  <c r="E17" i="1"/>
  <c r="E15" i="1" s="1"/>
  <c r="I11" i="1"/>
  <c r="H3" i="1"/>
  <c r="I3" i="1"/>
  <c r="D22" i="1"/>
  <c r="D19" i="1" s="1"/>
  <c r="J30" i="1"/>
  <c r="J43" i="1" s="1"/>
  <c r="J27" i="1"/>
  <c r="J24" i="1"/>
  <c r="J22" i="1"/>
  <c r="J20" i="1"/>
  <c r="J18" i="1"/>
  <c r="J16" i="1"/>
  <c r="J12" i="1"/>
  <c r="J8" i="1"/>
  <c r="D21" i="1"/>
  <c r="D34" i="1"/>
  <c r="F34" i="1"/>
  <c r="H34" i="1"/>
  <c r="D35" i="1"/>
  <c r="D15" i="1"/>
  <c r="D26" i="1"/>
  <c r="E29" i="1"/>
  <c r="E34" i="1" s="1"/>
  <c r="F29" i="1"/>
  <c r="G29" i="1"/>
  <c r="G34" i="1" s="1"/>
  <c r="H29" i="1"/>
  <c r="I29" i="1"/>
  <c r="I34" i="1" s="1"/>
  <c r="D29" i="1"/>
  <c r="E26" i="1"/>
  <c r="F26" i="1"/>
  <c r="G26" i="1"/>
  <c r="I26" i="1"/>
  <c r="E23" i="1"/>
  <c r="H23" i="1"/>
  <c r="I23" i="1"/>
  <c r="D23" i="1"/>
  <c r="G19" i="1"/>
  <c r="AK3" i="1" s="1"/>
  <c r="H19" i="1"/>
  <c r="I19" i="1"/>
  <c r="D11" i="1"/>
  <c r="F7" i="1"/>
  <c r="G7" i="1"/>
  <c r="I7" i="1"/>
  <c r="D7" i="1"/>
  <c r="F3" i="1"/>
  <c r="G3" i="1"/>
  <c r="D20" i="1"/>
  <c r="J4" i="1"/>
  <c r="N6" i="2" l="1"/>
  <c r="O4" i="2"/>
  <c r="N4" i="1"/>
  <c r="M6" i="1"/>
  <c r="E3" i="1"/>
  <c r="J6" i="1"/>
  <c r="E35" i="1"/>
  <c r="I35" i="1"/>
  <c r="J25" i="1"/>
  <c r="J28" i="1"/>
  <c r="J9" i="1"/>
  <c r="J29" i="1"/>
  <c r="H35" i="1"/>
  <c r="J26" i="1"/>
  <c r="J23" i="1"/>
  <c r="J21" i="1"/>
  <c r="J19" i="1"/>
  <c r="J17" i="1"/>
  <c r="J15" i="1"/>
  <c r="J13" i="1"/>
  <c r="I33" i="1"/>
  <c r="J5" i="1"/>
  <c r="D3" i="1"/>
  <c r="D33" i="1"/>
  <c r="D36" i="1" s="1"/>
  <c r="P4" i="2" l="1"/>
  <c r="O6" i="2"/>
  <c r="O4" i="1"/>
  <c r="N6" i="1"/>
  <c r="I36" i="1"/>
  <c r="J3" i="1"/>
  <c r="P6" i="2" l="1"/>
  <c r="Q4" i="2"/>
  <c r="P4" i="1"/>
  <c r="O6" i="1"/>
  <c r="Q6" i="2" l="1"/>
  <c r="R4" i="2"/>
  <c r="P6" i="1"/>
  <c r="Q4" i="1"/>
  <c r="R6" i="2" l="1"/>
  <c r="S4" i="2"/>
  <c r="Q6" i="1"/>
  <c r="R4" i="1"/>
  <c r="T4" i="2" l="1"/>
  <c r="S6" i="2"/>
  <c r="S4" i="1"/>
  <c r="R6" i="1"/>
  <c r="T6" i="2" l="1"/>
  <c r="U4" i="2"/>
  <c r="T4" i="1"/>
  <c r="S6" i="1"/>
  <c r="U6" i="2" l="1"/>
  <c r="V4" i="2"/>
  <c r="U4" i="1"/>
  <c r="T6" i="1"/>
  <c r="V6" i="2" l="1"/>
  <c r="W4" i="2"/>
  <c r="V4" i="1"/>
  <c r="U6" i="1"/>
  <c r="X4" i="2" l="1"/>
  <c r="W6" i="2"/>
  <c r="K8" i="2" s="1"/>
  <c r="W4" i="1"/>
  <c r="V6" i="1"/>
  <c r="X6" i="2" l="1"/>
  <c r="Y4" i="2"/>
  <c r="X4" i="1"/>
  <c r="W6" i="1"/>
  <c r="Y6" i="2" l="1"/>
  <c r="Z4" i="2"/>
  <c r="Y4" i="1"/>
  <c r="X6" i="1"/>
  <c r="L7" i="1" s="1"/>
  <c r="Z6" i="2" l="1"/>
  <c r="AA4" i="2"/>
  <c r="E11" i="1"/>
  <c r="E33" i="1" s="1"/>
  <c r="E36" i="1" s="1"/>
  <c r="Z4" i="1"/>
  <c r="Y6" i="1"/>
  <c r="AB4" i="2" l="1"/>
  <c r="AA6" i="2"/>
  <c r="AA4" i="1"/>
  <c r="Z6" i="1"/>
  <c r="AB6" i="2" l="1"/>
  <c r="AC4" i="2"/>
  <c r="AB4" i="1"/>
  <c r="AA6" i="1"/>
  <c r="AC6" i="2" l="1"/>
  <c r="AD4" i="2"/>
  <c r="AC4" i="1"/>
  <c r="AB6" i="1"/>
  <c r="AD6" i="2" l="1"/>
  <c r="AE4" i="2"/>
  <c r="AD4" i="1"/>
  <c r="AC6" i="1"/>
  <c r="AF4" i="2" l="1"/>
  <c r="AE6" i="2"/>
  <c r="AE4" i="1"/>
  <c r="AD6" i="1"/>
  <c r="AF6" i="2" l="1"/>
  <c r="AG4" i="2"/>
  <c r="AF4" i="1"/>
  <c r="AE6" i="1"/>
  <c r="AG6" i="2" l="1"/>
  <c r="AH4" i="2"/>
  <c r="AG4" i="1"/>
  <c r="AF6" i="1"/>
  <c r="AH6" i="2" l="1"/>
  <c r="AI4" i="2"/>
  <c r="AH4" i="1"/>
  <c r="AG6" i="1"/>
  <c r="AJ4" i="2" l="1"/>
  <c r="AI6" i="2"/>
  <c r="K9" i="2" s="1"/>
  <c r="AI4" i="1"/>
  <c r="AH6" i="1"/>
  <c r="AJ6" i="2" l="1"/>
  <c r="AK4" i="2"/>
  <c r="AJ4" i="1"/>
  <c r="AI6" i="1"/>
  <c r="AK6" i="2" l="1"/>
  <c r="AL4" i="2"/>
  <c r="AK4" i="1"/>
  <c r="AJ6" i="1"/>
  <c r="L8" i="1" s="1"/>
  <c r="AL6" i="2" l="1"/>
  <c r="AM4" i="2"/>
  <c r="F11" i="1"/>
  <c r="AL4" i="1"/>
  <c r="AK6" i="1"/>
  <c r="AN4" i="2" l="1"/>
  <c r="AM6" i="2"/>
  <c r="AM4" i="1"/>
  <c r="AL6" i="1"/>
  <c r="F33" i="1"/>
  <c r="F36" i="1" s="1"/>
  <c r="AN6" i="2" l="1"/>
  <c r="AO4" i="2"/>
  <c r="AN4" i="1"/>
  <c r="AM6" i="1"/>
  <c r="AO6" i="2" l="1"/>
  <c r="AP4" i="2"/>
  <c r="AO4" i="1"/>
  <c r="AN6" i="1"/>
  <c r="AP6" i="2" l="1"/>
  <c r="AQ4" i="2"/>
  <c r="AP4" i="1"/>
  <c r="AO6" i="1"/>
  <c r="AR4" i="2" l="1"/>
  <c r="AQ6" i="2"/>
  <c r="AQ4" i="1"/>
  <c r="AP6" i="1"/>
  <c r="AR6" i="2" l="1"/>
  <c r="AS4" i="2"/>
  <c r="AR4" i="1"/>
  <c r="AQ6" i="1"/>
  <c r="AS6" i="2" l="1"/>
  <c r="AT4" i="2"/>
  <c r="AS4" i="1"/>
  <c r="AR6" i="1"/>
  <c r="AT6" i="2" l="1"/>
  <c r="AU4" i="2"/>
  <c r="AT4" i="1"/>
  <c r="AS6" i="1"/>
  <c r="AV4" i="2" l="1"/>
  <c r="AU6" i="2"/>
  <c r="K10" i="2" s="1"/>
  <c r="AU4" i="1"/>
  <c r="AT6" i="1"/>
  <c r="AV6" i="2" l="1"/>
  <c r="AW4" i="2"/>
  <c r="AV4" i="1"/>
  <c r="AU6" i="1"/>
  <c r="AW6" i="2" l="1"/>
  <c r="AX4" i="2"/>
  <c r="AW4" i="1"/>
  <c r="AV6" i="1"/>
  <c r="L9" i="1" s="1"/>
  <c r="AX6" i="2" l="1"/>
  <c r="AY4" i="2"/>
  <c r="G11" i="1"/>
  <c r="AX4" i="1"/>
  <c r="AW6" i="1"/>
  <c r="AZ4" i="2" l="1"/>
  <c r="AY6" i="2"/>
  <c r="AY4" i="1"/>
  <c r="AX6" i="1"/>
  <c r="G33" i="1"/>
  <c r="G36" i="1" s="1"/>
  <c r="AZ6" i="2" l="1"/>
  <c r="BA4" i="2"/>
  <c r="AZ4" i="1"/>
  <c r="AY6" i="1"/>
  <c r="BA6" i="2" l="1"/>
  <c r="BB4" i="2"/>
  <c r="BA4" i="1"/>
  <c r="AZ6" i="1"/>
  <c r="BB6" i="2" l="1"/>
  <c r="BC4" i="2"/>
  <c r="BB4" i="1"/>
  <c r="BA6" i="1"/>
  <c r="BD4" i="2" l="1"/>
  <c r="BC6" i="2"/>
  <c r="BC4" i="1"/>
  <c r="BB6" i="1"/>
  <c r="BD6" i="2" l="1"/>
  <c r="BE4" i="2"/>
  <c r="BD4" i="1"/>
  <c r="BC6" i="1"/>
  <c r="BE6" i="2" l="1"/>
  <c r="BF4" i="2"/>
  <c r="BE4" i="1"/>
  <c r="BD6" i="1"/>
  <c r="BF6" i="2" l="1"/>
  <c r="BG4" i="2"/>
  <c r="BG6" i="2" s="1"/>
  <c r="K11" i="2" s="1"/>
  <c r="BF4" i="1"/>
  <c r="BE6" i="1"/>
  <c r="BG4" i="1" l="1"/>
  <c r="BF6" i="1"/>
  <c r="BH4" i="1" l="1"/>
  <c r="BH6" i="1" s="1"/>
  <c r="BG6" i="1"/>
  <c r="L10" i="1" l="1"/>
  <c r="H11" i="1" l="1"/>
  <c r="J11" i="1" s="1"/>
  <c r="J14" i="1"/>
  <c r="H7" i="1"/>
  <c r="J10" i="1"/>
  <c r="H33" i="1" l="1"/>
  <c r="H36" i="1" s="1"/>
  <c r="J36" i="1" s="1"/>
  <c r="J7" i="1"/>
  <c r="L33" i="1"/>
  <c r="D60" i="27" l="1"/>
  <c r="D57" i="27"/>
  <c r="D63" i="27" s="1"/>
  <c r="E60" i="27"/>
  <c r="E57" i="27"/>
  <c r="F57" i="27"/>
  <c r="F60" i="27"/>
  <c r="F63" i="27" s="1"/>
  <c r="E63" i="27"/>
  <c r="F59" i="27"/>
  <c r="G60" i="27"/>
  <c r="G57" i="27"/>
  <c r="G63" i="27" s="1"/>
  <c r="D59" i="27"/>
  <c r="C60" i="27"/>
  <c r="C57" i="27"/>
  <c r="E59" i="27"/>
  <c r="E58" i="27" s="1"/>
  <c r="E56" i="27"/>
  <c r="E55" i="27" s="1"/>
  <c r="G59" i="27"/>
  <c r="G58" i="27" s="1"/>
  <c r="D56" i="27"/>
  <c r="D62" i="27" s="1"/>
  <c r="C59" i="27"/>
  <c r="C56" i="27"/>
  <c r="F56" i="27"/>
  <c r="F55" i="27" s="1"/>
  <c r="G56" i="27"/>
  <c r="D58" i="27" l="1"/>
  <c r="I60" i="27"/>
  <c r="I56" i="27"/>
  <c r="E62" i="27"/>
  <c r="E64" i="27" s="1"/>
  <c r="G55" i="27"/>
  <c r="I57" i="27"/>
  <c r="I63" i="27" s="1"/>
  <c r="C55" i="27"/>
  <c r="F58" i="27"/>
  <c r="C58" i="27"/>
  <c r="G62" i="27"/>
  <c r="G64" i="27" s="1"/>
  <c r="F62" i="27"/>
  <c r="F64" i="27" s="1"/>
  <c r="D64" i="27"/>
  <c r="I59" i="27"/>
  <c r="C62" i="27"/>
  <c r="C63" i="27"/>
  <c r="D55" i="27"/>
  <c r="I55" i="27" l="1"/>
  <c r="I58" i="27"/>
  <c r="C64" i="27"/>
  <c r="I62" i="27"/>
  <c r="I64" i="27" s="1"/>
</calcChain>
</file>

<file path=xl/sharedStrings.xml><?xml version="1.0" encoding="utf-8"?>
<sst xmlns="http://schemas.openxmlformats.org/spreadsheetml/2006/main" count="250" uniqueCount="44">
  <si>
    <t>Unit &amp; Scope</t>
  </si>
  <si>
    <t>Total</t>
  </si>
  <si>
    <t xml:space="preserve"> AM1 Dry Ash Handling Capital </t>
  </si>
  <si>
    <t xml:space="preserve"> AM2 Dry Ash Handling Capital </t>
  </si>
  <si>
    <t xml:space="preserve"> AM3 Dry Ash Handling  Capital </t>
  </si>
  <si>
    <t xml:space="preserve"> AM0 FGD WWT Capital </t>
  </si>
  <si>
    <t xml:space="preserve"> AM0 Pond Repurpose Capital </t>
  </si>
  <si>
    <t xml:space="preserve"> AM0 Pond Repurpose Fuel </t>
  </si>
  <si>
    <t xml:space="preserve"> AM0 Pond Closure Fuel </t>
  </si>
  <si>
    <t xml:space="preserve"> AM0 Pond Closure ARO </t>
  </si>
  <si>
    <t>Pre-2020</t>
  </si>
  <si>
    <t>Direct</t>
  </si>
  <si>
    <t>AFUDC</t>
  </si>
  <si>
    <t>Allocations</t>
  </si>
  <si>
    <t>Capital</t>
  </si>
  <si>
    <t>ARO</t>
  </si>
  <si>
    <t xml:space="preserve"> $                      -  </t>
  </si>
  <si>
    <t>Fuel</t>
  </si>
  <si>
    <t>Overhead</t>
  </si>
  <si>
    <t>Portfolio</t>
  </si>
  <si>
    <t>Table</t>
  </si>
  <si>
    <t>Direct + Allocations Subtotal</t>
  </si>
  <si>
    <t>AFUDC/Return on CWIP</t>
  </si>
  <si>
    <t>AFUDC/Return on CWIP (ROC)</t>
  </si>
  <si>
    <t>Total (Direct, Allocations, AFUDC/ROC)</t>
  </si>
  <si>
    <t xml:space="preserve">MT1 Pond Repurpose Fuel </t>
  </si>
  <si>
    <t xml:space="preserve">MT1 Pond Repurpose Capital </t>
  </si>
  <si>
    <t xml:space="preserve">MT1 FGD WWT Capital </t>
  </si>
  <si>
    <t xml:space="preserve">MT1 Dry Ash Handling Capital </t>
  </si>
  <si>
    <t>Total (Direct+Allocations)</t>
  </si>
  <si>
    <t>ML CCR Only Capital</t>
  </si>
  <si>
    <t xml:space="preserve">ML CCR Only ARO </t>
  </si>
  <si>
    <t xml:space="preserve">ML1-2 Dry Ash Handling Capital </t>
  </si>
  <si>
    <t xml:space="preserve">ML0 FGD WWT Capital </t>
  </si>
  <si>
    <t xml:space="preserve">ML0 Pond Repurpose Capital </t>
  </si>
  <si>
    <t>ML0 Pond Repurpose ARO</t>
  </si>
  <si>
    <t>Notes:</t>
  </si>
  <si>
    <t>-Assumed sunk costs from ML ELG project would be moved to the CCR only project in 2020 (Approx $1.0M)</t>
  </si>
  <si>
    <t>ML CCR Only Other</t>
  </si>
  <si>
    <t>ML0 Pond Repurpose Other</t>
  </si>
  <si>
    <t>Mitchell CCR and ELG Project Cost Estimate</t>
  </si>
  <si>
    <t>($000 – Total Plant)</t>
  </si>
  <si>
    <t>Mitchell CCR Only Cost Estimate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</si>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</sst>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,_);_(&quot;$&quot;* \(#,##0,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</font>
    <font>
      <sz val="10"/>
      <name val="Arial"/>
      <family val="2"/>
    </font>
    <font>
      <sz val="11"/>
      <color theme="1"/>
      <name val="verdana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 style="thin">
        <color auto="1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/>
    <xf numFmtId="0" fontId="1" fillId="0" borderId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3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6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10" fontId="0" fillId="0" borderId="0" xfId="2" applyNumberFormat="1" applyFont="1"/>
    <xf numFmtId="17" fontId="0" fillId="0" borderId="0" xfId="0" applyNumberFormat="1"/>
    <xf numFmtId="165" fontId="0" fillId="0" borderId="0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165" fontId="0" fillId="0" borderId="9" xfId="1" applyNumberFormat="1" applyFont="1" applyBorder="1"/>
    <xf numFmtId="165" fontId="0" fillId="0" borderId="3" xfId="1" applyNumberFormat="1" applyFont="1" applyBorder="1"/>
    <xf numFmtId="165" fontId="0" fillId="0" borderId="8" xfId="1" applyNumberFormat="1" applyFont="1" applyBorder="1"/>
    <xf numFmtId="0" fontId="2" fillId="0" borderId="4" xfId="0" applyFont="1" applyBorder="1" applyAlignment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0" fillId="0" borderId="2" xfId="1" applyNumberFormat="1" applyFont="1" applyBorder="1"/>
    <xf numFmtId="165" fontId="0" fillId="0" borderId="10" xfId="1" applyNumberFormat="1" applyFont="1" applyBorder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15" xfId="1" applyNumberFormat="1" applyFont="1" applyBorder="1"/>
    <xf numFmtId="0" fontId="0" fillId="0" borderId="12" xfId="0" applyBorder="1"/>
    <xf numFmtId="165" fontId="0" fillId="0" borderId="19" xfId="1" applyNumberFormat="1" applyFont="1" applyBorder="1"/>
    <xf numFmtId="165" fontId="0" fillId="0" borderId="20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165" fontId="0" fillId="0" borderId="24" xfId="1" applyNumberFormat="1" applyFont="1" applyBorder="1"/>
    <xf numFmtId="165" fontId="0" fillId="0" borderId="25" xfId="1" applyNumberFormat="1" applyFont="1" applyBorder="1"/>
    <xf numFmtId="165" fontId="0" fillId="0" borderId="18" xfId="1" applyNumberFormat="1" applyFont="1" applyBorder="1"/>
    <xf numFmtId="165" fontId="0" fillId="0" borderId="26" xfId="1" applyNumberFormat="1" applyFont="1" applyBorder="1"/>
    <xf numFmtId="165" fontId="0" fillId="2" borderId="17" xfId="1" applyNumberFormat="1" applyFont="1" applyFill="1" applyBorder="1"/>
    <xf numFmtId="165" fontId="0" fillId="2" borderId="16" xfId="1" applyNumberFormat="1" applyFont="1" applyFill="1" applyBorder="1"/>
    <xf numFmtId="165" fontId="0" fillId="2" borderId="27" xfId="1" applyNumberFormat="1" applyFont="1" applyFill="1" applyBorder="1"/>
    <xf numFmtId="165" fontId="0" fillId="2" borderId="28" xfId="1" applyNumberFormat="1" applyFont="1" applyFill="1" applyBorder="1"/>
    <xf numFmtId="165" fontId="0" fillId="2" borderId="25" xfId="1" applyNumberFormat="1" applyFont="1" applyFill="1" applyBorder="1"/>
    <xf numFmtId="165" fontId="0" fillId="0" borderId="29" xfId="1" applyNumberFormat="1" applyFont="1" applyBorder="1"/>
    <xf numFmtId="165" fontId="0" fillId="0" borderId="30" xfId="1" applyNumberFormat="1" applyFont="1" applyBorder="1"/>
    <xf numFmtId="165" fontId="0" fillId="0" borderId="31" xfId="1" applyNumberFormat="1" applyFont="1" applyBorder="1"/>
    <xf numFmtId="0" fontId="0" fillId="0" borderId="32" xfId="0" applyBorder="1"/>
    <xf numFmtId="165" fontId="0" fillId="0" borderId="17" xfId="0" applyNumberFormat="1" applyBorder="1"/>
    <xf numFmtId="165" fontId="0" fillId="0" borderId="16" xfId="0" applyNumberFormat="1" applyBorder="1"/>
    <xf numFmtId="0" fontId="0" fillId="0" borderId="33" xfId="0" applyBorder="1"/>
    <xf numFmtId="165" fontId="0" fillId="0" borderId="19" xfId="0" applyNumberFormat="1" applyBorder="1"/>
    <xf numFmtId="165" fontId="0" fillId="0" borderId="18" xfId="0" applyNumberFormat="1" applyBorder="1"/>
    <xf numFmtId="0" fontId="2" fillId="0" borderId="33" xfId="0" applyFont="1" applyBorder="1"/>
    <xf numFmtId="165" fontId="2" fillId="0" borderId="19" xfId="0" applyNumberFormat="1" applyFont="1" applyBorder="1"/>
    <xf numFmtId="165" fontId="2" fillId="0" borderId="18" xfId="0" applyNumberFormat="1" applyFont="1" applyBorder="1"/>
    <xf numFmtId="0" fontId="2" fillId="0" borderId="34" xfId="0" applyFont="1" applyBorder="1"/>
    <xf numFmtId="165" fontId="2" fillId="0" borderId="24" xfId="0" applyNumberFormat="1" applyFont="1" applyBorder="1"/>
    <xf numFmtId="165" fontId="2" fillId="0" borderId="35" xfId="0" applyNumberFormat="1" applyFont="1" applyBorder="1"/>
    <xf numFmtId="0" fontId="2" fillId="0" borderId="0" xfId="0" applyFont="1"/>
    <xf numFmtId="0" fontId="0" fillId="0" borderId="0" xfId="0" applyFont="1"/>
    <xf numFmtId="165" fontId="0" fillId="0" borderId="18" xfId="0" applyNumberFormat="1" applyFont="1" applyBorder="1"/>
    <xf numFmtId="165" fontId="0" fillId="0" borderId="19" xfId="0" applyNumberFormat="1" applyFont="1" applyBorder="1"/>
    <xf numFmtId="165" fontId="0" fillId="2" borderId="36" xfId="1" applyNumberFormat="1" applyFont="1" applyFill="1" applyBorder="1"/>
    <xf numFmtId="165" fontId="0" fillId="0" borderId="37" xfId="1" applyNumberFormat="1" applyFont="1" applyBorder="1"/>
    <xf numFmtId="165" fontId="0" fillId="2" borderId="38" xfId="1" applyNumberFormat="1" applyFont="1" applyFill="1" applyBorder="1"/>
    <xf numFmtId="165" fontId="0" fillId="2" borderId="39" xfId="1" applyNumberFormat="1" applyFont="1" applyFill="1" applyBorder="1"/>
    <xf numFmtId="165" fontId="0" fillId="0" borderId="0" xfId="0" applyNumberFormat="1"/>
    <xf numFmtId="17" fontId="2" fillId="0" borderId="6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65" fontId="0" fillId="0" borderId="40" xfId="1" applyNumberFormat="1" applyFont="1" applyBorder="1"/>
    <xf numFmtId="165" fontId="0" fillId="0" borderId="41" xfId="1" applyNumberFormat="1" applyFont="1" applyBorder="1"/>
    <xf numFmtId="165" fontId="0" fillId="0" borderId="42" xfId="1" applyNumberFormat="1" applyFont="1" applyBorder="1"/>
    <xf numFmtId="165" fontId="0" fillId="0" borderId="43" xfId="1" applyNumberFormat="1" applyFont="1" applyBorder="1"/>
    <xf numFmtId="165" fontId="0" fillId="0" borderId="44" xfId="1" applyNumberFormat="1" applyFont="1" applyBorder="1"/>
    <xf numFmtId="44" fontId="0" fillId="0" borderId="0" xfId="0" applyNumberFormat="1"/>
    <xf numFmtId="0" fontId="0" fillId="0" borderId="47" xfId="0" applyBorder="1"/>
    <xf numFmtId="165" fontId="0" fillId="0" borderId="35" xfId="1" applyNumberFormat="1" applyFont="1" applyBorder="1"/>
    <xf numFmtId="0" fontId="0" fillId="0" borderId="48" xfId="0" applyBorder="1"/>
    <xf numFmtId="165" fontId="0" fillId="2" borderId="49" xfId="1" applyNumberFormat="1" applyFont="1" applyFill="1" applyBorder="1"/>
    <xf numFmtId="165" fontId="0" fillId="0" borderId="50" xfId="1" applyNumberFormat="1" applyFont="1" applyBorder="1"/>
    <xf numFmtId="165" fontId="0" fillId="0" borderId="51" xfId="1" applyNumberFormat="1" applyFont="1" applyBorder="1"/>
    <xf numFmtId="165" fontId="0" fillId="2" borderId="52" xfId="1" applyNumberFormat="1" applyFont="1" applyFill="1" applyBorder="1"/>
    <xf numFmtId="165" fontId="0" fillId="0" borderId="53" xfId="1" applyNumberFormat="1" applyFont="1" applyBorder="1"/>
    <xf numFmtId="165" fontId="0" fillId="0" borderId="54" xfId="1" applyNumberFormat="1" applyFont="1" applyBorder="1"/>
    <xf numFmtId="165" fontId="0" fillId="0" borderId="55" xfId="1" applyNumberFormat="1" applyFont="1" applyBorder="1"/>
    <xf numFmtId="44" fontId="0" fillId="0" borderId="0" xfId="1" applyFont="1"/>
    <xf numFmtId="0" fontId="0" fillId="0" borderId="56" xfId="0" applyBorder="1"/>
    <xf numFmtId="165" fontId="0" fillId="0" borderId="39" xfId="1" applyNumberFormat="1" applyFont="1" applyBorder="1"/>
    <xf numFmtId="165" fontId="0" fillId="0" borderId="28" xfId="1" applyNumberFormat="1" applyFont="1" applyBorder="1"/>
    <xf numFmtId="0" fontId="0" fillId="0" borderId="57" xfId="0" applyBorder="1"/>
    <xf numFmtId="165" fontId="0" fillId="2" borderId="15" xfId="1" applyNumberFormat="1" applyFont="1" applyFill="1" applyBorder="1"/>
    <xf numFmtId="165" fontId="0" fillId="2" borderId="44" xfId="1" applyNumberFormat="1" applyFont="1" applyFill="1" applyBorder="1"/>
    <xf numFmtId="165" fontId="0" fillId="2" borderId="41" xfId="1" applyNumberFormat="1" applyFont="1" applyFill="1" applyBorder="1"/>
    <xf numFmtId="165" fontId="0" fillId="0" borderId="45" xfId="1" applyNumberFormat="1" applyFont="1" applyBorder="1"/>
    <xf numFmtId="165" fontId="0" fillId="0" borderId="58" xfId="1" applyNumberFormat="1" applyFont="1" applyBorder="1"/>
    <xf numFmtId="165" fontId="0" fillId="0" borderId="46" xfId="1" applyNumberFormat="1" applyFont="1" applyBorder="1"/>
    <xf numFmtId="0" fontId="0" fillId="0" borderId="59" xfId="0" applyBorder="1"/>
    <xf numFmtId="0" fontId="0" fillId="0" borderId="60" xfId="0" applyBorder="1"/>
    <xf numFmtId="165" fontId="0" fillId="2" borderId="61" xfId="1" applyNumberFormat="1" applyFont="1" applyFill="1" applyBorder="1"/>
    <xf numFmtId="0" fontId="0" fillId="0" borderId="62" xfId="0" applyBorder="1"/>
    <xf numFmtId="165" fontId="0" fillId="2" borderId="62" xfId="1" applyNumberFormat="1" applyFont="1" applyFill="1" applyBorder="1"/>
    <xf numFmtId="165" fontId="0" fillId="0" borderId="62" xfId="1" applyNumberFormat="1" applyFont="1" applyBorder="1"/>
    <xf numFmtId="165" fontId="0" fillId="0" borderId="62" xfId="0" applyNumberFormat="1" applyBorder="1"/>
    <xf numFmtId="0" fontId="0" fillId="0" borderId="66" xfId="0" applyBorder="1"/>
    <xf numFmtId="165" fontId="0" fillId="2" borderId="67" xfId="1" applyNumberFormat="1" applyFont="1" applyFill="1" applyBorder="1"/>
    <xf numFmtId="0" fontId="0" fillId="0" borderId="66" xfId="0" applyBorder="1" applyAlignment="1">
      <alignment horizontal="right"/>
    </xf>
    <xf numFmtId="165" fontId="0" fillId="0" borderId="67" xfId="1" applyNumberFormat="1" applyFont="1" applyBorder="1"/>
    <xf numFmtId="0" fontId="0" fillId="0" borderId="67" xfId="0" applyBorder="1"/>
    <xf numFmtId="165" fontId="0" fillId="0" borderId="67" xfId="0" applyNumberFormat="1" applyBorder="1"/>
    <xf numFmtId="0" fontId="2" fillId="0" borderId="57" xfId="0" applyFont="1" applyBorder="1"/>
    <xf numFmtId="165" fontId="2" fillId="0" borderId="68" xfId="0" applyNumberFormat="1" applyFont="1" applyBorder="1"/>
    <xf numFmtId="165" fontId="2" fillId="0" borderId="69" xfId="0" applyNumberFormat="1" applyFont="1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7" fillId="0" borderId="0" xfId="0" applyFont="1"/>
    <xf numFmtId="0" fontId="0" fillId="0" borderId="13" xfId="0" applyBorder="1"/>
    <xf numFmtId="165" fontId="0" fillId="2" borderId="10" xfId="1" applyNumberFormat="1" applyFont="1" applyFill="1" applyBorder="1"/>
    <xf numFmtId="165" fontId="0" fillId="2" borderId="29" xfId="1" applyNumberFormat="1" applyFont="1" applyFill="1" applyBorder="1"/>
    <xf numFmtId="0" fontId="0" fillId="0" borderId="63" xfId="0" applyBorder="1" applyAlignment="1">
      <alignment horizontal="right"/>
    </xf>
    <xf numFmtId="165" fontId="0" fillId="0" borderId="64" xfId="1" applyNumberFormat="1" applyFont="1" applyBorder="1"/>
    <xf numFmtId="165" fontId="0" fillId="0" borderId="65" xfId="1" applyNumberFormat="1" applyFont="1" applyBorder="1"/>
    <xf numFmtId="0" fontId="0" fillId="0" borderId="7" xfId="0" applyBorder="1"/>
    <xf numFmtId="17" fontId="2" fillId="0" borderId="70" xfId="0" applyNumberFormat="1" applyFont="1" applyBorder="1" applyAlignment="1">
      <alignment horizontal="center"/>
    </xf>
    <xf numFmtId="17" fontId="2" fillId="0" borderId="7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center" vertical="top"/>
    </xf>
    <xf numFmtId="0" fontId="0" fillId="0" borderId="3" xfId="0" applyBorder="1" applyAlignment="1"/>
  </cellXfs>
  <cellStyles count="23">
    <cellStyle name="Comma 2" xfId="11"/>
    <cellStyle name="Comma 3" xfId="14"/>
    <cellStyle name="Comma 4" xfId="18"/>
    <cellStyle name="Comma 5" xfId="4"/>
    <cellStyle name="Currency" xfId="1" builtinId="4"/>
    <cellStyle name="Currency 2" xfId="8"/>
    <cellStyle name="Currency 2 2" xfId="21"/>
    <cellStyle name="Currency 3" xfId="10"/>
    <cellStyle name="Currency 3 2" xfId="15"/>
    <cellStyle name="Currency 4" xfId="17"/>
    <cellStyle name="Normal" xfId="0" builtinId="0"/>
    <cellStyle name="Normal 2" xfId="7"/>
    <cellStyle name="Normal 2 2" xfId="16"/>
    <cellStyle name="Normal 2 3" xfId="20"/>
    <cellStyle name="Normal 3" xfId="6"/>
    <cellStyle name="Normal 4" xfId="9"/>
    <cellStyle name="Normal 5" xfId="13"/>
    <cellStyle name="Normal 6" xfId="3"/>
    <cellStyle name="Percent" xfId="2" builtinId="5"/>
    <cellStyle name="Percent 2" xfId="12"/>
    <cellStyle name="Percent 3" xfId="19"/>
    <cellStyle name="Percent 4" xfId="22"/>
    <cellStyle name="Percent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H59"/>
  <sheetViews>
    <sheetView topLeftCell="A13" workbookViewId="0">
      <selection activeCell="C61" sqref="C61"/>
    </sheetView>
  </sheetViews>
  <sheetFormatPr defaultRowHeight="15" x14ac:dyDescent="0.25"/>
  <cols>
    <col min="1" max="1" width="4.5703125" customWidth="1"/>
    <col min="2" max="2" width="10.85546875" hidden="1" customWidth="1"/>
    <col min="3" max="3" width="32.85546875" customWidth="1"/>
    <col min="4" max="4" width="14.42578125" bestFit="1" customWidth="1"/>
    <col min="5" max="5" width="13.5703125" bestFit="1" customWidth="1"/>
    <col min="6" max="6" width="13.85546875" bestFit="1" customWidth="1"/>
    <col min="7" max="8" width="14.85546875" bestFit="1" customWidth="1"/>
    <col min="9" max="9" width="11.5703125" bestFit="1" customWidth="1"/>
    <col min="10" max="10" width="13.85546875" bestFit="1" customWidth="1"/>
    <col min="11" max="11" width="15" bestFit="1" customWidth="1"/>
    <col min="12" max="12" width="13.85546875" hidden="1" customWidth="1"/>
    <col min="13" max="13" width="12.5703125" hidden="1" customWidth="1"/>
    <col min="14" max="14" width="13.42578125" hidden="1" customWidth="1"/>
    <col min="15" max="15" width="12.85546875" hidden="1" customWidth="1"/>
    <col min="16" max="16" width="14.140625" hidden="1" customWidth="1"/>
    <col min="17" max="19" width="13.5703125" hidden="1" customWidth="1"/>
    <col min="20" max="20" width="12.5703125" hidden="1" customWidth="1"/>
    <col min="21" max="21" width="13.5703125" hidden="1" customWidth="1"/>
    <col min="22" max="22" width="15" hidden="1" customWidth="1"/>
    <col min="23" max="24" width="12.5703125" hidden="1" customWidth="1"/>
    <col min="25" max="36" width="14.140625" hidden="1" customWidth="1"/>
    <col min="37" max="49" width="11.5703125" hidden="1" customWidth="1"/>
    <col min="50" max="60" width="10" hidden="1" customWidth="1"/>
  </cols>
  <sheetData>
    <row r="1" spans="2:60" ht="15.75" thickBot="1" x14ac:dyDescent="0.3"/>
    <row r="2" spans="2:60" ht="15.75" thickBot="1" x14ac:dyDescent="0.3">
      <c r="C2" s="13" t="s">
        <v>0</v>
      </c>
      <c r="D2" s="14" t="s">
        <v>10</v>
      </c>
      <c r="E2" s="14">
        <v>2020</v>
      </c>
      <c r="F2" s="14">
        <v>2021</v>
      </c>
      <c r="G2" s="14">
        <v>2022</v>
      </c>
      <c r="H2" s="14">
        <v>2023</v>
      </c>
      <c r="I2" s="14">
        <v>2024</v>
      </c>
      <c r="J2" s="15" t="s">
        <v>1</v>
      </c>
      <c r="M2" s="6">
        <v>43831</v>
      </c>
      <c r="N2" s="6">
        <v>43862</v>
      </c>
      <c r="O2" s="6">
        <v>43891</v>
      </c>
      <c r="P2" s="6">
        <v>43922</v>
      </c>
      <c r="Q2" s="6">
        <v>43952</v>
      </c>
      <c r="R2" s="6">
        <v>43983</v>
      </c>
      <c r="S2" s="6">
        <v>44013</v>
      </c>
      <c r="T2" s="6">
        <v>44044</v>
      </c>
      <c r="U2" s="6">
        <v>44075</v>
      </c>
      <c r="V2" s="6">
        <v>44105</v>
      </c>
      <c r="W2" s="6">
        <v>44136</v>
      </c>
      <c r="X2" s="6">
        <v>44166</v>
      </c>
      <c r="Y2" s="6">
        <v>44197</v>
      </c>
      <c r="Z2" s="6">
        <v>44228</v>
      </c>
      <c r="AA2" s="6">
        <v>44256</v>
      </c>
      <c r="AB2" s="6">
        <v>44287</v>
      </c>
      <c r="AC2" s="6">
        <v>44317</v>
      </c>
      <c r="AD2" s="6">
        <v>44348</v>
      </c>
      <c r="AE2" s="6">
        <v>44378</v>
      </c>
      <c r="AF2" s="6">
        <v>44409</v>
      </c>
      <c r="AG2" s="6">
        <v>44440</v>
      </c>
      <c r="AH2" s="6">
        <v>44470</v>
      </c>
      <c r="AI2" s="6">
        <v>44501</v>
      </c>
      <c r="AJ2" s="6">
        <v>44531</v>
      </c>
      <c r="AK2" s="6">
        <v>44562</v>
      </c>
      <c r="AL2" s="6">
        <v>44593</v>
      </c>
      <c r="AM2" s="6">
        <v>44621</v>
      </c>
      <c r="AN2" s="6">
        <v>44652</v>
      </c>
      <c r="AO2" s="6">
        <v>44682</v>
      </c>
      <c r="AP2" s="6">
        <v>44713</v>
      </c>
      <c r="AQ2" s="6">
        <v>44743</v>
      </c>
      <c r="AR2" s="6">
        <v>44774</v>
      </c>
      <c r="AS2" s="6">
        <v>44805</v>
      </c>
      <c r="AT2" s="6">
        <v>44835</v>
      </c>
      <c r="AU2" s="6">
        <v>44866</v>
      </c>
      <c r="AV2" s="6">
        <v>44896</v>
      </c>
      <c r="AW2" s="6">
        <v>44927</v>
      </c>
      <c r="AX2" s="6">
        <v>44958</v>
      </c>
      <c r="AY2" s="6">
        <v>44986</v>
      </c>
      <c r="AZ2" s="6">
        <v>45017</v>
      </c>
      <c r="BA2" s="6">
        <v>45047</v>
      </c>
      <c r="BB2" s="6">
        <v>45078</v>
      </c>
      <c r="BC2" s="6">
        <v>45108</v>
      </c>
      <c r="BD2" s="6">
        <v>45139</v>
      </c>
      <c r="BE2" s="6">
        <v>45170</v>
      </c>
      <c r="BF2" s="6">
        <v>45200</v>
      </c>
      <c r="BG2" s="6">
        <v>45231</v>
      </c>
      <c r="BH2" s="6">
        <v>45261</v>
      </c>
    </row>
    <row r="3" spans="2:60" x14ac:dyDescent="0.25">
      <c r="B3" t="s">
        <v>14</v>
      </c>
      <c r="C3" s="23" t="s">
        <v>2</v>
      </c>
      <c r="D3" s="33">
        <f>SUM(D4:D6)</f>
        <v>297240.49999999994</v>
      </c>
      <c r="E3" s="33">
        <f t="shared" ref="E3:I3" si="0">SUM(E4:E6)</f>
        <v>438934.78586559999</v>
      </c>
      <c r="F3" s="33">
        <f t="shared" si="0"/>
        <v>6922445.7338744001</v>
      </c>
      <c r="G3" s="33">
        <f t="shared" si="0"/>
        <v>15709844.429698825</v>
      </c>
      <c r="H3" s="33">
        <f t="shared" si="0"/>
        <v>1754339.5303278249</v>
      </c>
      <c r="I3" s="33">
        <f t="shared" si="0"/>
        <v>0</v>
      </c>
      <c r="J3" s="34">
        <f t="shared" ref="J3" si="1">SUM(D3:I3)</f>
        <v>25122804.979766652</v>
      </c>
      <c r="K3" s="2"/>
      <c r="L3" s="2"/>
      <c r="M3" s="2">
        <f>SUM(E20)/12</f>
        <v>130498</v>
      </c>
      <c r="N3" s="2">
        <v>130498</v>
      </c>
      <c r="O3" s="2">
        <v>130498</v>
      </c>
      <c r="P3" s="2">
        <v>130498</v>
      </c>
      <c r="Q3" s="2">
        <v>130498</v>
      </c>
      <c r="R3" s="2">
        <v>130498</v>
      </c>
      <c r="S3" s="2">
        <v>130498</v>
      </c>
      <c r="T3" s="2">
        <v>130498</v>
      </c>
      <c r="U3" s="2">
        <v>130498</v>
      </c>
      <c r="V3" s="2">
        <v>130498</v>
      </c>
      <c r="W3" s="2">
        <v>130498</v>
      </c>
      <c r="X3" s="2">
        <v>130498</v>
      </c>
      <c r="Y3" s="2">
        <f>SUM(F20)/12</f>
        <v>462167.25</v>
      </c>
      <c r="Z3" s="2">
        <v>462167.25</v>
      </c>
      <c r="AA3" s="2">
        <v>462167.25</v>
      </c>
      <c r="AB3" s="2">
        <v>462167.25</v>
      </c>
      <c r="AC3" s="2">
        <v>462167.25</v>
      </c>
      <c r="AD3" s="2">
        <v>462167.25</v>
      </c>
      <c r="AE3" s="2">
        <v>462167.25</v>
      </c>
      <c r="AF3" s="2">
        <v>462167.25</v>
      </c>
      <c r="AG3" s="2">
        <v>462167.25</v>
      </c>
      <c r="AH3" s="2">
        <v>462167.25</v>
      </c>
      <c r="AI3" s="2">
        <v>462167.25</v>
      </c>
      <c r="AJ3" s="2">
        <v>462167.25</v>
      </c>
      <c r="AK3" s="2">
        <f>SUM(G19)/12</f>
        <v>1557759.0824232853</v>
      </c>
      <c r="AL3" s="2">
        <v>1475093.6290583333</v>
      </c>
      <c r="AM3" s="2">
        <v>1475093.6290583333</v>
      </c>
      <c r="AN3" s="2">
        <v>1475093.6290583333</v>
      </c>
      <c r="AO3" s="2">
        <v>1475093.6290583333</v>
      </c>
      <c r="AP3" s="2">
        <v>1475093.6290583333</v>
      </c>
      <c r="AQ3" s="2">
        <v>1475093.6290583333</v>
      </c>
      <c r="AR3" s="2">
        <v>1475093.6290583333</v>
      </c>
      <c r="AS3" s="2">
        <v>1475093.6290583333</v>
      </c>
      <c r="AT3" s="2">
        <v>1475093.6290583333</v>
      </c>
      <c r="AU3" s="2">
        <v>1475093.6290583333</v>
      </c>
      <c r="AV3" s="2">
        <v>1475093.6290583333</v>
      </c>
      <c r="AW3" s="2">
        <f>SUM(H20)/12</f>
        <v>823831.75</v>
      </c>
      <c r="AX3" s="2">
        <v>823831.75</v>
      </c>
      <c r="AY3" s="2">
        <v>823831.75</v>
      </c>
      <c r="AZ3" s="2">
        <v>823831.75</v>
      </c>
      <c r="BA3" s="2">
        <v>823831.75</v>
      </c>
      <c r="BB3" s="2">
        <v>823831.75</v>
      </c>
      <c r="BC3" s="2">
        <v>823831.75</v>
      </c>
      <c r="BD3" s="2">
        <v>823831.75</v>
      </c>
      <c r="BE3" s="2">
        <v>823831.75</v>
      </c>
      <c r="BF3" s="2">
        <v>823831.75</v>
      </c>
      <c r="BG3" s="2">
        <v>823831.75</v>
      </c>
      <c r="BH3" s="2">
        <v>823831.75</v>
      </c>
    </row>
    <row r="4" spans="2:60" x14ac:dyDescent="0.25">
      <c r="C4" s="19" t="s">
        <v>11</v>
      </c>
      <c r="D4" s="24">
        <v>186972.16666666666</v>
      </c>
      <c r="E4" s="25">
        <v>366656</v>
      </c>
      <c r="F4" s="24">
        <v>5904544</v>
      </c>
      <c r="G4" s="25">
        <v>13208930</v>
      </c>
      <c r="H4" s="24">
        <v>648221</v>
      </c>
      <c r="I4" s="24">
        <v>0</v>
      </c>
      <c r="J4" s="26">
        <f>SUM(D4:I4)</f>
        <v>20315323.166666668</v>
      </c>
      <c r="K4" s="2"/>
      <c r="L4" s="2"/>
      <c r="M4" s="2">
        <f>SUM(M3)</f>
        <v>130498</v>
      </c>
      <c r="N4" s="2">
        <f>M4+N3</f>
        <v>260996</v>
      </c>
      <c r="O4" s="2">
        <f t="shared" ref="O4:BH4" si="2">N4+O3</f>
        <v>391494</v>
      </c>
      <c r="P4" s="2">
        <f t="shared" si="2"/>
        <v>521992</v>
      </c>
      <c r="Q4" s="2">
        <f t="shared" si="2"/>
        <v>652490</v>
      </c>
      <c r="R4" s="2">
        <f t="shared" si="2"/>
        <v>782988</v>
      </c>
      <c r="S4" s="2">
        <f t="shared" si="2"/>
        <v>913486</v>
      </c>
      <c r="T4" s="2">
        <f t="shared" si="2"/>
        <v>1043984</v>
      </c>
      <c r="U4" s="2">
        <f t="shared" si="2"/>
        <v>1174482</v>
      </c>
      <c r="V4" s="2">
        <f t="shared" si="2"/>
        <v>1304980</v>
      </c>
      <c r="W4" s="2">
        <f t="shared" si="2"/>
        <v>1435478</v>
      </c>
      <c r="X4" s="2">
        <f t="shared" si="2"/>
        <v>1565976</v>
      </c>
      <c r="Y4" s="2">
        <f t="shared" si="2"/>
        <v>2028143.25</v>
      </c>
      <c r="Z4" s="2">
        <f t="shared" si="2"/>
        <v>2490310.5</v>
      </c>
      <c r="AA4" s="2">
        <f t="shared" si="2"/>
        <v>2952477.75</v>
      </c>
      <c r="AB4" s="2">
        <f t="shared" si="2"/>
        <v>3414645</v>
      </c>
      <c r="AC4" s="2">
        <f t="shared" si="2"/>
        <v>3876812.25</v>
      </c>
      <c r="AD4" s="2">
        <f t="shared" si="2"/>
        <v>4338979.5</v>
      </c>
      <c r="AE4" s="2">
        <f t="shared" si="2"/>
        <v>4801146.75</v>
      </c>
      <c r="AF4" s="2">
        <f t="shared" si="2"/>
        <v>5263314</v>
      </c>
      <c r="AG4" s="2">
        <f t="shared" si="2"/>
        <v>5725481.25</v>
      </c>
      <c r="AH4" s="2">
        <f t="shared" si="2"/>
        <v>6187648.5</v>
      </c>
      <c r="AI4" s="2">
        <f t="shared" si="2"/>
        <v>6649815.75</v>
      </c>
      <c r="AJ4" s="2">
        <f t="shared" si="2"/>
        <v>7111983</v>
      </c>
      <c r="AK4" s="2">
        <f t="shared" si="2"/>
        <v>8669742.0824232846</v>
      </c>
      <c r="AL4" s="2">
        <f t="shared" si="2"/>
        <v>10144835.711481618</v>
      </c>
      <c r="AM4" s="2">
        <f t="shared" si="2"/>
        <v>11619929.340539951</v>
      </c>
      <c r="AN4" s="2">
        <f t="shared" si="2"/>
        <v>13095022.969598284</v>
      </c>
      <c r="AO4" s="2">
        <f t="shared" si="2"/>
        <v>14570116.598656617</v>
      </c>
      <c r="AP4" s="2">
        <f t="shared" si="2"/>
        <v>16045210.22771495</v>
      </c>
      <c r="AQ4" s="2">
        <f t="shared" si="2"/>
        <v>17520303.856773283</v>
      </c>
      <c r="AR4" s="2">
        <f t="shared" si="2"/>
        <v>18995397.485831618</v>
      </c>
      <c r="AS4" s="2">
        <f t="shared" si="2"/>
        <v>20470491.114889953</v>
      </c>
      <c r="AT4" s="2">
        <f t="shared" si="2"/>
        <v>21945584.743948288</v>
      </c>
      <c r="AU4" s="2">
        <f t="shared" si="2"/>
        <v>23420678.373006623</v>
      </c>
      <c r="AV4" s="2">
        <f t="shared" si="2"/>
        <v>24895772.002064958</v>
      </c>
      <c r="AW4" s="2">
        <f t="shared" si="2"/>
        <v>25719603.752064958</v>
      </c>
      <c r="AX4" s="2">
        <f t="shared" si="2"/>
        <v>26543435.502064958</v>
      </c>
      <c r="AY4" s="2">
        <f t="shared" si="2"/>
        <v>27367267.252064958</v>
      </c>
      <c r="AZ4" s="2">
        <f t="shared" si="2"/>
        <v>28191099.002064958</v>
      </c>
      <c r="BA4" s="2">
        <f t="shared" si="2"/>
        <v>29014930.752064958</v>
      </c>
      <c r="BB4" s="2">
        <f t="shared" si="2"/>
        <v>29838762.502064958</v>
      </c>
      <c r="BC4" s="2">
        <f t="shared" si="2"/>
        <v>30662594.252064958</v>
      </c>
      <c r="BD4" s="2">
        <f t="shared" si="2"/>
        <v>31486426.002064958</v>
      </c>
      <c r="BE4" s="2">
        <f t="shared" si="2"/>
        <v>32310257.752064958</v>
      </c>
      <c r="BF4" s="2">
        <f t="shared" si="2"/>
        <v>33134089.502064958</v>
      </c>
      <c r="BG4" s="2">
        <f t="shared" si="2"/>
        <v>33957921.252064958</v>
      </c>
      <c r="BH4" s="2">
        <f t="shared" si="2"/>
        <v>34781753.002064958</v>
      </c>
    </row>
    <row r="5" spans="2:60" x14ac:dyDescent="0.25">
      <c r="C5" s="19" t="s">
        <v>13</v>
      </c>
      <c r="D5" s="24">
        <v>97034.5</v>
      </c>
      <c r="E5" s="25">
        <v>49755.219199999992</v>
      </c>
      <c r="F5" s="24">
        <v>801246.62079999992</v>
      </c>
      <c r="G5" s="25">
        <v>1792451.8009999997</v>
      </c>
      <c r="H5" s="24">
        <v>87963.589699999997</v>
      </c>
      <c r="I5" s="24">
        <v>0</v>
      </c>
      <c r="J5" s="26">
        <f t="shared" ref="J5:J31" si="3">SUM(D5:I5)</f>
        <v>2828451.7306999997</v>
      </c>
      <c r="K5" s="2"/>
      <c r="L5" s="2"/>
      <c r="M5" s="2"/>
      <c r="N5" s="2"/>
    </row>
    <row r="6" spans="2:60" x14ac:dyDescent="0.25">
      <c r="C6" s="20" t="s">
        <v>22</v>
      </c>
      <c r="D6" s="16">
        <v>13233.833333333334</v>
      </c>
      <c r="E6" s="7">
        <v>22523.566665600003</v>
      </c>
      <c r="F6" s="16">
        <v>216655.11307440005</v>
      </c>
      <c r="G6" s="7">
        <v>708462.62869882502</v>
      </c>
      <c r="H6" s="16">
        <v>1018154.9406278249</v>
      </c>
      <c r="I6" s="16">
        <v>0</v>
      </c>
      <c r="J6" s="32">
        <f t="shared" si="3"/>
        <v>1979030.0823999834</v>
      </c>
      <c r="K6" s="2"/>
      <c r="L6" s="2"/>
      <c r="M6" s="2">
        <f>$D$39/12*M4</f>
        <v>645.96510000000001</v>
      </c>
      <c r="N6" s="2">
        <f t="shared" ref="N6:BH6" si="4">$D$39/12*N4</f>
        <v>1291.9302</v>
      </c>
      <c r="O6" s="2">
        <f t="shared" si="4"/>
        <v>1937.8953000000001</v>
      </c>
      <c r="P6" s="2">
        <f t="shared" si="4"/>
        <v>2583.8604</v>
      </c>
      <c r="Q6" s="2">
        <f t="shared" si="4"/>
        <v>3229.8255000000004</v>
      </c>
      <c r="R6" s="2">
        <f t="shared" si="4"/>
        <v>3875.7906000000003</v>
      </c>
      <c r="S6" s="2">
        <f t="shared" si="4"/>
        <v>4521.7557000000006</v>
      </c>
      <c r="T6" s="2">
        <f t="shared" si="4"/>
        <v>5167.7208000000001</v>
      </c>
      <c r="U6" s="2">
        <f t="shared" si="4"/>
        <v>5813.6859000000004</v>
      </c>
      <c r="V6" s="2">
        <f t="shared" si="4"/>
        <v>6459.6510000000007</v>
      </c>
      <c r="W6" s="2">
        <f t="shared" si="4"/>
        <v>7105.6161000000002</v>
      </c>
      <c r="X6" s="2">
        <f t="shared" si="4"/>
        <v>7751.5812000000005</v>
      </c>
      <c r="Y6" s="2">
        <f t="shared" si="4"/>
        <v>10039.309087500002</v>
      </c>
      <c r="Z6" s="2">
        <f t="shared" si="4"/>
        <v>12327.036975000001</v>
      </c>
      <c r="AA6" s="2">
        <f t="shared" si="4"/>
        <v>14614.764862500002</v>
      </c>
      <c r="AB6" s="2">
        <f t="shared" si="4"/>
        <v>16902.492750000001</v>
      </c>
      <c r="AC6" s="2">
        <f t="shared" si="4"/>
        <v>19190.220637500002</v>
      </c>
      <c r="AD6" s="2">
        <f t="shared" si="4"/>
        <v>21477.948525000003</v>
      </c>
      <c r="AE6" s="2">
        <f t="shared" si="4"/>
        <v>23765.676412500001</v>
      </c>
      <c r="AF6" s="2">
        <f t="shared" si="4"/>
        <v>26053.404300000002</v>
      </c>
      <c r="AG6" s="2">
        <f t="shared" si="4"/>
        <v>28341.132187500003</v>
      </c>
      <c r="AH6" s="2">
        <f t="shared" si="4"/>
        <v>30628.860075000004</v>
      </c>
      <c r="AI6" s="2">
        <f t="shared" si="4"/>
        <v>32916.587962500002</v>
      </c>
      <c r="AJ6" s="2">
        <f t="shared" si="4"/>
        <v>35204.315850000006</v>
      </c>
      <c r="AK6" s="2">
        <f t="shared" si="4"/>
        <v>42915.223307995264</v>
      </c>
      <c r="AL6" s="2">
        <f t="shared" si="4"/>
        <v>50216.936771834015</v>
      </c>
      <c r="AM6" s="2">
        <f t="shared" si="4"/>
        <v>57518.650235672765</v>
      </c>
      <c r="AN6" s="2">
        <f t="shared" si="4"/>
        <v>64820.363699511508</v>
      </c>
      <c r="AO6" s="2">
        <f t="shared" si="4"/>
        <v>72122.077163350259</v>
      </c>
      <c r="AP6" s="2">
        <f t="shared" si="4"/>
        <v>79423.79062718901</v>
      </c>
      <c r="AQ6" s="2">
        <f t="shared" si="4"/>
        <v>86725.50409102776</v>
      </c>
      <c r="AR6" s="2">
        <f t="shared" si="4"/>
        <v>94027.217554866525</v>
      </c>
      <c r="AS6" s="2">
        <f t="shared" si="4"/>
        <v>101328.93101870528</v>
      </c>
      <c r="AT6" s="2">
        <f t="shared" si="4"/>
        <v>108630.64448254404</v>
      </c>
      <c r="AU6" s="2">
        <f t="shared" si="4"/>
        <v>115932.35794638279</v>
      </c>
      <c r="AV6" s="2">
        <f t="shared" si="4"/>
        <v>123234.07141022156</v>
      </c>
      <c r="AW6" s="2">
        <f t="shared" si="4"/>
        <v>127312.03857272155</v>
      </c>
      <c r="AX6" s="2">
        <f t="shared" si="4"/>
        <v>131390.00573522155</v>
      </c>
      <c r="AY6" s="2">
        <f t="shared" si="4"/>
        <v>135467.97289772154</v>
      </c>
      <c r="AZ6" s="2">
        <f t="shared" si="4"/>
        <v>139545.94006022156</v>
      </c>
      <c r="BA6" s="2">
        <f t="shared" si="4"/>
        <v>143623.90722272155</v>
      </c>
      <c r="BB6" s="2">
        <f t="shared" si="4"/>
        <v>147701.87438522154</v>
      </c>
      <c r="BC6" s="2">
        <f t="shared" si="4"/>
        <v>151779.84154772156</v>
      </c>
      <c r="BD6" s="2">
        <f t="shared" si="4"/>
        <v>155857.80871022155</v>
      </c>
      <c r="BE6" s="2">
        <f t="shared" si="4"/>
        <v>159935.77587272157</v>
      </c>
      <c r="BF6" s="2">
        <f t="shared" si="4"/>
        <v>164013.74303522156</v>
      </c>
      <c r="BG6" s="2">
        <f t="shared" si="4"/>
        <v>168091.71019772155</v>
      </c>
      <c r="BH6" s="2">
        <f t="shared" si="4"/>
        <v>172169.67736022157</v>
      </c>
    </row>
    <row r="7" spans="2:60" x14ac:dyDescent="0.25">
      <c r="B7" t="s">
        <v>14</v>
      </c>
      <c r="C7" s="18" t="s">
        <v>3</v>
      </c>
      <c r="D7" s="35">
        <f>SUM(D8:D10)</f>
        <v>297240.49999999994</v>
      </c>
      <c r="E7" s="35">
        <f t="shared" ref="E7:I7" si="5">SUM(E8:E10)</f>
        <v>496460.26226559997</v>
      </c>
      <c r="F7" s="35">
        <f t="shared" si="5"/>
        <v>6922445.7338744001</v>
      </c>
      <c r="G7" s="35">
        <f t="shared" si="5"/>
        <v>14112346.095698826</v>
      </c>
      <c r="H7" s="35">
        <f t="shared" si="5"/>
        <v>1735156.4216278249</v>
      </c>
      <c r="I7" s="35">
        <f t="shared" si="5"/>
        <v>0</v>
      </c>
      <c r="J7" s="36">
        <f t="shared" si="3"/>
        <v>23563649.013466649</v>
      </c>
      <c r="K7" s="2"/>
      <c r="L7" s="2">
        <f>SUM(M6:X6)</f>
        <v>50385.277800000003</v>
      </c>
      <c r="M7" s="2"/>
      <c r="N7" s="2"/>
    </row>
    <row r="8" spans="2:60" x14ac:dyDescent="0.25">
      <c r="C8" s="19" t="s">
        <v>11</v>
      </c>
      <c r="D8" s="16">
        <v>186972.16666666666</v>
      </c>
      <c r="E8" s="7">
        <v>417308</v>
      </c>
      <c r="F8" s="24">
        <v>5904544</v>
      </c>
      <c r="G8" s="24">
        <v>11802310</v>
      </c>
      <c r="H8" s="24">
        <v>631330</v>
      </c>
      <c r="I8" s="24">
        <v>0</v>
      </c>
      <c r="J8" s="9">
        <f t="shared" si="3"/>
        <v>18942464.166666668</v>
      </c>
      <c r="K8" s="2"/>
      <c r="L8" s="2">
        <f>SUM(Y6:AJ6)</f>
        <v>271461.74962500005</v>
      </c>
      <c r="M8" s="2"/>
      <c r="N8" s="2"/>
    </row>
    <row r="9" spans="2:60" x14ac:dyDescent="0.25">
      <c r="C9" s="19" t="s">
        <v>13</v>
      </c>
      <c r="D9" s="24">
        <v>97034.5</v>
      </c>
      <c r="E9" s="24">
        <v>56628.695599999992</v>
      </c>
      <c r="F9" s="24">
        <v>801246.62079999992</v>
      </c>
      <c r="G9" s="24">
        <v>1601573.4669999999</v>
      </c>
      <c r="H9" s="24">
        <v>85671.480999999985</v>
      </c>
      <c r="I9" s="30">
        <v>0</v>
      </c>
      <c r="J9" s="9">
        <f t="shared" si="3"/>
        <v>2642154.7644000002</v>
      </c>
      <c r="K9" s="2"/>
      <c r="L9" s="2">
        <f>SUM(AK6:AV6)</f>
        <v>996895.76830930077</v>
      </c>
      <c r="M9" s="2"/>
      <c r="N9" s="2"/>
    </row>
    <row r="10" spans="2:60" x14ac:dyDescent="0.25">
      <c r="C10" s="20" t="s">
        <v>22</v>
      </c>
      <c r="D10" s="28">
        <v>13233.833333333334</v>
      </c>
      <c r="E10" s="7">
        <v>22523.566665600003</v>
      </c>
      <c r="F10" s="16">
        <v>216655.11307440005</v>
      </c>
      <c r="G10" s="28">
        <v>708462.62869882502</v>
      </c>
      <c r="H10" s="28">
        <v>1018154.9406278249</v>
      </c>
      <c r="I10" s="16">
        <v>0</v>
      </c>
      <c r="J10" s="38">
        <f t="shared" si="3"/>
        <v>1979030.0823999834</v>
      </c>
      <c r="K10" s="2"/>
      <c r="L10" s="2">
        <f>SUM(AW6:BH6)</f>
        <v>1796890.2955976585</v>
      </c>
      <c r="M10" s="2"/>
      <c r="N10" s="2"/>
    </row>
    <row r="11" spans="2:60" x14ac:dyDescent="0.25">
      <c r="B11" t="s">
        <v>14</v>
      </c>
      <c r="C11" s="18" t="s">
        <v>4</v>
      </c>
      <c r="D11" s="37">
        <f>SUM(D12:D14)</f>
        <v>297240.49999999994</v>
      </c>
      <c r="E11" s="35">
        <f t="shared" ref="E11:I11" si="6">SUM(E12:E14)</f>
        <v>2059298.0558687998</v>
      </c>
      <c r="F11" s="35">
        <f t="shared" si="6"/>
        <v>9584835.2418512013</v>
      </c>
      <c r="G11" s="37">
        <f t="shared" si="6"/>
        <v>17207626.322927348</v>
      </c>
      <c r="H11" s="37">
        <f t="shared" si="6"/>
        <v>2683135.1149693495</v>
      </c>
      <c r="I11" s="35">
        <f t="shared" si="6"/>
        <v>0</v>
      </c>
      <c r="J11" s="36">
        <f t="shared" si="3"/>
        <v>31832135.235616699</v>
      </c>
      <c r="K11" s="2"/>
      <c r="L11" s="2"/>
      <c r="M11" s="2"/>
      <c r="N11" s="2"/>
    </row>
    <row r="12" spans="2:60" x14ac:dyDescent="0.25">
      <c r="C12" s="19" t="s">
        <v>11</v>
      </c>
      <c r="D12" s="24">
        <v>186972.16666666666</v>
      </c>
      <c r="E12" s="24">
        <v>1780260</v>
      </c>
      <c r="F12" s="27">
        <v>8122336</v>
      </c>
      <c r="G12" s="24">
        <v>14114159</v>
      </c>
      <c r="H12" s="27">
        <v>871656</v>
      </c>
      <c r="I12" s="24">
        <v>0</v>
      </c>
      <c r="J12" s="9">
        <f t="shared" si="3"/>
        <v>25075383.166666664</v>
      </c>
      <c r="K12" s="2"/>
      <c r="L12" s="2"/>
      <c r="M12" s="2"/>
      <c r="N12" s="2"/>
    </row>
    <row r="13" spans="2:60" x14ac:dyDescent="0.25">
      <c r="C13" s="19" t="s">
        <v>13</v>
      </c>
      <c r="D13" s="16">
        <v>97034.5</v>
      </c>
      <c r="E13" s="24">
        <v>241581.28199999998</v>
      </c>
      <c r="F13" s="24">
        <v>1102200.9952</v>
      </c>
      <c r="G13" s="24">
        <v>1915291.3762999999</v>
      </c>
      <c r="H13" s="24">
        <v>118283.71919999999</v>
      </c>
      <c r="I13" s="16">
        <v>0</v>
      </c>
      <c r="J13" s="9">
        <f t="shared" si="3"/>
        <v>3474391.8727000002</v>
      </c>
      <c r="K13" s="2"/>
      <c r="L13" s="2"/>
      <c r="M13" s="2"/>
      <c r="N13" s="2"/>
    </row>
    <row r="14" spans="2:60" x14ac:dyDescent="0.25">
      <c r="C14" s="20" t="s">
        <v>22</v>
      </c>
      <c r="D14" s="28">
        <v>13233.833333333334</v>
      </c>
      <c r="E14" s="28">
        <v>37456.773868800003</v>
      </c>
      <c r="F14" s="28">
        <v>360298.24665120005</v>
      </c>
      <c r="G14" s="28">
        <v>1178175.9466273501</v>
      </c>
      <c r="H14" s="28">
        <v>1693195.3957693498</v>
      </c>
      <c r="I14" s="28">
        <v>0</v>
      </c>
      <c r="J14" s="38">
        <f t="shared" si="3"/>
        <v>3282360.1962500331</v>
      </c>
      <c r="K14" s="2"/>
      <c r="L14" s="2"/>
      <c r="M14" s="2"/>
      <c r="N14" s="2"/>
    </row>
    <row r="15" spans="2:60" x14ac:dyDescent="0.25">
      <c r="B15" t="s">
        <v>14</v>
      </c>
      <c r="C15" s="18" t="s">
        <v>5</v>
      </c>
      <c r="D15" s="37">
        <f>SUM(D16:D18)</f>
        <v>0</v>
      </c>
      <c r="E15" s="37">
        <f t="shared" ref="E15:I15" si="7">SUM(E16:E18)</f>
        <v>1072231.8768750001</v>
      </c>
      <c r="F15" s="37">
        <f t="shared" si="7"/>
        <v>8698069.40625</v>
      </c>
      <c r="G15" s="37">
        <f t="shared" si="7"/>
        <v>36957695.200949997</v>
      </c>
      <c r="H15" s="37">
        <f t="shared" si="7"/>
        <v>16631667.396125002</v>
      </c>
      <c r="I15" s="37">
        <f t="shared" si="7"/>
        <v>0</v>
      </c>
      <c r="J15" s="36">
        <f t="shared" si="3"/>
        <v>63359663.880199999</v>
      </c>
      <c r="K15" s="2"/>
      <c r="L15" s="2"/>
      <c r="M15" s="2"/>
      <c r="N15" s="2"/>
    </row>
    <row r="16" spans="2:60" x14ac:dyDescent="0.25">
      <c r="C16" s="19" t="s">
        <v>11</v>
      </c>
      <c r="D16" s="27">
        <v>0</v>
      </c>
      <c r="E16" s="24">
        <v>918105</v>
      </c>
      <c r="F16" s="27">
        <v>7401078</v>
      </c>
      <c r="G16" s="24">
        <v>31222122</v>
      </c>
      <c r="H16" s="27">
        <v>12229831</v>
      </c>
      <c r="I16" s="24">
        <v>0</v>
      </c>
      <c r="J16" s="9">
        <f t="shared" si="3"/>
        <v>51771136</v>
      </c>
      <c r="K16" s="2"/>
      <c r="L16" s="2"/>
      <c r="M16" s="2"/>
      <c r="N16" s="2"/>
    </row>
    <row r="17" spans="2:22" x14ac:dyDescent="0.25">
      <c r="C17" s="19" t="s">
        <v>13</v>
      </c>
      <c r="D17" s="24">
        <v>0</v>
      </c>
      <c r="E17" s="24">
        <f>E16*$D$38</f>
        <v>124586.84849999999</v>
      </c>
      <c r="F17" s="24">
        <f t="shared" ref="F17:I17" si="8">F16*$D$38</f>
        <v>1004326.2845999999</v>
      </c>
      <c r="G17" s="24">
        <f t="shared" si="8"/>
        <v>4236841.9553999994</v>
      </c>
      <c r="H17" s="24">
        <f t="shared" si="8"/>
        <v>1659588.0666999999</v>
      </c>
      <c r="I17" s="24">
        <f t="shared" si="8"/>
        <v>0</v>
      </c>
      <c r="J17" s="9">
        <f t="shared" si="3"/>
        <v>7025343.155199999</v>
      </c>
      <c r="K17" s="2"/>
      <c r="L17" s="2"/>
      <c r="M17" s="2"/>
      <c r="N17" s="2"/>
    </row>
    <row r="18" spans="2:22" x14ac:dyDescent="0.25">
      <c r="C18" s="20" t="s">
        <v>22</v>
      </c>
      <c r="D18" s="17">
        <v>0</v>
      </c>
      <c r="E18" s="28">
        <v>29540.028375000005</v>
      </c>
      <c r="F18" s="17">
        <v>292665.12165000004</v>
      </c>
      <c r="G18" s="8">
        <v>1498731.2455500001</v>
      </c>
      <c r="H18" s="17">
        <v>2742248.3294250015</v>
      </c>
      <c r="I18" s="17">
        <v>0</v>
      </c>
      <c r="J18" s="10">
        <f t="shared" si="3"/>
        <v>4563184.7250000015</v>
      </c>
      <c r="K18" s="2"/>
      <c r="L18" s="2"/>
      <c r="M18" s="2"/>
      <c r="N18" s="2"/>
    </row>
    <row r="19" spans="2:22" x14ac:dyDescent="0.25">
      <c r="B19" t="s">
        <v>14</v>
      </c>
      <c r="C19" s="18" t="s">
        <v>6</v>
      </c>
      <c r="D19" s="37">
        <f>SUM(D20:D22)</f>
        <v>891721.5</v>
      </c>
      <c r="E19" s="37">
        <f t="shared" ref="E19:I19" si="9">SUM(E20:E22)</f>
        <v>1828864.2210000001</v>
      </c>
      <c r="F19" s="37">
        <f t="shared" si="9"/>
        <v>6570061.8995249998</v>
      </c>
      <c r="G19" s="37">
        <f t="shared" si="9"/>
        <v>18693108.989079423</v>
      </c>
      <c r="H19" s="37">
        <f t="shared" si="9"/>
        <v>13024398.917297658</v>
      </c>
      <c r="I19" s="37">
        <f t="shared" si="9"/>
        <v>0</v>
      </c>
      <c r="J19" s="36">
        <f t="shared" si="3"/>
        <v>41008155.52690208</v>
      </c>
      <c r="K19" s="2"/>
      <c r="L19" s="2"/>
      <c r="M19" s="2"/>
      <c r="N19" s="2"/>
    </row>
    <row r="20" spans="2:22" x14ac:dyDescent="0.25">
      <c r="C20" s="19" t="s">
        <v>11</v>
      </c>
      <c r="D20" s="16">
        <f>1121833/2</f>
        <v>560916.5</v>
      </c>
      <c r="E20" s="24">
        <v>1565976</v>
      </c>
      <c r="F20" s="24">
        <v>5546007</v>
      </c>
      <c r="G20" s="24">
        <v>15586091</v>
      </c>
      <c r="H20" s="16">
        <v>9885981</v>
      </c>
      <c r="I20" s="27">
        <v>0</v>
      </c>
      <c r="J20" s="9">
        <f t="shared" si="3"/>
        <v>33144971.5</v>
      </c>
      <c r="K20" s="2"/>
      <c r="L20" s="2"/>
      <c r="M20" s="2"/>
      <c r="N20" s="2"/>
      <c r="O20" s="119" t="s">
        <v>20</v>
      </c>
      <c r="P20" s="119"/>
      <c r="Q20" s="119"/>
      <c r="R20" s="119"/>
      <c r="S20" s="119"/>
      <c r="T20" s="119"/>
      <c r="U20" s="119"/>
      <c r="V20" s="119"/>
    </row>
    <row r="21" spans="2:22" x14ac:dyDescent="0.25">
      <c r="C21" s="19" t="s">
        <v>13</v>
      </c>
      <c r="D21" s="24">
        <f>(379394+202813)/2</f>
        <v>291103.5</v>
      </c>
      <c r="E21" s="24">
        <f>E20*$D$38</f>
        <v>212502.94319999998</v>
      </c>
      <c r="F21" s="24">
        <f t="shared" ref="F21:H21" si="10">F20*$D$38</f>
        <v>752593.14989999996</v>
      </c>
      <c r="G21" s="24">
        <f t="shared" si="10"/>
        <v>2115032.5486999997</v>
      </c>
      <c r="H21" s="16">
        <f t="shared" si="10"/>
        <v>1341527.6216999998</v>
      </c>
      <c r="I21" s="27">
        <v>0</v>
      </c>
      <c r="J21" s="31">
        <f t="shared" si="3"/>
        <v>4712759.7634999994</v>
      </c>
      <c r="K21" s="2"/>
      <c r="L21" s="2"/>
      <c r="M21" s="2"/>
      <c r="N21" s="2"/>
      <c r="R21">
        <v>2020</v>
      </c>
      <c r="S21">
        <v>2021</v>
      </c>
      <c r="T21">
        <v>2022</v>
      </c>
      <c r="U21">
        <v>2023</v>
      </c>
      <c r="V21">
        <v>2024</v>
      </c>
    </row>
    <row r="22" spans="2:22" x14ac:dyDescent="0.25">
      <c r="C22" s="20" t="s">
        <v>22</v>
      </c>
      <c r="D22" s="17">
        <f>79403/2</f>
        <v>39701.5</v>
      </c>
      <c r="E22" s="8">
        <v>50385.277800000003</v>
      </c>
      <c r="F22" s="17">
        <v>271461.74962500005</v>
      </c>
      <c r="G22" s="8">
        <v>991985.44037942274</v>
      </c>
      <c r="H22" s="17">
        <v>1796890.2955976585</v>
      </c>
      <c r="I22" s="28">
        <v>0</v>
      </c>
      <c r="J22" s="32">
        <f t="shared" si="3"/>
        <v>3150424.2634020811</v>
      </c>
      <c r="K22" s="2"/>
      <c r="L22" s="2"/>
      <c r="M22" s="2"/>
      <c r="N22" s="2"/>
      <c r="O22" t="s">
        <v>14</v>
      </c>
      <c r="Q22" s="2">
        <f>SUM(D4,D8,D12,D16,D20)</f>
        <v>1121833</v>
      </c>
      <c r="R22" s="2">
        <f t="shared" ref="R22:V22" si="11">SUM(E4,E8,E12,E16,E20)</f>
        <v>5048305</v>
      </c>
      <c r="S22" s="2">
        <f t="shared" si="11"/>
        <v>32878509</v>
      </c>
      <c r="T22" s="2">
        <f t="shared" si="11"/>
        <v>85933612</v>
      </c>
      <c r="U22" s="2">
        <f t="shared" si="11"/>
        <v>24267019</v>
      </c>
      <c r="V22" s="2">
        <f t="shared" si="11"/>
        <v>0</v>
      </c>
    </row>
    <row r="23" spans="2:22" x14ac:dyDescent="0.25">
      <c r="B23" t="s">
        <v>17</v>
      </c>
      <c r="C23" s="18" t="s">
        <v>7</v>
      </c>
      <c r="D23" s="37">
        <f>SUM(D24:D25)</f>
        <v>0</v>
      </c>
      <c r="E23" s="37">
        <f t="shared" ref="E23:I23" si="12">SUM(E24:E25)</f>
        <v>0</v>
      </c>
      <c r="F23" s="37">
        <f t="shared" si="12"/>
        <v>592436.76930000004</v>
      </c>
      <c r="G23" s="37">
        <f t="shared" si="12"/>
        <v>394957.84619999997</v>
      </c>
      <c r="H23" s="37">
        <f t="shared" si="12"/>
        <v>0</v>
      </c>
      <c r="I23" s="37">
        <f t="shared" si="12"/>
        <v>0</v>
      </c>
      <c r="J23" s="36">
        <f t="shared" si="3"/>
        <v>987394.61550000007</v>
      </c>
      <c r="K23" s="2"/>
      <c r="L23" s="2"/>
      <c r="M23" s="2"/>
      <c r="N23" s="2"/>
      <c r="O23" t="s">
        <v>15</v>
      </c>
      <c r="Q23" s="2">
        <f>SUM(D30)</f>
        <v>0</v>
      </c>
      <c r="R23" s="2">
        <f t="shared" ref="R23:V23" si="13">SUM(E30)</f>
        <v>0</v>
      </c>
      <c r="S23" s="2">
        <f t="shared" si="13"/>
        <v>0</v>
      </c>
      <c r="T23" s="2">
        <f t="shared" si="13"/>
        <v>0</v>
      </c>
      <c r="U23" s="2">
        <f t="shared" si="13"/>
        <v>0</v>
      </c>
      <c r="V23" s="2">
        <f t="shared" si="13"/>
        <v>3663943</v>
      </c>
    </row>
    <row r="24" spans="2:22" x14ac:dyDescent="0.25">
      <c r="C24" s="19" t="s">
        <v>11</v>
      </c>
      <c r="D24" s="24">
        <v>0</v>
      </c>
      <c r="E24" s="24">
        <v>0</v>
      </c>
      <c r="F24" s="24">
        <v>521649</v>
      </c>
      <c r="G24" s="24">
        <v>347766</v>
      </c>
      <c r="H24" s="16">
        <v>0</v>
      </c>
      <c r="I24" s="24">
        <v>0</v>
      </c>
      <c r="J24" s="31">
        <f t="shared" si="3"/>
        <v>869415</v>
      </c>
      <c r="K24" s="2"/>
      <c r="L24" s="2"/>
      <c r="M24" s="2"/>
      <c r="N24" s="2"/>
      <c r="O24" t="s">
        <v>17</v>
      </c>
      <c r="Q24" s="2">
        <f>SUM(D27,D24)</f>
        <v>0</v>
      </c>
      <c r="R24" s="2">
        <f t="shared" ref="R24:V24" si="14">SUM(E27,E24)</f>
        <v>0</v>
      </c>
      <c r="S24" s="2">
        <f t="shared" si="14"/>
        <v>521649</v>
      </c>
      <c r="T24" s="2">
        <f t="shared" si="14"/>
        <v>347766</v>
      </c>
      <c r="U24" s="2">
        <f t="shared" si="14"/>
        <v>1804062</v>
      </c>
      <c r="V24" s="2">
        <f t="shared" si="14"/>
        <v>0</v>
      </c>
    </row>
    <row r="25" spans="2:22" x14ac:dyDescent="0.25">
      <c r="C25" s="20" t="s">
        <v>13</v>
      </c>
      <c r="D25" s="28">
        <v>0</v>
      </c>
      <c r="E25" s="28">
        <v>0</v>
      </c>
      <c r="F25" s="28">
        <f>F24*$D$38</f>
        <v>70787.7693</v>
      </c>
      <c r="G25" s="28">
        <f>G24*$D$38</f>
        <v>47191.846199999993</v>
      </c>
      <c r="H25" s="28">
        <v>0</v>
      </c>
      <c r="I25" s="28">
        <v>0</v>
      </c>
      <c r="J25" s="39">
        <f t="shared" si="3"/>
        <v>117979.61549999999</v>
      </c>
      <c r="K25" s="2"/>
      <c r="L25" s="2"/>
      <c r="M25" s="2"/>
      <c r="N25" s="2"/>
    </row>
    <row r="26" spans="2:22" x14ac:dyDescent="0.25">
      <c r="B26" t="s">
        <v>17</v>
      </c>
      <c r="C26" s="18" t="s">
        <v>8</v>
      </c>
      <c r="D26" s="37">
        <f>SUM(D27:D28)</f>
        <v>0</v>
      </c>
      <c r="E26" s="37">
        <f t="shared" ref="E26:I26" si="15">SUM(E27:E28)</f>
        <v>0</v>
      </c>
      <c r="F26" s="37">
        <f t="shared" si="15"/>
        <v>0</v>
      </c>
      <c r="G26" s="37">
        <f t="shared" si="15"/>
        <v>0</v>
      </c>
      <c r="H26" s="37">
        <f t="shared" si="15"/>
        <v>2048873.2134</v>
      </c>
      <c r="I26" s="37">
        <f t="shared" si="15"/>
        <v>0</v>
      </c>
      <c r="J26" s="36">
        <f t="shared" si="3"/>
        <v>2048873.2134</v>
      </c>
      <c r="K26" s="2"/>
      <c r="L26" s="2"/>
      <c r="M26" s="2"/>
      <c r="N26" s="2"/>
    </row>
    <row r="27" spans="2:22" x14ac:dyDescent="0.25">
      <c r="C27" s="19" t="s">
        <v>11</v>
      </c>
      <c r="D27" s="16">
        <v>0</v>
      </c>
      <c r="E27" s="24">
        <v>0</v>
      </c>
      <c r="F27" s="27">
        <v>0</v>
      </c>
      <c r="G27" s="24">
        <v>0</v>
      </c>
      <c r="H27" s="24">
        <v>1804062</v>
      </c>
      <c r="I27" s="27">
        <v>0</v>
      </c>
      <c r="J27" s="31">
        <f t="shared" si="3"/>
        <v>1804062</v>
      </c>
      <c r="K27" s="2"/>
      <c r="L27" s="2"/>
      <c r="M27" s="2"/>
      <c r="N27" s="2"/>
      <c r="O27" s="119" t="s">
        <v>19</v>
      </c>
      <c r="P27" s="119"/>
      <c r="Q27" s="119"/>
      <c r="R27" s="119"/>
      <c r="S27" s="119"/>
      <c r="T27" s="119"/>
      <c r="U27" s="119"/>
      <c r="V27" s="119"/>
    </row>
    <row r="28" spans="2:22" x14ac:dyDescent="0.25">
      <c r="C28" s="20" t="s">
        <v>13</v>
      </c>
      <c r="D28" s="28">
        <v>0</v>
      </c>
      <c r="E28" s="40">
        <v>0</v>
      </c>
      <c r="F28" s="28">
        <v>0</v>
      </c>
      <c r="G28" s="40">
        <v>0</v>
      </c>
      <c r="H28" s="28">
        <f>H27*$D$38</f>
        <v>244811.21339999998</v>
      </c>
      <c r="I28" s="28">
        <v>0</v>
      </c>
      <c r="J28" s="32">
        <f t="shared" si="3"/>
        <v>244811.21339999998</v>
      </c>
      <c r="K28" s="2"/>
      <c r="L28" s="2"/>
      <c r="M28" s="2"/>
      <c r="N28" s="2"/>
      <c r="R28">
        <v>2020</v>
      </c>
      <c r="S28">
        <v>2021</v>
      </c>
      <c r="T28">
        <v>2022</v>
      </c>
      <c r="U28">
        <v>2023</v>
      </c>
      <c r="V28">
        <v>2024</v>
      </c>
    </row>
    <row r="29" spans="2:22" x14ac:dyDescent="0.25">
      <c r="B29" t="s">
        <v>15</v>
      </c>
      <c r="C29" s="18" t="s">
        <v>9</v>
      </c>
      <c r="D29" s="37">
        <f>SUM(D30:D31)</f>
        <v>0</v>
      </c>
      <c r="E29" s="37">
        <f t="shared" ref="E29:I29" si="16">SUM(E30:E31)</f>
        <v>0</v>
      </c>
      <c r="F29" s="37">
        <f t="shared" si="16"/>
        <v>0</v>
      </c>
      <c r="G29" s="37">
        <f t="shared" si="16"/>
        <v>0</v>
      </c>
      <c r="H29" s="37">
        <f t="shared" si="16"/>
        <v>0</v>
      </c>
      <c r="I29" s="37">
        <f t="shared" si="16"/>
        <v>4161140.0650999998</v>
      </c>
      <c r="J29" s="36">
        <f t="shared" si="3"/>
        <v>4161140.0650999998</v>
      </c>
      <c r="K29" s="2"/>
      <c r="L29" s="2"/>
      <c r="M29" s="2"/>
      <c r="N29" s="2"/>
      <c r="O29" t="s">
        <v>14</v>
      </c>
      <c r="Q29" s="1">
        <v>1121833</v>
      </c>
      <c r="R29" s="1">
        <v>5048303</v>
      </c>
      <c r="S29" s="1">
        <v>32878509</v>
      </c>
      <c r="T29" s="1">
        <v>85933611</v>
      </c>
      <c r="U29" s="1">
        <v>24267020</v>
      </c>
      <c r="V29" s="2" t="s">
        <v>16</v>
      </c>
    </row>
    <row r="30" spans="2:22" x14ac:dyDescent="0.25">
      <c r="C30" s="19" t="s">
        <v>11</v>
      </c>
      <c r="D30" s="27">
        <v>0</v>
      </c>
      <c r="E30" s="24">
        <v>0</v>
      </c>
      <c r="F30" s="24">
        <v>0</v>
      </c>
      <c r="G30" s="24">
        <v>0</v>
      </c>
      <c r="H30" s="24">
        <v>0</v>
      </c>
      <c r="I30" s="24">
        <v>3663943</v>
      </c>
      <c r="J30" s="31">
        <f t="shared" si="3"/>
        <v>3663943</v>
      </c>
      <c r="K30" s="2"/>
      <c r="L30" s="2"/>
      <c r="M30" s="2"/>
      <c r="N30" s="2"/>
      <c r="O30" t="s">
        <v>15</v>
      </c>
      <c r="Q30" t="s">
        <v>16</v>
      </c>
      <c r="R30" t="s">
        <v>16</v>
      </c>
      <c r="S30" t="s">
        <v>16</v>
      </c>
      <c r="T30" s="1">
        <v>100000</v>
      </c>
      <c r="U30" t="s">
        <v>16</v>
      </c>
      <c r="V30" s="2">
        <v>3663943</v>
      </c>
    </row>
    <row r="31" spans="2:22" ht="15.75" thickBot="1" x14ac:dyDescent="0.3">
      <c r="C31" s="21" t="s">
        <v>13</v>
      </c>
      <c r="D31" s="29">
        <v>0</v>
      </c>
      <c r="E31" s="11">
        <v>0</v>
      </c>
      <c r="F31" s="22">
        <v>0</v>
      </c>
      <c r="G31" s="11">
        <v>0</v>
      </c>
      <c r="H31" s="29">
        <v>0</v>
      </c>
      <c r="I31" s="22">
        <f>I30*$D$38</f>
        <v>497197.06509999995</v>
      </c>
      <c r="J31" s="12">
        <f t="shared" si="3"/>
        <v>497197.06509999995</v>
      </c>
      <c r="K31" s="2"/>
      <c r="L31" s="2"/>
      <c r="M31" s="2"/>
      <c r="N31" s="2"/>
      <c r="O31" t="s">
        <v>17</v>
      </c>
      <c r="Q31" t="s">
        <v>16</v>
      </c>
      <c r="R31" t="s">
        <v>16</v>
      </c>
      <c r="S31" s="1">
        <v>521649</v>
      </c>
      <c r="T31" s="1">
        <v>347766</v>
      </c>
      <c r="U31" s="1">
        <v>1804062</v>
      </c>
      <c r="V31" s="2" t="s">
        <v>16</v>
      </c>
    </row>
    <row r="32" spans="2:22" ht="15.75" thickBot="1" x14ac:dyDescent="0.3"/>
    <row r="33" spans="3:12" hidden="1" x14ac:dyDescent="0.25">
      <c r="C33" s="3" t="s">
        <v>14</v>
      </c>
      <c r="D33" s="2">
        <f t="shared" ref="D33:I35" si="17">SUMIF($B:$B,$C33,D:D)</f>
        <v>1783442.9999999998</v>
      </c>
      <c r="E33" s="2">
        <f t="shared" si="17"/>
        <v>5895789.2018750003</v>
      </c>
      <c r="F33" s="2">
        <f t="shared" si="17"/>
        <v>38697858.015375003</v>
      </c>
      <c r="G33" s="2">
        <f t="shared" si="17"/>
        <v>102680621.03835443</v>
      </c>
      <c r="H33" s="2">
        <f t="shared" si="17"/>
        <v>35828697.380347654</v>
      </c>
      <c r="I33" s="2">
        <f t="shared" si="17"/>
        <v>0</v>
      </c>
      <c r="J33" s="2"/>
      <c r="L33" s="4">
        <f>SUM(J29,J26,J23,J19,J15,J11,J7,J3)</f>
        <v>192083816.52995211</v>
      </c>
    </row>
    <row r="34" spans="3:12" hidden="1" x14ac:dyDescent="0.25">
      <c r="C34" s="3" t="s">
        <v>15</v>
      </c>
      <c r="D34" s="2">
        <f t="shared" si="17"/>
        <v>0</v>
      </c>
      <c r="E34" s="2">
        <f t="shared" si="17"/>
        <v>0</v>
      </c>
      <c r="F34" s="2">
        <f t="shared" si="17"/>
        <v>0</v>
      </c>
      <c r="G34" s="2">
        <f t="shared" si="17"/>
        <v>0</v>
      </c>
      <c r="H34" s="2">
        <f t="shared" si="17"/>
        <v>0</v>
      </c>
      <c r="I34" s="2">
        <f t="shared" si="17"/>
        <v>4161140.0650999998</v>
      </c>
      <c r="J34" s="4"/>
    </row>
    <row r="35" spans="3:12" hidden="1" x14ac:dyDescent="0.25">
      <c r="C35" s="3" t="s">
        <v>17</v>
      </c>
      <c r="D35" s="2">
        <f t="shared" si="17"/>
        <v>0</v>
      </c>
      <c r="E35" s="2">
        <f t="shared" si="17"/>
        <v>0</v>
      </c>
      <c r="F35" s="2">
        <f t="shared" si="17"/>
        <v>592436.76930000004</v>
      </c>
      <c r="G35" s="2">
        <f t="shared" si="17"/>
        <v>394957.84619999997</v>
      </c>
      <c r="H35" s="2">
        <f t="shared" si="17"/>
        <v>2048873.2134</v>
      </c>
      <c r="I35" s="2">
        <f t="shared" si="17"/>
        <v>0</v>
      </c>
    </row>
    <row r="36" spans="3:12" hidden="1" x14ac:dyDescent="0.25">
      <c r="C36" s="3" t="s">
        <v>1</v>
      </c>
      <c r="D36" s="4">
        <f>SUM(D33:D35)</f>
        <v>1783442.9999999998</v>
      </c>
      <c r="E36" s="4">
        <f t="shared" ref="E36:I36" si="18">SUM(E33:E35)</f>
        <v>5895789.2018750003</v>
      </c>
      <c r="F36" s="4">
        <f t="shared" si="18"/>
        <v>39290294.784675002</v>
      </c>
      <c r="G36" s="4">
        <f t="shared" si="18"/>
        <v>103075578.88455443</v>
      </c>
      <c r="H36" s="4">
        <f t="shared" si="18"/>
        <v>37877570.593747653</v>
      </c>
      <c r="I36" s="4">
        <f t="shared" si="18"/>
        <v>4161140.0650999998</v>
      </c>
      <c r="J36" s="4">
        <f>SUM(D36:I36)</f>
        <v>192083816.52995208</v>
      </c>
    </row>
    <row r="37" spans="3:12" hidden="1" x14ac:dyDescent="0.25"/>
    <row r="38" spans="3:12" hidden="1" x14ac:dyDescent="0.25">
      <c r="C38" s="3" t="s">
        <v>18</v>
      </c>
      <c r="D38" s="5">
        <v>0.13569999999999999</v>
      </c>
    </row>
    <row r="39" spans="3:12" hidden="1" x14ac:dyDescent="0.25">
      <c r="C39" s="3" t="s">
        <v>12</v>
      </c>
      <c r="D39" s="5">
        <v>5.9400000000000001E-2</v>
      </c>
    </row>
    <row r="40" spans="3:12" hidden="1" x14ac:dyDescent="0.25">
      <c r="F40" s="1"/>
      <c r="G40" s="1"/>
      <c r="H40" s="1"/>
      <c r="I40" s="1"/>
      <c r="J40" s="1"/>
      <c r="K40" s="2"/>
    </row>
    <row r="41" spans="3:12" hidden="1" x14ac:dyDescent="0.25">
      <c r="I41" s="1"/>
      <c r="K41" s="2"/>
    </row>
    <row r="42" spans="3:12" hidden="1" x14ac:dyDescent="0.25">
      <c r="H42" s="1"/>
      <c r="I42" s="1"/>
      <c r="J42" s="1"/>
      <c r="K42" s="2"/>
    </row>
    <row r="43" spans="3:12" x14ac:dyDescent="0.25">
      <c r="C43" s="41" t="s">
        <v>11</v>
      </c>
      <c r="D43" s="42">
        <f>SUM(D30,D27,D24,D20,D16,D12,D8,D4)</f>
        <v>1121833</v>
      </c>
      <c r="E43" s="42">
        <f t="shared" ref="E43:J43" si="19">SUM(E30,E27,E24,E20,E16,E12,E8,E4)</f>
        <v>5048305</v>
      </c>
      <c r="F43" s="42">
        <f>SUM(F30,F27,F24,F20,F16,F12,F8,F4)</f>
        <v>33400158</v>
      </c>
      <c r="G43" s="42">
        <f t="shared" si="19"/>
        <v>86281378</v>
      </c>
      <c r="H43" s="42">
        <f t="shared" si="19"/>
        <v>26071081</v>
      </c>
      <c r="I43" s="42">
        <f t="shared" si="19"/>
        <v>3663943</v>
      </c>
      <c r="J43" s="43">
        <f t="shared" si="19"/>
        <v>155586697.99999997</v>
      </c>
    </row>
    <row r="44" spans="3:12" x14ac:dyDescent="0.25">
      <c r="C44" s="44" t="s">
        <v>13</v>
      </c>
      <c r="D44" s="45">
        <f>D31+D28+D25+D21+D17+D13+D9+D5</f>
        <v>582207</v>
      </c>
      <c r="E44" s="45">
        <f t="shared" ref="E44:I44" si="20">E31+E28+E25+E21+E17+E13+E9+E5</f>
        <v>685054.98849999998</v>
      </c>
      <c r="F44" s="45">
        <f t="shared" si="20"/>
        <v>4532401.4405999994</v>
      </c>
      <c r="G44" s="45">
        <f t="shared" si="20"/>
        <v>11708382.994599998</v>
      </c>
      <c r="H44" s="45">
        <f t="shared" si="20"/>
        <v>3537845.6916999999</v>
      </c>
      <c r="I44" s="45">
        <f t="shared" si="20"/>
        <v>497197.06509999995</v>
      </c>
      <c r="J44" s="46">
        <f>+SUM(D44:I44)</f>
        <v>21543089.180499997</v>
      </c>
    </row>
    <row r="45" spans="3:12" x14ac:dyDescent="0.25">
      <c r="C45" s="47" t="s">
        <v>21</v>
      </c>
      <c r="D45" s="48">
        <f>+D43+D44</f>
        <v>1704040</v>
      </c>
      <c r="E45" s="48">
        <f t="shared" ref="E45:I45" si="21">+E43+E44</f>
        <v>5733359.9885</v>
      </c>
      <c r="F45" s="48">
        <f t="shared" si="21"/>
        <v>37932559.4406</v>
      </c>
      <c r="G45" s="48">
        <f t="shared" si="21"/>
        <v>97989760.994599998</v>
      </c>
      <c r="H45" s="48">
        <f t="shared" si="21"/>
        <v>29608926.6917</v>
      </c>
      <c r="I45" s="48">
        <f t="shared" si="21"/>
        <v>4161140.0650999998</v>
      </c>
      <c r="J45" s="49">
        <f>+SUM(D45:I45)</f>
        <v>177129787.18050003</v>
      </c>
    </row>
    <row r="46" spans="3:12" x14ac:dyDescent="0.25">
      <c r="C46" s="44" t="s">
        <v>23</v>
      </c>
      <c r="D46" s="45">
        <f>+D22+D18+D14+D10+D6</f>
        <v>79403</v>
      </c>
      <c r="E46" s="45">
        <f t="shared" ref="E46:I46" si="22">+E22+E18+E14+E10+E6</f>
        <v>162429.21337499999</v>
      </c>
      <c r="F46" s="45">
        <f t="shared" si="22"/>
        <v>1357735.3440750001</v>
      </c>
      <c r="G46" s="45">
        <f t="shared" si="22"/>
        <v>5085817.8899544226</v>
      </c>
      <c r="H46" s="45">
        <f t="shared" si="22"/>
        <v>8268643.9020476583</v>
      </c>
      <c r="I46" s="45">
        <f t="shared" si="22"/>
        <v>0</v>
      </c>
      <c r="J46" s="46">
        <f>+SUM(D46:I46)</f>
        <v>14954029.349452082</v>
      </c>
    </row>
    <row r="47" spans="3:12" ht="15.75" thickBot="1" x14ac:dyDescent="0.3">
      <c r="C47" s="50" t="s">
        <v>24</v>
      </c>
      <c r="D47" s="51">
        <f>+D45+D46</f>
        <v>1783443</v>
      </c>
      <c r="E47" s="51">
        <f t="shared" ref="E47:I47" si="23">+E45+E46</f>
        <v>5895789.2018750003</v>
      </c>
      <c r="F47" s="51">
        <f t="shared" si="23"/>
        <v>39290294.784675002</v>
      </c>
      <c r="G47" s="51">
        <f t="shared" si="23"/>
        <v>103075578.88455442</v>
      </c>
      <c r="H47" s="51">
        <f t="shared" si="23"/>
        <v>37877570.593747661</v>
      </c>
      <c r="I47" s="51">
        <f t="shared" si="23"/>
        <v>4161140.0650999998</v>
      </c>
      <c r="J47" s="52">
        <f>+SUM(D47:I47)</f>
        <v>192083816.52995211</v>
      </c>
    </row>
    <row r="51" spans="4:10" hidden="1" x14ac:dyDescent="0.25">
      <c r="D51" s="61">
        <f>SUM(D4,D8,D12)</f>
        <v>560916.5</v>
      </c>
      <c r="E51" s="61">
        <f t="shared" ref="E51:J51" si="24">SUM(E4,E8,E12)</f>
        <v>2564224</v>
      </c>
      <c r="F51" s="61">
        <f t="shared" si="24"/>
        <v>19931424</v>
      </c>
      <c r="G51" s="61">
        <f t="shared" si="24"/>
        <v>39125399</v>
      </c>
      <c r="H51" s="61">
        <f t="shared" si="24"/>
        <v>2151207</v>
      </c>
      <c r="I51" s="61">
        <f t="shared" si="24"/>
        <v>0</v>
      </c>
      <c r="J51" s="61">
        <f t="shared" si="24"/>
        <v>64333170.5</v>
      </c>
    </row>
    <row r="52" spans="4:10" hidden="1" x14ac:dyDescent="0.25">
      <c r="D52" s="61">
        <v>560916.47</v>
      </c>
      <c r="E52" s="61">
        <v>2564224</v>
      </c>
      <c r="F52" s="61">
        <v>19931424</v>
      </c>
      <c r="G52" s="61">
        <v>39125399</v>
      </c>
      <c r="H52" s="61">
        <v>2151207</v>
      </c>
      <c r="I52" s="61"/>
      <c r="J52" s="61"/>
    </row>
    <row r="53" spans="4:10" hidden="1" x14ac:dyDescent="0.25">
      <c r="D53" s="61"/>
      <c r="E53" s="61"/>
      <c r="F53" s="61"/>
      <c r="G53" s="61"/>
      <c r="H53" s="61"/>
      <c r="I53" s="61"/>
      <c r="J53" s="61"/>
    </row>
    <row r="54" spans="4:10" hidden="1" x14ac:dyDescent="0.25">
      <c r="D54" s="2">
        <v>0</v>
      </c>
      <c r="E54" s="2">
        <v>918105</v>
      </c>
      <c r="F54" s="2">
        <v>7401078</v>
      </c>
      <c r="G54" s="2">
        <v>31222122</v>
      </c>
      <c r="H54" s="2">
        <v>12229831</v>
      </c>
    </row>
    <row r="55" spans="4:10" hidden="1" x14ac:dyDescent="0.25">
      <c r="D55" s="2">
        <v>0</v>
      </c>
      <c r="E55" s="2">
        <v>918105</v>
      </c>
      <c r="F55" s="2">
        <v>7401078</v>
      </c>
      <c r="G55" s="2">
        <v>31222122</v>
      </c>
      <c r="H55" s="2">
        <v>12229831</v>
      </c>
    </row>
    <row r="56" spans="4:10" hidden="1" x14ac:dyDescent="0.25"/>
    <row r="57" spans="4:10" hidden="1" x14ac:dyDescent="0.25">
      <c r="D57" s="2">
        <v>560916.5</v>
      </c>
      <c r="E57" s="2">
        <v>1565976</v>
      </c>
      <c r="F57" s="2">
        <v>5546007</v>
      </c>
      <c r="G57" s="2">
        <v>15586091</v>
      </c>
      <c r="H57" s="2">
        <v>9885981</v>
      </c>
    </row>
    <row r="58" spans="4:10" hidden="1" x14ac:dyDescent="0.25">
      <c r="D58" s="2">
        <v>560916.47</v>
      </c>
      <c r="E58" s="2">
        <v>1565976</v>
      </c>
      <c r="F58" s="2">
        <v>5546007</v>
      </c>
      <c r="G58" s="2">
        <v>15586091</v>
      </c>
      <c r="H58" s="2">
        <v>9885981</v>
      </c>
    </row>
    <row r="59" spans="4:10" hidden="1" x14ac:dyDescent="0.25"/>
  </sheetData>
  <mergeCells count="2">
    <mergeCell ref="O27:V27"/>
    <mergeCell ref="O20:V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G36"/>
  <sheetViews>
    <sheetView workbookViewId="0">
      <selection activeCell="H14" sqref="H14"/>
    </sheetView>
  </sheetViews>
  <sheetFormatPr defaultRowHeight="15" x14ac:dyDescent="0.25"/>
  <cols>
    <col min="1" max="1" width="7" customWidth="1"/>
    <col min="2" max="2" width="10.85546875" hidden="1" customWidth="1"/>
    <col min="3" max="3" width="32.85546875" customWidth="1"/>
    <col min="4" max="5" width="14.140625" bestFit="1" customWidth="1"/>
    <col min="6" max="7" width="15.140625" bestFit="1" customWidth="1"/>
    <col min="8" max="8" width="14.140625" bestFit="1" customWidth="1"/>
    <col min="9" max="9" width="13.85546875" bestFit="1" customWidth="1"/>
    <col min="10" max="10" width="15" bestFit="1" customWidth="1"/>
    <col min="11" max="11" width="13.85546875" hidden="1" customWidth="1"/>
    <col min="12" max="12" width="12.5703125" hidden="1" customWidth="1"/>
    <col min="13" max="13" width="13.42578125" hidden="1" customWidth="1"/>
    <col min="14" max="14" width="12.85546875" hidden="1" customWidth="1"/>
    <col min="15" max="15" width="14.140625" hidden="1" customWidth="1"/>
    <col min="16" max="18" width="13.5703125" hidden="1" customWidth="1"/>
    <col min="19" max="19" width="12.5703125" hidden="1" customWidth="1"/>
    <col min="20" max="20" width="13.5703125" hidden="1" customWidth="1"/>
    <col min="21" max="21" width="15" hidden="1" customWidth="1"/>
    <col min="22" max="23" width="12.5703125" hidden="1" customWidth="1"/>
    <col min="24" max="35" width="14.140625" hidden="1" customWidth="1"/>
    <col min="36" max="48" width="11.5703125" hidden="1" customWidth="1"/>
    <col min="49" max="59" width="10" hidden="1" customWidth="1"/>
    <col min="60" max="60" width="0" hidden="1" customWidth="1"/>
  </cols>
  <sheetData>
    <row r="1" spans="2:59" ht="15.75" thickBot="1" x14ac:dyDescent="0.3"/>
    <row r="2" spans="2:59" ht="15.75" thickBot="1" x14ac:dyDescent="0.3">
      <c r="C2" s="13" t="s">
        <v>0</v>
      </c>
      <c r="D2" s="14" t="s">
        <v>10</v>
      </c>
      <c r="E2" s="14">
        <v>2020</v>
      </c>
      <c r="F2" s="14">
        <v>2021</v>
      </c>
      <c r="G2" s="14">
        <v>2022</v>
      </c>
      <c r="H2" s="14">
        <v>2023</v>
      </c>
      <c r="I2" s="15" t="s">
        <v>1</v>
      </c>
      <c r="L2" s="6">
        <v>43831</v>
      </c>
      <c r="M2" s="6">
        <v>43862</v>
      </c>
      <c r="N2" s="6">
        <v>43891</v>
      </c>
      <c r="O2" s="6">
        <v>43922</v>
      </c>
      <c r="P2" s="6">
        <v>43952</v>
      </c>
      <c r="Q2" s="6">
        <v>43983</v>
      </c>
      <c r="R2" s="6">
        <v>44013</v>
      </c>
      <c r="S2" s="6">
        <v>44044</v>
      </c>
      <c r="T2" s="6">
        <v>44075</v>
      </c>
      <c r="U2" s="6">
        <v>44105</v>
      </c>
      <c r="V2" s="6">
        <v>44136</v>
      </c>
      <c r="W2" s="6">
        <v>44166</v>
      </c>
      <c r="X2" s="6">
        <v>44197</v>
      </c>
      <c r="Y2" s="6">
        <v>44228</v>
      </c>
      <c r="Z2" s="6">
        <v>44256</v>
      </c>
      <c r="AA2" s="6">
        <v>44287</v>
      </c>
      <c r="AB2" s="6">
        <v>44317</v>
      </c>
      <c r="AC2" s="6">
        <v>44348</v>
      </c>
      <c r="AD2" s="6">
        <v>44378</v>
      </c>
      <c r="AE2" s="6">
        <v>44409</v>
      </c>
      <c r="AF2" s="6">
        <v>44440</v>
      </c>
      <c r="AG2" s="6">
        <v>44470</v>
      </c>
      <c r="AH2" s="6">
        <v>44501</v>
      </c>
      <c r="AI2" s="6">
        <v>44531</v>
      </c>
      <c r="AJ2" s="6">
        <v>44562</v>
      </c>
      <c r="AK2" s="6">
        <v>44593</v>
      </c>
      <c r="AL2" s="6">
        <v>44621</v>
      </c>
      <c r="AM2" s="6">
        <v>44652</v>
      </c>
      <c r="AN2" s="6">
        <v>44682</v>
      </c>
      <c r="AO2" s="6">
        <v>44713</v>
      </c>
      <c r="AP2" s="6">
        <v>44743</v>
      </c>
      <c r="AQ2" s="6">
        <v>44774</v>
      </c>
      <c r="AR2" s="6">
        <v>44805</v>
      </c>
      <c r="AS2" s="6">
        <v>44835</v>
      </c>
      <c r="AT2" s="6">
        <v>44866</v>
      </c>
      <c r="AU2" s="6">
        <v>44896</v>
      </c>
      <c r="AV2" s="6">
        <v>44927</v>
      </c>
      <c r="AW2" s="6">
        <v>44958</v>
      </c>
      <c r="AX2" s="6">
        <v>44986</v>
      </c>
      <c r="AY2" s="6">
        <v>45017</v>
      </c>
      <c r="AZ2" s="6">
        <v>45047</v>
      </c>
      <c r="BA2" s="6">
        <v>45078</v>
      </c>
      <c r="BB2" s="6">
        <v>45108</v>
      </c>
      <c r="BC2" s="6">
        <v>45139</v>
      </c>
      <c r="BD2" s="6">
        <v>45170</v>
      </c>
      <c r="BE2" s="6">
        <v>45200</v>
      </c>
      <c r="BF2" s="6">
        <v>45231</v>
      </c>
      <c r="BG2" s="6">
        <v>45261</v>
      </c>
    </row>
    <row r="3" spans="2:59" x14ac:dyDescent="0.25">
      <c r="B3" t="s">
        <v>14</v>
      </c>
      <c r="C3" s="23" t="s">
        <v>28</v>
      </c>
      <c r="D3" s="33">
        <f>SUM(D4:D6)</f>
        <v>1006249</v>
      </c>
      <c r="E3" s="33">
        <f>SUM(E4:E6)</f>
        <v>4383065.9429169092</v>
      </c>
      <c r="F3" s="33">
        <f>SUM(F4:F6)</f>
        <v>11831880.639847405</v>
      </c>
      <c r="G3" s="33">
        <f>SUM(G4:G6)</f>
        <v>21310742.06307153</v>
      </c>
      <c r="H3" s="33">
        <f>SUM(H4:H6)</f>
        <v>996040.17636157782</v>
      </c>
      <c r="I3" s="34">
        <f t="shared" ref="I3:I17" si="0">SUM(D3:H3)</f>
        <v>39527977.822197422</v>
      </c>
      <c r="J3" s="2"/>
      <c r="K3" s="2"/>
      <c r="L3" s="2">
        <f>E12/12</f>
        <v>124218.03976713754</v>
      </c>
      <c r="M3" s="2">
        <v>124218.03976713754</v>
      </c>
      <c r="N3" s="2">
        <v>124218.03976713754</v>
      </c>
      <c r="O3" s="2">
        <v>124218.03976713754</v>
      </c>
      <c r="P3" s="2">
        <v>124218.03976713754</v>
      </c>
      <c r="Q3" s="2">
        <v>124218.03976713754</v>
      </c>
      <c r="R3" s="2">
        <v>124218.03976713754</v>
      </c>
      <c r="S3" s="2">
        <v>124218.03976713754</v>
      </c>
      <c r="T3" s="2">
        <v>124218.03976713754</v>
      </c>
      <c r="U3" s="2">
        <v>124218.03976713754</v>
      </c>
      <c r="V3" s="2">
        <v>124218.03976713754</v>
      </c>
      <c r="W3" s="2">
        <v>124218.03976713754</v>
      </c>
      <c r="X3" s="2">
        <f>SUM(F12/12)</f>
        <v>103146.53118145677</v>
      </c>
      <c r="Y3" s="2">
        <v>103146.53118145677</v>
      </c>
      <c r="Z3" s="2">
        <v>103146.53118145677</v>
      </c>
      <c r="AA3" s="2">
        <v>103146.53118145677</v>
      </c>
      <c r="AB3" s="2">
        <v>103146.53118145677</v>
      </c>
      <c r="AC3" s="2">
        <v>103146.53118145677</v>
      </c>
      <c r="AD3" s="2">
        <v>103146.53118145677</v>
      </c>
      <c r="AE3" s="2">
        <v>103146.53118145677</v>
      </c>
      <c r="AF3" s="2">
        <v>103146.53118145677</v>
      </c>
      <c r="AG3" s="2">
        <v>103146.53118145677</v>
      </c>
      <c r="AH3" s="2">
        <v>103146.53118145677</v>
      </c>
      <c r="AI3" s="2">
        <v>103146.53118145677</v>
      </c>
      <c r="AJ3" s="2">
        <f>SUM(G12)/12</f>
        <v>977764.19072595378</v>
      </c>
      <c r="AK3" s="2">
        <v>977764.19072595378</v>
      </c>
      <c r="AL3" s="2">
        <v>977764.19072595378</v>
      </c>
      <c r="AM3" s="2">
        <v>977764.19072595378</v>
      </c>
      <c r="AN3" s="2">
        <v>977764.19072595378</v>
      </c>
      <c r="AO3" s="2">
        <v>977764.19072595378</v>
      </c>
      <c r="AP3" s="2">
        <v>977764.19072595378</v>
      </c>
      <c r="AQ3" s="2">
        <v>977764.19072595378</v>
      </c>
      <c r="AR3" s="2">
        <v>977764.19072595378</v>
      </c>
      <c r="AS3" s="2">
        <v>977764.19072595378</v>
      </c>
      <c r="AT3" s="2">
        <v>977764.19072595378</v>
      </c>
      <c r="AU3" s="2">
        <v>977764.19072595378</v>
      </c>
      <c r="AV3" s="2">
        <f>SUM(H12/12)</f>
        <v>634000.88446055318</v>
      </c>
      <c r="AW3" s="2">
        <v>634000.88446055318</v>
      </c>
      <c r="AX3" s="2">
        <v>634000.88446055318</v>
      </c>
      <c r="AY3" s="2">
        <v>634000.88446055318</v>
      </c>
      <c r="AZ3" s="2">
        <v>634000.88446055318</v>
      </c>
      <c r="BA3" s="2">
        <v>634000.88446055318</v>
      </c>
      <c r="BB3" s="2">
        <v>634000.88446055318</v>
      </c>
      <c r="BC3" s="2">
        <v>634000.88446055318</v>
      </c>
      <c r="BD3" s="2">
        <v>634000.88446055318</v>
      </c>
      <c r="BE3" s="2">
        <v>634000.88446055318</v>
      </c>
      <c r="BF3" s="2">
        <v>634000.88446055318</v>
      </c>
      <c r="BG3" s="2">
        <v>634000.88446055318</v>
      </c>
    </row>
    <row r="4" spans="2:59" x14ac:dyDescent="0.25">
      <c r="C4" s="19" t="s">
        <v>11</v>
      </c>
      <c r="D4" s="24">
        <f>1556612/2</f>
        <v>778306</v>
      </c>
      <c r="E4" s="25">
        <v>3753026.6020908998</v>
      </c>
      <c r="F4" s="24">
        <v>9940234.0658745207</v>
      </c>
      <c r="G4" s="25">
        <v>17550989.942754477</v>
      </c>
      <c r="H4" s="24">
        <v>58422.801804699717</v>
      </c>
      <c r="I4" s="26">
        <f t="shared" si="0"/>
        <v>32080979.412524596</v>
      </c>
      <c r="J4" s="2"/>
      <c r="K4" s="2"/>
      <c r="L4" s="2">
        <f>SUM(L3)</f>
        <v>124218.03976713754</v>
      </c>
      <c r="M4" s="2">
        <f t="shared" ref="M4:BG4" si="1">L4+M3</f>
        <v>248436.07953427508</v>
      </c>
      <c r="N4" s="2">
        <f t="shared" si="1"/>
        <v>372654.1193014126</v>
      </c>
      <c r="O4" s="2">
        <f t="shared" si="1"/>
        <v>496872.15906855016</v>
      </c>
      <c r="P4" s="2">
        <f t="shared" si="1"/>
        <v>621090.19883568771</v>
      </c>
      <c r="Q4" s="2">
        <f t="shared" si="1"/>
        <v>745308.23860282521</v>
      </c>
      <c r="R4" s="2">
        <f t="shared" si="1"/>
        <v>869526.2783699627</v>
      </c>
      <c r="S4" s="2">
        <f t="shared" si="1"/>
        <v>993744.3181371002</v>
      </c>
      <c r="T4" s="2">
        <f t="shared" si="1"/>
        <v>1117962.3579042377</v>
      </c>
      <c r="U4" s="2">
        <f t="shared" si="1"/>
        <v>1242180.3976713752</v>
      </c>
      <c r="V4" s="2">
        <f t="shared" si="1"/>
        <v>1366398.4374385127</v>
      </c>
      <c r="W4" s="2">
        <f t="shared" si="1"/>
        <v>1490616.4772056502</v>
      </c>
      <c r="X4" s="2">
        <f t="shared" si="1"/>
        <v>1593763.0083871069</v>
      </c>
      <c r="Y4" s="2">
        <f t="shared" si="1"/>
        <v>1696909.5395685637</v>
      </c>
      <c r="Z4" s="2">
        <f t="shared" si="1"/>
        <v>1800056.0707500204</v>
      </c>
      <c r="AA4" s="2">
        <f t="shared" si="1"/>
        <v>1903202.6019314772</v>
      </c>
      <c r="AB4" s="2">
        <f t="shared" si="1"/>
        <v>2006349.133112934</v>
      </c>
      <c r="AC4" s="2">
        <f t="shared" si="1"/>
        <v>2109495.6642943909</v>
      </c>
      <c r="AD4" s="2">
        <f t="shared" si="1"/>
        <v>2212642.1954758479</v>
      </c>
      <c r="AE4" s="2">
        <f t="shared" si="1"/>
        <v>2315788.7266573049</v>
      </c>
      <c r="AF4" s="2">
        <f t="shared" si="1"/>
        <v>2418935.2578387619</v>
      </c>
      <c r="AG4" s="2">
        <f t="shared" si="1"/>
        <v>2522081.7890202189</v>
      </c>
      <c r="AH4" s="2">
        <f t="shared" si="1"/>
        <v>2625228.3202016759</v>
      </c>
      <c r="AI4" s="2">
        <f t="shared" si="1"/>
        <v>2728374.8513831329</v>
      </c>
      <c r="AJ4" s="2">
        <f t="shared" si="1"/>
        <v>3706139.0421090866</v>
      </c>
      <c r="AK4" s="2">
        <f t="shared" si="1"/>
        <v>4683903.2328350404</v>
      </c>
      <c r="AL4" s="2">
        <f t="shared" si="1"/>
        <v>5661667.4235609937</v>
      </c>
      <c r="AM4" s="2">
        <f t="shared" si="1"/>
        <v>6639431.614286948</v>
      </c>
      <c r="AN4" s="2">
        <f t="shared" si="1"/>
        <v>7617195.8050129022</v>
      </c>
      <c r="AO4" s="2">
        <f t="shared" si="1"/>
        <v>8594959.9957388565</v>
      </c>
      <c r="AP4" s="2">
        <f t="shared" si="1"/>
        <v>9572724.1864648107</v>
      </c>
      <c r="AQ4" s="2">
        <f t="shared" si="1"/>
        <v>10550488.377190765</v>
      </c>
      <c r="AR4" s="2">
        <f t="shared" si="1"/>
        <v>11528252.567916719</v>
      </c>
      <c r="AS4" s="2">
        <f t="shared" si="1"/>
        <v>12506016.758642673</v>
      </c>
      <c r="AT4" s="2">
        <f t="shared" si="1"/>
        <v>13483780.949368628</v>
      </c>
      <c r="AU4" s="2">
        <f t="shared" si="1"/>
        <v>14461545.140094582</v>
      </c>
      <c r="AV4" s="2">
        <f t="shared" si="1"/>
        <v>15095546.024555136</v>
      </c>
      <c r="AW4" s="2">
        <f t="shared" si="1"/>
        <v>15729546.909015689</v>
      </c>
      <c r="AX4" s="2">
        <f t="shared" si="1"/>
        <v>16363547.793476243</v>
      </c>
      <c r="AY4" s="2">
        <f t="shared" si="1"/>
        <v>16997548.677936796</v>
      </c>
      <c r="AZ4" s="2">
        <f t="shared" si="1"/>
        <v>17631549.56239735</v>
      </c>
      <c r="BA4" s="2">
        <f t="shared" si="1"/>
        <v>18265550.446857903</v>
      </c>
      <c r="BB4" s="2">
        <f t="shared" si="1"/>
        <v>18899551.331318457</v>
      </c>
      <c r="BC4" s="2">
        <f t="shared" si="1"/>
        <v>19533552.21577901</v>
      </c>
      <c r="BD4" s="2">
        <f t="shared" si="1"/>
        <v>20167553.100239564</v>
      </c>
      <c r="BE4" s="2">
        <f t="shared" si="1"/>
        <v>20801553.984700117</v>
      </c>
      <c r="BF4" s="2">
        <f t="shared" si="1"/>
        <v>21435554.869160671</v>
      </c>
      <c r="BG4" s="2">
        <f t="shared" si="1"/>
        <v>22069555.753621224</v>
      </c>
    </row>
    <row r="5" spans="2:59" x14ac:dyDescent="0.25">
      <c r="C5" s="19" t="s">
        <v>13</v>
      </c>
      <c r="D5" s="24">
        <f>(266852+131210)/2</f>
        <v>199031</v>
      </c>
      <c r="E5" s="25">
        <f>E4*$D$35</f>
        <v>509285.70990373509</v>
      </c>
      <c r="F5" s="58">
        <f>F4*$D$35</f>
        <v>1348889.7627391724</v>
      </c>
      <c r="G5" s="58">
        <f>G4*$D$35</f>
        <v>2381669.3352317824</v>
      </c>
      <c r="H5" s="58">
        <f>H4*$D$35</f>
        <v>7927.9742048977505</v>
      </c>
      <c r="I5" s="31">
        <f t="shared" si="0"/>
        <v>4446803.7820795877</v>
      </c>
      <c r="J5" s="2"/>
      <c r="K5" s="2"/>
      <c r="L5" s="2"/>
      <c r="M5" s="2"/>
    </row>
    <row r="6" spans="2:59" x14ac:dyDescent="0.25">
      <c r="C6" s="20" t="s">
        <v>22</v>
      </c>
      <c r="D6" s="28">
        <f>57824/2</f>
        <v>28912</v>
      </c>
      <c r="E6" s="7">
        <v>120753.63092227471</v>
      </c>
      <c r="F6" s="28">
        <v>542756.81123371236</v>
      </c>
      <c r="G6" s="7">
        <v>1378082.7850852711</v>
      </c>
      <c r="H6" s="16">
        <v>929689.40035198035</v>
      </c>
      <c r="I6" s="9">
        <f t="shared" si="0"/>
        <v>3000194.6275932384</v>
      </c>
      <c r="J6" s="2"/>
      <c r="K6" s="2"/>
      <c r="L6" s="2">
        <f t="shared" ref="L6:BG6" si="2">$D$25/12*L4</f>
        <v>614.87929684733092</v>
      </c>
      <c r="M6" s="2">
        <f t="shared" si="2"/>
        <v>1229.7585936946618</v>
      </c>
      <c r="N6" s="2">
        <f t="shared" si="2"/>
        <v>1844.6378905419926</v>
      </c>
      <c r="O6" s="2">
        <f t="shared" si="2"/>
        <v>2459.5171873893237</v>
      </c>
      <c r="P6" s="2">
        <f t="shared" si="2"/>
        <v>3074.3964842366545</v>
      </c>
      <c r="Q6" s="2">
        <f t="shared" si="2"/>
        <v>3689.2757810839853</v>
      </c>
      <c r="R6" s="2">
        <f t="shared" si="2"/>
        <v>4304.1550779313156</v>
      </c>
      <c r="S6" s="2">
        <f t="shared" si="2"/>
        <v>4919.0343747786465</v>
      </c>
      <c r="T6" s="2">
        <f t="shared" si="2"/>
        <v>5533.9136716259773</v>
      </c>
      <c r="U6" s="2">
        <f t="shared" si="2"/>
        <v>6148.7929684733081</v>
      </c>
      <c r="V6" s="2">
        <f t="shared" si="2"/>
        <v>6763.672265320638</v>
      </c>
      <c r="W6" s="2">
        <f t="shared" si="2"/>
        <v>7378.5515621679688</v>
      </c>
      <c r="X6" s="2">
        <f t="shared" si="2"/>
        <v>7889.12689151618</v>
      </c>
      <c r="Y6" s="2">
        <f t="shared" si="2"/>
        <v>8399.7022208643903</v>
      </c>
      <c r="Z6" s="2">
        <f t="shared" si="2"/>
        <v>8910.2775502126024</v>
      </c>
      <c r="AA6" s="2">
        <f t="shared" si="2"/>
        <v>9420.8528795608127</v>
      </c>
      <c r="AB6" s="2">
        <f t="shared" si="2"/>
        <v>9931.4282089090248</v>
      </c>
      <c r="AC6" s="2">
        <f t="shared" si="2"/>
        <v>10442.003538257237</v>
      </c>
      <c r="AD6" s="2">
        <f t="shared" si="2"/>
        <v>10952.578867605449</v>
      </c>
      <c r="AE6" s="2">
        <f t="shared" si="2"/>
        <v>11463.154196953661</v>
      </c>
      <c r="AF6" s="2">
        <f t="shared" si="2"/>
        <v>11973.729526301873</v>
      </c>
      <c r="AG6" s="2">
        <f t="shared" si="2"/>
        <v>12484.304855650085</v>
      </c>
      <c r="AH6" s="2">
        <f t="shared" si="2"/>
        <v>12994.880184998297</v>
      </c>
      <c r="AI6" s="2">
        <f t="shared" si="2"/>
        <v>13505.45551434651</v>
      </c>
      <c r="AJ6" s="2">
        <f t="shared" si="2"/>
        <v>18345.38825843998</v>
      </c>
      <c r="AK6" s="2">
        <f t="shared" si="2"/>
        <v>23185.321002533452</v>
      </c>
      <c r="AL6" s="2">
        <f t="shared" si="2"/>
        <v>28025.25374662692</v>
      </c>
      <c r="AM6" s="2">
        <f t="shared" si="2"/>
        <v>32865.186490720393</v>
      </c>
      <c r="AN6" s="2">
        <f t="shared" si="2"/>
        <v>37705.119234813872</v>
      </c>
      <c r="AO6" s="2">
        <f t="shared" si="2"/>
        <v>42545.051978907344</v>
      </c>
      <c r="AP6" s="2">
        <f t="shared" si="2"/>
        <v>47384.984723000816</v>
      </c>
      <c r="AQ6" s="2">
        <f t="shared" si="2"/>
        <v>52224.917467094288</v>
      </c>
      <c r="AR6" s="2">
        <f t="shared" si="2"/>
        <v>57064.850211187768</v>
      </c>
      <c r="AS6" s="2">
        <f t="shared" si="2"/>
        <v>61904.78295528124</v>
      </c>
      <c r="AT6" s="2">
        <f t="shared" si="2"/>
        <v>66744.715699374719</v>
      </c>
      <c r="AU6" s="2">
        <f t="shared" si="2"/>
        <v>71584.648443468192</v>
      </c>
      <c r="AV6" s="2">
        <f t="shared" si="2"/>
        <v>74722.952821547922</v>
      </c>
      <c r="AW6" s="2">
        <f t="shared" si="2"/>
        <v>77861.257199627667</v>
      </c>
      <c r="AX6" s="2">
        <f t="shared" si="2"/>
        <v>80999.561577707413</v>
      </c>
      <c r="AY6" s="2">
        <f t="shared" si="2"/>
        <v>84137.865955787143</v>
      </c>
      <c r="AZ6" s="2">
        <f t="shared" si="2"/>
        <v>87276.170333866889</v>
      </c>
      <c r="BA6" s="2">
        <f t="shared" si="2"/>
        <v>90414.474711946634</v>
      </c>
      <c r="BB6" s="2">
        <f t="shared" si="2"/>
        <v>93552.779090026364</v>
      </c>
      <c r="BC6" s="2">
        <f t="shared" si="2"/>
        <v>96691.08346810611</v>
      </c>
      <c r="BD6" s="2">
        <f t="shared" si="2"/>
        <v>99829.387846185855</v>
      </c>
      <c r="BE6" s="2">
        <f t="shared" si="2"/>
        <v>102967.69222426559</v>
      </c>
      <c r="BF6" s="2">
        <f t="shared" si="2"/>
        <v>106105.99660234533</v>
      </c>
      <c r="BG6" s="2">
        <f t="shared" si="2"/>
        <v>109244.30098042508</v>
      </c>
    </row>
    <row r="7" spans="2:59" x14ac:dyDescent="0.25">
      <c r="B7" t="s">
        <v>14</v>
      </c>
      <c r="C7" s="18" t="s">
        <v>27</v>
      </c>
      <c r="D7" s="37">
        <f>SUM(D8:D10)</f>
        <v>0</v>
      </c>
      <c r="E7" s="35">
        <f>SUM(E8:E10)</f>
        <v>983503.52064307872</v>
      </c>
      <c r="F7" s="37">
        <f>SUM(F8:F10)</f>
        <v>1380021.5628148098</v>
      </c>
      <c r="G7" s="35">
        <f>SUM(G8:G10)</f>
        <v>5087177.559957522</v>
      </c>
      <c r="H7" s="35">
        <f>SUM(H8:H10)</f>
        <v>834115.38504793367</v>
      </c>
      <c r="I7" s="57">
        <f t="shared" si="0"/>
        <v>8284818.0284633441</v>
      </c>
      <c r="J7" s="2"/>
      <c r="K7" s="2"/>
      <c r="L7" s="2"/>
      <c r="M7" s="2"/>
    </row>
    <row r="8" spans="2:59" x14ac:dyDescent="0.25">
      <c r="C8" s="19" t="s">
        <v>11</v>
      </c>
      <c r="D8" s="27"/>
      <c r="E8" s="24">
        <v>842130.8107828995</v>
      </c>
      <c r="F8" s="27">
        <v>1138819.6447858766</v>
      </c>
      <c r="G8" s="24">
        <v>4255172.0885340786</v>
      </c>
      <c r="H8" s="27">
        <v>392052.00357498502</v>
      </c>
      <c r="I8" s="9">
        <f t="shared" si="0"/>
        <v>6628174.5476778401</v>
      </c>
      <c r="J8" s="2"/>
      <c r="K8" s="2">
        <f>SUM(L6:W6)</f>
        <v>47960.585154091801</v>
      </c>
      <c r="L8" s="2"/>
      <c r="M8" s="2"/>
    </row>
    <row r="9" spans="2:59" x14ac:dyDescent="0.25">
      <c r="C9" s="19" t="s">
        <v>13</v>
      </c>
      <c r="D9" s="24"/>
      <c r="E9" s="24">
        <f>E8*$D$35</f>
        <v>114277.15102323945</v>
      </c>
      <c r="F9" s="24">
        <f>F8*$D$35</f>
        <v>154537.82579744345</v>
      </c>
      <c r="G9" s="24">
        <f>G8*$D$35</f>
        <v>577426.85241407435</v>
      </c>
      <c r="H9" s="24">
        <f>H8*$D$35</f>
        <v>53201.456885125459</v>
      </c>
      <c r="I9" s="9">
        <f t="shared" si="0"/>
        <v>899443.28611988272</v>
      </c>
      <c r="J9" s="2"/>
      <c r="K9" s="2">
        <f>SUM(X6:AI6)</f>
        <v>128367.49443517614</v>
      </c>
      <c r="L9" s="2"/>
      <c r="M9" s="2"/>
    </row>
    <row r="10" spans="2:59" x14ac:dyDescent="0.25">
      <c r="C10" s="20" t="s">
        <v>22</v>
      </c>
      <c r="D10" s="16"/>
      <c r="E10" s="27">
        <v>27095.558836939788</v>
      </c>
      <c r="F10" s="16">
        <v>86664.09223148982</v>
      </c>
      <c r="G10" s="7">
        <v>254578.61900936931</v>
      </c>
      <c r="H10" s="28">
        <v>388861.92458782322</v>
      </c>
      <c r="I10" s="38">
        <f t="shared" si="0"/>
        <v>757200.1946656222</v>
      </c>
      <c r="J10" s="2"/>
      <c r="K10" s="2">
        <f>SUM(AJ6:AU6)</f>
        <v>539580.22021144908</v>
      </c>
      <c r="L10" s="2"/>
      <c r="M10" s="2"/>
    </row>
    <row r="11" spans="2:59" x14ac:dyDescent="0.25">
      <c r="B11" t="s">
        <v>14</v>
      </c>
      <c r="C11" s="18" t="s">
        <v>26</v>
      </c>
      <c r="D11" s="35">
        <f>SUM(D12:D14)</f>
        <v>1006249</v>
      </c>
      <c r="E11" s="35">
        <f>SUM(E12:E14)</f>
        <v>1740853.7183165487</v>
      </c>
      <c r="F11" s="35">
        <f>SUM(F12:F14)</f>
        <v>1534089.6799885416</v>
      </c>
      <c r="G11" s="35">
        <f>SUM(G12:G14)</f>
        <v>13864941.717101038</v>
      </c>
      <c r="H11" s="37">
        <f>SUM(H12:H14)</f>
        <v>9744221.1765940413</v>
      </c>
      <c r="I11" s="36">
        <f t="shared" si="0"/>
        <v>27890355.292000167</v>
      </c>
      <c r="J11" s="2"/>
      <c r="K11" s="2">
        <f>SUM(AV6:BG6)</f>
        <v>1103803.522811838</v>
      </c>
      <c r="L11" s="2"/>
      <c r="M11" s="2"/>
    </row>
    <row r="12" spans="2:59" x14ac:dyDescent="0.25">
      <c r="C12" s="19" t="s">
        <v>11</v>
      </c>
      <c r="D12" s="16">
        <v>778306</v>
      </c>
      <c r="E12" s="24">
        <v>1490616.4772056504</v>
      </c>
      <c r="F12" s="24">
        <v>1237758.3741774813</v>
      </c>
      <c r="G12" s="24">
        <v>11733170.288711445</v>
      </c>
      <c r="H12" s="16">
        <v>7608010.6135266386</v>
      </c>
      <c r="I12" s="9">
        <f t="shared" si="0"/>
        <v>22847861.753621217</v>
      </c>
      <c r="J12" s="2"/>
      <c r="K12" s="2"/>
      <c r="L12" s="2"/>
      <c r="M12" s="2"/>
      <c r="N12" s="119"/>
      <c r="O12" s="119"/>
      <c r="P12" s="119"/>
      <c r="Q12" s="119"/>
      <c r="R12" s="119"/>
      <c r="S12" s="119"/>
      <c r="T12" s="119"/>
      <c r="U12" s="119"/>
    </row>
    <row r="13" spans="2:59" x14ac:dyDescent="0.25">
      <c r="C13" s="19" t="s">
        <v>13</v>
      </c>
      <c r="D13" s="24">
        <v>199031</v>
      </c>
      <c r="E13" s="24">
        <f>$D$35*E12</f>
        <v>202276.65595680673</v>
      </c>
      <c r="F13" s="24">
        <f>$D$35*F12</f>
        <v>167963.81137588419</v>
      </c>
      <c r="G13" s="24">
        <f>$D$35*G12</f>
        <v>1592191.208178143</v>
      </c>
      <c r="H13" s="24">
        <f>$D$35*H12</f>
        <v>1032407.0402555647</v>
      </c>
      <c r="I13" s="31">
        <f t="shared" si="0"/>
        <v>3193869.7157663987</v>
      </c>
      <c r="J13" s="2"/>
      <c r="L13" s="2"/>
      <c r="M13" s="2"/>
    </row>
    <row r="14" spans="2:59" x14ac:dyDescent="0.25">
      <c r="C14" s="20" t="s">
        <v>22</v>
      </c>
      <c r="D14" s="28">
        <v>28912</v>
      </c>
      <c r="E14" s="28">
        <v>47960.585154091801</v>
      </c>
      <c r="F14" s="28">
        <v>128367.49443517614</v>
      </c>
      <c r="G14" s="7">
        <v>539580.22021144908</v>
      </c>
      <c r="H14" s="17">
        <v>1103803.522811838</v>
      </c>
      <c r="I14" s="32">
        <f t="shared" si="0"/>
        <v>1848623.822612555</v>
      </c>
      <c r="J14" s="2"/>
      <c r="K14" s="2"/>
      <c r="L14" s="2"/>
      <c r="M14" s="2"/>
      <c r="P14" s="2"/>
      <c r="Q14" s="2"/>
      <c r="R14" s="2"/>
      <c r="S14" s="2"/>
      <c r="T14" s="2"/>
      <c r="U14" s="2"/>
    </row>
    <row r="15" spans="2:59" x14ac:dyDescent="0.25">
      <c r="B15" t="s">
        <v>17</v>
      </c>
      <c r="C15" s="18" t="s">
        <v>25</v>
      </c>
      <c r="D15" s="37">
        <f>SUM(D16:D17)</f>
        <v>0</v>
      </c>
      <c r="E15" s="37">
        <f>SUM(E16:E17)</f>
        <v>0</v>
      </c>
      <c r="F15" s="37">
        <f>SUM(F16:F17)</f>
        <v>0</v>
      </c>
      <c r="G15" s="35">
        <f>SUM(G16:G17)</f>
        <v>1393702.1534704999</v>
      </c>
      <c r="H15" s="37">
        <f>SUM(H16:H17)</f>
        <v>1393702.1534704999</v>
      </c>
      <c r="I15" s="36">
        <f t="shared" si="0"/>
        <v>2787404.3069409998</v>
      </c>
      <c r="J15" s="2"/>
      <c r="K15" s="2"/>
      <c r="L15" s="2"/>
      <c r="M15" s="2"/>
      <c r="P15" s="2"/>
      <c r="Q15" s="2"/>
      <c r="R15" s="2"/>
      <c r="S15" s="2"/>
      <c r="T15" s="2"/>
      <c r="U15" s="2"/>
    </row>
    <row r="16" spans="2:59" x14ac:dyDescent="0.25">
      <c r="C16" s="19" t="s">
        <v>11</v>
      </c>
      <c r="D16" s="24"/>
      <c r="E16" s="24">
        <v>0</v>
      </c>
      <c r="F16" s="24">
        <v>0</v>
      </c>
      <c r="G16" s="24">
        <v>1227174.5649999999</v>
      </c>
      <c r="H16" s="16">
        <v>1227174.5649999999</v>
      </c>
      <c r="I16" s="31">
        <f t="shared" si="0"/>
        <v>2454349.13</v>
      </c>
      <c r="J16" s="2"/>
      <c r="K16" s="2"/>
      <c r="L16" s="2"/>
      <c r="M16" s="2"/>
      <c r="P16" s="2"/>
      <c r="Q16" s="2"/>
      <c r="R16" s="2"/>
      <c r="S16" s="2"/>
      <c r="T16" s="2"/>
      <c r="U16" s="2"/>
    </row>
    <row r="17" spans="3:13" ht="15.75" thickBot="1" x14ac:dyDescent="0.3">
      <c r="C17" s="21" t="s">
        <v>13</v>
      </c>
      <c r="D17" s="22"/>
      <c r="E17" s="29">
        <f>E16*$D$35</f>
        <v>0</v>
      </c>
      <c r="F17" s="22">
        <f>F16*$D$35</f>
        <v>0</v>
      </c>
      <c r="G17" s="29">
        <f>G16*$D$35</f>
        <v>166527.58847049996</v>
      </c>
      <c r="H17" s="29">
        <f>H16*$D$35</f>
        <v>166527.58847049996</v>
      </c>
      <c r="I17" s="12">
        <f t="shared" si="0"/>
        <v>333055.17694099993</v>
      </c>
      <c r="J17" s="2"/>
      <c r="K17" s="2"/>
      <c r="L17" s="2"/>
      <c r="M17" s="2"/>
    </row>
    <row r="18" spans="3:13" ht="15.75" thickBot="1" x14ac:dyDescent="0.3"/>
    <row r="19" spans="3:13" ht="15.75" hidden="1" thickBot="1" x14ac:dyDescent="0.3">
      <c r="C19" s="3" t="s">
        <v>14</v>
      </c>
      <c r="D19" s="2">
        <f t="shared" ref="D19:H21" si="3">SUMIF($B:$B,$C19,D:D)</f>
        <v>2012498</v>
      </c>
      <c r="E19" s="2">
        <f t="shared" si="3"/>
        <v>7107423.1818765365</v>
      </c>
      <c r="F19" s="2">
        <f t="shared" si="3"/>
        <v>14745991.882650755</v>
      </c>
      <c r="G19" s="2">
        <f t="shared" si="3"/>
        <v>40262861.340130091</v>
      </c>
      <c r="H19" s="2">
        <f t="shared" si="3"/>
        <v>11574376.738003552</v>
      </c>
      <c r="I19" s="2"/>
      <c r="K19" s="4" t="e">
        <f>SUM(#REF!,#REF!,I15,I11,I7,#REF!,#REF!,I3)</f>
        <v>#REF!</v>
      </c>
    </row>
    <row r="20" spans="3:13" ht="15.75" hidden="1" thickBot="1" x14ac:dyDescent="0.3">
      <c r="C20" s="3" t="s">
        <v>15</v>
      </c>
      <c r="D20" s="2">
        <f t="shared" si="3"/>
        <v>0</v>
      </c>
      <c r="E20" s="2">
        <f t="shared" si="3"/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4"/>
    </row>
    <row r="21" spans="3:13" ht="15.75" hidden="1" thickBot="1" x14ac:dyDescent="0.3">
      <c r="C21" s="3" t="s">
        <v>17</v>
      </c>
      <c r="D21" s="2">
        <f t="shared" si="3"/>
        <v>0</v>
      </c>
      <c r="E21" s="2">
        <f t="shared" si="3"/>
        <v>0</v>
      </c>
      <c r="F21" s="2">
        <f t="shared" si="3"/>
        <v>0</v>
      </c>
      <c r="G21" s="2">
        <f t="shared" si="3"/>
        <v>1393702.1534704999</v>
      </c>
      <c r="H21" s="2">
        <f t="shared" si="3"/>
        <v>1393702.1534704999</v>
      </c>
    </row>
    <row r="22" spans="3:13" ht="15.75" hidden="1" thickBot="1" x14ac:dyDescent="0.3">
      <c r="C22" s="3" t="s">
        <v>1</v>
      </c>
      <c r="D22" s="4">
        <f>SUM(D19:D21)</f>
        <v>2012498</v>
      </c>
      <c r="E22" s="4">
        <f>SUM(E19:E21)</f>
        <v>7107423.1818765365</v>
      </c>
      <c r="F22" s="4">
        <f>SUM(F19:F21)</f>
        <v>14745991.882650755</v>
      </c>
      <c r="G22" s="4">
        <f>SUM(G19:G21)</f>
        <v>41656563.493600592</v>
      </c>
      <c r="H22" s="4">
        <f>SUM(H19:H21)</f>
        <v>12968078.891474051</v>
      </c>
      <c r="I22" s="4">
        <f>SUM(D22:H22)</f>
        <v>78490555.449601933</v>
      </c>
    </row>
    <row r="23" spans="3:13" ht="15.75" hidden="1" thickBot="1" x14ac:dyDescent="0.3"/>
    <row r="24" spans="3:13" ht="15.75" hidden="1" thickBot="1" x14ac:dyDescent="0.3">
      <c r="C24" s="3" t="s">
        <v>18</v>
      </c>
      <c r="D24" s="5">
        <v>0.13569999999999999</v>
      </c>
    </row>
    <row r="25" spans="3:13" ht="15.75" hidden="1" thickBot="1" x14ac:dyDescent="0.3">
      <c r="C25" s="3" t="s">
        <v>12</v>
      </c>
      <c r="D25" s="5">
        <v>5.9400000000000001E-2</v>
      </c>
    </row>
    <row r="26" spans="3:13" ht="15.75" hidden="1" thickBot="1" x14ac:dyDescent="0.3">
      <c r="F26" s="1"/>
      <c r="G26" s="1"/>
      <c r="H26" s="1"/>
      <c r="I26" s="1"/>
      <c r="J26" s="2"/>
    </row>
    <row r="27" spans="3:13" ht="15.75" hidden="1" thickBot="1" x14ac:dyDescent="0.3">
      <c r="J27" s="2"/>
    </row>
    <row r="28" spans="3:13" ht="15.75" hidden="1" thickBot="1" x14ac:dyDescent="0.3">
      <c r="H28" s="1"/>
      <c r="I28" s="1"/>
      <c r="J28" s="2"/>
    </row>
    <row r="29" spans="3:13" x14ac:dyDescent="0.25">
      <c r="C29" s="41" t="s">
        <v>11</v>
      </c>
      <c r="D29" s="42">
        <f t="shared" ref="D29:I29" si="4">SUM(D16,D12,D8,D4)</f>
        <v>1556612</v>
      </c>
      <c r="E29" s="42">
        <f t="shared" si="4"/>
        <v>6085773.8900794499</v>
      </c>
      <c r="F29" s="42">
        <f t="shared" si="4"/>
        <v>12316812.084837878</v>
      </c>
      <c r="G29" s="42">
        <f t="shared" si="4"/>
        <v>34766506.885000005</v>
      </c>
      <c r="H29" s="42">
        <f t="shared" si="4"/>
        <v>9285659.9839063212</v>
      </c>
      <c r="I29" s="43">
        <f t="shared" si="4"/>
        <v>64011364.843823656</v>
      </c>
    </row>
    <row r="30" spans="3:13" x14ac:dyDescent="0.25">
      <c r="C30" s="44" t="s">
        <v>13</v>
      </c>
      <c r="D30" s="45">
        <f>+D17+D13+D9+D5</f>
        <v>398062</v>
      </c>
      <c r="E30" s="45">
        <f>+E17+E13+E9+E5</f>
        <v>825839.5168837813</v>
      </c>
      <c r="F30" s="45">
        <f>+F17+F13+F9+F5</f>
        <v>1671391.3999125001</v>
      </c>
      <c r="G30" s="45">
        <f>+G17+G13+G9+G5</f>
        <v>4717814.9842945002</v>
      </c>
      <c r="H30" s="45">
        <f>+H17+H13+H9+H5</f>
        <v>1260064.0598160878</v>
      </c>
      <c r="I30" s="46">
        <f>SUM(D30:H30)</f>
        <v>8873171.9609068688</v>
      </c>
    </row>
    <row r="31" spans="3:13" x14ac:dyDescent="0.25">
      <c r="C31" s="47" t="s">
        <v>21</v>
      </c>
      <c r="D31" s="48">
        <f>+D30+D29</f>
        <v>1954674</v>
      </c>
      <c r="E31" s="48">
        <f>+E30+E29</f>
        <v>6911613.406963231</v>
      </c>
      <c r="F31" s="48">
        <f>+F30+F29</f>
        <v>13988203.484750379</v>
      </c>
      <c r="G31" s="48">
        <f>+G30+G29</f>
        <v>39484321.869294509</v>
      </c>
      <c r="H31" s="48">
        <f>+H30+H29</f>
        <v>10545724.04372241</v>
      </c>
      <c r="I31" s="49">
        <f>SUM(D31:H31)</f>
        <v>72884536.804730535</v>
      </c>
    </row>
    <row r="32" spans="3:13" s="54" customFormat="1" x14ac:dyDescent="0.25">
      <c r="C32" s="44" t="s">
        <v>23</v>
      </c>
      <c r="D32" s="56">
        <f>+D14+D10+D6</f>
        <v>57824</v>
      </c>
      <c r="E32" s="56">
        <f>+E14+E10+E6</f>
        <v>195809.77491330629</v>
      </c>
      <c r="F32" s="56">
        <f>+F14+F10+F6</f>
        <v>757788.39790037833</v>
      </c>
      <c r="G32" s="56">
        <f>+G14+G10+G6</f>
        <v>2172241.6243060892</v>
      </c>
      <c r="H32" s="56">
        <f>+H14+H10+H6</f>
        <v>2422354.8477516416</v>
      </c>
      <c r="I32" s="55">
        <f>SUM(D32:H32)</f>
        <v>5606018.6448714156</v>
      </c>
    </row>
    <row r="33" spans="3:9" s="53" customFormat="1" ht="15.75" thickBot="1" x14ac:dyDescent="0.3">
      <c r="C33" s="50" t="s">
        <v>24</v>
      </c>
      <c r="D33" s="51">
        <f>+D31+D32</f>
        <v>2012498</v>
      </c>
      <c r="E33" s="51">
        <f>+E31+E32</f>
        <v>7107423.1818765374</v>
      </c>
      <c r="F33" s="51">
        <f>+F31+F32</f>
        <v>14745991.882650757</v>
      </c>
      <c r="G33" s="51">
        <f>+G31+G32</f>
        <v>41656563.493600599</v>
      </c>
      <c r="H33" s="51">
        <f>+H31+H32</f>
        <v>12968078.891474051</v>
      </c>
      <c r="I33" s="52">
        <f>SUM(D33:H33)</f>
        <v>78490555.449601948</v>
      </c>
    </row>
    <row r="35" spans="3:9" hidden="1" x14ac:dyDescent="0.25">
      <c r="C35" t="s">
        <v>13</v>
      </c>
      <c r="D35" s="5">
        <v>0.13569999999999999</v>
      </c>
      <c r="E35" s="2"/>
      <c r="F35" s="2"/>
      <c r="G35" s="2"/>
      <c r="H35" s="2"/>
    </row>
    <row r="36" spans="3:9" hidden="1" x14ac:dyDescent="0.25">
      <c r="C36" t="s">
        <v>12</v>
      </c>
      <c r="D36" s="5">
        <v>5.9400000000000001E-2</v>
      </c>
      <c r="E36" s="2"/>
      <c r="F36" s="2"/>
      <c r="G36" s="2"/>
      <c r="H36" s="2"/>
    </row>
  </sheetData>
  <mergeCells count="1">
    <mergeCell ref="N12:U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G110"/>
  <sheetViews>
    <sheetView tabSelected="1" view="pageBreakPreview" topLeftCell="A2" zoomScaleNormal="100" zoomScaleSheetLayoutView="100" workbookViewId="0">
      <selection activeCell="Q61" sqref="Q61"/>
    </sheetView>
  </sheetViews>
  <sheetFormatPr defaultRowHeight="15" x14ac:dyDescent="0.25"/>
  <cols>
    <col min="1" max="1" width="1" customWidth="1"/>
    <col min="2" max="2" width="27.85546875" bestFit="1" customWidth="1"/>
    <col min="3" max="3" width="9.42578125" customWidth="1"/>
    <col min="4" max="4" width="8" bestFit="1" customWidth="1"/>
    <col min="5" max="7" width="9" bestFit="1" customWidth="1"/>
    <col min="8" max="8" width="8" bestFit="1" customWidth="1"/>
    <col min="9" max="9" width="10" bestFit="1" customWidth="1"/>
    <col min="10" max="15" width="8" bestFit="1" customWidth="1"/>
    <col min="16" max="16" width="8.7109375" bestFit="1" customWidth="1"/>
    <col min="17" max="18" width="8" bestFit="1" customWidth="1"/>
    <col min="19" max="19" width="6.85546875" bestFit="1" customWidth="1"/>
    <col min="20" max="20" width="7.5703125" bestFit="1" customWidth="1"/>
    <col min="21" max="21" width="6.7109375" bestFit="1" customWidth="1"/>
    <col min="22" max="22" width="6.42578125" bestFit="1" customWidth="1"/>
    <col min="23" max="23" width="7.140625" bestFit="1" customWidth="1"/>
    <col min="24" max="24" width="7" bestFit="1" customWidth="1"/>
    <col min="25" max="25" width="6.7109375" bestFit="1" customWidth="1"/>
    <col min="26" max="27" width="8" bestFit="1" customWidth="1"/>
    <col min="28" max="28" width="6.5703125" bestFit="1" customWidth="1"/>
    <col min="29" max="29" width="7" bestFit="1" customWidth="1"/>
    <col min="30" max="30" width="7.28515625" bestFit="1" customWidth="1"/>
    <col min="31" max="34" width="8" bestFit="1" customWidth="1"/>
    <col min="35" max="35" width="7.140625" bestFit="1" customWidth="1"/>
    <col min="36" max="36" width="7" bestFit="1" customWidth="1"/>
    <col min="37" max="37" width="6.7109375" bestFit="1" customWidth="1"/>
    <col min="38" max="38" width="7.28515625" bestFit="1" customWidth="1"/>
    <col min="39" max="51" width="8" bestFit="1" customWidth="1"/>
    <col min="52" max="52" width="6.5703125" bestFit="1" customWidth="1"/>
    <col min="53" max="53" width="7" bestFit="1" customWidth="1"/>
    <col min="54" max="54" width="7.28515625" bestFit="1" customWidth="1"/>
    <col min="55" max="55" width="6.85546875" bestFit="1" customWidth="1"/>
    <col min="56" max="56" width="7.5703125" bestFit="1" customWidth="1"/>
    <col min="57" max="57" width="6.7109375" bestFit="1" customWidth="1"/>
    <col min="58" max="58" width="6.140625" bestFit="1" customWidth="1"/>
    <col min="59" max="59" width="7.140625" bestFit="1" customWidth="1"/>
    <col min="60" max="60" width="7" bestFit="1" customWidth="1"/>
    <col min="61" max="61" width="6.7109375" bestFit="1" customWidth="1"/>
    <col min="62" max="62" width="7.28515625" bestFit="1" customWidth="1"/>
    <col min="63" max="63" width="7" bestFit="1" customWidth="1"/>
  </cols>
  <sheetData>
    <row r="1" spans="2:63" hidden="1" x14ac:dyDescent="0.25">
      <c r="D1">
        <f>YEAR(D4)</f>
        <v>2020</v>
      </c>
      <c r="E1">
        <f t="shared" ref="E1:BK1" si="0">YEAR(E4)</f>
        <v>2020</v>
      </c>
      <c r="F1">
        <f t="shared" si="0"/>
        <v>2020</v>
      </c>
      <c r="G1">
        <f t="shared" si="0"/>
        <v>2020</v>
      </c>
      <c r="H1">
        <f t="shared" si="0"/>
        <v>2020</v>
      </c>
      <c r="I1">
        <f t="shared" si="0"/>
        <v>2020</v>
      </c>
      <c r="J1">
        <f t="shared" si="0"/>
        <v>2020</v>
      </c>
      <c r="K1">
        <f t="shared" si="0"/>
        <v>2020</v>
      </c>
      <c r="L1">
        <f t="shared" si="0"/>
        <v>2020</v>
      </c>
      <c r="M1">
        <f t="shared" si="0"/>
        <v>2020</v>
      </c>
      <c r="N1">
        <f t="shared" si="0"/>
        <v>2020</v>
      </c>
      <c r="O1">
        <f t="shared" si="0"/>
        <v>2020</v>
      </c>
      <c r="P1">
        <f t="shared" si="0"/>
        <v>2021</v>
      </c>
      <c r="Q1">
        <f t="shared" si="0"/>
        <v>2021</v>
      </c>
      <c r="R1">
        <f t="shared" si="0"/>
        <v>2021</v>
      </c>
      <c r="S1">
        <f t="shared" si="0"/>
        <v>2021</v>
      </c>
      <c r="T1">
        <f t="shared" si="0"/>
        <v>2021</v>
      </c>
      <c r="U1">
        <f t="shared" si="0"/>
        <v>2021</v>
      </c>
      <c r="V1">
        <f t="shared" si="0"/>
        <v>2021</v>
      </c>
      <c r="W1">
        <f t="shared" si="0"/>
        <v>2021</v>
      </c>
      <c r="X1">
        <f t="shared" si="0"/>
        <v>2021</v>
      </c>
      <c r="Y1">
        <f t="shared" si="0"/>
        <v>2021</v>
      </c>
      <c r="Z1">
        <f t="shared" si="0"/>
        <v>2021</v>
      </c>
      <c r="AA1">
        <f t="shared" si="0"/>
        <v>2021</v>
      </c>
      <c r="AB1">
        <f t="shared" si="0"/>
        <v>2022</v>
      </c>
      <c r="AC1">
        <f t="shared" si="0"/>
        <v>2022</v>
      </c>
      <c r="AD1">
        <f t="shared" si="0"/>
        <v>2022</v>
      </c>
      <c r="AE1">
        <f t="shared" si="0"/>
        <v>2022</v>
      </c>
      <c r="AF1">
        <f t="shared" si="0"/>
        <v>2022</v>
      </c>
      <c r="AG1">
        <f t="shared" si="0"/>
        <v>2022</v>
      </c>
      <c r="AH1">
        <f t="shared" si="0"/>
        <v>2022</v>
      </c>
      <c r="AI1">
        <f t="shared" si="0"/>
        <v>2022</v>
      </c>
      <c r="AJ1">
        <f t="shared" si="0"/>
        <v>2022</v>
      </c>
      <c r="AK1">
        <f t="shared" si="0"/>
        <v>2022</v>
      </c>
      <c r="AL1">
        <f t="shared" si="0"/>
        <v>2022</v>
      </c>
      <c r="AM1">
        <f t="shared" si="0"/>
        <v>2022</v>
      </c>
      <c r="AN1">
        <f t="shared" si="0"/>
        <v>2023</v>
      </c>
      <c r="AO1">
        <f t="shared" si="0"/>
        <v>2023</v>
      </c>
      <c r="AP1">
        <f t="shared" si="0"/>
        <v>2023</v>
      </c>
      <c r="AQ1">
        <f t="shared" si="0"/>
        <v>2023</v>
      </c>
      <c r="AR1">
        <f t="shared" si="0"/>
        <v>2023</v>
      </c>
      <c r="AS1">
        <f t="shared" si="0"/>
        <v>2023</v>
      </c>
      <c r="AT1">
        <f t="shared" si="0"/>
        <v>2023</v>
      </c>
      <c r="AU1">
        <f t="shared" si="0"/>
        <v>2023</v>
      </c>
      <c r="AV1">
        <f t="shared" si="0"/>
        <v>2023</v>
      </c>
      <c r="AW1">
        <f t="shared" si="0"/>
        <v>2023</v>
      </c>
      <c r="AX1">
        <f t="shared" si="0"/>
        <v>2023</v>
      </c>
      <c r="AY1">
        <f t="shared" si="0"/>
        <v>2023</v>
      </c>
      <c r="AZ1">
        <f t="shared" si="0"/>
        <v>2024</v>
      </c>
      <c r="BA1">
        <f t="shared" si="0"/>
        <v>2024</v>
      </c>
      <c r="BB1">
        <f t="shared" si="0"/>
        <v>2024</v>
      </c>
      <c r="BC1">
        <f t="shared" si="0"/>
        <v>2024</v>
      </c>
      <c r="BD1">
        <f t="shared" si="0"/>
        <v>2024</v>
      </c>
      <c r="BE1">
        <f t="shared" si="0"/>
        <v>2024</v>
      </c>
      <c r="BF1">
        <f t="shared" si="0"/>
        <v>2024</v>
      </c>
      <c r="BG1">
        <f t="shared" si="0"/>
        <v>2024</v>
      </c>
      <c r="BH1">
        <f t="shared" si="0"/>
        <v>2024</v>
      </c>
      <c r="BI1">
        <f t="shared" si="0"/>
        <v>2024</v>
      </c>
      <c r="BJ1">
        <f t="shared" si="0"/>
        <v>2024</v>
      </c>
      <c r="BK1">
        <f t="shared" si="0"/>
        <v>2024</v>
      </c>
    </row>
    <row r="2" spans="2:63" x14ac:dyDescent="0.25">
      <c r="B2" s="120" t="s">
        <v>40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  <c r="Q2" s="121"/>
    </row>
    <row r="3" spans="2:63" ht="15.75" thickBot="1" x14ac:dyDescent="0.3">
      <c r="B3" s="122" t="s">
        <v>41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S3" t="s">
        <v>43</v>
      </c>
      <c r="AH3" t="s">
        <v>43</v>
      </c>
      <c r="AX3" t="s">
        <v>43</v>
      </c>
    </row>
    <row r="4" spans="2:63" ht="15.75" thickBot="1" x14ac:dyDescent="0.3">
      <c r="B4" s="13" t="s">
        <v>0</v>
      </c>
      <c r="C4" s="14" t="s">
        <v>10</v>
      </c>
      <c r="D4" s="62">
        <v>43831</v>
      </c>
      <c r="E4" s="62">
        <v>43862</v>
      </c>
      <c r="F4" s="62">
        <v>43891</v>
      </c>
      <c r="G4" s="62">
        <v>43922</v>
      </c>
      <c r="H4" s="62">
        <v>43952</v>
      </c>
      <c r="I4" s="62">
        <v>43983</v>
      </c>
      <c r="J4" s="62">
        <v>44013</v>
      </c>
      <c r="K4" s="62">
        <v>44044</v>
      </c>
      <c r="L4" s="62">
        <v>44075</v>
      </c>
      <c r="M4" s="62">
        <v>44105</v>
      </c>
      <c r="N4" s="62">
        <v>44136</v>
      </c>
      <c r="O4" s="62">
        <v>44166</v>
      </c>
      <c r="P4" s="62">
        <v>44197</v>
      </c>
      <c r="Q4" s="62">
        <v>44228</v>
      </c>
      <c r="R4" s="63">
        <v>44256</v>
      </c>
      <c r="S4" s="62">
        <v>44287</v>
      </c>
      <c r="T4" s="62">
        <v>44317</v>
      </c>
      <c r="U4" s="62">
        <v>44348</v>
      </c>
      <c r="V4" s="62">
        <v>44378</v>
      </c>
      <c r="W4" s="62">
        <v>44409</v>
      </c>
      <c r="X4" s="62">
        <v>44440</v>
      </c>
      <c r="Y4" s="62">
        <v>44470</v>
      </c>
      <c r="Z4" s="62">
        <v>44501</v>
      </c>
      <c r="AA4" s="62">
        <v>44531</v>
      </c>
      <c r="AB4" s="62">
        <v>44562</v>
      </c>
      <c r="AC4" s="62">
        <v>44593</v>
      </c>
      <c r="AD4" s="62">
        <v>44621</v>
      </c>
      <c r="AE4" s="62">
        <v>44652</v>
      </c>
      <c r="AF4" s="62">
        <v>44682</v>
      </c>
      <c r="AG4" s="62">
        <v>44713</v>
      </c>
      <c r="AH4" s="62">
        <v>44743</v>
      </c>
      <c r="AI4" s="62">
        <v>44774</v>
      </c>
      <c r="AJ4" s="62">
        <v>44805</v>
      </c>
      <c r="AK4" s="62">
        <v>44835</v>
      </c>
      <c r="AL4" s="62">
        <v>44866</v>
      </c>
      <c r="AM4" s="62">
        <v>44896</v>
      </c>
      <c r="AN4" s="62">
        <v>44927</v>
      </c>
      <c r="AO4" s="62">
        <v>44958</v>
      </c>
      <c r="AP4" s="62">
        <v>44986</v>
      </c>
      <c r="AQ4" s="62">
        <v>45017</v>
      </c>
      <c r="AR4" s="62">
        <v>45047</v>
      </c>
      <c r="AS4" s="62">
        <v>45078</v>
      </c>
      <c r="AT4" s="62">
        <v>45108</v>
      </c>
      <c r="AU4" s="62">
        <v>45139</v>
      </c>
      <c r="AV4" s="62">
        <v>45170</v>
      </c>
      <c r="AW4" s="62">
        <v>45200</v>
      </c>
      <c r="AX4" s="62">
        <v>45231</v>
      </c>
      <c r="AY4" s="62">
        <v>45261</v>
      </c>
      <c r="AZ4" s="62">
        <v>45292</v>
      </c>
      <c r="BA4" s="62">
        <v>45323</v>
      </c>
      <c r="BB4" s="62">
        <v>45352</v>
      </c>
      <c r="BC4" s="62">
        <v>45383</v>
      </c>
      <c r="BD4" s="62">
        <v>45413</v>
      </c>
      <c r="BE4" s="63">
        <v>45444</v>
      </c>
      <c r="BF4" s="62">
        <v>45474</v>
      </c>
      <c r="BG4" s="62">
        <v>45505</v>
      </c>
      <c r="BH4" s="62">
        <v>45536</v>
      </c>
      <c r="BI4" s="62">
        <v>45566</v>
      </c>
      <c r="BJ4" s="62">
        <v>45597</v>
      </c>
      <c r="BK4" s="63">
        <v>45627</v>
      </c>
    </row>
    <row r="5" spans="2:63" x14ac:dyDescent="0.25">
      <c r="B5" s="70" t="s">
        <v>32</v>
      </c>
      <c r="C5" s="33">
        <f t="shared" ref="C5:BK5" si="1">SUM(C6:C7)</f>
        <v>340673.68000000005</v>
      </c>
      <c r="D5" s="33">
        <f t="shared" si="1"/>
        <v>647332.14</v>
      </c>
      <c r="E5" s="33">
        <f t="shared" si="1"/>
        <v>252037.97999999992</v>
      </c>
      <c r="F5" s="33">
        <f t="shared" si="1"/>
        <v>404766.37999999989</v>
      </c>
      <c r="G5" s="33">
        <f t="shared" si="1"/>
        <v>395127.11999999994</v>
      </c>
      <c r="H5" s="33">
        <f t="shared" si="1"/>
        <v>172328.01999999987</v>
      </c>
      <c r="I5" s="33">
        <f t="shared" si="1"/>
        <v>171374.1</v>
      </c>
      <c r="J5" s="33">
        <f t="shared" si="1"/>
        <v>126326.96000000004</v>
      </c>
      <c r="K5" s="33">
        <f t="shared" si="1"/>
        <v>97475.219999999987</v>
      </c>
      <c r="L5" s="33">
        <f t="shared" si="1"/>
        <v>90731.56</v>
      </c>
      <c r="M5" s="33">
        <f t="shared" si="1"/>
        <v>130784.81999999998</v>
      </c>
      <c r="N5" s="33">
        <f t="shared" si="1"/>
        <v>134526.55407198024</v>
      </c>
      <c r="O5" s="33">
        <f t="shared" si="1"/>
        <v>356861.70225060667</v>
      </c>
      <c r="P5" s="33">
        <f t="shared" si="1"/>
        <v>-820366</v>
      </c>
      <c r="Q5" s="33">
        <f t="shared" si="1"/>
        <v>34071</v>
      </c>
      <c r="R5" s="34">
        <f t="shared" si="1"/>
        <v>34071</v>
      </c>
      <c r="S5" s="73">
        <f t="shared" si="1"/>
        <v>34071</v>
      </c>
      <c r="T5" s="33">
        <f t="shared" si="1"/>
        <v>45428</v>
      </c>
      <c r="U5" s="33">
        <f t="shared" si="1"/>
        <v>158998</v>
      </c>
      <c r="V5" s="33">
        <f t="shared" si="1"/>
        <v>306639</v>
      </c>
      <c r="W5" s="33">
        <f t="shared" si="1"/>
        <v>397495</v>
      </c>
      <c r="X5" s="33">
        <f t="shared" si="1"/>
        <v>852778.95880000002</v>
      </c>
      <c r="Y5" s="33">
        <f t="shared" si="1"/>
        <v>997087.81499999994</v>
      </c>
      <c r="Z5" s="33">
        <f t="shared" si="1"/>
        <v>1087921.101</v>
      </c>
      <c r="AA5" s="33">
        <f t="shared" si="1"/>
        <v>1741599.3798140001</v>
      </c>
      <c r="AB5" s="33">
        <f t="shared" si="1"/>
        <v>874396.17458523496</v>
      </c>
      <c r="AC5" s="33">
        <f t="shared" si="1"/>
        <v>654452.97001880745</v>
      </c>
      <c r="AD5" s="33">
        <f t="shared" si="1"/>
        <v>203075.07918302115</v>
      </c>
      <c r="AE5" s="33">
        <f t="shared" si="1"/>
        <v>1521292.1049448261</v>
      </c>
      <c r="AF5" s="33">
        <f t="shared" si="1"/>
        <v>2577064.3817494577</v>
      </c>
      <c r="AG5" s="33">
        <f t="shared" si="1"/>
        <v>2366023.1581486738</v>
      </c>
      <c r="AH5" s="33">
        <f t="shared" si="1"/>
        <v>1521292.1049448261</v>
      </c>
      <c r="AI5" s="33">
        <f t="shared" si="1"/>
        <v>203075.07918302115</v>
      </c>
      <c r="AJ5" s="33">
        <f t="shared" si="1"/>
        <v>203075.07918302115</v>
      </c>
      <c r="AK5" s="33">
        <f t="shared" si="1"/>
        <v>639388.8071321313</v>
      </c>
      <c r="AL5" s="33">
        <f t="shared" si="1"/>
        <v>415680.48092813062</v>
      </c>
      <c r="AM5" s="33">
        <f t="shared" si="1"/>
        <v>895928.0766066931</v>
      </c>
      <c r="AN5" s="33">
        <f t="shared" si="1"/>
        <v>3974950</v>
      </c>
      <c r="AO5" s="33">
        <f t="shared" si="1"/>
        <v>5565315.2476112004</v>
      </c>
      <c r="AP5" s="33">
        <f t="shared" si="1"/>
        <v>6701015.2476112004</v>
      </c>
      <c r="AQ5" s="33">
        <f t="shared" si="1"/>
        <v>6701015.2476112004</v>
      </c>
      <c r="AR5" s="33">
        <f t="shared" si="1"/>
        <v>5565315.2476112004</v>
      </c>
      <c r="AS5" s="33">
        <f t="shared" si="1"/>
        <v>5565315.2476112004</v>
      </c>
      <c r="AT5" s="33">
        <f t="shared" si="1"/>
        <v>2278278.46</v>
      </c>
      <c r="AU5" s="33">
        <f t="shared" si="1"/>
        <v>0</v>
      </c>
      <c r="AV5" s="33">
        <f t="shared" si="1"/>
        <v>0</v>
      </c>
      <c r="AW5" s="33">
        <f t="shared" si="1"/>
        <v>0</v>
      </c>
      <c r="AX5" s="33">
        <f t="shared" si="1"/>
        <v>0</v>
      </c>
      <c r="AY5" s="59">
        <f t="shared" si="1"/>
        <v>0</v>
      </c>
      <c r="AZ5" s="59">
        <f t="shared" si="1"/>
        <v>0</v>
      </c>
      <c r="BA5" s="59">
        <f t="shared" si="1"/>
        <v>0</v>
      </c>
      <c r="BB5" s="59">
        <f t="shared" si="1"/>
        <v>0</v>
      </c>
      <c r="BC5" s="59">
        <f t="shared" si="1"/>
        <v>0</v>
      </c>
      <c r="BD5" s="59">
        <f t="shared" si="1"/>
        <v>0</v>
      </c>
      <c r="BE5" s="59">
        <f t="shared" si="1"/>
        <v>0</v>
      </c>
      <c r="BF5" s="59">
        <f t="shared" si="1"/>
        <v>0</v>
      </c>
      <c r="BG5" s="59">
        <f t="shared" si="1"/>
        <v>0</v>
      </c>
      <c r="BH5" s="59">
        <f t="shared" si="1"/>
        <v>0</v>
      </c>
      <c r="BI5" s="59">
        <f t="shared" si="1"/>
        <v>0</v>
      </c>
      <c r="BJ5" s="59">
        <f t="shared" si="1"/>
        <v>0</v>
      </c>
      <c r="BK5" s="34">
        <f t="shared" si="1"/>
        <v>0</v>
      </c>
    </row>
    <row r="6" spans="2:63" hidden="1" x14ac:dyDescent="0.25">
      <c r="B6" s="19" t="s">
        <v>11</v>
      </c>
      <c r="C6" s="24">
        <v>294444.26162400004</v>
      </c>
      <c r="D6" s="25">
        <v>559489.16860199999</v>
      </c>
      <c r="E6" s="24">
        <v>217836.42611399994</v>
      </c>
      <c r="F6" s="25">
        <v>349839.58223399991</v>
      </c>
      <c r="G6" s="24">
        <v>341508.36981599993</v>
      </c>
      <c r="H6" s="24">
        <v>148943.10768599989</v>
      </c>
      <c r="I6" s="24">
        <v>148118.63463000002</v>
      </c>
      <c r="J6" s="24">
        <v>109184.39152800004</v>
      </c>
      <c r="K6" s="24">
        <v>84247.832645999995</v>
      </c>
      <c r="L6" s="24">
        <v>78419.287307999999</v>
      </c>
      <c r="M6" s="24">
        <v>113037.31992599998</v>
      </c>
      <c r="N6" s="24">
        <v>118452.54386896208</v>
      </c>
      <c r="O6" s="24">
        <v>314221.80351378594</v>
      </c>
      <c r="P6" s="24">
        <v>-1119240</v>
      </c>
      <c r="Q6" s="24">
        <v>30000</v>
      </c>
      <c r="R6" s="31">
        <v>30000</v>
      </c>
      <c r="S6" s="74">
        <v>30000</v>
      </c>
      <c r="T6" s="24">
        <v>40000</v>
      </c>
      <c r="U6" s="24">
        <v>140000</v>
      </c>
      <c r="V6" s="24">
        <v>270000</v>
      </c>
      <c r="W6" s="24">
        <v>350000</v>
      </c>
      <c r="X6" s="24">
        <v>750884</v>
      </c>
      <c r="Y6" s="24">
        <v>877950</v>
      </c>
      <c r="Z6" s="24">
        <v>957930</v>
      </c>
      <c r="AA6" s="24">
        <v>1533503.02</v>
      </c>
      <c r="AB6" s="24">
        <v>769918.26590229373</v>
      </c>
      <c r="AC6" s="24">
        <v>576255.14662217791</v>
      </c>
      <c r="AD6" s="24">
        <v>178810.49501014454</v>
      </c>
      <c r="AE6" s="24">
        <v>1339519.3316411255</v>
      </c>
      <c r="AF6" s="24">
        <v>2269141.8347710292</v>
      </c>
      <c r="AG6" s="24">
        <v>2083317.0363200437</v>
      </c>
      <c r="AH6" s="24">
        <v>1339519.3316411255</v>
      </c>
      <c r="AI6" s="24">
        <v>178810.49501014454</v>
      </c>
      <c r="AJ6" s="24">
        <v>178810.49501014454</v>
      </c>
      <c r="AK6" s="24">
        <v>562990.93698347395</v>
      </c>
      <c r="AL6" s="24">
        <v>366012.57456029818</v>
      </c>
      <c r="AM6" s="24">
        <v>788877.41182239424</v>
      </c>
      <c r="AN6" s="24">
        <v>3500000</v>
      </c>
      <c r="AO6" s="24">
        <v>4900339.216</v>
      </c>
      <c r="AP6" s="24">
        <v>5900339.216</v>
      </c>
      <c r="AQ6" s="24">
        <v>5900339.216</v>
      </c>
      <c r="AR6" s="24">
        <v>4900339.216</v>
      </c>
      <c r="AS6" s="24">
        <v>4900339.216</v>
      </c>
      <c r="AT6" s="24">
        <v>2000000</v>
      </c>
      <c r="AU6" s="24">
        <v>0</v>
      </c>
      <c r="AV6" s="24">
        <v>0</v>
      </c>
      <c r="AW6" s="24">
        <v>0</v>
      </c>
      <c r="AX6" s="24">
        <v>0</v>
      </c>
      <c r="AY6" s="58">
        <v>0</v>
      </c>
      <c r="AZ6" s="58">
        <v>0</v>
      </c>
      <c r="BA6" s="58">
        <v>0</v>
      </c>
      <c r="BB6" s="58">
        <v>0</v>
      </c>
      <c r="BC6" s="58">
        <v>0</v>
      </c>
      <c r="BD6" s="58">
        <v>0</v>
      </c>
      <c r="BE6" s="58">
        <v>0</v>
      </c>
      <c r="BF6" s="58">
        <v>0</v>
      </c>
      <c r="BG6" s="58">
        <v>0</v>
      </c>
      <c r="BH6" s="58">
        <v>0</v>
      </c>
      <c r="BI6" s="58">
        <v>0</v>
      </c>
      <c r="BJ6" s="58">
        <v>0</v>
      </c>
      <c r="BK6" s="31">
        <v>0</v>
      </c>
    </row>
    <row r="7" spans="2:63" hidden="1" x14ac:dyDescent="0.25">
      <c r="B7" s="19" t="s">
        <v>13</v>
      </c>
      <c r="C7" s="28">
        <v>46229.418376000001</v>
      </c>
      <c r="D7" s="40">
        <v>87842.971397999994</v>
      </c>
      <c r="E7" s="28">
        <v>34201.553885999987</v>
      </c>
      <c r="F7" s="40">
        <v>54926.797765999981</v>
      </c>
      <c r="G7" s="28">
        <v>53618.75018399999</v>
      </c>
      <c r="H7" s="28">
        <v>23384.912313999979</v>
      </c>
      <c r="I7" s="28">
        <v>23255.465369999998</v>
      </c>
      <c r="J7" s="28">
        <v>17142.568472000003</v>
      </c>
      <c r="K7" s="28">
        <v>13227.387353999997</v>
      </c>
      <c r="L7" s="28">
        <v>12312.272691999999</v>
      </c>
      <c r="M7" s="28">
        <v>17747.500073999996</v>
      </c>
      <c r="N7" s="28">
        <v>16074.010203018155</v>
      </c>
      <c r="O7" s="28">
        <v>42639.898736820745</v>
      </c>
      <c r="P7" s="28">
        <v>298874</v>
      </c>
      <c r="Q7" s="28">
        <v>4070.9999999999995</v>
      </c>
      <c r="R7" s="32">
        <v>4070.9999999999995</v>
      </c>
      <c r="S7" s="75">
        <v>4070.9999999999995</v>
      </c>
      <c r="T7" s="28">
        <v>5427.9999999999991</v>
      </c>
      <c r="U7" s="28">
        <v>18998</v>
      </c>
      <c r="V7" s="28">
        <v>36639</v>
      </c>
      <c r="W7" s="28">
        <v>47494.999999999993</v>
      </c>
      <c r="X7" s="28">
        <v>101894.95879999999</v>
      </c>
      <c r="Y7" s="28">
        <v>119137.81499999999</v>
      </c>
      <c r="Z7" s="28">
        <v>129991.101</v>
      </c>
      <c r="AA7" s="28">
        <v>208096.359814</v>
      </c>
      <c r="AB7" s="28">
        <v>104477.90868294127</v>
      </c>
      <c r="AC7" s="28">
        <v>78197.823396629523</v>
      </c>
      <c r="AD7" s="28">
        <v>24264.584172876614</v>
      </c>
      <c r="AE7" s="28">
        <v>181772.77330370073</v>
      </c>
      <c r="AF7" s="28">
        <v>307922.54697842855</v>
      </c>
      <c r="AG7" s="28">
        <v>282706.12182862993</v>
      </c>
      <c r="AH7" s="28">
        <v>181772.7733037007</v>
      </c>
      <c r="AI7" s="28">
        <v>24264.584172876614</v>
      </c>
      <c r="AJ7" s="28">
        <v>24264.584172876614</v>
      </c>
      <c r="AK7" s="28">
        <v>76397.870148657399</v>
      </c>
      <c r="AL7" s="28">
        <v>49667.90636783246</v>
      </c>
      <c r="AM7" s="28">
        <v>107050.66478429889</v>
      </c>
      <c r="AN7" s="28">
        <v>474949.99999999994</v>
      </c>
      <c r="AO7" s="28">
        <v>664976.03161119996</v>
      </c>
      <c r="AP7" s="28">
        <v>800676.03161119996</v>
      </c>
      <c r="AQ7" s="28">
        <v>800676.03161119996</v>
      </c>
      <c r="AR7" s="28">
        <v>664976.03161119996</v>
      </c>
      <c r="AS7" s="28">
        <v>664976.03161119996</v>
      </c>
      <c r="AT7" s="28">
        <v>278278.46000000002</v>
      </c>
      <c r="AU7" s="28">
        <v>0</v>
      </c>
      <c r="AV7" s="28">
        <v>0</v>
      </c>
      <c r="AW7" s="28">
        <v>0</v>
      </c>
      <c r="AX7" s="28">
        <v>0</v>
      </c>
      <c r="AY7" s="66">
        <v>0</v>
      </c>
      <c r="AZ7" s="66">
        <v>0</v>
      </c>
      <c r="BA7" s="66">
        <v>0</v>
      </c>
      <c r="BB7" s="66">
        <v>0</v>
      </c>
      <c r="BC7" s="66">
        <v>0</v>
      </c>
      <c r="BD7" s="66">
        <v>0</v>
      </c>
      <c r="BE7" s="66">
        <v>0</v>
      </c>
      <c r="BF7" s="66">
        <v>0</v>
      </c>
      <c r="BG7" s="66">
        <v>0</v>
      </c>
      <c r="BH7" s="66">
        <v>0</v>
      </c>
      <c r="BI7" s="66">
        <v>0</v>
      </c>
      <c r="BJ7" s="66">
        <v>0</v>
      </c>
      <c r="BK7" s="32">
        <v>0</v>
      </c>
    </row>
    <row r="8" spans="2:63" x14ac:dyDescent="0.25">
      <c r="B8" s="18" t="s">
        <v>33</v>
      </c>
      <c r="C8" s="37">
        <f t="shared" ref="C8:BK8" si="2">SUM(C9:C10)</f>
        <v>0</v>
      </c>
      <c r="D8" s="37">
        <f t="shared" si="2"/>
        <v>0</v>
      </c>
      <c r="E8" s="37">
        <f t="shared" si="2"/>
        <v>0</v>
      </c>
      <c r="F8" s="37">
        <f t="shared" si="2"/>
        <v>0</v>
      </c>
      <c r="G8" s="37">
        <f t="shared" si="2"/>
        <v>0</v>
      </c>
      <c r="H8" s="37">
        <f t="shared" si="2"/>
        <v>0</v>
      </c>
      <c r="I8" s="37">
        <f t="shared" si="2"/>
        <v>0</v>
      </c>
      <c r="J8" s="37">
        <f t="shared" si="2"/>
        <v>1292.4199999999996</v>
      </c>
      <c r="K8" s="37">
        <f t="shared" si="2"/>
        <v>0</v>
      </c>
      <c r="L8" s="37">
        <f t="shared" si="2"/>
        <v>0</v>
      </c>
      <c r="M8" s="37">
        <f t="shared" si="2"/>
        <v>601.48</v>
      </c>
      <c r="N8" s="37">
        <f t="shared" si="2"/>
        <v>109018.84409295364</v>
      </c>
      <c r="O8" s="37">
        <f t="shared" si="2"/>
        <v>301778.21309679997</v>
      </c>
      <c r="P8" s="37">
        <f t="shared" si="2"/>
        <v>398278</v>
      </c>
      <c r="Q8" s="37">
        <f t="shared" si="2"/>
        <v>22714</v>
      </c>
      <c r="R8" s="36">
        <f t="shared" si="2"/>
        <v>22714</v>
      </c>
      <c r="S8" s="76">
        <f t="shared" si="2"/>
        <v>22714</v>
      </c>
      <c r="T8" s="37">
        <f t="shared" si="2"/>
        <v>34071</v>
      </c>
      <c r="U8" s="37">
        <f t="shared" si="2"/>
        <v>90856</v>
      </c>
      <c r="V8" s="37">
        <f t="shared" si="2"/>
        <v>136284</v>
      </c>
      <c r="W8" s="37">
        <f t="shared" si="2"/>
        <v>181712</v>
      </c>
      <c r="X8" s="37">
        <f t="shared" si="2"/>
        <v>708676.8</v>
      </c>
      <c r="Y8" s="37">
        <f t="shared" si="2"/>
        <v>854046.4</v>
      </c>
      <c r="Z8" s="37">
        <f t="shared" si="2"/>
        <v>2580121.9310239255</v>
      </c>
      <c r="AA8" s="37">
        <f t="shared" si="2"/>
        <v>2039555.998742</v>
      </c>
      <c r="AB8" s="37">
        <f t="shared" si="2"/>
        <v>904459.70676726662</v>
      </c>
      <c r="AC8" s="37">
        <f t="shared" si="2"/>
        <v>913088.87776201032</v>
      </c>
      <c r="AD8" s="37">
        <f t="shared" si="2"/>
        <v>937051.95758893481</v>
      </c>
      <c r="AE8" s="37">
        <f t="shared" si="2"/>
        <v>886118.388286651</v>
      </c>
      <c r="AF8" s="37">
        <f t="shared" si="2"/>
        <v>868611.63750557904</v>
      </c>
      <c r="AG8" s="37">
        <f t="shared" si="2"/>
        <v>1378155.2015769072</v>
      </c>
      <c r="AH8" s="37">
        <f t="shared" si="2"/>
        <v>886118.388286651</v>
      </c>
      <c r="AI8" s="37">
        <f t="shared" si="2"/>
        <v>937051.95758893481</v>
      </c>
      <c r="AJ8" s="37">
        <f t="shared" si="2"/>
        <v>937051.95758893481</v>
      </c>
      <c r="AK8" s="37">
        <f t="shared" si="2"/>
        <v>914429.31138691679</v>
      </c>
      <c r="AL8" s="37">
        <f t="shared" si="2"/>
        <v>925364.91447461187</v>
      </c>
      <c r="AM8" s="37">
        <f t="shared" si="2"/>
        <v>5389514.3019543039</v>
      </c>
      <c r="AN8" s="37">
        <f t="shared" si="2"/>
        <v>1702649.0737583041</v>
      </c>
      <c r="AO8" s="37">
        <f t="shared" si="2"/>
        <v>1704861.7031516968</v>
      </c>
      <c r="AP8" s="37">
        <f t="shared" si="2"/>
        <v>1704861.7031516968</v>
      </c>
      <c r="AQ8" s="37">
        <f t="shared" si="2"/>
        <v>1698287.5224648269</v>
      </c>
      <c r="AR8" s="37">
        <f t="shared" si="2"/>
        <v>1702649.0737583041</v>
      </c>
      <c r="AS8" s="37">
        <f t="shared" si="2"/>
        <v>3087949.9898582618</v>
      </c>
      <c r="AT8" s="37">
        <f t="shared" si="2"/>
        <v>1844774.180834607</v>
      </c>
      <c r="AU8" s="37">
        <f t="shared" si="2"/>
        <v>2050598.1871235727</v>
      </c>
      <c r="AV8" s="37">
        <f t="shared" si="2"/>
        <v>1696244.8415811879</v>
      </c>
      <c r="AW8" s="37">
        <f t="shared" si="2"/>
        <v>1694599.1719886635</v>
      </c>
      <c r="AX8" s="37">
        <f t="shared" si="2"/>
        <v>1971865.5547578607</v>
      </c>
      <c r="AY8" s="60">
        <f t="shared" si="2"/>
        <v>3588364.6910162037</v>
      </c>
      <c r="AZ8" s="60">
        <f t="shared" si="2"/>
        <v>86584.443016666657</v>
      </c>
      <c r="BA8" s="60">
        <f t="shared" si="2"/>
        <v>86584.443016666657</v>
      </c>
      <c r="BB8" s="60">
        <f t="shared" si="2"/>
        <v>86584.443016666657</v>
      </c>
      <c r="BC8" s="60">
        <f t="shared" si="2"/>
        <v>86584.443016666657</v>
      </c>
      <c r="BD8" s="60">
        <f t="shared" si="2"/>
        <v>86584.443016666657</v>
      </c>
      <c r="BE8" s="60">
        <f t="shared" si="2"/>
        <v>549308.37251666666</v>
      </c>
      <c r="BF8" s="60">
        <f t="shared" si="2"/>
        <v>0</v>
      </c>
      <c r="BG8" s="60">
        <f t="shared" si="2"/>
        <v>0</v>
      </c>
      <c r="BH8" s="60">
        <f t="shared" si="2"/>
        <v>0</v>
      </c>
      <c r="BI8" s="60">
        <f t="shared" si="2"/>
        <v>0</v>
      </c>
      <c r="BJ8" s="60">
        <f t="shared" si="2"/>
        <v>0</v>
      </c>
      <c r="BK8" s="36">
        <f t="shared" si="2"/>
        <v>0</v>
      </c>
    </row>
    <row r="9" spans="2:63" hidden="1" x14ac:dyDescent="0.25">
      <c r="B9" s="19" t="s">
        <v>11</v>
      </c>
      <c r="C9" s="27">
        <v>0</v>
      </c>
      <c r="D9" s="24">
        <v>0</v>
      </c>
      <c r="E9" s="27">
        <v>0</v>
      </c>
      <c r="F9" s="24">
        <v>0</v>
      </c>
      <c r="G9" s="27">
        <v>0</v>
      </c>
      <c r="H9" s="24">
        <v>0</v>
      </c>
      <c r="I9" s="24">
        <v>0</v>
      </c>
      <c r="J9" s="24">
        <v>1117.0386059999996</v>
      </c>
      <c r="K9" s="24">
        <v>0</v>
      </c>
      <c r="L9" s="24">
        <v>0</v>
      </c>
      <c r="M9" s="24">
        <v>519.85916399999996</v>
      </c>
      <c r="N9" s="24">
        <v>95992.642505022144</v>
      </c>
      <c r="O9" s="24">
        <v>265720.00800986175</v>
      </c>
      <c r="P9" s="24">
        <v>294256</v>
      </c>
      <c r="Q9" s="24">
        <v>20000</v>
      </c>
      <c r="R9" s="31">
        <v>20000</v>
      </c>
      <c r="S9" s="74">
        <v>20000</v>
      </c>
      <c r="T9" s="24">
        <v>30000</v>
      </c>
      <c r="U9" s="24">
        <v>80000</v>
      </c>
      <c r="V9" s="24">
        <v>120000</v>
      </c>
      <c r="W9" s="24">
        <v>160000</v>
      </c>
      <c r="X9" s="24">
        <v>624000</v>
      </c>
      <c r="Y9" s="24">
        <v>752000</v>
      </c>
      <c r="Z9" s="24">
        <v>2271834.0503864801</v>
      </c>
      <c r="AA9" s="24">
        <v>1795858.06</v>
      </c>
      <c r="AB9" s="24">
        <v>796389.63350115926</v>
      </c>
      <c r="AC9" s="24">
        <v>803987.7412714716</v>
      </c>
      <c r="AD9" s="24">
        <v>825087.57382137433</v>
      </c>
      <c r="AE9" s="24">
        <v>780239.84175984061</v>
      </c>
      <c r="AF9" s="24">
        <v>764824.89874577709</v>
      </c>
      <c r="AG9" s="24">
        <v>1213485.2527752991</v>
      </c>
      <c r="AH9" s="24">
        <v>780239.84175984061</v>
      </c>
      <c r="AI9" s="24">
        <v>825087.57382137433</v>
      </c>
      <c r="AJ9" s="24">
        <v>825087.57382137433</v>
      </c>
      <c r="AK9" s="24">
        <v>805168.01213957625</v>
      </c>
      <c r="AL9" s="24">
        <v>814796.9661658993</v>
      </c>
      <c r="AM9" s="24">
        <v>4745543.9834060967</v>
      </c>
      <c r="AN9" s="24">
        <v>1499206.7216327412</v>
      </c>
      <c r="AO9" s="24">
        <v>1499206.7216327412</v>
      </c>
      <c r="AP9" s="24">
        <v>1499206.7216327412</v>
      </c>
      <c r="AQ9" s="24">
        <v>1495366.3136962464</v>
      </c>
      <c r="AR9" s="24">
        <v>1499206.7216327412</v>
      </c>
      <c r="AS9" s="24">
        <v>2718983.8776598237</v>
      </c>
      <c r="AT9" s="24">
        <v>1624349.899475748</v>
      </c>
      <c r="AU9" s="24">
        <v>1805580.8638932577</v>
      </c>
      <c r="AV9" s="24">
        <v>1493567.7041306577</v>
      </c>
      <c r="AW9" s="24">
        <v>1492118.668652517</v>
      </c>
      <c r="AX9" s="24">
        <v>1736255.6614932294</v>
      </c>
      <c r="AY9" s="58">
        <v>3159606.1380788973</v>
      </c>
      <c r="AZ9" s="58">
        <v>76238.833333333328</v>
      </c>
      <c r="BA9" s="58">
        <v>76238.833333333328</v>
      </c>
      <c r="BB9" s="58">
        <v>76238.833333333328</v>
      </c>
      <c r="BC9" s="58">
        <v>76238.833333333328</v>
      </c>
      <c r="BD9" s="58">
        <v>76238.833333333328</v>
      </c>
      <c r="BE9" s="58">
        <v>483673.83333333331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31">
        <v>0</v>
      </c>
    </row>
    <row r="10" spans="2:63" hidden="1" x14ac:dyDescent="0.25">
      <c r="B10" s="19" t="s">
        <v>13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175.38139399999994</v>
      </c>
      <c r="K10" s="28">
        <v>0</v>
      </c>
      <c r="L10" s="28">
        <v>0</v>
      </c>
      <c r="M10" s="28">
        <v>81.620835999999997</v>
      </c>
      <c r="N10" s="28">
        <v>13026.201587931504</v>
      </c>
      <c r="O10" s="28">
        <v>36058.205086938229</v>
      </c>
      <c r="P10" s="28">
        <v>104022</v>
      </c>
      <c r="Q10" s="28">
        <v>2713.9999999999995</v>
      </c>
      <c r="R10" s="32">
        <v>2713.9999999999995</v>
      </c>
      <c r="S10" s="75">
        <v>2713.9999999999995</v>
      </c>
      <c r="T10" s="28">
        <v>4070.9999999999995</v>
      </c>
      <c r="U10" s="28">
        <v>10855.999999999998</v>
      </c>
      <c r="V10" s="28">
        <v>16283.999999999998</v>
      </c>
      <c r="W10" s="28">
        <v>21711.999999999996</v>
      </c>
      <c r="X10" s="28">
        <v>84676.799999999988</v>
      </c>
      <c r="Y10" s="28">
        <v>102046.39999999999</v>
      </c>
      <c r="Z10" s="28">
        <v>308287.88063744531</v>
      </c>
      <c r="AA10" s="28">
        <v>243697.938742</v>
      </c>
      <c r="AB10" s="28">
        <v>108070.07326610731</v>
      </c>
      <c r="AC10" s="28">
        <v>109101.13649053869</v>
      </c>
      <c r="AD10" s="28">
        <v>111964.38376756049</v>
      </c>
      <c r="AE10" s="28">
        <v>105878.54652681037</v>
      </c>
      <c r="AF10" s="28">
        <v>103786.73875980193</v>
      </c>
      <c r="AG10" s="28">
        <v>164669.94880160809</v>
      </c>
      <c r="AH10" s="28">
        <v>105878.54652681034</v>
      </c>
      <c r="AI10" s="28">
        <v>111964.38376756049</v>
      </c>
      <c r="AJ10" s="28">
        <v>111964.38376756049</v>
      </c>
      <c r="AK10" s="28">
        <v>109261.29924734047</v>
      </c>
      <c r="AL10" s="28">
        <v>110567.94830871253</v>
      </c>
      <c r="AM10" s="28">
        <v>643970.31854820729</v>
      </c>
      <c r="AN10" s="28">
        <v>203442.35212556296</v>
      </c>
      <c r="AO10" s="28">
        <v>205654.98151895564</v>
      </c>
      <c r="AP10" s="28">
        <v>205654.98151895564</v>
      </c>
      <c r="AQ10" s="28">
        <v>202921.2087685806</v>
      </c>
      <c r="AR10" s="28">
        <v>203442.35212556296</v>
      </c>
      <c r="AS10" s="28">
        <v>368966.11219843809</v>
      </c>
      <c r="AT10" s="28">
        <v>220424.28135885898</v>
      </c>
      <c r="AU10" s="28">
        <v>245017.32323031503</v>
      </c>
      <c r="AV10" s="28">
        <v>202677.13745053025</v>
      </c>
      <c r="AW10" s="28">
        <v>202480.50333614653</v>
      </c>
      <c r="AX10" s="28">
        <v>235609.89326463122</v>
      </c>
      <c r="AY10" s="66">
        <v>428758.55293730641</v>
      </c>
      <c r="AZ10" s="66">
        <v>10345.609683333332</v>
      </c>
      <c r="BA10" s="66">
        <v>10345.609683333332</v>
      </c>
      <c r="BB10" s="66">
        <v>10345.609683333332</v>
      </c>
      <c r="BC10" s="66">
        <v>10345.609683333332</v>
      </c>
      <c r="BD10" s="66">
        <v>10345.609683333332</v>
      </c>
      <c r="BE10" s="66">
        <v>65634.539183333327</v>
      </c>
      <c r="BF10" s="66">
        <v>0</v>
      </c>
      <c r="BG10" s="66">
        <v>0</v>
      </c>
      <c r="BH10" s="66">
        <v>0</v>
      </c>
      <c r="BI10" s="66">
        <v>0</v>
      </c>
      <c r="BJ10" s="66">
        <v>0</v>
      </c>
      <c r="BK10" s="32">
        <v>0</v>
      </c>
    </row>
    <row r="11" spans="2:63" x14ac:dyDescent="0.25">
      <c r="B11" s="18" t="s">
        <v>34</v>
      </c>
      <c r="C11" s="37">
        <f t="shared" ref="C11:BK11" si="3">SUM(C12:C13)</f>
        <v>0</v>
      </c>
      <c r="D11" s="37">
        <f t="shared" si="3"/>
        <v>0</v>
      </c>
      <c r="E11" s="37">
        <f t="shared" si="3"/>
        <v>0</v>
      </c>
      <c r="F11" s="37">
        <f t="shared" si="3"/>
        <v>0</v>
      </c>
      <c r="G11" s="37">
        <f t="shared" si="3"/>
        <v>0</v>
      </c>
      <c r="H11" s="37">
        <f t="shared" si="3"/>
        <v>0</v>
      </c>
      <c r="I11" s="37">
        <f t="shared" si="3"/>
        <v>0</v>
      </c>
      <c r="J11" s="37">
        <f t="shared" si="3"/>
        <v>0</v>
      </c>
      <c r="K11" s="37">
        <f t="shared" si="3"/>
        <v>29951.279999999999</v>
      </c>
      <c r="L11" s="37">
        <f t="shared" si="3"/>
        <v>34517.660000000003</v>
      </c>
      <c r="M11" s="37">
        <f t="shared" si="3"/>
        <v>170.56</v>
      </c>
      <c r="N11" s="37">
        <f t="shared" si="3"/>
        <v>130207.60252973496</v>
      </c>
      <c r="O11" s="37">
        <f t="shared" si="3"/>
        <v>148473.67410832003</v>
      </c>
      <c r="P11" s="37">
        <f t="shared" si="3"/>
        <v>952062</v>
      </c>
      <c r="Q11" s="37">
        <f t="shared" si="3"/>
        <v>97474.574891054828</v>
      </c>
      <c r="R11" s="36">
        <f t="shared" si="3"/>
        <v>97474.574891054828</v>
      </c>
      <c r="S11" s="76">
        <f t="shared" si="3"/>
        <v>97474.574891054828</v>
      </c>
      <c r="T11" s="37">
        <f t="shared" si="3"/>
        <v>94985.228568579798</v>
      </c>
      <c r="U11" s="37">
        <f t="shared" si="3"/>
        <v>97474.574891054828</v>
      </c>
      <c r="V11" s="37">
        <f t="shared" si="3"/>
        <v>232389.3922870729</v>
      </c>
      <c r="W11" s="37">
        <f t="shared" si="3"/>
        <v>82701.613797568483</v>
      </c>
      <c r="X11" s="37">
        <f t="shared" si="3"/>
        <v>624929.64433684316</v>
      </c>
      <c r="Y11" s="37">
        <f t="shared" si="3"/>
        <v>618332.52745647775</v>
      </c>
      <c r="Z11" s="37">
        <f t="shared" si="3"/>
        <v>592738.68765023781</v>
      </c>
      <c r="AA11" s="37">
        <f t="shared" si="3"/>
        <v>1250245.4272186381</v>
      </c>
      <c r="AB11" s="37">
        <f t="shared" si="3"/>
        <v>645725.01683522505</v>
      </c>
      <c r="AC11" s="37">
        <f t="shared" si="3"/>
        <v>651885.6799849089</v>
      </c>
      <c r="AD11" s="37">
        <f t="shared" si="3"/>
        <v>668993.75014977064</v>
      </c>
      <c r="AE11" s="37">
        <f t="shared" si="3"/>
        <v>632630.5162222496</v>
      </c>
      <c r="AF11" s="37">
        <f t="shared" si="3"/>
        <v>620131.84230868996</v>
      </c>
      <c r="AG11" s="37">
        <f t="shared" si="3"/>
        <v>1226821.8106281462</v>
      </c>
      <c r="AH11" s="37">
        <f t="shared" si="3"/>
        <v>632630.5162222496</v>
      </c>
      <c r="AI11" s="37">
        <f t="shared" si="3"/>
        <v>668993.75014977064</v>
      </c>
      <c r="AJ11" s="37">
        <f t="shared" si="3"/>
        <v>668993.75014977064</v>
      </c>
      <c r="AK11" s="37">
        <f t="shared" si="3"/>
        <v>637126.21805994585</v>
      </c>
      <c r="AL11" s="37">
        <f t="shared" si="3"/>
        <v>644745.57075425156</v>
      </c>
      <c r="AM11" s="37">
        <f t="shared" si="3"/>
        <v>1231023.9876083173</v>
      </c>
      <c r="AN11" s="37">
        <f t="shared" si="3"/>
        <v>807324.96066465578</v>
      </c>
      <c r="AO11" s="37">
        <f t="shared" si="3"/>
        <v>808374.09695792804</v>
      </c>
      <c r="AP11" s="37">
        <f t="shared" si="3"/>
        <v>808374.09695792804</v>
      </c>
      <c r="AQ11" s="37">
        <f t="shared" si="3"/>
        <v>805256.89550624299</v>
      </c>
      <c r="AR11" s="37">
        <f t="shared" si="3"/>
        <v>807324.96066465578</v>
      </c>
      <c r="AS11" s="37">
        <f t="shared" si="3"/>
        <v>1728998.7210790629</v>
      </c>
      <c r="AT11" s="37">
        <f t="shared" si="3"/>
        <v>807161.40858035802</v>
      </c>
      <c r="AU11" s="37">
        <f t="shared" si="3"/>
        <v>802160.93059265451</v>
      </c>
      <c r="AV11" s="37">
        <f t="shared" si="3"/>
        <v>804136.83166795725</v>
      </c>
      <c r="AW11" s="37">
        <f t="shared" si="3"/>
        <v>803325.92364432756</v>
      </c>
      <c r="AX11" s="37">
        <f t="shared" si="3"/>
        <v>801409.78386812971</v>
      </c>
      <c r="AY11" s="60">
        <f t="shared" si="3"/>
        <v>2195889.6694768248</v>
      </c>
      <c r="AZ11" s="60">
        <f t="shared" si="3"/>
        <v>0</v>
      </c>
      <c r="BA11" s="60">
        <f t="shared" si="3"/>
        <v>0</v>
      </c>
      <c r="BB11" s="60">
        <f t="shared" si="3"/>
        <v>0</v>
      </c>
      <c r="BC11" s="60">
        <f t="shared" si="3"/>
        <v>0</v>
      </c>
      <c r="BD11" s="60">
        <f t="shared" si="3"/>
        <v>0</v>
      </c>
      <c r="BE11" s="60">
        <f t="shared" si="3"/>
        <v>0</v>
      </c>
      <c r="BF11" s="60">
        <f t="shared" si="3"/>
        <v>0</v>
      </c>
      <c r="BG11" s="60">
        <f t="shared" si="3"/>
        <v>0</v>
      </c>
      <c r="BH11" s="60">
        <f t="shared" si="3"/>
        <v>0</v>
      </c>
      <c r="BI11" s="60">
        <f t="shared" si="3"/>
        <v>0</v>
      </c>
      <c r="BJ11" s="60">
        <f t="shared" si="3"/>
        <v>0</v>
      </c>
      <c r="BK11" s="36">
        <f t="shared" si="3"/>
        <v>0</v>
      </c>
    </row>
    <row r="12" spans="2:63" hidden="1" x14ac:dyDescent="0.25">
      <c r="B12" s="19" t="s">
        <v>11</v>
      </c>
      <c r="C12" s="16">
        <v>0</v>
      </c>
      <c r="D12" s="24">
        <v>0</v>
      </c>
      <c r="E12" s="24">
        <v>0</v>
      </c>
      <c r="F12" s="24">
        <v>0</v>
      </c>
      <c r="G12" s="16">
        <v>0</v>
      </c>
      <c r="H12" s="27">
        <v>0</v>
      </c>
      <c r="I12" s="27">
        <v>0</v>
      </c>
      <c r="J12" s="27">
        <v>0</v>
      </c>
      <c r="K12" s="27">
        <v>25886.891304000001</v>
      </c>
      <c r="L12" s="27">
        <v>29833.613538000005</v>
      </c>
      <c r="M12" s="27">
        <v>147.415008</v>
      </c>
      <c r="N12" s="27">
        <v>114649.64561920839</v>
      </c>
      <c r="O12" s="27">
        <v>130733.18139325531</v>
      </c>
      <c r="P12" s="27">
        <v>661296</v>
      </c>
      <c r="Q12" s="27">
        <v>85827.749309725128</v>
      </c>
      <c r="R12" s="64">
        <v>85827.749309725128</v>
      </c>
      <c r="S12" s="77">
        <v>85827.749309725128</v>
      </c>
      <c r="T12" s="27">
        <v>83635.844473522768</v>
      </c>
      <c r="U12" s="27">
        <v>85827.749309725128</v>
      </c>
      <c r="V12" s="27">
        <v>204622.16455672527</v>
      </c>
      <c r="W12" s="27">
        <v>72819.946990902958</v>
      </c>
      <c r="X12" s="27">
        <v>550259.43852852262</v>
      </c>
      <c r="Y12" s="27">
        <v>544450.58330234897</v>
      </c>
      <c r="Z12" s="27">
        <v>521914.84340075532</v>
      </c>
      <c r="AA12" s="27">
        <v>1100858.8775368831</v>
      </c>
      <c r="AB12" s="27">
        <v>568570.0597298803</v>
      </c>
      <c r="AC12" s="27">
        <v>573994.61123968381</v>
      </c>
      <c r="AD12" s="27">
        <v>589058.51030181441</v>
      </c>
      <c r="AE12" s="27">
        <v>557040.16573236731</v>
      </c>
      <c r="AF12" s="27">
        <v>546034.90561652719</v>
      </c>
      <c r="AG12" s="27">
        <v>1080234.0500379908</v>
      </c>
      <c r="AH12" s="27">
        <v>557040.16573236731</v>
      </c>
      <c r="AI12" s="27">
        <v>589058.51030181441</v>
      </c>
      <c r="AJ12" s="27">
        <v>589058.51030181441</v>
      </c>
      <c r="AK12" s="27">
        <v>560998.69513070874</v>
      </c>
      <c r="AL12" s="27">
        <v>567707.64352756145</v>
      </c>
      <c r="AM12" s="27">
        <v>1083934.1266252683</v>
      </c>
      <c r="AN12" s="27">
        <v>710861.10827212804</v>
      </c>
      <c r="AO12" s="27">
        <v>710861.10827212804</v>
      </c>
      <c r="AP12" s="27">
        <v>710861.10827212804</v>
      </c>
      <c r="AQ12" s="27">
        <v>709040.147491629</v>
      </c>
      <c r="AR12" s="27">
        <v>710861.10827212804</v>
      </c>
      <c r="AS12" s="27">
        <v>1522407.9607986817</v>
      </c>
      <c r="AT12" s="27">
        <v>710717.09833614342</v>
      </c>
      <c r="AU12" s="27">
        <v>706314.10635965003</v>
      </c>
      <c r="AV12" s="27">
        <v>708053.91535436932</v>
      </c>
      <c r="AW12" s="27">
        <v>707339.8993082043</v>
      </c>
      <c r="AX12" s="27">
        <v>705652.71098717069</v>
      </c>
      <c r="AY12" s="67">
        <v>1933512.0801944393</v>
      </c>
      <c r="AZ12" s="67">
        <v>0</v>
      </c>
      <c r="BA12" s="67">
        <v>0</v>
      </c>
      <c r="BB12" s="67">
        <v>0</v>
      </c>
      <c r="BC12" s="67">
        <v>0</v>
      </c>
      <c r="BD12" s="67">
        <v>0</v>
      </c>
      <c r="BE12" s="67">
        <v>0</v>
      </c>
      <c r="BF12" s="67">
        <v>0</v>
      </c>
      <c r="BG12" s="67">
        <v>0</v>
      </c>
      <c r="BH12" s="67">
        <v>0</v>
      </c>
      <c r="BI12" s="67">
        <v>0</v>
      </c>
      <c r="BJ12" s="67">
        <v>0</v>
      </c>
      <c r="BK12" s="64">
        <v>0</v>
      </c>
    </row>
    <row r="13" spans="2:63" hidden="1" x14ac:dyDescent="0.25">
      <c r="B13" s="19" t="s">
        <v>13</v>
      </c>
      <c r="C13" s="28">
        <v>0</v>
      </c>
      <c r="D13" s="28">
        <v>0</v>
      </c>
      <c r="E13" s="28">
        <v>0</v>
      </c>
      <c r="F13" s="28">
        <v>0</v>
      </c>
      <c r="G13" s="17">
        <v>0</v>
      </c>
      <c r="H13" s="28">
        <v>0</v>
      </c>
      <c r="I13" s="28">
        <v>0</v>
      </c>
      <c r="J13" s="28">
        <v>0</v>
      </c>
      <c r="K13" s="28">
        <v>4064.3886959999995</v>
      </c>
      <c r="L13" s="28">
        <v>4684.0464620000002</v>
      </c>
      <c r="M13" s="28">
        <v>23.144991999999998</v>
      </c>
      <c r="N13" s="28">
        <v>15557.956910526576</v>
      </c>
      <c r="O13" s="28">
        <v>17740.492715064742</v>
      </c>
      <c r="P13" s="28">
        <v>290766</v>
      </c>
      <c r="Q13" s="28">
        <v>11646.825581329698</v>
      </c>
      <c r="R13" s="32">
        <v>11646.825581329698</v>
      </c>
      <c r="S13" s="75">
        <v>11646.825581329698</v>
      </c>
      <c r="T13" s="28">
        <v>11349.384095057037</v>
      </c>
      <c r="U13" s="28">
        <v>11646.825581329698</v>
      </c>
      <c r="V13" s="28">
        <v>27767.227730347618</v>
      </c>
      <c r="W13" s="28">
        <v>9881.6668066655275</v>
      </c>
      <c r="X13" s="28">
        <v>74670.205808320505</v>
      </c>
      <c r="Y13" s="28">
        <v>73881.944154128752</v>
      </c>
      <c r="Z13" s="28">
        <v>70823.844249482485</v>
      </c>
      <c r="AA13" s="28">
        <v>149386.54968175502</v>
      </c>
      <c r="AB13" s="28">
        <v>77154.957105344758</v>
      </c>
      <c r="AC13" s="28">
        <v>77891.068745225086</v>
      </c>
      <c r="AD13" s="28">
        <v>79935.239847956211</v>
      </c>
      <c r="AE13" s="28">
        <v>75590.350489882243</v>
      </c>
      <c r="AF13" s="28">
        <v>74096.936692162722</v>
      </c>
      <c r="AG13" s="28">
        <v>146587.76059015535</v>
      </c>
      <c r="AH13" s="28">
        <v>75590.350489882243</v>
      </c>
      <c r="AI13" s="28">
        <v>79935.239847956211</v>
      </c>
      <c r="AJ13" s="28">
        <v>79935.239847956211</v>
      </c>
      <c r="AK13" s="28">
        <v>76127.522929237166</v>
      </c>
      <c r="AL13" s="28">
        <v>77037.927226690081</v>
      </c>
      <c r="AM13" s="28">
        <v>147089.86098304891</v>
      </c>
      <c r="AN13" s="28">
        <v>96463.85239252777</v>
      </c>
      <c r="AO13" s="28">
        <v>97512.98868580001</v>
      </c>
      <c r="AP13" s="28">
        <v>97512.98868580001</v>
      </c>
      <c r="AQ13" s="28">
        <v>96216.748014614044</v>
      </c>
      <c r="AR13" s="28">
        <v>96463.85239252777</v>
      </c>
      <c r="AS13" s="28">
        <v>206590.7602803811</v>
      </c>
      <c r="AT13" s="28">
        <v>96444.310244214648</v>
      </c>
      <c r="AU13" s="28">
        <v>95846.824233004503</v>
      </c>
      <c r="AV13" s="28">
        <v>96082.916313587921</v>
      </c>
      <c r="AW13" s="28">
        <v>95986.024336123315</v>
      </c>
      <c r="AX13" s="28">
        <v>95757.072880959051</v>
      </c>
      <c r="AY13" s="66">
        <v>262377.58928238542</v>
      </c>
      <c r="AZ13" s="66">
        <v>0</v>
      </c>
      <c r="BA13" s="66">
        <v>0</v>
      </c>
      <c r="BB13" s="66">
        <v>0</v>
      </c>
      <c r="BC13" s="66">
        <v>0</v>
      </c>
      <c r="BD13" s="66">
        <v>0</v>
      </c>
      <c r="BE13" s="66">
        <v>0</v>
      </c>
      <c r="BF13" s="66">
        <v>0</v>
      </c>
      <c r="BG13" s="66">
        <v>0</v>
      </c>
      <c r="BH13" s="66">
        <v>0</v>
      </c>
      <c r="BI13" s="66">
        <v>0</v>
      </c>
      <c r="BJ13" s="66">
        <v>0</v>
      </c>
      <c r="BK13" s="32">
        <v>0</v>
      </c>
    </row>
    <row r="14" spans="2:63" x14ac:dyDescent="0.25">
      <c r="B14" s="18" t="s">
        <v>39</v>
      </c>
      <c r="C14" s="37">
        <f>SUM(C15:C16)</f>
        <v>0</v>
      </c>
      <c r="D14" s="37">
        <f t="shared" ref="D14:BK14" si="4">SUM(D15:D16)</f>
        <v>0</v>
      </c>
      <c r="E14" s="37">
        <f t="shared" si="4"/>
        <v>0</v>
      </c>
      <c r="F14" s="37">
        <f t="shared" si="4"/>
        <v>0</v>
      </c>
      <c r="G14" s="37">
        <f t="shared" si="4"/>
        <v>0</v>
      </c>
      <c r="H14" s="37">
        <f t="shared" si="4"/>
        <v>0</v>
      </c>
      <c r="I14" s="37">
        <f t="shared" si="4"/>
        <v>0</v>
      </c>
      <c r="J14" s="37">
        <f t="shared" si="4"/>
        <v>0</v>
      </c>
      <c r="K14" s="37">
        <f t="shared" si="4"/>
        <v>0</v>
      </c>
      <c r="L14" s="37">
        <f t="shared" si="4"/>
        <v>0</v>
      </c>
      <c r="M14" s="37">
        <f t="shared" si="4"/>
        <v>0</v>
      </c>
      <c r="N14" s="37">
        <f t="shared" si="4"/>
        <v>0</v>
      </c>
      <c r="O14" s="37">
        <f t="shared" si="4"/>
        <v>0</v>
      </c>
      <c r="P14" s="37">
        <f t="shared" si="4"/>
        <v>0</v>
      </c>
      <c r="Q14" s="37">
        <f t="shared" si="4"/>
        <v>0</v>
      </c>
      <c r="R14" s="36">
        <f t="shared" si="4"/>
        <v>0</v>
      </c>
      <c r="S14" s="76">
        <f t="shared" si="4"/>
        <v>0</v>
      </c>
      <c r="T14" s="37">
        <f t="shared" si="4"/>
        <v>0</v>
      </c>
      <c r="U14" s="37">
        <f t="shared" si="4"/>
        <v>0</v>
      </c>
      <c r="V14" s="37">
        <f t="shared" si="4"/>
        <v>0</v>
      </c>
      <c r="W14" s="37">
        <f t="shared" si="4"/>
        <v>99373.75</v>
      </c>
      <c r="X14" s="37">
        <f t="shared" si="4"/>
        <v>82854.993499999997</v>
      </c>
      <c r="Y14" s="37">
        <f t="shared" si="4"/>
        <v>0</v>
      </c>
      <c r="Z14" s="37">
        <f t="shared" si="4"/>
        <v>0</v>
      </c>
      <c r="AA14" s="37">
        <f t="shared" si="4"/>
        <v>0</v>
      </c>
      <c r="AB14" s="37">
        <f t="shared" si="4"/>
        <v>85501.931633333341</v>
      </c>
      <c r="AC14" s="37">
        <f t="shared" si="4"/>
        <v>85501.931633333341</v>
      </c>
      <c r="AD14" s="37">
        <f t="shared" si="4"/>
        <v>85501.931633333341</v>
      </c>
      <c r="AE14" s="37">
        <f t="shared" si="4"/>
        <v>85501.931633333341</v>
      </c>
      <c r="AF14" s="37">
        <f t="shared" si="4"/>
        <v>57076.496333333373</v>
      </c>
      <c r="AG14" s="37">
        <f t="shared" si="4"/>
        <v>57076.496333333373</v>
      </c>
      <c r="AH14" s="37">
        <f t="shared" si="4"/>
        <v>57075.360633333374</v>
      </c>
      <c r="AI14" s="37">
        <f t="shared" si="4"/>
        <v>85501.931633333341</v>
      </c>
      <c r="AJ14" s="37">
        <f t="shared" si="4"/>
        <v>85501.931633333341</v>
      </c>
      <c r="AK14" s="37">
        <f t="shared" si="4"/>
        <v>85501.931633333341</v>
      </c>
      <c r="AL14" s="37">
        <f t="shared" si="4"/>
        <v>85501.931633333341</v>
      </c>
      <c r="AM14" s="37">
        <f t="shared" si="4"/>
        <v>85501.931633333341</v>
      </c>
      <c r="AN14" s="37">
        <f t="shared" si="4"/>
        <v>64640.258333333331</v>
      </c>
      <c r="AO14" s="37">
        <f t="shared" si="4"/>
        <v>64724.259750765239</v>
      </c>
      <c r="AP14" s="37">
        <f t="shared" si="4"/>
        <v>64724.259750765239</v>
      </c>
      <c r="AQ14" s="37">
        <f t="shared" si="4"/>
        <v>64640.258333333331</v>
      </c>
      <c r="AR14" s="37">
        <f t="shared" si="4"/>
        <v>43150.542933333374</v>
      </c>
      <c r="AS14" s="37">
        <f t="shared" si="4"/>
        <v>43150.542933333374</v>
      </c>
      <c r="AT14" s="37">
        <f t="shared" si="4"/>
        <v>43149.407233333375</v>
      </c>
      <c r="AU14" s="37">
        <f t="shared" si="4"/>
        <v>64640.258333333331</v>
      </c>
      <c r="AV14" s="37">
        <f t="shared" si="4"/>
        <v>64640.258333333331</v>
      </c>
      <c r="AW14" s="37">
        <f t="shared" si="4"/>
        <v>64640.258333333331</v>
      </c>
      <c r="AX14" s="37">
        <f t="shared" si="4"/>
        <v>64640.258333333331</v>
      </c>
      <c r="AY14" s="60">
        <f t="shared" si="4"/>
        <v>64640.258333333331</v>
      </c>
      <c r="AZ14" s="60">
        <f t="shared" si="4"/>
        <v>0</v>
      </c>
      <c r="BA14" s="60">
        <f t="shared" si="4"/>
        <v>0</v>
      </c>
      <c r="BB14" s="60">
        <f t="shared" si="4"/>
        <v>0</v>
      </c>
      <c r="BC14" s="60">
        <f t="shared" si="4"/>
        <v>0</v>
      </c>
      <c r="BD14" s="60">
        <f t="shared" si="4"/>
        <v>0</v>
      </c>
      <c r="BE14" s="60">
        <f t="shared" si="4"/>
        <v>0</v>
      </c>
      <c r="BF14" s="60">
        <f t="shared" si="4"/>
        <v>0</v>
      </c>
      <c r="BG14" s="60">
        <f t="shared" si="4"/>
        <v>0</v>
      </c>
      <c r="BH14" s="60">
        <f t="shared" si="4"/>
        <v>0</v>
      </c>
      <c r="BI14" s="60">
        <f t="shared" si="4"/>
        <v>0</v>
      </c>
      <c r="BJ14" s="60">
        <f t="shared" si="4"/>
        <v>0</v>
      </c>
      <c r="BK14" s="36">
        <f t="shared" si="4"/>
        <v>0</v>
      </c>
    </row>
    <row r="15" spans="2:63" hidden="1" x14ac:dyDescent="0.25">
      <c r="B15" s="19" t="s">
        <v>11</v>
      </c>
      <c r="C15" s="16">
        <v>0</v>
      </c>
      <c r="D15" s="24">
        <v>0</v>
      </c>
      <c r="E15" s="27">
        <v>0</v>
      </c>
      <c r="F15" s="24">
        <v>0</v>
      </c>
      <c r="G15" s="24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64">
        <v>0</v>
      </c>
      <c r="S15" s="77">
        <v>0</v>
      </c>
      <c r="T15" s="27">
        <v>0</v>
      </c>
      <c r="U15" s="27">
        <v>0</v>
      </c>
      <c r="V15" s="27">
        <v>0</v>
      </c>
      <c r="W15" s="27">
        <v>87500</v>
      </c>
      <c r="X15" s="27">
        <v>72955</v>
      </c>
      <c r="Y15" s="27">
        <v>0</v>
      </c>
      <c r="Z15" s="27">
        <v>0</v>
      </c>
      <c r="AA15" s="27">
        <v>0</v>
      </c>
      <c r="AB15" s="27">
        <v>75285.666666666672</v>
      </c>
      <c r="AC15" s="27">
        <v>75285.666666666672</v>
      </c>
      <c r="AD15" s="27">
        <v>75285.666666666672</v>
      </c>
      <c r="AE15" s="27">
        <v>75285.666666666672</v>
      </c>
      <c r="AF15" s="27">
        <v>50256.666666666701</v>
      </c>
      <c r="AG15" s="27">
        <v>50256.666666666701</v>
      </c>
      <c r="AH15" s="27">
        <v>50255.666666666701</v>
      </c>
      <c r="AI15" s="27">
        <v>75285.666666666672</v>
      </c>
      <c r="AJ15" s="27">
        <v>75285.666666666672</v>
      </c>
      <c r="AK15" s="27">
        <v>75285.666666666672</v>
      </c>
      <c r="AL15" s="27">
        <v>75285.666666666672</v>
      </c>
      <c r="AM15" s="27">
        <v>75285.666666666672</v>
      </c>
      <c r="AN15" s="27">
        <v>56916.666666666664</v>
      </c>
      <c r="AO15" s="27">
        <v>56916.666666666664</v>
      </c>
      <c r="AP15" s="27">
        <v>56916.666666666664</v>
      </c>
      <c r="AQ15" s="27">
        <v>56916.666666666664</v>
      </c>
      <c r="AR15" s="27">
        <v>37994.666666666701</v>
      </c>
      <c r="AS15" s="27">
        <v>37994.666666666701</v>
      </c>
      <c r="AT15" s="27">
        <v>37993.666666666701</v>
      </c>
      <c r="AU15" s="27">
        <v>56916.666666666664</v>
      </c>
      <c r="AV15" s="27">
        <v>56916.666666666664</v>
      </c>
      <c r="AW15" s="27">
        <v>56916.666666666664</v>
      </c>
      <c r="AX15" s="27">
        <v>56916.666666666664</v>
      </c>
      <c r="AY15" s="67">
        <v>56916.666666666664</v>
      </c>
      <c r="AZ15" s="67">
        <v>0</v>
      </c>
      <c r="BA15" s="67">
        <v>0</v>
      </c>
      <c r="BB15" s="67">
        <v>0</v>
      </c>
      <c r="BC15" s="67">
        <v>0</v>
      </c>
      <c r="BD15" s="67">
        <v>0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0</v>
      </c>
      <c r="BK15" s="64">
        <v>0</v>
      </c>
    </row>
    <row r="16" spans="2:63" hidden="1" x14ac:dyDescent="0.25">
      <c r="B16" s="20" t="s">
        <v>13</v>
      </c>
      <c r="C16" s="28">
        <v>0</v>
      </c>
      <c r="D16" s="40">
        <v>0</v>
      </c>
      <c r="E16" s="28">
        <v>0</v>
      </c>
      <c r="F16" s="40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32">
        <v>0</v>
      </c>
      <c r="S16" s="75">
        <v>0</v>
      </c>
      <c r="T16" s="28">
        <v>0</v>
      </c>
      <c r="U16" s="28">
        <v>0</v>
      </c>
      <c r="V16" s="28">
        <v>0</v>
      </c>
      <c r="W16" s="28">
        <v>11873.749999999996</v>
      </c>
      <c r="X16" s="28">
        <v>9899.9934999999987</v>
      </c>
      <c r="Y16" s="28">
        <v>0</v>
      </c>
      <c r="Z16" s="28">
        <v>0</v>
      </c>
      <c r="AA16" s="28">
        <v>0</v>
      </c>
      <c r="AB16" s="28">
        <v>10216.264966666669</v>
      </c>
      <c r="AC16" s="28">
        <v>10216.264966666666</v>
      </c>
      <c r="AD16" s="28">
        <v>10216.264966666668</v>
      </c>
      <c r="AE16" s="28">
        <v>10216.264966666668</v>
      </c>
      <c r="AF16" s="28">
        <v>6819.8296666666702</v>
      </c>
      <c r="AG16" s="28">
        <v>6819.8296666666711</v>
      </c>
      <c r="AH16" s="28">
        <v>6819.6939666666703</v>
      </c>
      <c r="AI16" s="28">
        <v>10216.264966666668</v>
      </c>
      <c r="AJ16" s="28">
        <v>10216.264966666668</v>
      </c>
      <c r="AK16" s="28">
        <v>10216.264966666666</v>
      </c>
      <c r="AL16" s="28">
        <v>10216.264966666668</v>
      </c>
      <c r="AM16" s="28">
        <v>10216.264966666666</v>
      </c>
      <c r="AN16" s="28">
        <v>7723.5916666666662</v>
      </c>
      <c r="AO16" s="28">
        <v>7807.5930840985775</v>
      </c>
      <c r="AP16" s="28">
        <v>7807.5930840985775</v>
      </c>
      <c r="AQ16" s="28">
        <v>7723.5916666666653</v>
      </c>
      <c r="AR16" s="28">
        <v>5155.8762666666707</v>
      </c>
      <c r="AS16" s="28">
        <v>5155.8762666666717</v>
      </c>
      <c r="AT16" s="28">
        <v>5155.7405666666709</v>
      </c>
      <c r="AU16" s="28">
        <v>7723.5916666666662</v>
      </c>
      <c r="AV16" s="28">
        <v>7723.5916666666662</v>
      </c>
      <c r="AW16" s="28">
        <v>7723.5916666666662</v>
      </c>
      <c r="AX16" s="28">
        <v>7723.5916666666653</v>
      </c>
      <c r="AY16" s="66">
        <v>7723.5916666666662</v>
      </c>
      <c r="AZ16" s="66">
        <v>0</v>
      </c>
      <c r="BA16" s="66">
        <v>0</v>
      </c>
      <c r="BB16" s="66">
        <v>0</v>
      </c>
      <c r="BC16" s="66">
        <v>0</v>
      </c>
      <c r="BD16" s="66">
        <v>0</v>
      </c>
      <c r="BE16" s="66">
        <v>0</v>
      </c>
      <c r="BF16" s="66">
        <v>0</v>
      </c>
      <c r="BG16" s="66">
        <v>0</v>
      </c>
      <c r="BH16" s="66">
        <v>0</v>
      </c>
      <c r="BI16" s="66">
        <v>0</v>
      </c>
      <c r="BJ16" s="66">
        <v>0</v>
      </c>
      <c r="BK16" s="32">
        <v>0</v>
      </c>
    </row>
    <row r="17" spans="2:63" ht="15.75" thickBot="1" x14ac:dyDescent="0.3">
      <c r="B17" s="84" t="s">
        <v>35</v>
      </c>
      <c r="C17" s="85">
        <f>SUM(C18:C19)</f>
        <v>0</v>
      </c>
      <c r="D17" s="85">
        <f t="shared" ref="D17:BK17" si="5">SUM(D18:D19)</f>
        <v>0</v>
      </c>
      <c r="E17" s="85">
        <f t="shared" si="5"/>
        <v>0</v>
      </c>
      <c r="F17" s="85">
        <f t="shared" si="5"/>
        <v>0</v>
      </c>
      <c r="G17" s="85">
        <f t="shared" si="5"/>
        <v>0</v>
      </c>
      <c r="H17" s="85">
        <f t="shared" si="5"/>
        <v>0</v>
      </c>
      <c r="I17" s="85">
        <f t="shared" si="5"/>
        <v>0</v>
      </c>
      <c r="J17" s="85">
        <f t="shared" si="5"/>
        <v>0</v>
      </c>
      <c r="K17" s="85">
        <f t="shared" si="5"/>
        <v>0</v>
      </c>
      <c r="L17" s="85">
        <f t="shared" si="5"/>
        <v>0</v>
      </c>
      <c r="M17" s="85">
        <f t="shared" si="5"/>
        <v>0</v>
      </c>
      <c r="N17" s="85">
        <f t="shared" si="5"/>
        <v>0</v>
      </c>
      <c r="O17" s="85">
        <f t="shared" si="5"/>
        <v>0</v>
      </c>
      <c r="P17" s="85">
        <f t="shared" si="5"/>
        <v>0</v>
      </c>
      <c r="Q17" s="85">
        <f t="shared" si="5"/>
        <v>0</v>
      </c>
      <c r="R17" s="87">
        <f t="shared" si="5"/>
        <v>0</v>
      </c>
      <c r="S17" s="93">
        <f t="shared" si="5"/>
        <v>0</v>
      </c>
      <c r="T17" s="85">
        <f t="shared" si="5"/>
        <v>0</v>
      </c>
      <c r="U17" s="85">
        <f t="shared" si="5"/>
        <v>0</v>
      </c>
      <c r="V17" s="85">
        <f t="shared" si="5"/>
        <v>0</v>
      </c>
      <c r="W17" s="85">
        <f t="shared" si="5"/>
        <v>0</v>
      </c>
      <c r="X17" s="85">
        <f t="shared" si="5"/>
        <v>16518.7565</v>
      </c>
      <c r="Y17" s="85">
        <f t="shared" si="5"/>
        <v>0</v>
      </c>
      <c r="Z17" s="85">
        <f t="shared" si="5"/>
        <v>0</v>
      </c>
      <c r="AA17" s="85">
        <f t="shared" si="5"/>
        <v>0</v>
      </c>
      <c r="AB17" s="85">
        <f t="shared" si="5"/>
        <v>0</v>
      </c>
      <c r="AC17" s="85">
        <f t="shared" si="5"/>
        <v>0</v>
      </c>
      <c r="AD17" s="85">
        <f t="shared" si="5"/>
        <v>0</v>
      </c>
      <c r="AE17" s="85">
        <f t="shared" si="5"/>
        <v>0</v>
      </c>
      <c r="AF17" s="85">
        <f t="shared" si="5"/>
        <v>28425.764652999998</v>
      </c>
      <c r="AG17" s="85">
        <f t="shared" si="5"/>
        <v>28425.764653000002</v>
      </c>
      <c r="AH17" s="85">
        <f t="shared" si="5"/>
        <v>28425.764652999998</v>
      </c>
      <c r="AI17" s="85">
        <f t="shared" si="5"/>
        <v>0</v>
      </c>
      <c r="AJ17" s="85">
        <f t="shared" si="5"/>
        <v>0</v>
      </c>
      <c r="AK17" s="85">
        <f t="shared" si="5"/>
        <v>0</v>
      </c>
      <c r="AL17" s="85">
        <f t="shared" si="5"/>
        <v>0</v>
      </c>
      <c r="AM17" s="85">
        <f t="shared" si="5"/>
        <v>0</v>
      </c>
      <c r="AN17" s="85">
        <f t="shared" si="5"/>
        <v>0</v>
      </c>
      <c r="AO17" s="85">
        <f t="shared" si="5"/>
        <v>0</v>
      </c>
      <c r="AP17" s="85">
        <f t="shared" si="5"/>
        <v>0</v>
      </c>
      <c r="AQ17" s="85">
        <f t="shared" si="5"/>
        <v>0</v>
      </c>
      <c r="AR17" s="85">
        <f t="shared" si="5"/>
        <v>21490.135608999997</v>
      </c>
      <c r="AS17" s="85">
        <f t="shared" si="5"/>
        <v>21490.135608999997</v>
      </c>
      <c r="AT17" s="85">
        <f t="shared" si="5"/>
        <v>21490.135608999997</v>
      </c>
      <c r="AU17" s="85">
        <f t="shared" si="5"/>
        <v>0</v>
      </c>
      <c r="AV17" s="85">
        <f t="shared" si="5"/>
        <v>0</v>
      </c>
      <c r="AW17" s="85">
        <f t="shared" si="5"/>
        <v>0</v>
      </c>
      <c r="AX17" s="85">
        <f t="shared" si="5"/>
        <v>0</v>
      </c>
      <c r="AY17" s="86">
        <f t="shared" si="5"/>
        <v>0</v>
      </c>
      <c r="AZ17" s="86">
        <f t="shared" si="5"/>
        <v>0</v>
      </c>
      <c r="BA17" s="86">
        <f t="shared" si="5"/>
        <v>0</v>
      </c>
      <c r="BB17" s="86">
        <f t="shared" si="5"/>
        <v>0</v>
      </c>
      <c r="BC17" s="86">
        <f t="shared" si="5"/>
        <v>0</v>
      </c>
      <c r="BD17" s="86">
        <f t="shared" si="5"/>
        <v>0</v>
      </c>
      <c r="BE17" s="86">
        <f t="shared" si="5"/>
        <v>0</v>
      </c>
      <c r="BF17" s="86">
        <f t="shared" si="5"/>
        <v>0</v>
      </c>
      <c r="BG17" s="86">
        <f t="shared" si="5"/>
        <v>0</v>
      </c>
      <c r="BH17" s="86">
        <f t="shared" si="5"/>
        <v>0</v>
      </c>
      <c r="BI17" s="86">
        <f t="shared" si="5"/>
        <v>0</v>
      </c>
      <c r="BJ17" s="86">
        <f t="shared" si="5"/>
        <v>0</v>
      </c>
      <c r="BK17" s="87">
        <f t="shared" si="5"/>
        <v>0</v>
      </c>
    </row>
    <row r="18" spans="2:63" hidden="1" x14ac:dyDescent="0.25">
      <c r="B18" s="19" t="s">
        <v>11</v>
      </c>
      <c r="C18" s="16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14545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25029.29</v>
      </c>
      <c r="AG18" s="30">
        <v>25029.29</v>
      </c>
      <c r="AH18" s="30">
        <v>25029.29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18922.37</v>
      </c>
      <c r="AS18" s="30">
        <v>18922.37</v>
      </c>
      <c r="AT18" s="30">
        <v>18922.37</v>
      </c>
      <c r="AU18" s="30">
        <v>0</v>
      </c>
      <c r="AV18" s="30">
        <v>0</v>
      </c>
      <c r="AW18" s="30">
        <v>0</v>
      </c>
      <c r="AX18" s="30">
        <v>0</v>
      </c>
      <c r="AY18" s="82">
        <v>0</v>
      </c>
      <c r="AZ18" s="82">
        <v>0</v>
      </c>
      <c r="BA18" s="82">
        <v>0</v>
      </c>
      <c r="BB18" s="82">
        <v>0</v>
      </c>
      <c r="BC18" s="82">
        <v>0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2">
        <v>0</v>
      </c>
      <c r="BJ18" s="82">
        <v>0</v>
      </c>
      <c r="BK18" s="83">
        <v>0</v>
      </c>
    </row>
    <row r="19" spans="2:63" ht="15.75" hidden="1" thickBot="1" x14ac:dyDescent="0.3">
      <c r="B19" s="21" t="s">
        <v>13</v>
      </c>
      <c r="C19" s="29">
        <v>0</v>
      </c>
      <c r="D19" s="11">
        <v>0</v>
      </c>
      <c r="E19" s="22">
        <v>0</v>
      </c>
      <c r="F19" s="11">
        <v>0</v>
      </c>
      <c r="G19" s="29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1973.7564999999995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3396.4746529999993</v>
      </c>
      <c r="AG19" s="22">
        <v>3396.4746529999998</v>
      </c>
      <c r="AH19" s="22">
        <v>3396.4746529999993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2567.7656089999996</v>
      </c>
      <c r="AS19" s="22">
        <v>2567.7656089999996</v>
      </c>
      <c r="AT19" s="22">
        <v>2567.7656089999996</v>
      </c>
      <c r="AU19" s="22">
        <v>0</v>
      </c>
      <c r="AV19" s="22">
        <v>0</v>
      </c>
      <c r="AW19" s="22">
        <v>0</v>
      </c>
      <c r="AX19" s="22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5">
        <v>0</v>
      </c>
    </row>
    <row r="20" spans="2:63" ht="15.75" thickBot="1" x14ac:dyDescent="0.3"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5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2:63" ht="15.75" thickBot="1" x14ac:dyDescent="0.3">
      <c r="B21" s="13" t="s">
        <v>0</v>
      </c>
      <c r="C21" s="62">
        <v>44287</v>
      </c>
      <c r="D21" s="62">
        <v>44317</v>
      </c>
      <c r="E21" s="62">
        <v>44348</v>
      </c>
      <c r="F21" s="62">
        <v>44378</v>
      </c>
      <c r="G21" s="62">
        <v>44409</v>
      </c>
      <c r="H21" s="62">
        <v>44440</v>
      </c>
      <c r="I21" s="62">
        <v>44470</v>
      </c>
      <c r="J21" s="62">
        <v>44501</v>
      </c>
      <c r="K21" s="62">
        <v>44531</v>
      </c>
      <c r="L21" s="62">
        <v>44562</v>
      </c>
      <c r="M21" s="62">
        <v>44593</v>
      </c>
      <c r="N21" s="62">
        <v>44621</v>
      </c>
      <c r="O21" s="62">
        <v>44652</v>
      </c>
      <c r="P21" s="62">
        <v>44682</v>
      </c>
      <c r="Q21" s="62">
        <v>44713</v>
      </c>
      <c r="R21" s="63">
        <v>44743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63" x14ac:dyDescent="0.25">
      <c r="B22" s="70" t="s">
        <v>32</v>
      </c>
      <c r="C22" s="33">
        <f t="shared" ref="C22:R22" si="6">SUM(C23:C24)</f>
        <v>34071</v>
      </c>
      <c r="D22" s="33">
        <f t="shared" si="6"/>
        <v>45428</v>
      </c>
      <c r="E22" s="33">
        <f t="shared" si="6"/>
        <v>158998</v>
      </c>
      <c r="F22" s="33">
        <f t="shared" si="6"/>
        <v>306639</v>
      </c>
      <c r="G22" s="33">
        <f t="shared" si="6"/>
        <v>397495</v>
      </c>
      <c r="H22" s="33">
        <f t="shared" si="6"/>
        <v>852778.95880000002</v>
      </c>
      <c r="I22" s="33">
        <f t="shared" si="6"/>
        <v>997087.81499999994</v>
      </c>
      <c r="J22" s="33">
        <f t="shared" si="6"/>
        <v>1087921.101</v>
      </c>
      <c r="K22" s="33">
        <f t="shared" si="6"/>
        <v>1741599.3798140001</v>
      </c>
      <c r="L22" s="33">
        <f t="shared" si="6"/>
        <v>874396.17458523496</v>
      </c>
      <c r="M22" s="33">
        <f t="shared" si="6"/>
        <v>654452.97001880745</v>
      </c>
      <c r="N22" s="33">
        <f t="shared" si="6"/>
        <v>203075.07918302115</v>
      </c>
      <c r="O22" s="33">
        <f t="shared" si="6"/>
        <v>1521292.1049448261</v>
      </c>
      <c r="P22" s="33">
        <f t="shared" si="6"/>
        <v>2577064.3817494577</v>
      </c>
      <c r="Q22" s="33">
        <f t="shared" si="6"/>
        <v>2366023.1581486738</v>
      </c>
      <c r="R22" s="34">
        <f t="shared" si="6"/>
        <v>1521292.1049448261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</row>
    <row r="23" spans="2:63" hidden="1" x14ac:dyDescent="0.25">
      <c r="B23" s="19" t="s">
        <v>11</v>
      </c>
      <c r="C23" s="24">
        <v>30000</v>
      </c>
      <c r="D23" s="24">
        <v>40000</v>
      </c>
      <c r="E23" s="24">
        <v>140000</v>
      </c>
      <c r="F23" s="24">
        <v>270000</v>
      </c>
      <c r="G23" s="24">
        <v>350000</v>
      </c>
      <c r="H23" s="24">
        <v>750884</v>
      </c>
      <c r="I23" s="24">
        <v>877950</v>
      </c>
      <c r="J23" s="24">
        <v>957930</v>
      </c>
      <c r="K23" s="24">
        <v>1533503.02</v>
      </c>
      <c r="L23" s="24">
        <v>769918.26590229373</v>
      </c>
      <c r="M23" s="24">
        <v>576255.14662217791</v>
      </c>
      <c r="N23" s="24">
        <v>178810.49501014454</v>
      </c>
      <c r="O23" s="24">
        <v>1339519.3316411255</v>
      </c>
      <c r="P23" s="24">
        <v>2269141.8347710292</v>
      </c>
      <c r="Q23" s="24">
        <v>2083317.0363200437</v>
      </c>
      <c r="R23" s="31">
        <v>1339519.3316411255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</row>
    <row r="24" spans="2:63" hidden="1" x14ac:dyDescent="0.25">
      <c r="B24" s="19" t="s">
        <v>13</v>
      </c>
      <c r="C24" s="28">
        <v>4070.9999999999995</v>
      </c>
      <c r="D24" s="28">
        <v>5427.9999999999991</v>
      </c>
      <c r="E24" s="28">
        <v>18998</v>
      </c>
      <c r="F24" s="28">
        <v>36639</v>
      </c>
      <c r="G24" s="28">
        <v>47494.999999999993</v>
      </c>
      <c r="H24" s="28">
        <v>101894.95879999999</v>
      </c>
      <c r="I24" s="28">
        <v>119137.81499999999</v>
      </c>
      <c r="J24" s="28">
        <v>129991.101</v>
      </c>
      <c r="K24" s="28">
        <v>208096.359814</v>
      </c>
      <c r="L24" s="28">
        <v>104477.90868294127</v>
      </c>
      <c r="M24" s="28">
        <v>78197.823396629523</v>
      </c>
      <c r="N24" s="28">
        <v>24264.584172876614</v>
      </c>
      <c r="O24" s="28">
        <v>181772.77330370073</v>
      </c>
      <c r="P24" s="28">
        <v>307922.54697842855</v>
      </c>
      <c r="Q24" s="28">
        <v>282706.12182862993</v>
      </c>
      <c r="R24" s="32">
        <v>181772.7733037007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</row>
    <row r="25" spans="2:63" x14ac:dyDescent="0.25">
      <c r="B25" s="18" t="s">
        <v>33</v>
      </c>
      <c r="C25" s="37">
        <f t="shared" ref="C25:R25" si="7">SUM(C26:C27)</f>
        <v>22714</v>
      </c>
      <c r="D25" s="37">
        <f t="shared" si="7"/>
        <v>34071</v>
      </c>
      <c r="E25" s="37">
        <f t="shared" si="7"/>
        <v>90856</v>
      </c>
      <c r="F25" s="37">
        <f t="shared" si="7"/>
        <v>136284</v>
      </c>
      <c r="G25" s="37">
        <f t="shared" si="7"/>
        <v>181712</v>
      </c>
      <c r="H25" s="37">
        <f t="shared" si="7"/>
        <v>708676.8</v>
      </c>
      <c r="I25" s="37">
        <f t="shared" si="7"/>
        <v>854046.4</v>
      </c>
      <c r="J25" s="37">
        <f t="shared" si="7"/>
        <v>2580121.9310239255</v>
      </c>
      <c r="K25" s="37">
        <f t="shared" si="7"/>
        <v>2039555.998742</v>
      </c>
      <c r="L25" s="37">
        <f t="shared" si="7"/>
        <v>904459.70676726662</v>
      </c>
      <c r="M25" s="37">
        <f t="shared" si="7"/>
        <v>913088.87776201032</v>
      </c>
      <c r="N25" s="37">
        <f t="shared" si="7"/>
        <v>937051.95758893481</v>
      </c>
      <c r="O25" s="37">
        <f t="shared" si="7"/>
        <v>886118.388286651</v>
      </c>
      <c r="P25" s="37">
        <f t="shared" si="7"/>
        <v>868611.63750557904</v>
      </c>
      <c r="Q25" s="37">
        <f t="shared" si="7"/>
        <v>1378155.2015769072</v>
      </c>
      <c r="R25" s="36">
        <f t="shared" si="7"/>
        <v>886118.388286651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</row>
    <row r="26" spans="2:63" hidden="1" x14ac:dyDescent="0.25">
      <c r="B26" s="19" t="s">
        <v>11</v>
      </c>
      <c r="C26" s="24">
        <v>20000</v>
      </c>
      <c r="D26" s="24">
        <v>30000</v>
      </c>
      <c r="E26" s="24">
        <v>80000</v>
      </c>
      <c r="F26" s="24">
        <v>120000</v>
      </c>
      <c r="G26" s="24">
        <v>160000</v>
      </c>
      <c r="H26" s="24">
        <v>624000</v>
      </c>
      <c r="I26" s="24">
        <v>752000</v>
      </c>
      <c r="J26" s="24">
        <v>2271834.0503864801</v>
      </c>
      <c r="K26" s="24">
        <v>1795858.06</v>
      </c>
      <c r="L26" s="24">
        <v>796389.63350115926</v>
      </c>
      <c r="M26" s="24">
        <v>803987.7412714716</v>
      </c>
      <c r="N26" s="24">
        <v>825087.57382137433</v>
      </c>
      <c r="O26" s="24">
        <v>780239.84175984061</v>
      </c>
      <c r="P26" s="24">
        <v>764824.89874577709</v>
      </c>
      <c r="Q26" s="24">
        <v>1213485.2527752991</v>
      </c>
      <c r="R26" s="31">
        <v>780239.84175984061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</row>
    <row r="27" spans="2:63" hidden="1" x14ac:dyDescent="0.25">
      <c r="B27" s="19" t="s">
        <v>13</v>
      </c>
      <c r="C27" s="28">
        <v>2713.9999999999995</v>
      </c>
      <c r="D27" s="28">
        <v>4070.9999999999995</v>
      </c>
      <c r="E27" s="28">
        <v>10855.999999999998</v>
      </c>
      <c r="F27" s="28">
        <v>16283.999999999998</v>
      </c>
      <c r="G27" s="28">
        <v>21711.999999999996</v>
      </c>
      <c r="H27" s="28">
        <v>84676.799999999988</v>
      </c>
      <c r="I27" s="28">
        <v>102046.39999999999</v>
      </c>
      <c r="J27" s="28">
        <v>308287.88063744531</v>
      </c>
      <c r="K27" s="28">
        <v>243697.938742</v>
      </c>
      <c r="L27" s="28">
        <v>108070.07326610731</v>
      </c>
      <c r="M27" s="28">
        <v>109101.13649053869</v>
      </c>
      <c r="N27" s="28">
        <v>111964.38376756049</v>
      </c>
      <c r="O27" s="28">
        <v>105878.54652681037</v>
      </c>
      <c r="P27" s="28">
        <v>103786.73875980193</v>
      </c>
      <c r="Q27" s="28">
        <v>164669.94880160809</v>
      </c>
      <c r="R27" s="32">
        <v>105878.54652681034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</row>
    <row r="28" spans="2:63" x14ac:dyDescent="0.25">
      <c r="B28" s="18" t="s">
        <v>34</v>
      </c>
      <c r="C28" s="37">
        <f t="shared" ref="C28:R28" si="8">SUM(C29:C30)</f>
        <v>97474.574891054828</v>
      </c>
      <c r="D28" s="37">
        <f t="shared" si="8"/>
        <v>94985.228568579798</v>
      </c>
      <c r="E28" s="37">
        <f t="shared" si="8"/>
        <v>97474.574891054828</v>
      </c>
      <c r="F28" s="37">
        <f t="shared" si="8"/>
        <v>232389.3922870729</v>
      </c>
      <c r="G28" s="37">
        <f t="shared" si="8"/>
        <v>82701.613797568483</v>
      </c>
      <c r="H28" s="37">
        <f t="shared" si="8"/>
        <v>624929.64433684316</v>
      </c>
      <c r="I28" s="37">
        <f t="shared" si="8"/>
        <v>618332.52745647775</v>
      </c>
      <c r="J28" s="37">
        <f t="shared" si="8"/>
        <v>592738.68765023781</v>
      </c>
      <c r="K28" s="37">
        <f t="shared" si="8"/>
        <v>1250245.4272186381</v>
      </c>
      <c r="L28" s="37">
        <f t="shared" si="8"/>
        <v>645725.01683522505</v>
      </c>
      <c r="M28" s="37">
        <f t="shared" si="8"/>
        <v>651885.6799849089</v>
      </c>
      <c r="N28" s="37">
        <f t="shared" si="8"/>
        <v>668993.75014977064</v>
      </c>
      <c r="O28" s="37">
        <f t="shared" si="8"/>
        <v>632630.5162222496</v>
      </c>
      <c r="P28" s="37">
        <f t="shared" si="8"/>
        <v>620131.84230868996</v>
      </c>
      <c r="Q28" s="37">
        <f t="shared" si="8"/>
        <v>1226821.8106281462</v>
      </c>
      <c r="R28" s="36">
        <f t="shared" si="8"/>
        <v>632630.5162222496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63" hidden="1" x14ac:dyDescent="0.25">
      <c r="B29" s="19" t="s">
        <v>11</v>
      </c>
      <c r="C29" s="27">
        <v>85827.749309725128</v>
      </c>
      <c r="D29" s="27">
        <v>83635.844473522768</v>
      </c>
      <c r="E29" s="27">
        <v>85827.749309725128</v>
      </c>
      <c r="F29" s="27">
        <v>204622.16455672527</v>
      </c>
      <c r="G29" s="27">
        <v>72819.946990902958</v>
      </c>
      <c r="H29" s="27">
        <v>550259.43852852262</v>
      </c>
      <c r="I29" s="27">
        <v>544450.58330234897</v>
      </c>
      <c r="J29" s="27">
        <v>521914.84340075532</v>
      </c>
      <c r="K29" s="27">
        <v>1100858.8775368831</v>
      </c>
      <c r="L29" s="27">
        <v>568570.0597298803</v>
      </c>
      <c r="M29" s="27">
        <v>573994.61123968381</v>
      </c>
      <c r="N29" s="27">
        <v>589058.51030181441</v>
      </c>
      <c r="O29" s="27">
        <v>557040.16573236731</v>
      </c>
      <c r="P29" s="27">
        <v>546034.90561652719</v>
      </c>
      <c r="Q29" s="27">
        <v>1080234.0500379908</v>
      </c>
      <c r="R29" s="64">
        <v>557040.16573236731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2:63" hidden="1" x14ac:dyDescent="0.25">
      <c r="B30" s="19" t="s">
        <v>13</v>
      </c>
      <c r="C30" s="28">
        <v>11646.825581329698</v>
      </c>
      <c r="D30" s="28">
        <v>11349.384095057037</v>
      </c>
      <c r="E30" s="28">
        <v>11646.825581329698</v>
      </c>
      <c r="F30" s="28">
        <v>27767.227730347618</v>
      </c>
      <c r="G30" s="28">
        <v>9881.6668066655275</v>
      </c>
      <c r="H30" s="28">
        <v>74670.205808320505</v>
      </c>
      <c r="I30" s="28">
        <v>73881.944154128752</v>
      </c>
      <c r="J30" s="28">
        <v>70823.844249482485</v>
      </c>
      <c r="K30" s="28">
        <v>149386.54968175502</v>
      </c>
      <c r="L30" s="28">
        <v>77154.957105344758</v>
      </c>
      <c r="M30" s="28">
        <v>77891.068745225086</v>
      </c>
      <c r="N30" s="28">
        <v>79935.239847956211</v>
      </c>
      <c r="O30" s="28">
        <v>75590.350489882243</v>
      </c>
      <c r="P30" s="28">
        <v>74096.936692162722</v>
      </c>
      <c r="Q30" s="28">
        <v>146587.76059015535</v>
      </c>
      <c r="R30" s="32">
        <v>75590.350489882243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2:63" x14ac:dyDescent="0.25">
      <c r="B31" s="18" t="s">
        <v>39</v>
      </c>
      <c r="C31" s="37">
        <v>0</v>
      </c>
      <c r="D31" s="37">
        <v>0</v>
      </c>
      <c r="E31" s="37">
        <v>0</v>
      </c>
      <c r="F31" s="37">
        <v>0</v>
      </c>
      <c r="G31" s="37">
        <v>99373.75</v>
      </c>
      <c r="H31" s="37">
        <v>82854.993499999997</v>
      </c>
      <c r="I31" s="37">
        <v>0</v>
      </c>
      <c r="J31" s="37">
        <v>0</v>
      </c>
      <c r="K31" s="37">
        <v>0</v>
      </c>
      <c r="L31" s="37">
        <v>85501.931633333341</v>
      </c>
      <c r="M31" s="37">
        <v>85501.931633333341</v>
      </c>
      <c r="N31" s="37">
        <v>85501.931633333341</v>
      </c>
      <c r="O31" s="37">
        <v>85501.931633333341</v>
      </c>
      <c r="P31" s="37">
        <v>57076.496333333373</v>
      </c>
      <c r="Q31" s="37">
        <v>57076.496333333373</v>
      </c>
      <c r="R31" s="36">
        <v>57075.360633333374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2:63" hidden="1" x14ac:dyDescent="0.25">
      <c r="B32" s="19" t="s">
        <v>11</v>
      </c>
      <c r="C32" s="27">
        <v>0</v>
      </c>
      <c r="D32" s="27">
        <v>0</v>
      </c>
      <c r="E32" s="27">
        <v>0</v>
      </c>
      <c r="F32" s="27">
        <v>0</v>
      </c>
      <c r="G32" s="27">
        <v>87500</v>
      </c>
      <c r="H32" s="27">
        <v>72955</v>
      </c>
      <c r="I32" s="27">
        <v>0</v>
      </c>
      <c r="J32" s="27">
        <v>0</v>
      </c>
      <c r="K32" s="27">
        <v>0</v>
      </c>
      <c r="L32" s="27">
        <v>75285.666666666672</v>
      </c>
      <c r="M32" s="27">
        <v>75285.666666666672</v>
      </c>
      <c r="N32" s="27">
        <v>75285.666666666672</v>
      </c>
      <c r="O32" s="27">
        <v>75285.666666666672</v>
      </c>
      <c r="P32" s="27">
        <v>50256.666666666701</v>
      </c>
      <c r="Q32" s="27">
        <v>50256.666666666701</v>
      </c>
      <c r="R32" s="64">
        <v>50255.666666666701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2:63" hidden="1" x14ac:dyDescent="0.25">
      <c r="B33" s="20" t="s">
        <v>13</v>
      </c>
      <c r="C33" s="28">
        <v>0</v>
      </c>
      <c r="D33" s="28">
        <v>0</v>
      </c>
      <c r="E33" s="28">
        <v>0</v>
      </c>
      <c r="F33" s="28">
        <v>0</v>
      </c>
      <c r="G33" s="28">
        <v>11873.749999999996</v>
      </c>
      <c r="H33" s="28">
        <v>9899.9934999999987</v>
      </c>
      <c r="I33" s="28">
        <v>0</v>
      </c>
      <c r="J33" s="28">
        <v>0</v>
      </c>
      <c r="K33" s="28">
        <v>0</v>
      </c>
      <c r="L33" s="28">
        <v>10216.264966666669</v>
      </c>
      <c r="M33" s="28">
        <v>10216.264966666666</v>
      </c>
      <c r="N33" s="28">
        <v>10216.264966666668</v>
      </c>
      <c r="O33" s="28">
        <v>10216.264966666668</v>
      </c>
      <c r="P33" s="28">
        <v>6819.8296666666702</v>
      </c>
      <c r="Q33" s="28">
        <v>6819.8296666666711</v>
      </c>
      <c r="R33" s="32">
        <v>6819.6939666666703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2:63" ht="15.75" thickBot="1" x14ac:dyDescent="0.3">
      <c r="B34" s="84" t="s">
        <v>35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5">
        <v>16518.7565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28425.764652999998</v>
      </c>
      <c r="Q34" s="85">
        <v>28425.764653000002</v>
      </c>
      <c r="R34" s="87">
        <v>28425.764652999998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2:63" ht="15.75" thickBot="1" x14ac:dyDescent="0.3">
      <c r="B35" s="10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2:63" ht="15.75" thickBot="1" x14ac:dyDescent="0.3">
      <c r="B36" s="13" t="s">
        <v>0</v>
      </c>
      <c r="C36" s="62">
        <v>44774</v>
      </c>
      <c r="D36" s="62">
        <v>44805</v>
      </c>
      <c r="E36" s="62">
        <v>44835</v>
      </c>
      <c r="F36" s="62">
        <v>44866</v>
      </c>
      <c r="G36" s="62">
        <v>44896</v>
      </c>
      <c r="H36" s="62">
        <v>44927</v>
      </c>
      <c r="I36" s="62">
        <v>44958</v>
      </c>
      <c r="J36" s="62">
        <v>44986</v>
      </c>
      <c r="K36" s="62">
        <v>45017</v>
      </c>
      <c r="L36" s="62">
        <v>45047</v>
      </c>
      <c r="M36" s="62">
        <v>45078</v>
      </c>
      <c r="N36" s="62">
        <v>45108</v>
      </c>
      <c r="O36" s="62">
        <v>45139</v>
      </c>
      <c r="P36" s="62">
        <v>45170</v>
      </c>
      <c r="Q36" s="62">
        <v>45200</v>
      </c>
      <c r="R36" s="63">
        <v>45231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63" x14ac:dyDescent="0.25">
      <c r="B37" s="70" t="s">
        <v>32</v>
      </c>
      <c r="C37" s="33">
        <f t="shared" ref="C37:R37" si="9">SUM(C38:C39)</f>
        <v>203075.07918302115</v>
      </c>
      <c r="D37" s="33">
        <f t="shared" si="9"/>
        <v>203075.07918302115</v>
      </c>
      <c r="E37" s="33">
        <f t="shared" si="9"/>
        <v>639388.8071321313</v>
      </c>
      <c r="F37" s="33">
        <f t="shared" si="9"/>
        <v>415680.48092813062</v>
      </c>
      <c r="G37" s="33">
        <f t="shared" si="9"/>
        <v>895928.0766066931</v>
      </c>
      <c r="H37" s="33">
        <f t="shared" si="9"/>
        <v>3974950</v>
      </c>
      <c r="I37" s="33">
        <f t="shared" si="9"/>
        <v>5565315.2476112004</v>
      </c>
      <c r="J37" s="33">
        <f t="shared" si="9"/>
        <v>6701015.2476112004</v>
      </c>
      <c r="K37" s="33">
        <f t="shared" si="9"/>
        <v>6701015.2476112004</v>
      </c>
      <c r="L37" s="33">
        <f t="shared" si="9"/>
        <v>5565315.2476112004</v>
      </c>
      <c r="M37" s="33">
        <f t="shared" si="9"/>
        <v>5565315.2476112004</v>
      </c>
      <c r="N37" s="33">
        <f t="shared" si="9"/>
        <v>2278278.46</v>
      </c>
      <c r="O37" s="33">
        <f t="shared" si="9"/>
        <v>0</v>
      </c>
      <c r="P37" s="33">
        <f t="shared" si="9"/>
        <v>0</v>
      </c>
      <c r="Q37" s="33">
        <f t="shared" si="9"/>
        <v>0</v>
      </c>
      <c r="R37" s="34">
        <f t="shared" si="9"/>
        <v>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</row>
    <row r="38" spans="2:63" hidden="1" x14ac:dyDescent="0.25">
      <c r="B38" s="19" t="s">
        <v>11</v>
      </c>
      <c r="C38" s="24">
        <v>178810.49501014454</v>
      </c>
      <c r="D38" s="24">
        <v>178810.49501014454</v>
      </c>
      <c r="E38" s="24">
        <v>562990.93698347395</v>
      </c>
      <c r="F38" s="24">
        <v>366012.57456029818</v>
      </c>
      <c r="G38" s="24">
        <v>788877.41182239424</v>
      </c>
      <c r="H38" s="24">
        <v>3500000</v>
      </c>
      <c r="I38" s="24">
        <v>4900339.216</v>
      </c>
      <c r="J38" s="24">
        <v>5900339.216</v>
      </c>
      <c r="K38" s="24">
        <v>5900339.216</v>
      </c>
      <c r="L38" s="24">
        <v>4900339.216</v>
      </c>
      <c r="M38" s="24">
        <v>4900339.216</v>
      </c>
      <c r="N38" s="24">
        <v>2000000</v>
      </c>
      <c r="O38" s="24">
        <v>0</v>
      </c>
      <c r="P38" s="24">
        <v>0</v>
      </c>
      <c r="Q38" s="24">
        <v>0</v>
      </c>
      <c r="R38" s="31">
        <v>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2:63" hidden="1" x14ac:dyDescent="0.25">
      <c r="B39" s="19" t="s">
        <v>13</v>
      </c>
      <c r="C39" s="28">
        <v>24264.584172876614</v>
      </c>
      <c r="D39" s="28">
        <v>24264.584172876614</v>
      </c>
      <c r="E39" s="28">
        <v>76397.870148657399</v>
      </c>
      <c r="F39" s="28">
        <v>49667.90636783246</v>
      </c>
      <c r="G39" s="28">
        <v>107050.66478429889</v>
      </c>
      <c r="H39" s="28">
        <v>474949.99999999994</v>
      </c>
      <c r="I39" s="28">
        <v>664976.03161119996</v>
      </c>
      <c r="J39" s="28">
        <v>800676.03161119996</v>
      </c>
      <c r="K39" s="28">
        <v>800676.03161119996</v>
      </c>
      <c r="L39" s="28">
        <v>664976.03161119996</v>
      </c>
      <c r="M39" s="28">
        <v>664976.03161119996</v>
      </c>
      <c r="N39" s="28">
        <v>278278.46000000002</v>
      </c>
      <c r="O39" s="28">
        <v>0</v>
      </c>
      <c r="P39" s="28">
        <v>0</v>
      </c>
      <c r="Q39" s="28">
        <v>0</v>
      </c>
      <c r="R39" s="32">
        <v>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2:63" x14ac:dyDescent="0.25">
      <c r="B40" s="18" t="s">
        <v>33</v>
      </c>
      <c r="C40" s="37">
        <f t="shared" ref="C40:R40" si="10">SUM(C41:C42)</f>
        <v>937051.95758893481</v>
      </c>
      <c r="D40" s="37">
        <f t="shared" si="10"/>
        <v>937051.95758893481</v>
      </c>
      <c r="E40" s="37">
        <f t="shared" si="10"/>
        <v>914429.31138691679</v>
      </c>
      <c r="F40" s="37">
        <f t="shared" si="10"/>
        <v>925364.91447461187</v>
      </c>
      <c r="G40" s="37">
        <f t="shared" si="10"/>
        <v>5389514.3019543039</v>
      </c>
      <c r="H40" s="37">
        <f t="shared" si="10"/>
        <v>1702649.0737583041</v>
      </c>
      <c r="I40" s="37">
        <f t="shared" si="10"/>
        <v>1704861.7031516968</v>
      </c>
      <c r="J40" s="37">
        <f t="shared" si="10"/>
        <v>1704861.7031516968</v>
      </c>
      <c r="K40" s="37">
        <f t="shared" si="10"/>
        <v>1698287.5224648269</v>
      </c>
      <c r="L40" s="37">
        <f t="shared" si="10"/>
        <v>1702649.0737583041</v>
      </c>
      <c r="M40" s="37">
        <f t="shared" si="10"/>
        <v>3087949.9898582618</v>
      </c>
      <c r="N40" s="37">
        <f t="shared" si="10"/>
        <v>1844774.180834607</v>
      </c>
      <c r="O40" s="37">
        <f t="shared" si="10"/>
        <v>2050598.1871235727</v>
      </c>
      <c r="P40" s="37">
        <f t="shared" si="10"/>
        <v>1696244.8415811879</v>
      </c>
      <c r="Q40" s="37">
        <f t="shared" si="10"/>
        <v>1694599.1719886635</v>
      </c>
      <c r="R40" s="36">
        <f t="shared" si="10"/>
        <v>1971865.5547578607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2:63" hidden="1" x14ac:dyDescent="0.25">
      <c r="B41" s="19" t="s">
        <v>11</v>
      </c>
      <c r="C41" s="24">
        <v>825087.57382137433</v>
      </c>
      <c r="D41" s="24">
        <v>825087.57382137433</v>
      </c>
      <c r="E41" s="24">
        <v>805168.01213957625</v>
      </c>
      <c r="F41" s="24">
        <v>814796.9661658993</v>
      </c>
      <c r="G41" s="24">
        <v>4745543.9834060967</v>
      </c>
      <c r="H41" s="24">
        <v>1499206.7216327412</v>
      </c>
      <c r="I41" s="24">
        <v>1499206.7216327412</v>
      </c>
      <c r="J41" s="24">
        <v>1499206.7216327412</v>
      </c>
      <c r="K41" s="24">
        <v>1495366.3136962464</v>
      </c>
      <c r="L41" s="24">
        <v>1499206.7216327412</v>
      </c>
      <c r="M41" s="24">
        <v>2718983.8776598237</v>
      </c>
      <c r="N41" s="24">
        <v>1624349.899475748</v>
      </c>
      <c r="O41" s="24">
        <v>1805580.8638932577</v>
      </c>
      <c r="P41" s="24">
        <v>1493567.7041306577</v>
      </c>
      <c r="Q41" s="24">
        <v>1492118.668652517</v>
      </c>
      <c r="R41" s="31">
        <v>1736255.6614932294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2:63" hidden="1" x14ac:dyDescent="0.25">
      <c r="B42" s="19" t="s">
        <v>13</v>
      </c>
      <c r="C42" s="28">
        <v>111964.38376756049</v>
      </c>
      <c r="D42" s="28">
        <v>111964.38376756049</v>
      </c>
      <c r="E42" s="28">
        <v>109261.29924734047</v>
      </c>
      <c r="F42" s="28">
        <v>110567.94830871253</v>
      </c>
      <c r="G42" s="28">
        <v>643970.31854820729</v>
      </c>
      <c r="H42" s="28">
        <v>203442.35212556296</v>
      </c>
      <c r="I42" s="28">
        <v>205654.98151895564</v>
      </c>
      <c r="J42" s="28">
        <v>205654.98151895564</v>
      </c>
      <c r="K42" s="28">
        <v>202921.2087685806</v>
      </c>
      <c r="L42" s="28">
        <v>203442.35212556296</v>
      </c>
      <c r="M42" s="28">
        <v>368966.11219843809</v>
      </c>
      <c r="N42" s="28">
        <v>220424.28135885898</v>
      </c>
      <c r="O42" s="28">
        <v>245017.32323031503</v>
      </c>
      <c r="P42" s="28">
        <v>202677.13745053025</v>
      </c>
      <c r="Q42" s="28">
        <v>202480.50333614653</v>
      </c>
      <c r="R42" s="32">
        <v>235609.89326463122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63" x14ac:dyDescent="0.25">
      <c r="B43" s="18" t="s">
        <v>34</v>
      </c>
      <c r="C43" s="37">
        <f t="shared" ref="C43:R43" si="11">SUM(C44:C45)</f>
        <v>668993.75014977064</v>
      </c>
      <c r="D43" s="37">
        <f t="shared" si="11"/>
        <v>668993.75014977064</v>
      </c>
      <c r="E43" s="37">
        <f t="shared" si="11"/>
        <v>637126.21805994585</v>
      </c>
      <c r="F43" s="37">
        <f t="shared" si="11"/>
        <v>644745.57075425156</v>
      </c>
      <c r="G43" s="37">
        <f t="shared" si="11"/>
        <v>1231023.9876083173</v>
      </c>
      <c r="H43" s="37">
        <f t="shared" si="11"/>
        <v>807324.96066465578</v>
      </c>
      <c r="I43" s="37">
        <f t="shared" si="11"/>
        <v>808374.09695792804</v>
      </c>
      <c r="J43" s="37">
        <f t="shared" si="11"/>
        <v>808374.09695792804</v>
      </c>
      <c r="K43" s="37">
        <f t="shared" si="11"/>
        <v>805256.89550624299</v>
      </c>
      <c r="L43" s="37">
        <f t="shared" si="11"/>
        <v>807324.96066465578</v>
      </c>
      <c r="M43" s="37">
        <f t="shared" si="11"/>
        <v>1728998.7210790629</v>
      </c>
      <c r="N43" s="37">
        <f t="shared" si="11"/>
        <v>807161.40858035802</v>
      </c>
      <c r="O43" s="37">
        <f t="shared" si="11"/>
        <v>802160.93059265451</v>
      </c>
      <c r="P43" s="37">
        <f t="shared" si="11"/>
        <v>804136.83166795725</v>
      </c>
      <c r="Q43" s="37">
        <f t="shared" si="11"/>
        <v>803325.92364432756</v>
      </c>
      <c r="R43" s="36">
        <f t="shared" si="11"/>
        <v>801409.78386812971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63" hidden="1" x14ac:dyDescent="0.25">
      <c r="B44" s="19" t="s">
        <v>11</v>
      </c>
      <c r="C44" s="27">
        <v>589058.51030181441</v>
      </c>
      <c r="D44" s="27">
        <v>589058.51030181441</v>
      </c>
      <c r="E44" s="27">
        <v>560998.69513070874</v>
      </c>
      <c r="F44" s="27">
        <v>567707.64352756145</v>
      </c>
      <c r="G44" s="27">
        <v>1083934.1266252683</v>
      </c>
      <c r="H44" s="27">
        <v>710861.10827212804</v>
      </c>
      <c r="I44" s="27">
        <v>710861.10827212804</v>
      </c>
      <c r="J44" s="27">
        <v>710861.10827212804</v>
      </c>
      <c r="K44" s="27">
        <v>709040.147491629</v>
      </c>
      <c r="L44" s="27">
        <v>710861.10827212804</v>
      </c>
      <c r="M44" s="27">
        <v>1522407.9607986817</v>
      </c>
      <c r="N44" s="27">
        <v>710717.09833614342</v>
      </c>
      <c r="O44" s="27">
        <v>706314.10635965003</v>
      </c>
      <c r="P44" s="27">
        <v>708053.91535436932</v>
      </c>
      <c r="Q44" s="27">
        <v>707339.8993082043</v>
      </c>
      <c r="R44" s="64">
        <v>705652.71098717069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</row>
    <row r="45" spans="2:63" hidden="1" x14ac:dyDescent="0.25">
      <c r="B45" s="19" t="s">
        <v>13</v>
      </c>
      <c r="C45" s="28">
        <v>79935.239847956211</v>
      </c>
      <c r="D45" s="28">
        <v>79935.239847956211</v>
      </c>
      <c r="E45" s="28">
        <v>76127.522929237166</v>
      </c>
      <c r="F45" s="28">
        <v>77037.927226690081</v>
      </c>
      <c r="G45" s="28">
        <v>147089.86098304891</v>
      </c>
      <c r="H45" s="28">
        <v>96463.85239252777</v>
      </c>
      <c r="I45" s="28">
        <v>97512.98868580001</v>
      </c>
      <c r="J45" s="28">
        <v>97512.98868580001</v>
      </c>
      <c r="K45" s="28">
        <v>96216.748014614044</v>
      </c>
      <c r="L45" s="28">
        <v>96463.85239252777</v>
      </c>
      <c r="M45" s="28">
        <v>206590.7602803811</v>
      </c>
      <c r="N45" s="28">
        <v>96444.310244214648</v>
      </c>
      <c r="O45" s="28">
        <v>95846.824233004503</v>
      </c>
      <c r="P45" s="28">
        <v>96082.916313587921</v>
      </c>
      <c r="Q45" s="28">
        <v>95986.024336123315</v>
      </c>
      <c r="R45" s="32">
        <v>95757.072880959051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2:63" x14ac:dyDescent="0.25">
      <c r="B46" s="18" t="s">
        <v>39</v>
      </c>
      <c r="C46" s="37">
        <f t="shared" ref="C46:R46" si="12">SUM(C47:C48)</f>
        <v>85501.931633333341</v>
      </c>
      <c r="D46" s="37">
        <f t="shared" si="12"/>
        <v>85501.931633333341</v>
      </c>
      <c r="E46" s="37">
        <f t="shared" si="12"/>
        <v>85501.931633333341</v>
      </c>
      <c r="F46" s="37">
        <f t="shared" si="12"/>
        <v>85501.931633333341</v>
      </c>
      <c r="G46" s="37">
        <f t="shared" si="12"/>
        <v>85501.931633333341</v>
      </c>
      <c r="H46" s="37">
        <f t="shared" si="12"/>
        <v>64640.258333333331</v>
      </c>
      <c r="I46" s="37">
        <f t="shared" si="12"/>
        <v>64724.259750765239</v>
      </c>
      <c r="J46" s="37">
        <f t="shared" si="12"/>
        <v>64724.259750765239</v>
      </c>
      <c r="K46" s="37">
        <f t="shared" si="12"/>
        <v>64640.258333333331</v>
      </c>
      <c r="L46" s="37">
        <f t="shared" si="12"/>
        <v>43150.542933333374</v>
      </c>
      <c r="M46" s="37">
        <f t="shared" si="12"/>
        <v>43150.542933333374</v>
      </c>
      <c r="N46" s="37">
        <f t="shared" si="12"/>
        <v>43149.407233333375</v>
      </c>
      <c r="O46" s="37">
        <f t="shared" si="12"/>
        <v>64640.258333333331</v>
      </c>
      <c r="P46" s="37">
        <f t="shared" si="12"/>
        <v>64640.258333333331</v>
      </c>
      <c r="Q46" s="37">
        <f t="shared" si="12"/>
        <v>64640.258333333331</v>
      </c>
      <c r="R46" s="36">
        <f t="shared" si="12"/>
        <v>64640.258333333331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63" hidden="1" x14ac:dyDescent="0.25">
      <c r="B47" s="19" t="s">
        <v>11</v>
      </c>
      <c r="C47" s="27">
        <v>75285.666666666672</v>
      </c>
      <c r="D47" s="27">
        <v>75285.666666666672</v>
      </c>
      <c r="E47" s="27">
        <v>75285.666666666672</v>
      </c>
      <c r="F47" s="27">
        <v>75285.666666666672</v>
      </c>
      <c r="G47" s="27">
        <v>75285.666666666672</v>
      </c>
      <c r="H47" s="27">
        <v>56916.666666666664</v>
      </c>
      <c r="I47" s="27">
        <v>56916.666666666664</v>
      </c>
      <c r="J47" s="27">
        <v>56916.666666666664</v>
      </c>
      <c r="K47" s="27">
        <v>56916.666666666664</v>
      </c>
      <c r="L47" s="27">
        <v>37994.666666666701</v>
      </c>
      <c r="M47" s="27">
        <v>37994.666666666701</v>
      </c>
      <c r="N47" s="27">
        <v>37993.666666666701</v>
      </c>
      <c r="O47" s="27">
        <v>56916.666666666664</v>
      </c>
      <c r="P47" s="27">
        <v>56916.666666666664</v>
      </c>
      <c r="Q47" s="27">
        <v>56916.666666666664</v>
      </c>
      <c r="R47" s="64">
        <v>56916.666666666664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63" hidden="1" x14ac:dyDescent="0.25">
      <c r="B48" s="20" t="s">
        <v>13</v>
      </c>
      <c r="C48" s="28">
        <v>10216.264966666668</v>
      </c>
      <c r="D48" s="28">
        <v>10216.264966666668</v>
      </c>
      <c r="E48" s="28">
        <v>10216.264966666666</v>
      </c>
      <c r="F48" s="28">
        <v>10216.264966666668</v>
      </c>
      <c r="G48" s="28">
        <v>10216.264966666666</v>
      </c>
      <c r="H48" s="28">
        <v>7723.5916666666662</v>
      </c>
      <c r="I48" s="28">
        <v>7807.5930840985775</v>
      </c>
      <c r="J48" s="28">
        <v>7807.5930840985775</v>
      </c>
      <c r="K48" s="28">
        <v>7723.5916666666653</v>
      </c>
      <c r="L48" s="28">
        <v>5155.8762666666707</v>
      </c>
      <c r="M48" s="28">
        <v>5155.8762666666717</v>
      </c>
      <c r="N48" s="28">
        <v>5155.7405666666709</v>
      </c>
      <c r="O48" s="28">
        <v>7723.5916666666662</v>
      </c>
      <c r="P48" s="28">
        <v>7723.5916666666662</v>
      </c>
      <c r="Q48" s="28">
        <v>7723.5916666666662</v>
      </c>
      <c r="R48" s="32">
        <v>7723.5916666666653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2:63" ht="15.75" thickBot="1" x14ac:dyDescent="0.3">
      <c r="B49" s="84" t="s">
        <v>35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21490.135608999997</v>
      </c>
      <c r="M49" s="85">
        <v>21490.135608999997</v>
      </c>
      <c r="N49" s="85">
        <v>21490.135608999997</v>
      </c>
      <c r="O49" s="85">
        <v>0</v>
      </c>
      <c r="P49" s="85">
        <v>0</v>
      </c>
      <c r="Q49" s="85">
        <v>0</v>
      </c>
      <c r="R49" s="87">
        <v>0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</row>
    <row r="50" spans="2:63" ht="15.75" thickBot="1" x14ac:dyDescent="0.3">
      <c r="B50" s="10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2:63" ht="15.75" thickBot="1" x14ac:dyDescent="0.3">
      <c r="B51" s="13" t="s">
        <v>0</v>
      </c>
      <c r="C51" s="117">
        <v>45261</v>
      </c>
      <c r="D51" s="117">
        <v>45292</v>
      </c>
      <c r="E51" s="117">
        <v>45323</v>
      </c>
      <c r="F51" s="117">
        <v>45352</v>
      </c>
      <c r="G51" s="117">
        <v>45383</v>
      </c>
      <c r="H51" s="117">
        <v>45413</v>
      </c>
      <c r="I51" s="117">
        <v>45444</v>
      </c>
      <c r="J51" s="117">
        <v>45474</v>
      </c>
      <c r="K51" s="117">
        <v>45505</v>
      </c>
      <c r="L51" s="117">
        <v>45536</v>
      </c>
      <c r="M51" s="117">
        <v>45566</v>
      </c>
      <c r="N51" s="117">
        <v>45597</v>
      </c>
      <c r="O51" s="118">
        <v>45627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</row>
    <row r="52" spans="2:63" x14ac:dyDescent="0.25">
      <c r="B52" s="23" t="s">
        <v>32</v>
      </c>
      <c r="C52" s="60">
        <f t="shared" ref="C52:O52" si="13">SUM(C53:C54)</f>
        <v>0</v>
      </c>
      <c r="D52" s="60">
        <f t="shared" si="13"/>
        <v>0</v>
      </c>
      <c r="E52" s="60">
        <f t="shared" si="13"/>
        <v>0</v>
      </c>
      <c r="F52" s="60">
        <f t="shared" si="13"/>
        <v>0</v>
      </c>
      <c r="G52" s="60">
        <f t="shared" si="13"/>
        <v>0</v>
      </c>
      <c r="H52" s="60">
        <f t="shared" si="13"/>
        <v>0</v>
      </c>
      <c r="I52" s="60">
        <f t="shared" si="13"/>
        <v>0</v>
      </c>
      <c r="J52" s="60">
        <f t="shared" si="13"/>
        <v>0</v>
      </c>
      <c r="K52" s="60">
        <f t="shared" si="13"/>
        <v>0</v>
      </c>
      <c r="L52" s="60">
        <f t="shared" si="13"/>
        <v>0</v>
      </c>
      <c r="M52" s="60">
        <f t="shared" si="13"/>
        <v>0</v>
      </c>
      <c r="N52" s="60">
        <f t="shared" si="13"/>
        <v>0</v>
      </c>
      <c r="O52" s="36">
        <f t="shared" si="13"/>
        <v>0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63" hidden="1" x14ac:dyDescent="0.25">
      <c r="B53" s="19" t="s">
        <v>11</v>
      </c>
      <c r="C53" s="58">
        <v>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31">
        <v>0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</row>
    <row r="54" spans="2:63" hidden="1" x14ac:dyDescent="0.25">
      <c r="B54" s="19" t="s">
        <v>13</v>
      </c>
      <c r="C54" s="66">
        <v>0</v>
      </c>
      <c r="D54" s="66">
        <v>0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32">
        <v>0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2:63" x14ac:dyDescent="0.25">
      <c r="B55" s="18" t="s">
        <v>33</v>
      </c>
      <c r="C55" s="60">
        <f t="shared" ref="C55:O55" si="14">SUM(C56:C57)</f>
        <v>3588364.6910162037</v>
      </c>
      <c r="D55" s="60">
        <f t="shared" si="14"/>
        <v>86584.443016666657</v>
      </c>
      <c r="E55" s="60">
        <f t="shared" si="14"/>
        <v>86584.443016666657</v>
      </c>
      <c r="F55" s="60">
        <f t="shared" si="14"/>
        <v>86584.443016666657</v>
      </c>
      <c r="G55" s="60">
        <f t="shared" si="14"/>
        <v>86584.443016666657</v>
      </c>
      <c r="H55" s="60">
        <f t="shared" si="14"/>
        <v>86584.443016666657</v>
      </c>
      <c r="I55" s="60">
        <f t="shared" si="14"/>
        <v>549308.37251666666</v>
      </c>
      <c r="J55" s="60">
        <f t="shared" si="14"/>
        <v>0</v>
      </c>
      <c r="K55" s="60">
        <f t="shared" si="14"/>
        <v>0</v>
      </c>
      <c r="L55" s="60">
        <f t="shared" si="14"/>
        <v>0</v>
      </c>
      <c r="M55" s="60">
        <f t="shared" si="14"/>
        <v>0</v>
      </c>
      <c r="N55" s="60">
        <f t="shared" si="14"/>
        <v>0</v>
      </c>
      <c r="O55" s="36">
        <f t="shared" si="14"/>
        <v>0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</row>
    <row r="56" spans="2:63" hidden="1" x14ac:dyDescent="0.25">
      <c r="B56" s="19" t="s">
        <v>11</v>
      </c>
      <c r="C56" s="58">
        <v>3159606.1380788973</v>
      </c>
      <c r="D56" s="58">
        <v>76238.833333333328</v>
      </c>
      <c r="E56" s="58">
        <v>76238.833333333328</v>
      </c>
      <c r="F56" s="58">
        <v>76238.833333333328</v>
      </c>
      <c r="G56" s="58">
        <v>76238.833333333328</v>
      </c>
      <c r="H56" s="58">
        <v>76238.833333333328</v>
      </c>
      <c r="I56" s="58">
        <v>483673.83333333331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31">
        <v>0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2:63" hidden="1" x14ac:dyDescent="0.25">
      <c r="B57" s="19" t="s">
        <v>13</v>
      </c>
      <c r="C57" s="66">
        <v>428758.55293730641</v>
      </c>
      <c r="D57" s="66">
        <v>10345.609683333332</v>
      </c>
      <c r="E57" s="66">
        <v>10345.609683333332</v>
      </c>
      <c r="F57" s="66">
        <v>10345.609683333332</v>
      </c>
      <c r="G57" s="66">
        <v>10345.609683333332</v>
      </c>
      <c r="H57" s="66">
        <v>10345.609683333332</v>
      </c>
      <c r="I57" s="66">
        <v>65634.539183333327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32">
        <v>0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</row>
    <row r="58" spans="2:63" x14ac:dyDescent="0.25">
      <c r="B58" s="18" t="s">
        <v>34</v>
      </c>
      <c r="C58" s="60">
        <f t="shared" ref="C58:O58" si="15">SUM(C59:C60)</f>
        <v>2195889.6694768248</v>
      </c>
      <c r="D58" s="60">
        <f t="shared" si="15"/>
        <v>0</v>
      </c>
      <c r="E58" s="60">
        <f t="shared" si="15"/>
        <v>0</v>
      </c>
      <c r="F58" s="60">
        <f t="shared" si="15"/>
        <v>0</v>
      </c>
      <c r="G58" s="60">
        <f t="shared" si="15"/>
        <v>0</v>
      </c>
      <c r="H58" s="60">
        <f t="shared" si="15"/>
        <v>0</v>
      </c>
      <c r="I58" s="60">
        <f t="shared" si="15"/>
        <v>0</v>
      </c>
      <c r="J58" s="60">
        <f t="shared" si="15"/>
        <v>0</v>
      </c>
      <c r="K58" s="60">
        <f t="shared" si="15"/>
        <v>0</v>
      </c>
      <c r="L58" s="60">
        <f t="shared" si="15"/>
        <v>0</v>
      </c>
      <c r="M58" s="60">
        <f t="shared" si="15"/>
        <v>0</v>
      </c>
      <c r="N58" s="60">
        <f t="shared" si="15"/>
        <v>0</v>
      </c>
      <c r="O58" s="36">
        <f t="shared" si="15"/>
        <v>0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</row>
    <row r="59" spans="2:63" hidden="1" x14ac:dyDescent="0.25">
      <c r="B59" s="19" t="s">
        <v>11</v>
      </c>
      <c r="C59" s="67">
        <v>1933512.0801944393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4">
        <v>0</v>
      </c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</row>
    <row r="60" spans="2:63" hidden="1" x14ac:dyDescent="0.25">
      <c r="B60" s="19" t="s">
        <v>13</v>
      </c>
      <c r="C60" s="66">
        <v>262377.58928238542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32">
        <v>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</row>
    <row r="61" spans="2:63" x14ac:dyDescent="0.25">
      <c r="B61" s="18" t="s">
        <v>39</v>
      </c>
      <c r="C61" s="60">
        <f t="shared" ref="C61:O61" si="16">SUM(C62:C63)</f>
        <v>64640.258333333331</v>
      </c>
      <c r="D61" s="60">
        <f t="shared" si="16"/>
        <v>0</v>
      </c>
      <c r="E61" s="60">
        <f t="shared" si="16"/>
        <v>0</v>
      </c>
      <c r="F61" s="60">
        <f t="shared" si="16"/>
        <v>0</v>
      </c>
      <c r="G61" s="60">
        <f t="shared" si="16"/>
        <v>0</v>
      </c>
      <c r="H61" s="60">
        <f t="shared" si="16"/>
        <v>0</v>
      </c>
      <c r="I61" s="60">
        <f t="shared" si="16"/>
        <v>0</v>
      </c>
      <c r="J61" s="60">
        <f t="shared" si="16"/>
        <v>0</v>
      </c>
      <c r="K61" s="60">
        <f t="shared" si="16"/>
        <v>0</v>
      </c>
      <c r="L61" s="60">
        <f t="shared" si="16"/>
        <v>0</v>
      </c>
      <c r="M61" s="60">
        <f t="shared" si="16"/>
        <v>0</v>
      </c>
      <c r="N61" s="60">
        <f t="shared" si="16"/>
        <v>0</v>
      </c>
      <c r="O61" s="36">
        <f t="shared" si="16"/>
        <v>0</v>
      </c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</row>
    <row r="62" spans="2:63" hidden="1" x14ac:dyDescent="0.25">
      <c r="B62" s="19" t="s">
        <v>11</v>
      </c>
      <c r="C62" s="67">
        <v>56916.666666666664</v>
      </c>
      <c r="D62" s="67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4">
        <v>0</v>
      </c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</row>
    <row r="63" spans="2:63" hidden="1" x14ac:dyDescent="0.25">
      <c r="B63" s="20" t="s">
        <v>13</v>
      </c>
      <c r="C63" s="66">
        <v>7723.5916666666662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32">
        <v>0</v>
      </c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</row>
    <row r="64" spans="2:63" ht="15.75" thickBot="1" x14ac:dyDescent="0.3">
      <c r="B64" s="84" t="s">
        <v>35</v>
      </c>
      <c r="C64" s="86">
        <f t="shared" ref="C64:O64" si="17">SUM(C65:C66)</f>
        <v>0</v>
      </c>
      <c r="D64" s="86">
        <f t="shared" si="17"/>
        <v>0</v>
      </c>
      <c r="E64" s="86">
        <f t="shared" si="17"/>
        <v>0</v>
      </c>
      <c r="F64" s="86">
        <f t="shared" si="17"/>
        <v>0</v>
      </c>
      <c r="G64" s="86">
        <f t="shared" si="17"/>
        <v>0</v>
      </c>
      <c r="H64" s="86">
        <f t="shared" si="17"/>
        <v>0</v>
      </c>
      <c r="I64" s="86">
        <f t="shared" si="17"/>
        <v>0</v>
      </c>
      <c r="J64" s="86">
        <f t="shared" si="17"/>
        <v>0</v>
      </c>
      <c r="K64" s="86">
        <f t="shared" si="17"/>
        <v>0</v>
      </c>
      <c r="L64" s="86">
        <f t="shared" si="17"/>
        <v>0</v>
      </c>
      <c r="M64" s="86">
        <f t="shared" si="17"/>
        <v>0</v>
      </c>
      <c r="N64" s="86">
        <f t="shared" si="17"/>
        <v>0</v>
      </c>
      <c r="O64" s="87">
        <f t="shared" si="17"/>
        <v>0</v>
      </c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</row>
    <row r="65" spans="2:111" x14ac:dyDescent="0.25">
      <c r="B65" s="10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</row>
    <row r="66" spans="2:111" ht="15.75" thickBot="1" x14ac:dyDescent="0.3"/>
    <row r="67" spans="2:111" ht="15.75" thickBot="1" x14ac:dyDescent="0.3">
      <c r="B67" s="13" t="s">
        <v>0</v>
      </c>
      <c r="C67" s="14" t="s">
        <v>10</v>
      </c>
      <c r="D67" s="14">
        <v>2020</v>
      </c>
      <c r="E67" s="14">
        <v>2021</v>
      </c>
      <c r="F67" s="14">
        <v>2022</v>
      </c>
      <c r="G67" s="14">
        <v>2023</v>
      </c>
      <c r="H67" s="14">
        <v>2024</v>
      </c>
      <c r="I67" s="15" t="s">
        <v>1</v>
      </c>
      <c r="K67" s="69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2:111" x14ac:dyDescent="0.25">
      <c r="B68" s="23" t="s">
        <v>32</v>
      </c>
      <c r="C68" s="33">
        <f t="shared" ref="C68:I68" si="18">SUM(C69:C70)</f>
        <v>340673.68000000005</v>
      </c>
      <c r="D68" s="33">
        <f t="shared" si="18"/>
        <v>2979672.5563225867</v>
      </c>
      <c r="E68" s="33">
        <f t="shared" si="18"/>
        <v>4869794.2546140002</v>
      </c>
      <c r="F68" s="33">
        <f t="shared" si="18"/>
        <v>12074743.496607842</v>
      </c>
      <c r="G68" s="33">
        <f t="shared" si="18"/>
        <v>36351204.698055997</v>
      </c>
      <c r="H68" s="33">
        <f t="shared" si="18"/>
        <v>0</v>
      </c>
      <c r="I68" s="34">
        <f t="shared" si="18"/>
        <v>56616088.68560043</v>
      </c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</row>
    <row r="69" spans="2:111" hidden="1" x14ac:dyDescent="0.25">
      <c r="B69" s="19" t="s">
        <v>11</v>
      </c>
      <c r="C69" s="24">
        <f>C6</f>
        <v>294444.26162400004</v>
      </c>
      <c r="D69" s="25">
        <f t="shared" ref="D69:H70" si="19">SUMIF($1:$1,D$67,6:6)</f>
        <v>2583298.4678727477</v>
      </c>
      <c r="E69" s="24">
        <f t="shared" si="19"/>
        <v>3891027.02</v>
      </c>
      <c r="F69" s="25">
        <f t="shared" si="19"/>
        <v>10631983.355294393</v>
      </c>
      <c r="G69" s="24">
        <f t="shared" si="19"/>
        <v>32001696.079999998</v>
      </c>
      <c r="H69" s="24">
        <f t="shared" si="19"/>
        <v>0</v>
      </c>
      <c r="I69" s="26">
        <f>SUM(C69:H69)</f>
        <v>49402449.18479114</v>
      </c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</row>
    <row r="70" spans="2:111" hidden="1" x14ac:dyDescent="0.25">
      <c r="B70" s="19" t="s">
        <v>13</v>
      </c>
      <c r="C70" s="28">
        <f>C7</f>
        <v>46229.418376000001</v>
      </c>
      <c r="D70" s="40">
        <f t="shared" si="19"/>
        <v>396374.0884498388</v>
      </c>
      <c r="E70" s="66">
        <f t="shared" si="19"/>
        <v>978767.23461399996</v>
      </c>
      <c r="F70" s="66">
        <f t="shared" si="19"/>
        <v>1442760.1413134492</v>
      </c>
      <c r="G70" s="66">
        <f t="shared" si="19"/>
        <v>4349508.6180560002</v>
      </c>
      <c r="H70" s="66">
        <f t="shared" si="19"/>
        <v>0</v>
      </c>
      <c r="I70" s="32">
        <f>SUM(C70:H70)</f>
        <v>7213639.5008092886</v>
      </c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</row>
    <row r="71" spans="2:111" x14ac:dyDescent="0.25">
      <c r="B71" s="18" t="s">
        <v>33</v>
      </c>
      <c r="C71" s="37">
        <f t="shared" ref="C71:I71" si="20">SUM(C72:C73)</f>
        <v>0</v>
      </c>
      <c r="D71" s="37">
        <f t="shared" si="20"/>
        <v>412690.95718975365</v>
      </c>
      <c r="E71" s="37">
        <f t="shared" si="20"/>
        <v>7091744.129765925</v>
      </c>
      <c r="F71" s="37">
        <f t="shared" si="20"/>
        <v>15877016.600767702</v>
      </c>
      <c r="G71" s="37">
        <f t="shared" si="20"/>
        <v>24447705.693445187</v>
      </c>
      <c r="H71" s="37">
        <f t="shared" si="20"/>
        <v>982230.58759999997</v>
      </c>
      <c r="I71" s="36">
        <f t="shared" si="20"/>
        <v>48811387.968768574</v>
      </c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</row>
    <row r="72" spans="2:111" hidden="1" x14ac:dyDescent="0.25">
      <c r="B72" s="19" t="s">
        <v>11</v>
      </c>
      <c r="C72" s="27">
        <f>C9</f>
        <v>0</v>
      </c>
      <c r="D72" s="24">
        <f t="shared" ref="D72:H73" si="21">SUMIF($1:$1,D$67,9:9)</f>
        <v>363349.5482848839</v>
      </c>
      <c r="E72" s="27">
        <f t="shared" si="21"/>
        <v>6187948.1103864796</v>
      </c>
      <c r="F72" s="24">
        <f t="shared" si="21"/>
        <v>13979938.892989084</v>
      </c>
      <c r="G72" s="27">
        <f t="shared" si="21"/>
        <v>21522656.013611343</v>
      </c>
      <c r="H72" s="27">
        <f t="shared" si="21"/>
        <v>864868</v>
      </c>
      <c r="I72" s="9">
        <f>SUM(C72:H72)</f>
        <v>42918760.565271795</v>
      </c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</row>
    <row r="73" spans="2:111" hidden="1" x14ac:dyDescent="0.25">
      <c r="B73" s="19" t="s">
        <v>13</v>
      </c>
      <c r="C73" s="24">
        <f>C10</f>
        <v>0</v>
      </c>
      <c r="D73" s="24">
        <f t="shared" si="21"/>
        <v>49341.408904869735</v>
      </c>
      <c r="E73" s="24">
        <f t="shared" si="21"/>
        <v>903796.01937944524</v>
      </c>
      <c r="F73" s="24">
        <f t="shared" si="21"/>
        <v>1897077.7077786187</v>
      </c>
      <c r="G73" s="28">
        <f t="shared" si="21"/>
        <v>2925049.6798338443</v>
      </c>
      <c r="H73" s="28">
        <f t="shared" si="21"/>
        <v>117362.58759999998</v>
      </c>
      <c r="I73" s="38">
        <f>SUM(C73:H73)</f>
        <v>5892627.4034967776</v>
      </c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</row>
    <row r="74" spans="2:111" x14ac:dyDescent="0.25">
      <c r="B74" s="18" t="s">
        <v>34</v>
      </c>
      <c r="C74" s="35">
        <f t="shared" ref="C74:I74" si="22">SUM(C75:C76)</f>
        <v>0</v>
      </c>
      <c r="D74" s="35">
        <f t="shared" si="22"/>
        <v>343320.77663805505</v>
      </c>
      <c r="E74" s="35">
        <f t="shared" si="22"/>
        <v>4838282.8208796373</v>
      </c>
      <c r="F74" s="35">
        <f t="shared" si="22"/>
        <v>8929702.4090732969</v>
      </c>
      <c r="G74" s="37">
        <f t="shared" si="22"/>
        <v>11979738.279660728</v>
      </c>
      <c r="H74" s="37">
        <f t="shared" si="22"/>
        <v>0</v>
      </c>
      <c r="I74" s="36">
        <f t="shared" si="22"/>
        <v>26091044.286251716</v>
      </c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</row>
    <row r="75" spans="2:111" hidden="1" x14ac:dyDescent="0.25">
      <c r="B75" s="19" t="s">
        <v>11</v>
      </c>
      <c r="C75" s="16">
        <f>C12</f>
        <v>0</v>
      </c>
      <c r="D75" s="24">
        <f t="shared" ref="D75:H76" si="23">SUMIF($1:$1,D$67,12:12)</f>
        <v>301250.74686246371</v>
      </c>
      <c r="E75" s="24">
        <f t="shared" si="23"/>
        <v>4083168.6960285613</v>
      </c>
      <c r="F75" s="24">
        <f t="shared" si="23"/>
        <v>7862729.9542777985</v>
      </c>
      <c r="G75" s="16">
        <f t="shared" si="23"/>
        <v>10546482.351918802</v>
      </c>
      <c r="H75" s="16">
        <f t="shared" si="23"/>
        <v>0</v>
      </c>
      <c r="I75" s="9">
        <f>SUM(C75:H75)</f>
        <v>22793631.749087624</v>
      </c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</row>
    <row r="76" spans="2:111" hidden="1" x14ac:dyDescent="0.25">
      <c r="B76" s="19" t="s">
        <v>13</v>
      </c>
      <c r="C76" s="28">
        <f>C13</f>
        <v>0</v>
      </c>
      <c r="D76" s="28">
        <f t="shared" si="23"/>
        <v>42070.02977559132</v>
      </c>
      <c r="E76" s="28">
        <f t="shared" si="23"/>
        <v>755114.1248510757</v>
      </c>
      <c r="F76" s="28">
        <f t="shared" si="23"/>
        <v>1066972.4547954975</v>
      </c>
      <c r="G76" s="28">
        <f t="shared" si="23"/>
        <v>1433255.9277419257</v>
      </c>
      <c r="H76" s="28">
        <f t="shared" si="23"/>
        <v>0</v>
      </c>
      <c r="I76" s="32">
        <f>SUM(C76:H76)</f>
        <v>3297412.5371640902</v>
      </c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</row>
    <row r="77" spans="2:111" x14ac:dyDescent="0.25">
      <c r="B77" s="18" t="s">
        <v>39</v>
      </c>
      <c r="C77" s="37">
        <f>SUM(C78:C79)</f>
        <v>0</v>
      </c>
      <c r="D77" s="37">
        <f t="shared" ref="D77:I77" si="24">SUM(D78:D79)</f>
        <v>0</v>
      </c>
      <c r="E77" s="37">
        <f t="shared" si="24"/>
        <v>182228.74349999998</v>
      </c>
      <c r="F77" s="37">
        <f t="shared" si="24"/>
        <v>940745.7379999999</v>
      </c>
      <c r="G77" s="37">
        <f t="shared" si="24"/>
        <v>711380.82093486399</v>
      </c>
      <c r="H77" s="37">
        <f t="shared" si="24"/>
        <v>0</v>
      </c>
      <c r="I77" s="36">
        <f t="shared" si="24"/>
        <v>1834355.3024348638</v>
      </c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</row>
    <row r="78" spans="2:111" hidden="1" x14ac:dyDescent="0.25">
      <c r="B78" s="19" t="s">
        <v>11</v>
      </c>
      <c r="C78" s="24">
        <f>C15</f>
        <v>0</v>
      </c>
      <c r="D78" s="24">
        <f t="shared" ref="D78:H79" si="25">SUMIF($1:$1,D$67,15:15)</f>
        <v>0</v>
      </c>
      <c r="E78" s="24">
        <f t="shared" si="25"/>
        <v>160455</v>
      </c>
      <c r="F78" s="24">
        <f t="shared" si="25"/>
        <v>828339.99999999988</v>
      </c>
      <c r="G78" s="16">
        <f t="shared" si="25"/>
        <v>626233.00000000012</v>
      </c>
      <c r="H78" s="16">
        <f t="shared" si="25"/>
        <v>0</v>
      </c>
      <c r="I78" s="31">
        <f>SUM(C78:H78)</f>
        <v>1615028</v>
      </c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</row>
    <row r="79" spans="2:111" hidden="1" x14ac:dyDescent="0.25">
      <c r="B79" s="20" t="s">
        <v>13</v>
      </c>
      <c r="C79" s="28">
        <f>C16</f>
        <v>0</v>
      </c>
      <c r="D79" s="28">
        <f t="shared" si="25"/>
        <v>0</v>
      </c>
      <c r="E79" s="28">
        <f t="shared" si="25"/>
        <v>21773.743499999997</v>
      </c>
      <c r="F79" s="28">
        <f t="shared" si="25"/>
        <v>112405.73800000003</v>
      </c>
      <c r="G79" s="28">
        <f t="shared" si="25"/>
        <v>85147.820934863819</v>
      </c>
      <c r="H79" s="28">
        <f t="shared" si="25"/>
        <v>0</v>
      </c>
      <c r="I79" s="32">
        <f>SUM(C79:H79)</f>
        <v>219327.30243486384</v>
      </c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</row>
    <row r="80" spans="2:111" x14ac:dyDescent="0.25">
      <c r="B80" s="18" t="s">
        <v>35</v>
      </c>
      <c r="C80" s="37">
        <f>SUM(C81:C82)</f>
        <v>0</v>
      </c>
      <c r="D80" s="37">
        <f t="shared" ref="D80:I80" si="26">SUM(D81:D82)</f>
        <v>0</v>
      </c>
      <c r="E80" s="37">
        <f t="shared" si="26"/>
        <v>16518.7565</v>
      </c>
      <c r="F80" s="37">
        <f t="shared" si="26"/>
        <v>85277.293958999988</v>
      </c>
      <c r="G80" s="37">
        <f t="shared" si="26"/>
        <v>64470.406826999999</v>
      </c>
      <c r="H80" s="37">
        <f t="shared" si="26"/>
        <v>0</v>
      </c>
      <c r="I80" s="36">
        <f t="shared" si="26"/>
        <v>166266.45728599996</v>
      </c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</row>
    <row r="81" spans="2:71" hidden="1" x14ac:dyDescent="0.25">
      <c r="B81" s="19" t="s">
        <v>11</v>
      </c>
      <c r="C81" s="24">
        <f>C18</f>
        <v>0</v>
      </c>
      <c r="D81" s="24">
        <f t="shared" ref="D81:H82" si="27">SUMIF($1:$1,D$67,18:18)</f>
        <v>0</v>
      </c>
      <c r="E81" s="24">
        <f t="shared" si="27"/>
        <v>14545</v>
      </c>
      <c r="F81" s="24">
        <f t="shared" si="27"/>
        <v>75087.87</v>
      </c>
      <c r="G81" s="16">
        <f t="shared" si="27"/>
        <v>56767.11</v>
      </c>
      <c r="H81" s="16">
        <f t="shared" si="27"/>
        <v>0</v>
      </c>
      <c r="I81" s="31">
        <f>SUM(C81:H81)</f>
        <v>146399.97999999998</v>
      </c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</row>
    <row r="82" spans="2:71" ht="15.75" hidden="1" thickBot="1" x14ac:dyDescent="0.3">
      <c r="B82" s="21" t="s">
        <v>13</v>
      </c>
      <c r="C82" s="22">
        <f>C19</f>
        <v>0</v>
      </c>
      <c r="D82" s="29">
        <f t="shared" si="27"/>
        <v>0</v>
      </c>
      <c r="E82" s="22">
        <f t="shared" si="27"/>
        <v>1973.7564999999995</v>
      </c>
      <c r="F82" s="29">
        <f t="shared" si="27"/>
        <v>10189.423958999998</v>
      </c>
      <c r="G82" s="29">
        <f t="shared" si="27"/>
        <v>7703.2968269999983</v>
      </c>
      <c r="H82" s="29">
        <f t="shared" si="27"/>
        <v>0</v>
      </c>
      <c r="I82" s="12">
        <f>SUM(C82:H82)</f>
        <v>19866.477285999994</v>
      </c>
      <c r="K82" s="69"/>
      <c r="L82" s="69"/>
    </row>
    <row r="83" spans="2:71" hidden="1" x14ac:dyDescent="0.25">
      <c r="B83" s="81"/>
      <c r="C83" s="108"/>
      <c r="D83" s="108"/>
      <c r="E83" s="108"/>
      <c r="F83" s="108"/>
      <c r="G83" s="108"/>
      <c r="H83" s="108"/>
      <c r="I83" s="116"/>
      <c r="L83" s="61"/>
    </row>
    <row r="84" spans="2:71" hidden="1" x14ac:dyDescent="0.25">
      <c r="B84" s="41" t="s">
        <v>11</v>
      </c>
      <c r="C84" s="42">
        <f t="shared" ref="C84:I85" si="28">SUM(C69,C72,C75,C78,C81)</f>
        <v>294444.26162400004</v>
      </c>
      <c r="D84" s="42">
        <f t="shared" si="28"/>
        <v>3247898.7630200954</v>
      </c>
      <c r="E84" s="42">
        <f t="shared" si="28"/>
        <v>14337143.82641504</v>
      </c>
      <c r="F84" s="42">
        <f t="shared" si="28"/>
        <v>33378080.072561275</v>
      </c>
      <c r="G84" s="42">
        <f t="shared" si="28"/>
        <v>64753834.555530146</v>
      </c>
      <c r="H84" s="42">
        <f t="shared" si="28"/>
        <v>864868</v>
      </c>
      <c r="I84" s="43">
        <f t="shared" si="28"/>
        <v>116876269.47915058</v>
      </c>
      <c r="L84" s="61"/>
    </row>
    <row r="85" spans="2:71" hidden="1" x14ac:dyDescent="0.25">
      <c r="B85" s="44" t="s">
        <v>13</v>
      </c>
      <c r="C85" s="45">
        <f t="shared" si="28"/>
        <v>46229.418376000001</v>
      </c>
      <c r="D85" s="45">
        <f t="shared" si="28"/>
        <v>487785.52713029989</v>
      </c>
      <c r="E85" s="45">
        <f t="shared" si="28"/>
        <v>2661424.878844521</v>
      </c>
      <c r="F85" s="45">
        <f t="shared" si="28"/>
        <v>4529405.4658465656</v>
      </c>
      <c r="G85" s="45">
        <f t="shared" si="28"/>
        <v>8800665.3433936331</v>
      </c>
      <c r="H85" s="45">
        <f t="shared" si="28"/>
        <v>117362.58759999998</v>
      </c>
      <c r="I85" s="46">
        <f t="shared" si="28"/>
        <v>16642873.221191019</v>
      </c>
      <c r="L85" s="61"/>
    </row>
    <row r="86" spans="2:71" ht="15.75" thickBot="1" x14ac:dyDescent="0.3">
      <c r="B86" s="50" t="s">
        <v>29</v>
      </c>
      <c r="C86" s="51">
        <f>SUM(C84:C85)</f>
        <v>340673.68000000005</v>
      </c>
      <c r="D86" s="51">
        <f t="shared" ref="D86:I86" si="29">SUM(D84:D85)</f>
        <v>3735684.2901503951</v>
      </c>
      <c r="E86" s="51">
        <f t="shared" si="29"/>
        <v>16998568.705259562</v>
      </c>
      <c r="F86" s="51">
        <f t="shared" si="29"/>
        <v>37907485.53840784</v>
      </c>
      <c r="G86" s="51">
        <f t="shared" si="29"/>
        <v>73554499.898923784</v>
      </c>
      <c r="H86" s="51">
        <f t="shared" si="29"/>
        <v>982230.58759999997</v>
      </c>
      <c r="I86" s="52">
        <f t="shared" si="29"/>
        <v>133519142.7003416</v>
      </c>
      <c r="L86" s="61"/>
    </row>
    <row r="92" spans="2:71" x14ac:dyDescent="0.25">
      <c r="K92" s="61"/>
    </row>
    <row r="93" spans="2:71" x14ac:dyDescent="0.25">
      <c r="K93" s="61"/>
    </row>
    <row r="94" spans="2:71" x14ac:dyDescent="0.25">
      <c r="K94" s="61"/>
    </row>
    <row r="95" spans="2:71" x14ac:dyDescent="0.25">
      <c r="K95" s="61"/>
    </row>
    <row r="96" spans="2:71" x14ac:dyDescent="0.25">
      <c r="K96" s="61"/>
    </row>
    <row r="97" spans="11:11" x14ac:dyDescent="0.25">
      <c r="K97" s="61"/>
    </row>
    <row r="98" spans="11:11" x14ac:dyDescent="0.25">
      <c r="K98" s="61"/>
    </row>
    <row r="99" spans="11:11" x14ac:dyDescent="0.25">
      <c r="K99" s="61"/>
    </row>
    <row r="100" spans="11:11" x14ac:dyDescent="0.25">
      <c r="K100" s="61"/>
    </row>
    <row r="101" spans="11:11" x14ac:dyDescent="0.25">
      <c r="K101" s="61"/>
    </row>
    <row r="102" spans="11:11" x14ac:dyDescent="0.25">
      <c r="K102" s="61"/>
    </row>
    <row r="103" spans="11:11" x14ac:dyDescent="0.25">
      <c r="K103" s="61"/>
    </row>
    <row r="104" spans="11:11" x14ac:dyDescent="0.25">
      <c r="K104" s="61"/>
    </row>
    <row r="105" spans="11:11" x14ac:dyDescent="0.25">
      <c r="K105" s="61"/>
    </row>
    <row r="106" spans="11:11" x14ac:dyDescent="0.25">
      <c r="K106" s="61"/>
    </row>
    <row r="107" spans="11:11" x14ac:dyDescent="0.25">
      <c r="K107" s="61"/>
    </row>
    <row r="108" spans="11:11" x14ac:dyDescent="0.25">
      <c r="K108" s="61"/>
    </row>
    <row r="109" spans="11:11" x14ac:dyDescent="0.25">
      <c r="K109" s="61"/>
    </row>
    <row r="110" spans="11:11" x14ac:dyDescent="0.25">
      <c r="K110" s="61"/>
    </row>
  </sheetData>
  <mergeCells count="2">
    <mergeCell ref="B2:Q2"/>
    <mergeCell ref="B3:Q3"/>
  </mergeCells>
  <pageMargins left="0.7" right="0.7" top="0.75" bottom="0.75" header="0.3" footer="0.3"/>
  <pageSetup scale="75" orientation="landscape" r:id="rId1"/>
  <headerFooter>
    <oddHeader>&amp;RKPSC Case No. 2021-00004
KIUC-AG First Set of Data Requests
Dated March 10, 2021
Item No. 02
Attachment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H95"/>
  <sheetViews>
    <sheetView view="pageBreakPreview" topLeftCell="A2" zoomScaleNormal="100" zoomScaleSheetLayoutView="100" workbookViewId="0">
      <selection activeCell="L41" sqref="L41"/>
    </sheetView>
  </sheetViews>
  <sheetFormatPr defaultRowHeight="15" x14ac:dyDescent="0.25"/>
  <cols>
    <col min="1" max="1" width="1.5703125" customWidth="1"/>
    <col min="2" max="2" width="27.85546875" bestFit="1" customWidth="1"/>
    <col min="3" max="4" width="8" bestFit="1" customWidth="1"/>
    <col min="5" max="5" width="9" bestFit="1" customWidth="1"/>
    <col min="6" max="8" width="8" bestFit="1" customWidth="1"/>
    <col min="9" max="9" width="9" bestFit="1" customWidth="1"/>
    <col min="10" max="18" width="8" bestFit="1" customWidth="1"/>
    <col min="19" max="19" width="7.5703125" bestFit="1" customWidth="1"/>
    <col min="20" max="20" width="6.7109375" bestFit="1" customWidth="1"/>
    <col min="21" max="21" width="6.42578125" bestFit="1" customWidth="1"/>
    <col min="22" max="22" width="7.140625" bestFit="1" customWidth="1"/>
    <col min="23" max="23" width="7" bestFit="1" customWidth="1"/>
    <col min="24" max="24" width="6.7109375" bestFit="1" customWidth="1"/>
    <col min="25" max="25" width="7.28515625" bestFit="1" customWidth="1"/>
    <col min="26" max="26" width="8" bestFit="1" customWidth="1"/>
    <col min="27" max="27" width="6.5703125" bestFit="1" customWidth="1"/>
    <col min="28" max="28" width="7" bestFit="1" customWidth="1"/>
    <col min="29" max="29" width="7.28515625" bestFit="1" customWidth="1"/>
    <col min="30" max="30" width="6.85546875" bestFit="1" customWidth="1"/>
    <col min="31" max="31" width="7.5703125" bestFit="1" customWidth="1"/>
    <col min="32" max="32" width="8" bestFit="1" customWidth="1"/>
    <col min="33" max="33" width="6.42578125" bestFit="1" customWidth="1"/>
    <col min="34" max="34" width="7.140625" bestFit="1" customWidth="1"/>
    <col min="35" max="35" width="7" bestFit="1" customWidth="1"/>
    <col min="36" max="36" width="6.7109375" bestFit="1" customWidth="1"/>
    <col min="37" max="37" width="7.28515625" bestFit="1" customWidth="1"/>
    <col min="38" max="38" width="8" bestFit="1" customWidth="1"/>
    <col min="39" max="39" width="6.5703125" bestFit="1" customWidth="1"/>
    <col min="40" max="40" width="7" bestFit="1" customWidth="1"/>
    <col min="41" max="41" width="7.28515625" bestFit="1" customWidth="1"/>
    <col min="42" max="42" width="6.85546875" bestFit="1" customWidth="1"/>
    <col min="43" max="43" width="7.5703125" bestFit="1" customWidth="1"/>
    <col min="44" max="44" width="8" bestFit="1" customWidth="1"/>
    <col min="45" max="45" width="6.42578125" bestFit="1" customWidth="1"/>
    <col min="46" max="46" width="7.140625" bestFit="1" customWidth="1"/>
    <col min="47" max="47" width="7" bestFit="1" customWidth="1"/>
    <col min="48" max="48" width="6.7109375" bestFit="1" customWidth="1"/>
    <col min="49" max="49" width="7.28515625" bestFit="1" customWidth="1"/>
    <col min="50" max="50" width="8" bestFit="1" customWidth="1"/>
    <col min="51" max="51" width="3.85546875" customWidth="1"/>
    <col min="52" max="52" width="6.5703125" bestFit="1" customWidth="1"/>
    <col min="53" max="53" width="7" bestFit="1" customWidth="1"/>
    <col min="54" max="54" width="7.28515625" bestFit="1" customWidth="1"/>
    <col min="55" max="55" width="6.85546875" bestFit="1" customWidth="1"/>
    <col min="56" max="56" width="7.5703125" bestFit="1" customWidth="1"/>
    <col min="57" max="57" width="6.7109375" bestFit="1" customWidth="1"/>
    <col min="58" max="58" width="6.42578125" bestFit="1" customWidth="1"/>
    <col min="59" max="59" width="7.140625" bestFit="1" customWidth="1"/>
    <col min="60" max="60" width="7" bestFit="1" customWidth="1"/>
    <col min="61" max="61" width="6.7109375" bestFit="1" customWidth="1"/>
    <col min="62" max="62" width="7.28515625" bestFit="1" customWidth="1"/>
    <col min="63" max="63" width="7" bestFit="1" customWidth="1"/>
    <col min="64" max="64" width="6.5703125" bestFit="1" customWidth="1"/>
    <col min="65" max="65" width="7" bestFit="1" customWidth="1"/>
    <col min="66" max="66" width="7.28515625" bestFit="1" customWidth="1"/>
    <col min="67" max="67" width="6.85546875" bestFit="1" customWidth="1"/>
    <col min="68" max="68" width="7.5703125" bestFit="1" customWidth="1"/>
    <col min="69" max="69" width="6.7109375" bestFit="1" customWidth="1"/>
    <col min="70" max="70" width="6.42578125" bestFit="1" customWidth="1"/>
    <col min="71" max="71" width="7.140625" bestFit="1" customWidth="1"/>
    <col min="72" max="72" width="7" bestFit="1" customWidth="1"/>
    <col min="73" max="73" width="6.7109375" bestFit="1" customWidth="1"/>
    <col min="74" max="74" width="7.28515625" bestFit="1" customWidth="1"/>
    <col min="75" max="75" width="7" bestFit="1" customWidth="1"/>
  </cols>
  <sheetData>
    <row r="1" spans="2:75" ht="15" hidden="1" customHeight="1" x14ac:dyDescent="0.25">
      <c r="C1">
        <f>YEAR(C4)</f>
        <v>2020</v>
      </c>
      <c r="D1">
        <f t="shared" ref="D1:BO1" si="0">YEAR(D4)</f>
        <v>2020</v>
      </c>
      <c r="E1">
        <f t="shared" si="0"/>
        <v>2020</v>
      </c>
      <c r="F1">
        <f t="shared" si="0"/>
        <v>2020</v>
      </c>
      <c r="G1">
        <f t="shared" si="0"/>
        <v>2020</v>
      </c>
      <c r="H1">
        <f t="shared" si="0"/>
        <v>2020</v>
      </c>
      <c r="I1">
        <f t="shared" si="0"/>
        <v>2020</v>
      </c>
      <c r="J1">
        <f t="shared" si="0"/>
        <v>2020</v>
      </c>
      <c r="K1">
        <f t="shared" si="0"/>
        <v>2020</v>
      </c>
      <c r="L1">
        <f t="shared" si="0"/>
        <v>2020</v>
      </c>
      <c r="M1">
        <f t="shared" si="0"/>
        <v>2020</v>
      </c>
      <c r="N1">
        <f t="shared" si="0"/>
        <v>2020</v>
      </c>
      <c r="O1">
        <f t="shared" si="0"/>
        <v>2021</v>
      </c>
      <c r="P1">
        <f t="shared" si="0"/>
        <v>2021</v>
      </c>
      <c r="Q1">
        <f t="shared" si="0"/>
        <v>2021</v>
      </c>
      <c r="R1">
        <f t="shared" si="0"/>
        <v>2021</v>
      </c>
      <c r="S1">
        <f t="shared" si="0"/>
        <v>2021</v>
      </c>
      <c r="T1">
        <f t="shared" si="0"/>
        <v>2021</v>
      </c>
      <c r="U1">
        <f t="shared" si="0"/>
        <v>2021</v>
      </c>
      <c r="V1">
        <f t="shared" si="0"/>
        <v>2021</v>
      </c>
      <c r="W1">
        <f t="shared" si="0"/>
        <v>2021</v>
      </c>
      <c r="X1">
        <f t="shared" si="0"/>
        <v>2021</v>
      </c>
      <c r="Y1">
        <f t="shared" si="0"/>
        <v>2021</v>
      </c>
      <c r="Z1">
        <f t="shared" si="0"/>
        <v>2021</v>
      </c>
      <c r="AA1">
        <f t="shared" si="0"/>
        <v>2022</v>
      </c>
      <c r="AB1">
        <f t="shared" si="0"/>
        <v>2022</v>
      </c>
      <c r="AC1">
        <f t="shared" si="0"/>
        <v>2022</v>
      </c>
      <c r="AD1">
        <f t="shared" si="0"/>
        <v>2022</v>
      </c>
      <c r="AE1">
        <f t="shared" si="0"/>
        <v>2022</v>
      </c>
      <c r="AF1">
        <f t="shared" si="0"/>
        <v>2022</v>
      </c>
      <c r="AG1">
        <f t="shared" si="0"/>
        <v>2022</v>
      </c>
      <c r="AH1">
        <f t="shared" si="0"/>
        <v>2022</v>
      </c>
      <c r="AI1">
        <f t="shared" si="0"/>
        <v>2022</v>
      </c>
      <c r="AJ1">
        <f t="shared" si="0"/>
        <v>2022</v>
      </c>
      <c r="AK1">
        <f t="shared" si="0"/>
        <v>2022</v>
      </c>
      <c r="AL1">
        <f t="shared" si="0"/>
        <v>2022</v>
      </c>
      <c r="AM1">
        <f t="shared" si="0"/>
        <v>2023</v>
      </c>
      <c r="AN1">
        <f t="shared" si="0"/>
        <v>2023</v>
      </c>
      <c r="AO1">
        <f t="shared" si="0"/>
        <v>2023</v>
      </c>
      <c r="AP1">
        <f t="shared" si="0"/>
        <v>2023</v>
      </c>
      <c r="AQ1">
        <f t="shared" si="0"/>
        <v>2023</v>
      </c>
      <c r="AR1">
        <f t="shared" si="0"/>
        <v>2023</v>
      </c>
      <c r="AS1">
        <f t="shared" si="0"/>
        <v>2023</v>
      </c>
      <c r="AT1">
        <f t="shared" si="0"/>
        <v>2023</v>
      </c>
      <c r="AU1">
        <f t="shared" si="0"/>
        <v>2023</v>
      </c>
      <c r="AV1">
        <f t="shared" si="0"/>
        <v>2023</v>
      </c>
      <c r="AW1">
        <f t="shared" si="0"/>
        <v>2023</v>
      </c>
      <c r="AX1">
        <f t="shared" si="0"/>
        <v>2023</v>
      </c>
      <c r="AZ1">
        <f t="shared" si="0"/>
        <v>2029</v>
      </c>
      <c r="BA1">
        <f t="shared" si="0"/>
        <v>2029</v>
      </c>
      <c r="BB1">
        <f t="shared" si="0"/>
        <v>2029</v>
      </c>
      <c r="BC1">
        <f t="shared" si="0"/>
        <v>2029</v>
      </c>
      <c r="BD1">
        <f t="shared" si="0"/>
        <v>2029</v>
      </c>
      <c r="BE1">
        <f t="shared" si="0"/>
        <v>2029</v>
      </c>
      <c r="BF1">
        <f t="shared" si="0"/>
        <v>2029</v>
      </c>
      <c r="BG1">
        <f t="shared" si="0"/>
        <v>2029</v>
      </c>
      <c r="BH1">
        <f t="shared" si="0"/>
        <v>2029</v>
      </c>
      <c r="BI1">
        <f t="shared" si="0"/>
        <v>2029</v>
      </c>
      <c r="BJ1">
        <f t="shared" si="0"/>
        <v>2029</v>
      </c>
      <c r="BK1">
        <f t="shared" si="0"/>
        <v>2029</v>
      </c>
      <c r="BL1">
        <f t="shared" si="0"/>
        <v>2030</v>
      </c>
      <c r="BM1">
        <f t="shared" si="0"/>
        <v>2030</v>
      </c>
      <c r="BN1">
        <f t="shared" si="0"/>
        <v>2030</v>
      </c>
      <c r="BO1">
        <f t="shared" si="0"/>
        <v>2030</v>
      </c>
      <c r="BP1">
        <f t="shared" ref="BP1:BW1" si="1">YEAR(BP4)</f>
        <v>2030</v>
      </c>
      <c r="BQ1">
        <f t="shared" si="1"/>
        <v>2030</v>
      </c>
      <c r="BR1">
        <f t="shared" si="1"/>
        <v>2030</v>
      </c>
      <c r="BS1">
        <f t="shared" si="1"/>
        <v>2030</v>
      </c>
      <c r="BT1">
        <f t="shared" si="1"/>
        <v>2030</v>
      </c>
      <c r="BU1">
        <f t="shared" si="1"/>
        <v>2030</v>
      </c>
      <c r="BV1">
        <f t="shared" si="1"/>
        <v>2030</v>
      </c>
      <c r="BW1">
        <f t="shared" si="1"/>
        <v>2030</v>
      </c>
    </row>
    <row r="2" spans="2:75" x14ac:dyDescent="0.25">
      <c r="B2" s="120" t="s">
        <v>42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1"/>
      <c r="N2" s="121"/>
      <c r="O2" s="121"/>
      <c r="P2" s="121"/>
      <c r="Q2" s="121"/>
      <c r="R2" s="121"/>
    </row>
    <row r="3" spans="2:75" ht="18" customHeight="1" thickBot="1" x14ac:dyDescent="0.3">
      <c r="B3" s="122" t="s">
        <v>41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4"/>
      <c r="N3" s="124"/>
      <c r="O3" s="124"/>
      <c r="P3" s="124"/>
      <c r="Q3" s="124"/>
      <c r="R3" s="124"/>
      <c r="AH3" s="109" t="s">
        <v>43</v>
      </c>
      <c r="AX3" s="109" t="s">
        <v>43</v>
      </c>
      <c r="BO3" s="109" t="s">
        <v>43</v>
      </c>
    </row>
    <row r="4" spans="2:75" ht="15.75" thickBot="1" x14ac:dyDescent="0.3">
      <c r="B4" s="13" t="s">
        <v>0</v>
      </c>
      <c r="C4" s="62">
        <v>43831</v>
      </c>
      <c r="D4" s="62">
        <v>43862</v>
      </c>
      <c r="E4" s="62">
        <v>43891</v>
      </c>
      <c r="F4" s="62">
        <v>43922</v>
      </c>
      <c r="G4" s="62">
        <v>43952</v>
      </c>
      <c r="H4" s="62">
        <v>43983</v>
      </c>
      <c r="I4" s="62">
        <v>44013</v>
      </c>
      <c r="J4" s="62">
        <v>44044</v>
      </c>
      <c r="K4" s="62">
        <v>44075</v>
      </c>
      <c r="L4" s="62">
        <v>44105</v>
      </c>
      <c r="M4" s="62">
        <v>44136</v>
      </c>
      <c r="N4" s="62">
        <v>44166</v>
      </c>
      <c r="O4" s="62">
        <v>44197</v>
      </c>
      <c r="P4" s="62">
        <v>44228</v>
      </c>
      <c r="Q4" s="62">
        <v>44256</v>
      </c>
      <c r="R4" s="63">
        <v>44287</v>
      </c>
      <c r="S4" s="62">
        <v>44317</v>
      </c>
      <c r="T4" s="62">
        <v>44348</v>
      </c>
      <c r="U4" s="62">
        <v>44378</v>
      </c>
      <c r="V4" s="62">
        <v>44409</v>
      </c>
      <c r="W4" s="62">
        <v>44440</v>
      </c>
      <c r="X4" s="62">
        <v>44470</v>
      </c>
      <c r="Y4" s="62">
        <v>44501</v>
      </c>
      <c r="Z4" s="62">
        <v>44531</v>
      </c>
      <c r="AA4" s="62">
        <v>44562</v>
      </c>
      <c r="AB4" s="62">
        <v>44593</v>
      </c>
      <c r="AC4" s="62">
        <v>44621</v>
      </c>
      <c r="AD4" s="62">
        <v>44652</v>
      </c>
      <c r="AE4" s="62">
        <v>44682</v>
      </c>
      <c r="AF4" s="62">
        <v>44713</v>
      </c>
      <c r="AG4" s="62">
        <v>44743</v>
      </c>
      <c r="AH4" s="62">
        <v>44774</v>
      </c>
      <c r="AI4" s="62">
        <v>44805</v>
      </c>
      <c r="AJ4" s="62">
        <v>44835</v>
      </c>
      <c r="AK4" s="62">
        <v>44866</v>
      </c>
      <c r="AL4" s="62">
        <v>44896</v>
      </c>
      <c r="AM4" s="62">
        <v>44927</v>
      </c>
      <c r="AN4" s="62">
        <v>44958</v>
      </c>
      <c r="AO4" s="62">
        <v>44986</v>
      </c>
      <c r="AP4" s="62">
        <v>45017</v>
      </c>
      <c r="AQ4" s="62">
        <v>45047</v>
      </c>
      <c r="AR4" s="62">
        <v>45078</v>
      </c>
      <c r="AS4" s="62">
        <v>45108</v>
      </c>
      <c r="AT4" s="62">
        <v>45139</v>
      </c>
      <c r="AU4" s="62">
        <v>45170</v>
      </c>
      <c r="AV4" s="62">
        <v>45200</v>
      </c>
      <c r="AW4" s="62">
        <v>45231</v>
      </c>
      <c r="AX4" s="62">
        <v>45261</v>
      </c>
      <c r="AY4" s="91"/>
      <c r="AZ4" s="62">
        <v>47119</v>
      </c>
      <c r="BA4" s="62">
        <v>47150</v>
      </c>
      <c r="BB4" s="62">
        <v>47178</v>
      </c>
      <c r="BC4" s="62">
        <v>47209</v>
      </c>
      <c r="BD4" s="62">
        <v>47239</v>
      </c>
      <c r="BE4" s="62">
        <v>47270</v>
      </c>
      <c r="BF4" s="62">
        <v>47300</v>
      </c>
      <c r="BG4" s="62">
        <v>47331</v>
      </c>
      <c r="BH4" s="62">
        <v>47362</v>
      </c>
      <c r="BI4" s="62">
        <v>47392</v>
      </c>
      <c r="BJ4" s="62">
        <v>47423</v>
      </c>
      <c r="BK4" s="62">
        <v>47453</v>
      </c>
      <c r="BL4" s="62">
        <v>47484</v>
      </c>
      <c r="BM4" s="62">
        <v>47515</v>
      </c>
      <c r="BN4" s="62">
        <v>47543</v>
      </c>
      <c r="BO4" s="62">
        <v>47574</v>
      </c>
      <c r="BP4" s="62">
        <v>47604</v>
      </c>
      <c r="BQ4" s="62">
        <v>47635</v>
      </c>
      <c r="BR4" s="62">
        <v>47665</v>
      </c>
      <c r="BS4" s="62">
        <v>47696</v>
      </c>
      <c r="BT4" s="62">
        <v>47727</v>
      </c>
      <c r="BU4" s="62">
        <v>47757</v>
      </c>
      <c r="BV4" s="62">
        <v>47788</v>
      </c>
      <c r="BW4" s="63">
        <v>47818</v>
      </c>
    </row>
    <row r="5" spans="2:75" x14ac:dyDescent="0.25">
      <c r="B5" s="23" t="s">
        <v>30</v>
      </c>
      <c r="C5" s="33">
        <f t="shared" ref="C5:AX5" si="2">SUM(C6:C7)</f>
        <v>0</v>
      </c>
      <c r="D5" s="33">
        <f t="shared" si="2"/>
        <v>0</v>
      </c>
      <c r="E5" s="33">
        <f t="shared" si="2"/>
        <v>0</v>
      </c>
      <c r="F5" s="33">
        <f t="shared" si="2"/>
        <v>0</v>
      </c>
      <c r="G5" s="33">
        <f t="shared" si="2"/>
        <v>0</v>
      </c>
      <c r="H5" s="33">
        <f t="shared" si="2"/>
        <v>0</v>
      </c>
      <c r="I5" s="33">
        <f t="shared" si="2"/>
        <v>0</v>
      </c>
      <c r="J5" s="33">
        <f t="shared" si="2"/>
        <v>216547.06839901407</v>
      </c>
      <c r="K5" s="33">
        <f t="shared" si="2"/>
        <v>249561.89121112396</v>
      </c>
      <c r="L5" s="33">
        <f t="shared" si="2"/>
        <v>1233.1448935115909</v>
      </c>
      <c r="M5" s="33">
        <f t="shared" si="2"/>
        <v>959058.55825914512</v>
      </c>
      <c r="N5" s="33">
        <f t="shared" si="2"/>
        <v>1093599.3372372051</v>
      </c>
      <c r="O5" s="33">
        <f t="shared" si="2"/>
        <v>816261.11682373809</v>
      </c>
      <c r="P5" s="33">
        <f t="shared" si="2"/>
        <v>105940.23630269055</v>
      </c>
      <c r="Q5" s="33">
        <f t="shared" si="2"/>
        <v>105940.23630269055</v>
      </c>
      <c r="R5" s="34">
        <f t="shared" si="2"/>
        <v>105940.23630269055</v>
      </c>
      <c r="S5" s="73">
        <f t="shared" si="2"/>
        <v>103234.69039046686</v>
      </c>
      <c r="T5" s="33">
        <f t="shared" si="2"/>
        <v>105940.23630269055</v>
      </c>
      <c r="U5" s="33">
        <f t="shared" si="2"/>
        <v>252572.39809096575</v>
      </c>
      <c r="V5" s="33">
        <f t="shared" si="2"/>
        <v>89884.244359318458</v>
      </c>
      <c r="W5" s="33">
        <f t="shared" si="2"/>
        <v>679204.74921380891</v>
      </c>
      <c r="X5" s="33">
        <f t="shared" si="2"/>
        <v>672034.67309905251</v>
      </c>
      <c r="Y5" s="33">
        <f t="shared" si="2"/>
        <v>644218.00972815033</v>
      </c>
      <c r="Z5" s="33">
        <f t="shared" si="2"/>
        <v>1358829.173083737</v>
      </c>
      <c r="AA5" s="33">
        <f t="shared" si="2"/>
        <v>728905.38469518244</v>
      </c>
      <c r="AB5" s="33">
        <f t="shared" si="2"/>
        <v>735859.64606963936</v>
      </c>
      <c r="AC5" s="33">
        <f t="shared" si="2"/>
        <v>755171.52673058782</v>
      </c>
      <c r="AD5" s="33">
        <f t="shared" si="2"/>
        <v>714124.08962708723</v>
      </c>
      <c r="AE5" s="33">
        <f t="shared" si="2"/>
        <v>700015.3738740664</v>
      </c>
      <c r="AF5" s="33">
        <f t="shared" si="2"/>
        <v>1384857.3317030694</v>
      </c>
      <c r="AG5" s="33">
        <f t="shared" si="2"/>
        <v>714124.08962708723</v>
      </c>
      <c r="AH5" s="33">
        <f t="shared" si="2"/>
        <v>755171.52673058782</v>
      </c>
      <c r="AI5" s="33">
        <f t="shared" si="2"/>
        <v>755171.52673058782</v>
      </c>
      <c r="AJ5" s="33">
        <f t="shared" si="2"/>
        <v>719198.91434665839</v>
      </c>
      <c r="AK5" s="33">
        <f t="shared" si="2"/>
        <v>727799.76929570606</v>
      </c>
      <c r="AL5" s="33">
        <f t="shared" si="2"/>
        <v>1389600.8205697401</v>
      </c>
      <c r="AM5" s="33">
        <f t="shared" si="2"/>
        <v>509564.21290171077</v>
      </c>
      <c r="AN5" s="33">
        <f t="shared" si="2"/>
        <v>509564.21290171077</v>
      </c>
      <c r="AO5" s="33">
        <f t="shared" si="2"/>
        <v>509564.21290171077</v>
      </c>
      <c r="AP5" s="33">
        <f t="shared" si="2"/>
        <v>508258.89961892995</v>
      </c>
      <c r="AQ5" s="33">
        <f t="shared" si="2"/>
        <v>509564.21290171077</v>
      </c>
      <c r="AR5" s="33">
        <f t="shared" si="2"/>
        <v>1091302.6542488872</v>
      </c>
      <c r="AS5" s="33">
        <f t="shared" si="2"/>
        <v>509460.98273645621</v>
      </c>
      <c r="AT5" s="33">
        <f t="shared" si="2"/>
        <v>506304.80058665772</v>
      </c>
      <c r="AU5" s="33">
        <f t="shared" si="2"/>
        <v>507551.94210372336</v>
      </c>
      <c r="AV5" s="33">
        <f t="shared" si="2"/>
        <v>507040.11634714541</v>
      </c>
      <c r="AW5" s="33">
        <f t="shared" si="2"/>
        <v>505830.6947332464</v>
      </c>
      <c r="AX5" s="59">
        <f t="shared" si="2"/>
        <v>1385993.0580181093</v>
      </c>
      <c r="AY5" s="72"/>
      <c r="AZ5" s="73">
        <v>0</v>
      </c>
      <c r="BA5" s="33">
        <v>0</v>
      </c>
      <c r="BB5" s="33">
        <v>0</v>
      </c>
      <c r="BC5" s="33">
        <v>0</v>
      </c>
      <c r="BD5" s="33">
        <v>0</v>
      </c>
      <c r="BE5" s="33">
        <v>0</v>
      </c>
      <c r="BF5" s="33">
        <v>0</v>
      </c>
      <c r="BG5" s="33">
        <v>0</v>
      </c>
      <c r="BH5" s="33">
        <v>0</v>
      </c>
      <c r="BI5" s="33">
        <v>0</v>
      </c>
      <c r="BJ5" s="33">
        <v>0</v>
      </c>
      <c r="BK5" s="59">
        <v>0</v>
      </c>
      <c r="BL5" s="59">
        <v>0</v>
      </c>
      <c r="BM5" s="59">
        <v>0</v>
      </c>
      <c r="BN5" s="59">
        <v>0</v>
      </c>
      <c r="BO5" s="59">
        <v>0</v>
      </c>
      <c r="BP5" s="59">
        <v>0</v>
      </c>
      <c r="BQ5" s="59">
        <v>0</v>
      </c>
      <c r="BR5" s="59">
        <v>0</v>
      </c>
      <c r="BS5" s="59">
        <v>0</v>
      </c>
      <c r="BT5" s="59">
        <v>0</v>
      </c>
      <c r="BU5" s="59">
        <v>0</v>
      </c>
      <c r="BV5" s="59">
        <v>0</v>
      </c>
      <c r="BW5" s="34">
        <v>0</v>
      </c>
    </row>
    <row r="6" spans="2:75" hidden="1" x14ac:dyDescent="0.25">
      <c r="B6" s="19" t="s">
        <v>11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5">
        <v>0</v>
      </c>
      <c r="J6" s="24">
        <v>191626.96925785768</v>
      </c>
      <c r="K6" s="24">
        <v>220842.46722254224</v>
      </c>
      <c r="L6" s="24">
        <v>1091.2353621154157</v>
      </c>
      <c r="M6" s="24">
        <v>848690.7083007514</v>
      </c>
      <c r="N6" s="24">
        <v>967748.61985673313</v>
      </c>
      <c r="O6" s="24">
        <v>722326.30576068885</v>
      </c>
      <c r="P6" s="24">
        <v>93748.701172619025</v>
      </c>
      <c r="Q6" s="24">
        <v>93748.701172619025</v>
      </c>
      <c r="R6" s="31">
        <v>93748.701172619025</v>
      </c>
      <c r="S6" s="74">
        <v>91354.507766167095</v>
      </c>
      <c r="T6" s="24">
        <v>93748.701172619025</v>
      </c>
      <c r="U6" s="24">
        <v>223506.52688208479</v>
      </c>
      <c r="V6" s="24">
        <v>79540.422587809589</v>
      </c>
      <c r="W6" s="24">
        <v>601042.29791539442</v>
      </c>
      <c r="X6" s="24">
        <v>594697.34960749489</v>
      </c>
      <c r="Y6" s="24">
        <v>570081.81019594253</v>
      </c>
      <c r="Z6" s="24">
        <v>1202455.9745939418</v>
      </c>
      <c r="AA6" s="24">
        <v>645023.41582153051</v>
      </c>
      <c r="AB6" s="24">
        <v>651177.38521241897</v>
      </c>
      <c r="AC6" s="24">
        <v>668266.86690841697</v>
      </c>
      <c r="AD6" s="24">
        <v>631943.14280492242</v>
      </c>
      <c r="AE6" s="24">
        <v>619458.04910284444</v>
      </c>
      <c r="AF6" s="24">
        <v>1225488.8292451764</v>
      </c>
      <c r="AG6" s="24">
        <v>631943.14280492242</v>
      </c>
      <c r="AH6" s="24">
        <v>668266.86690841697</v>
      </c>
      <c r="AI6" s="24">
        <v>668266.86690841697</v>
      </c>
      <c r="AJ6" s="24">
        <v>636433.95991787629</v>
      </c>
      <c r="AK6" s="24">
        <v>644045.03394024784</v>
      </c>
      <c r="AL6" s="24">
        <v>1229686.4404248097</v>
      </c>
      <c r="AM6" s="24">
        <v>450923.88681381551</v>
      </c>
      <c r="AN6" s="24">
        <v>450923.88681381551</v>
      </c>
      <c r="AO6" s="24">
        <v>450923.88681381551</v>
      </c>
      <c r="AP6" s="24">
        <v>449768.78815484676</v>
      </c>
      <c r="AQ6" s="24">
        <v>450923.88681381551</v>
      </c>
      <c r="AR6" s="24">
        <v>965716.23768849939</v>
      </c>
      <c r="AS6" s="24">
        <v>450832.53631043545</v>
      </c>
      <c r="AT6" s="24">
        <v>448039.56559851061</v>
      </c>
      <c r="AU6" s="24">
        <v>449143.1868616282</v>
      </c>
      <c r="AV6" s="24">
        <v>448690.26168814849</v>
      </c>
      <c r="AW6" s="24">
        <v>447620.01954569027</v>
      </c>
      <c r="AX6" s="58">
        <v>1226493.8568969776</v>
      </c>
      <c r="AY6" s="72"/>
      <c r="AZ6" s="74">
        <v>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24">
        <v>0</v>
      </c>
      <c r="BJ6" s="24">
        <v>0</v>
      </c>
      <c r="BK6" s="58">
        <v>0</v>
      </c>
      <c r="BL6" s="58">
        <v>0</v>
      </c>
      <c r="BM6" s="58">
        <v>0</v>
      </c>
      <c r="BN6" s="58">
        <v>0</v>
      </c>
      <c r="BO6" s="58">
        <v>0</v>
      </c>
      <c r="BP6" s="58">
        <v>0</v>
      </c>
      <c r="BQ6" s="58">
        <v>0</v>
      </c>
      <c r="BR6" s="58">
        <v>0</v>
      </c>
      <c r="BS6" s="58">
        <v>0</v>
      </c>
      <c r="BT6" s="58">
        <v>0</v>
      </c>
      <c r="BU6" s="58">
        <v>0</v>
      </c>
      <c r="BV6" s="58">
        <v>0</v>
      </c>
      <c r="BW6" s="31">
        <v>0</v>
      </c>
    </row>
    <row r="7" spans="2:75" hidden="1" x14ac:dyDescent="0.25">
      <c r="B7" s="19" t="s">
        <v>13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40">
        <v>0</v>
      </c>
      <c r="J7" s="28">
        <v>24920.099141156381</v>
      </c>
      <c r="K7" s="28">
        <v>28719.423988581726</v>
      </c>
      <c r="L7" s="28">
        <v>141.90953139617514</v>
      </c>
      <c r="M7" s="28">
        <v>110367.84995839368</v>
      </c>
      <c r="N7" s="28">
        <v>125850.71738047202</v>
      </c>
      <c r="O7" s="28">
        <v>93934.81106304923</v>
      </c>
      <c r="P7" s="28">
        <v>12191.535130071532</v>
      </c>
      <c r="Q7" s="28">
        <v>12191.535130071532</v>
      </c>
      <c r="R7" s="32">
        <v>12191.535130071532</v>
      </c>
      <c r="S7" s="75">
        <v>11880.182624299756</v>
      </c>
      <c r="T7" s="28">
        <v>12191.535130071532</v>
      </c>
      <c r="U7" s="28">
        <v>29065.871208880981</v>
      </c>
      <c r="V7" s="28">
        <v>10343.82177150887</v>
      </c>
      <c r="W7" s="28">
        <v>78162.451298414511</v>
      </c>
      <c r="X7" s="28">
        <v>77337.323491557632</v>
      </c>
      <c r="Y7" s="28">
        <v>74136.199532207771</v>
      </c>
      <c r="Z7" s="28">
        <v>156373.19848979515</v>
      </c>
      <c r="AA7" s="28">
        <v>83881.968873651946</v>
      </c>
      <c r="AB7" s="28">
        <v>84682.260857220404</v>
      </c>
      <c r="AC7" s="28">
        <v>86904.659822170812</v>
      </c>
      <c r="AD7" s="28">
        <v>82180.946822164799</v>
      </c>
      <c r="AE7" s="28">
        <v>80557.324771221931</v>
      </c>
      <c r="AF7" s="28">
        <v>159368.5024578929</v>
      </c>
      <c r="AG7" s="28">
        <v>82180.946822164799</v>
      </c>
      <c r="AH7" s="28">
        <v>86904.659822170812</v>
      </c>
      <c r="AI7" s="28">
        <v>86904.659822170812</v>
      </c>
      <c r="AJ7" s="28">
        <v>82764.954428782119</v>
      </c>
      <c r="AK7" s="28">
        <v>83754.735355458237</v>
      </c>
      <c r="AL7" s="28">
        <v>159914.38014493039</v>
      </c>
      <c r="AM7" s="28">
        <v>58640.326087895286</v>
      </c>
      <c r="AN7" s="28">
        <v>58640.326087895286</v>
      </c>
      <c r="AO7" s="28">
        <v>58640.326087895286</v>
      </c>
      <c r="AP7" s="28">
        <v>58490.111464083209</v>
      </c>
      <c r="AQ7" s="28">
        <v>58640.326087895286</v>
      </c>
      <c r="AR7" s="28">
        <v>125586.41656038781</v>
      </c>
      <c r="AS7" s="28">
        <v>58628.446426020753</v>
      </c>
      <c r="AT7" s="28">
        <v>58265.234988147116</v>
      </c>
      <c r="AU7" s="28">
        <v>58408.755242095147</v>
      </c>
      <c r="AV7" s="28">
        <v>58349.85465899689</v>
      </c>
      <c r="AW7" s="28">
        <v>58210.675187556139</v>
      </c>
      <c r="AX7" s="66">
        <v>159499.20112113163</v>
      </c>
      <c r="AY7" s="72"/>
      <c r="AZ7" s="75">
        <v>0</v>
      </c>
      <c r="BA7" s="28">
        <v>0</v>
      </c>
      <c r="BB7" s="28">
        <v>0</v>
      </c>
      <c r="BC7" s="28">
        <v>0</v>
      </c>
      <c r="BD7" s="28">
        <v>0</v>
      </c>
      <c r="BE7" s="28">
        <v>0</v>
      </c>
      <c r="BF7" s="28">
        <v>0</v>
      </c>
      <c r="BG7" s="28">
        <v>0</v>
      </c>
      <c r="BH7" s="28">
        <v>0</v>
      </c>
      <c r="BI7" s="28">
        <v>0</v>
      </c>
      <c r="BJ7" s="28">
        <v>0</v>
      </c>
      <c r="BK7" s="66">
        <v>0</v>
      </c>
      <c r="BL7" s="66">
        <v>0</v>
      </c>
      <c r="BM7" s="66">
        <v>0</v>
      </c>
      <c r="BN7" s="66">
        <v>0</v>
      </c>
      <c r="BO7" s="66">
        <v>0</v>
      </c>
      <c r="BP7" s="66">
        <v>0</v>
      </c>
      <c r="BQ7" s="66">
        <v>0</v>
      </c>
      <c r="BR7" s="66">
        <v>0</v>
      </c>
      <c r="BS7" s="66">
        <v>0</v>
      </c>
      <c r="BT7" s="66">
        <v>0</v>
      </c>
      <c r="BU7" s="66">
        <v>0</v>
      </c>
      <c r="BV7" s="66">
        <v>0</v>
      </c>
      <c r="BW7" s="32">
        <v>0</v>
      </c>
    </row>
    <row r="8" spans="2:75" x14ac:dyDescent="0.25">
      <c r="B8" s="18" t="s">
        <v>38</v>
      </c>
      <c r="C8" s="37">
        <f t="shared" ref="C8:AX8" si="3">SUM(C9:C10)</f>
        <v>0</v>
      </c>
      <c r="D8" s="37">
        <f t="shared" si="3"/>
        <v>0</v>
      </c>
      <c r="E8" s="37">
        <f t="shared" si="3"/>
        <v>0</v>
      </c>
      <c r="F8" s="37">
        <f t="shared" si="3"/>
        <v>0</v>
      </c>
      <c r="G8" s="37">
        <f t="shared" si="3"/>
        <v>0</v>
      </c>
      <c r="H8" s="37">
        <f t="shared" si="3"/>
        <v>0</v>
      </c>
      <c r="I8" s="37">
        <f t="shared" si="3"/>
        <v>0</v>
      </c>
      <c r="J8" s="37">
        <f t="shared" si="3"/>
        <v>0</v>
      </c>
      <c r="K8" s="37">
        <f t="shared" si="3"/>
        <v>0</v>
      </c>
      <c r="L8" s="37">
        <f t="shared" si="3"/>
        <v>0</v>
      </c>
      <c r="M8" s="37">
        <f t="shared" si="3"/>
        <v>0</v>
      </c>
      <c r="N8" s="37">
        <f t="shared" si="3"/>
        <v>0</v>
      </c>
      <c r="O8" s="37">
        <f t="shared" si="3"/>
        <v>0</v>
      </c>
      <c r="P8" s="37">
        <f t="shared" si="3"/>
        <v>0</v>
      </c>
      <c r="Q8" s="37">
        <f t="shared" si="3"/>
        <v>0</v>
      </c>
      <c r="R8" s="36">
        <f t="shared" si="3"/>
        <v>0</v>
      </c>
      <c r="S8" s="76">
        <f t="shared" si="3"/>
        <v>0</v>
      </c>
      <c r="T8" s="37">
        <f t="shared" si="3"/>
        <v>0</v>
      </c>
      <c r="U8" s="37">
        <f t="shared" si="3"/>
        <v>0</v>
      </c>
      <c r="V8" s="37">
        <f t="shared" si="3"/>
        <v>95913.994577919031</v>
      </c>
      <c r="W8" s="37">
        <f t="shared" si="3"/>
        <v>168086.00542208095</v>
      </c>
      <c r="X8" s="37">
        <f t="shared" si="3"/>
        <v>132000</v>
      </c>
      <c r="Y8" s="37">
        <f t="shared" si="3"/>
        <v>132000</v>
      </c>
      <c r="Z8" s="37">
        <f t="shared" si="3"/>
        <v>132000</v>
      </c>
      <c r="AA8" s="37">
        <f t="shared" si="3"/>
        <v>89680.412648590369</v>
      </c>
      <c r="AB8" s="37">
        <f t="shared" si="3"/>
        <v>89680.412648590369</v>
      </c>
      <c r="AC8" s="37">
        <f t="shared" si="3"/>
        <v>89680.412648590369</v>
      </c>
      <c r="AD8" s="37">
        <f t="shared" si="3"/>
        <v>89680.412648590369</v>
      </c>
      <c r="AE8" s="37">
        <f t="shared" si="3"/>
        <v>59865.825788122478</v>
      </c>
      <c r="AF8" s="37">
        <f t="shared" si="3"/>
        <v>59865.825788122478</v>
      </c>
      <c r="AG8" s="37">
        <f t="shared" si="3"/>
        <v>59864.634586442015</v>
      </c>
      <c r="AH8" s="37">
        <f t="shared" si="3"/>
        <v>89680.412648590369</v>
      </c>
      <c r="AI8" s="37">
        <f t="shared" si="3"/>
        <v>89680.412648590369</v>
      </c>
      <c r="AJ8" s="37">
        <f t="shared" si="3"/>
        <v>89680.412648590369</v>
      </c>
      <c r="AK8" s="37">
        <f t="shared" si="3"/>
        <v>89680.412648590369</v>
      </c>
      <c r="AL8" s="37">
        <f t="shared" si="3"/>
        <v>89680.412648590369</v>
      </c>
      <c r="AM8" s="37">
        <f t="shared" si="3"/>
        <v>67183.939524106827</v>
      </c>
      <c r="AN8" s="37">
        <f t="shared" si="3"/>
        <v>67183.939524106827</v>
      </c>
      <c r="AO8" s="37">
        <f t="shared" si="3"/>
        <v>67183.939524106827</v>
      </c>
      <c r="AP8" s="37">
        <f t="shared" si="3"/>
        <v>67183.939524106827</v>
      </c>
      <c r="AQ8" s="37">
        <f t="shared" si="3"/>
        <v>44848.574891454169</v>
      </c>
      <c r="AR8" s="37">
        <f t="shared" si="3"/>
        <v>44848.574891454169</v>
      </c>
      <c r="AS8" s="37">
        <f t="shared" si="3"/>
        <v>44847.394500130176</v>
      </c>
      <c r="AT8" s="37">
        <f t="shared" si="3"/>
        <v>67183.939524106827</v>
      </c>
      <c r="AU8" s="37">
        <f t="shared" si="3"/>
        <v>67183.939524106827</v>
      </c>
      <c r="AV8" s="37">
        <f t="shared" si="3"/>
        <v>67183.939524106827</v>
      </c>
      <c r="AW8" s="37">
        <f t="shared" si="3"/>
        <v>67183.939524106827</v>
      </c>
      <c r="AX8" s="60">
        <f t="shared" si="3"/>
        <v>67183.939524106827</v>
      </c>
      <c r="AY8" s="72"/>
      <c r="AZ8" s="76">
        <v>0</v>
      </c>
      <c r="BA8" s="37">
        <v>0</v>
      </c>
      <c r="BB8" s="37">
        <v>0</v>
      </c>
      <c r="BC8" s="37">
        <v>0</v>
      </c>
      <c r="BD8" s="37">
        <v>0</v>
      </c>
      <c r="BE8" s="37">
        <v>0</v>
      </c>
      <c r="BF8" s="37">
        <v>0</v>
      </c>
      <c r="BG8" s="37">
        <v>0</v>
      </c>
      <c r="BH8" s="37">
        <v>0</v>
      </c>
      <c r="BI8" s="37">
        <v>0</v>
      </c>
      <c r="BJ8" s="37">
        <v>0</v>
      </c>
      <c r="BK8" s="60">
        <v>0</v>
      </c>
      <c r="BL8" s="60">
        <v>0</v>
      </c>
      <c r="BM8" s="60">
        <v>0</v>
      </c>
      <c r="BN8" s="60">
        <v>0</v>
      </c>
      <c r="BO8" s="60">
        <v>0</v>
      </c>
      <c r="BP8" s="60">
        <v>0</v>
      </c>
      <c r="BQ8" s="60">
        <v>0</v>
      </c>
      <c r="BR8" s="60">
        <v>0</v>
      </c>
      <c r="BS8" s="60">
        <v>0</v>
      </c>
      <c r="BT8" s="60">
        <v>0</v>
      </c>
      <c r="BU8" s="60">
        <v>0</v>
      </c>
      <c r="BV8" s="60">
        <v>0</v>
      </c>
      <c r="BW8" s="36">
        <v>0</v>
      </c>
    </row>
    <row r="9" spans="2:75" hidden="1" x14ac:dyDescent="0.25">
      <c r="B9" s="19" t="s">
        <v>11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31">
        <v>0</v>
      </c>
      <c r="S9" s="74">
        <v>0</v>
      </c>
      <c r="T9" s="24">
        <v>0</v>
      </c>
      <c r="U9" s="24">
        <v>0</v>
      </c>
      <c r="V9" s="24">
        <v>95913.994577919031</v>
      </c>
      <c r="W9" s="24">
        <v>168086.00542208095</v>
      </c>
      <c r="X9" s="24">
        <v>132000</v>
      </c>
      <c r="Y9" s="24">
        <v>132000</v>
      </c>
      <c r="Z9" s="24">
        <v>132000</v>
      </c>
      <c r="AA9" s="24">
        <v>80071.797007669971</v>
      </c>
      <c r="AB9" s="24">
        <v>80071.797007669971</v>
      </c>
      <c r="AC9" s="24">
        <v>80071.797007669971</v>
      </c>
      <c r="AD9" s="24">
        <v>80071.797007669971</v>
      </c>
      <c r="AE9" s="24">
        <v>53451.630167966498</v>
      </c>
      <c r="AF9" s="24">
        <v>53451.630167966498</v>
      </c>
      <c r="AG9" s="24">
        <v>53450.566595037511</v>
      </c>
      <c r="AH9" s="24">
        <v>80071.797007669971</v>
      </c>
      <c r="AI9" s="24">
        <v>80071.797007669971</v>
      </c>
      <c r="AJ9" s="24">
        <v>80071.797007669971</v>
      </c>
      <c r="AK9" s="24">
        <v>80071.797007669971</v>
      </c>
      <c r="AL9" s="24">
        <v>80071.797007669971</v>
      </c>
      <c r="AM9" s="24">
        <v>59985.6602893811</v>
      </c>
      <c r="AN9" s="24">
        <v>59985.6602893811</v>
      </c>
      <c r="AO9" s="24">
        <v>59985.6602893811</v>
      </c>
      <c r="AP9" s="24">
        <v>59985.6602893811</v>
      </c>
      <c r="AQ9" s="24">
        <v>40043.370438798367</v>
      </c>
      <c r="AR9" s="24">
        <v>40043.370438798367</v>
      </c>
      <c r="AS9" s="24">
        <v>40042.31651797337</v>
      </c>
      <c r="AT9" s="24">
        <v>59985.6602893811</v>
      </c>
      <c r="AU9" s="24">
        <v>59985.6602893811</v>
      </c>
      <c r="AV9" s="24">
        <v>59985.6602893811</v>
      </c>
      <c r="AW9" s="24">
        <v>59985.6602893811</v>
      </c>
      <c r="AX9" s="58">
        <v>59985.6602893811</v>
      </c>
      <c r="AY9" s="72"/>
      <c r="AZ9" s="74">
        <v>0</v>
      </c>
      <c r="BA9" s="24">
        <v>0</v>
      </c>
      <c r="BB9" s="24">
        <v>0</v>
      </c>
      <c r="BC9" s="24">
        <v>0</v>
      </c>
      <c r="BD9" s="24">
        <v>0</v>
      </c>
      <c r="BE9" s="24">
        <v>0</v>
      </c>
      <c r="BF9" s="24">
        <v>0</v>
      </c>
      <c r="BG9" s="24">
        <v>0</v>
      </c>
      <c r="BH9" s="24">
        <v>0</v>
      </c>
      <c r="BI9" s="24">
        <v>0</v>
      </c>
      <c r="BJ9" s="24">
        <v>0</v>
      </c>
      <c r="BK9" s="58">
        <v>0</v>
      </c>
      <c r="BL9" s="58">
        <v>0</v>
      </c>
      <c r="BM9" s="58">
        <v>0</v>
      </c>
      <c r="BN9" s="58">
        <v>0</v>
      </c>
      <c r="BO9" s="58">
        <v>0</v>
      </c>
      <c r="BP9" s="58">
        <v>0</v>
      </c>
      <c r="BQ9" s="58">
        <v>0</v>
      </c>
      <c r="BR9" s="58">
        <v>0</v>
      </c>
      <c r="BS9" s="58">
        <v>0</v>
      </c>
      <c r="BT9" s="58">
        <v>0</v>
      </c>
      <c r="BU9" s="58">
        <v>0</v>
      </c>
      <c r="BV9" s="58">
        <v>0</v>
      </c>
      <c r="BW9" s="31">
        <v>0</v>
      </c>
    </row>
    <row r="10" spans="2:75" hidden="1" x14ac:dyDescent="0.25">
      <c r="B10" s="19" t="s">
        <v>13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32">
        <v>0</v>
      </c>
      <c r="S10" s="75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9608.6156409203959</v>
      </c>
      <c r="AB10" s="28">
        <v>9608.6156409203959</v>
      </c>
      <c r="AC10" s="28">
        <v>9608.6156409203959</v>
      </c>
      <c r="AD10" s="28">
        <v>9608.6156409203959</v>
      </c>
      <c r="AE10" s="28">
        <v>6414.1956201559797</v>
      </c>
      <c r="AF10" s="28">
        <v>6414.1956201559797</v>
      </c>
      <c r="AG10" s="28">
        <v>6414.0679914045013</v>
      </c>
      <c r="AH10" s="28">
        <v>9608.6156409203959</v>
      </c>
      <c r="AI10" s="28">
        <v>9608.6156409203959</v>
      </c>
      <c r="AJ10" s="28">
        <v>9608.6156409203959</v>
      </c>
      <c r="AK10" s="28">
        <v>9608.6156409203959</v>
      </c>
      <c r="AL10" s="28">
        <v>9608.6156409203959</v>
      </c>
      <c r="AM10" s="28">
        <v>7198.2792347257318</v>
      </c>
      <c r="AN10" s="28">
        <v>7198.2792347257318</v>
      </c>
      <c r="AO10" s="28">
        <v>7198.2792347257318</v>
      </c>
      <c r="AP10" s="28">
        <v>7198.2792347257318</v>
      </c>
      <c r="AQ10" s="28">
        <v>4805.2044526558038</v>
      </c>
      <c r="AR10" s="28">
        <v>4805.2044526558038</v>
      </c>
      <c r="AS10" s="28">
        <v>4805.077982156804</v>
      </c>
      <c r="AT10" s="28">
        <v>7198.2792347257318</v>
      </c>
      <c r="AU10" s="28">
        <v>7198.2792347257318</v>
      </c>
      <c r="AV10" s="28">
        <v>7198.2792347257318</v>
      </c>
      <c r="AW10" s="28">
        <v>7198.2792347257318</v>
      </c>
      <c r="AX10" s="66">
        <v>7198.2792347257318</v>
      </c>
      <c r="AY10" s="72"/>
      <c r="AZ10" s="75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8">
        <v>0</v>
      </c>
      <c r="BG10" s="28">
        <v>0</v>
      </c>
      <c r="BH10" s="28">
        <v>0</v>
      </c>
      <c r="BI10" s="28">
        <v>0</v>
      </c>
      <c r="BJ10" s="28">
        <v>0</v>
      </c>
      <c r="BK10" s="66">
        <v>0</v>
      </c>
      <c r="BL10" s="66">
        <v>0</v>
      </c>
      <c r="BM10" s="66">
        <v>0</v>
      </c>
      <c r="BN10" s="66">
        <v>0</v>
      </c>
      <c r="BO10" s="66">
        <v>0</v>
      </c>
      <c r="BP10" s="66">
        <v>0</v>
      </c>
      <c r="BQ10" s="66">
        <v>0</v>
      </c>
      <c r="BR10" s="66">
        <v>0</v>
      </c>
      <c r="BS10" s="66">
        <v>0</v>
      </c>
      <c r="BT10" s="66">
        <v>0</v>
      </c>
      <c r="BU10" s="66">
        <v>0</v>
      </c>
      <c r="BV10" s="66">
        <v>0</v>
      </c>
      <c r="BW10" s="32">
        <v>0</v>
      </c>
    </row>
    <row r="11" spans="2:75" ht="15.75" thickBot="1" x14ac:dyDescent="0.3">
      <c r="B11" s="84" t="s">
        <v>31</v>
      </c>
      <c r="C11" s="85">
        <f t="shared" ref="C11:BN11" si="4">SUM(C12:C13)</f>
        <v>0</v>
      </c>
      <c r="D11" s="85">
        <f t="shared" si="4"/>
        <v>0</v>
      </c>
      <c r="E11" s="85">
        <f t="shared" si="4"/>
        <v>0</v>
      </c>
      <c r="F11" s="85">
        <f t="shared" si="4"/>
        <v>0</v>
      </c>
      <c r="G11" s="85">
        <f t="shared" si="4"/>
        <v>0</v>
      </c>
      <c r="H11" s="85">
        <f t="shared" si="4"/>
        <v>0</v>
      </c>
      <c r="I11" s="85">
        <f t="shared" si="4"/>
        <v>0</v>
      </c>
      <c r="J11" s="85">
        <f t="shared" si="4"/>
        <v>0</v>
      </c>
      <c r="K11" s="85">
        <f t="shared" si="4"/>
        <v>0</v>
      </c>
      <c r="L11" s="85">
        <f t="shared" si="4"/>
        <v>0</v>
      </c>
      <c r="M11" s="85">
        <f t="shared" si="4"/>
        <v>0</v>
      </c>
      <c r="N11" s="85">
        <f t="shared" si="4"/>
        <v>0</v>
      </c>
      <c r="O11" s="85">
        <f t="shared" si="4"/>
        <v>0</v>
      </c>
      <c r="P11" s="85">
        <f t="shared" si="4"/>
        <v>0</v>
      </c>
      <c r="Q11" s="85">
        <f t="shared" si="4"/>
        <v>0</v>
      </c>
      <c r="R11" s="87">
        <f t="shared" si="4"/>
        <v>0</v>
      </c>
      <c r="S11" s="93">
        <f t="shared" si="4"/>
        <v>0</v>
      </c>
      <c r="T11" s="85">
        <f t="shared" si="4"/>
        <v>0</v>
      </c>
      <c r="U11" s="85">
        <f t="shared" si="4"/>
        <v>0</v>
      </c>
      <c r="V11" s="85">
        <f t="shared" si="4"/>
        <v>0</v>
      </c>
      <c r="W11" s="85">
        <f t="shared" si="4"/>
        <v>0</v>
      </c>
      <c r="X11" s="85">
        <f t="shared" si="4"/>
        <v>0</v>
      </c>
      <c r="Y11" s="85">
        <f t="shared" si="4"/>
        <v>0</v>
      </c>
      <c r="Z11" s="85">
        <f t="shared" si="4"/>
        <v>0</v>
      </c>
      <c r="AA11" s="85">
        <f t="shared" si="4"/>
        <v>0</v>
      </c>
      <c r="AB11" s="85">
        <f t="shared" si="4"/>
        <v>0</v>
      </c>
      <c r="AC11" s="85">
        <f t="shared" si="4"/>
        <v>0</v>
      </c>
      <c r="AD11" s="85">
        <f t="shared" si="4"/>
        <v>0</v>
      </c>
      <c r="AE11" s="85">
        <f t="shared" si="4"/>
        <v>0</v>
      </c>
      <c r="AF11" s="85">
        <f t="shared" si="4"/>
        <v>0</v>
      </c>
      <c r="AG11" s="85">
        <f t="shared" si="4"/>
        <v>0</v>
      </c>
      <c r="AH11" s="85">
        <f t="shared" si="4"/>
        <v>0</v>
      </c>
      <c r="AI11" s="85">
        <f t="shared" si="4"/>
        <v>0</v>
      </c>
      <c r="AJ11" s="85">
        <f t="shared" si="4"/>
        <v>0</v>
      </c>
      <c r="AK11" s="85">
        <f t="shared" si="4"/>
        <v>0</v>
      </c>
      <c r="AL11" s="85">
        <f t="shared" si="4"/>
        <v>0</v>
      </c>
      <c r="AM11" s="85">
        <f t="shared" si="4"/>
        <v>0</v>
      </c>
      <c r="AN11" s="85">
        <f t="shared" si="4"/>
        <v>0</v>
      </c>
      <c r="AO11" s="85">
        <f t="shared" si="4"/>
        <v>0</v>
      </c>
      <c r="AP11" s="85">
        <f t="shared" si="4"/>
        <v>0</v>
      </c>
      <c r="AQ11" s="85">
        <f t="shared" si="4"/>
        <v>0</v>
      </c>
      <c r="AR11" s="85">
        <f t="shared" si="4"/>
        <v>0</v>
      </c>
      <c r="AS11" s="85">
        <f t="shared" si="4"/>
        <v>0</v>
      </c>
      <c r="AT11" s="85">
        <f t="shared" si="4"/>
        <v>0</v>
      </c>
      <c r="AU11" s="85">
        <f t="shared" si="4"/>
        <v>0</v>
      </c>
      <c r="AV11" s="85">
        <f t="shared" si="4"/>
        <v>0</v>
      </c>
      <c r="AW11" s="85">
        <f t="shared" si="4"/>
        <v>0</v>
      </c>
      <c r="AX11" s="86">
        <f t="shared" si="4"/>
        <v>0</v>
      </c>
      <c r="AY11" s="92"/>
      <c r="AZ11" s="93">
        <f t="shared" si="4"/>
        <v>150080</v>
      </c>
      <c r="BA11" s="85">
        <f t="shared" si="4"/>
        <v>210112.00000000003</v>
      </c>
      <c r="BB11" s="85">
        <f t="shared" si="4"/>
        <v>270144</v>
      </c>
      <c r="BC11" s="85">
        <f t="shared" si="4"/>
        <v>270144</v>
      </c>
      <c r="BD11" s="85">
        <f t="shared" si="4"/>
        <v>300160</v>
      </c>
      <c r="BE11" s="85">
        <f t="shared" si="4"/>
        <v>300160</v>
      </c>
      <c r="BF11" s="85">
        <f t="shared" si="4"/>
        <v>300160</v>
      </c>
      <c r="BG11" s="85">
        <f t="shared" si="4"/>
        <v>300160</v>
      </c>
      <c r="BH11" s="85">
        <f t="shared" si="4"/>
        <v>270144</v>
      </c>
      <c r="BI11" s="85">
        <f t="shared" si="4"/>
        <v>270144</v>
      </c>
      <c r="BJ11" s="85">
        <f t="shared" si="4"/>
        <v>210112.00000000003</v>
      </c>
      <c r="BK11" s="86">
        <f t="shared" si="4"/>
        <v>150080</v>
      </c>
      <c r="BL11" s="86">
        <f t="shared" si="4"/>
        <v>225120</v>
      </c>
      <c r="BM11" s="86">
        <f t="shared" si="4"/>
        <v>315168</v>
      </c>
      <c r="BN11" s="86">
        <f t="shared" si="4"/>
        <v>405216</v>
      </c>
      <c r="BO11" s="86">
        <f t="shared" ref="BO11:BW11" si="5">SUM(BO12:BO13)</f>
        <v>405216</v>
      </c>
      <c r="BP11" s="86">
        <f t="shared" si="5"/>
        <v>450240</v>
      </c>
      <c r="BQ11" s="86">
        <f t="shared" si="5"/>
        <v>450240</v>
      </c>
      <c r="BR11" s="86">
        <f t="shared" si="5"/>
        <v>450240</v>
      </c>
      <c r="BS11" s="86">
        <f t="shared" si="5"/>
        <v>450240</v>
      </c>
      <c r="BT11" s="86">
        <f t="shared" si="5"/>
        <v>405216</v>
      </c>
      <c r="BU11" s="86">
        <f t="shared" si="5"/>
        <v>405216</v>
      </c>
      <c r="BV11" s="86">
        <f t="shared" si="5"/>
        <v>315168</v>
      </c>
      <c r="BW11" s="87">
        <f t="shared" si="5"/>
        <v>225120</v>
      </c>
    </row>
    <row r="12" spans="2:75" hidden="1" x14ac:dyDescent="0.25">
      <c r="B12" s="19" t="s">
        <v>11</v>
      </c>
      <c r="C12" s="30">
        <v>0</v>
      </c>
      <c r="D12" s="30">
        <v>0</v>
      </c>
      <c r="E12" s="30">
        <v>0</v>
      </c>
      <c r="F12" s="30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88">
        <v>0</v>
      </c>
      <c r="AY12" s="72"/>
      <c r="AZ12" s="89">
        <v>134000</v>
      </c>
      <c r="BA12" s="16">
        <v>187600.00000000003</v>
      </c>
      <c r="BB12" s="16">
        <v>241200</v>
      </c>
      <c r="BC12" s="16">
        <v>241200</v>
      </c>
      <c r="BD12" s="16">
        <v>268000</v>
      </c>
      <c r="BE12" s="16">
        <v>268000</v>
      </c>
      <c r="BF12" s="16">
        <v>268000</v>
      </c>
      <c r="BG12" s="16">
        <v>268000</v>
      </c>
      <c r="BH12" s="16">
        <v>241200</v>
      </c>
      <c r="BI12" s="16">
        <v>241200</v>
      </c>
      <c r="BJ12" s="16">
        <v>187600.00000000003</v>
      </c>
      <c r="BK12" s="88">
        <v>134000</v>
      </c>
      <c r="BL12" s="88">
        <v>201000</v>
      </c>
      <c r="BM12" s="88">
        <v>281400</v>
      </c>
      <c r="BN12" s="88">
        <v>361800</v>
      </c>
      <c r="BO12" s="88">
        <v>361800</v>
      </c>
      <c r="BP12" s="88">
        <v>402000</v>
      </c>
      <c r="BQ12" s="88">
        <v>402000</v>
      </c>
      <c r="BR12" s="88">
        <v>402000</v>
      </c>
      <c r="BS12" s="88">
        <v>402000</v>
      </c>
      <c r="BT12" s="88">
        <v>361800</v>
      </c>
      <c r="BU12" s="88">
        <v>361800</v>
      </c>
      <c r="BV12" s="88">
        <v>281400</v>
      </c>
      <c r="BW12" s="90">
        <v>201000</v>
      </c>
    </row>
    <row r="13" spans="2:75" ht="15.75" hidden="1" thickBot="1" x14ac:dyDescent="0.3">
      <c r="B13" s="21" t="s">
        <v>13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78">
        <v>0</v>
      </c>
      <c r="AY13" s="72"/>
      <c r="AZ13" s="79">
        <v>16080</v>
      </c>
      <c r="BA13" s="29">
        <v>22512.000000000004</v>
      </c>
      <c r="BB13" s="29">
        <v>28944</v>
      </c>
      <c r="BC13" s="29">
        <v>28944</v>
      </c>
      <c r="BD13" s="29">
        <v>32160</v>
      </c>
      <c r="BE13" s="29">
        <v>32160</v>
      </c>
      <c r="BF13" s="29">
        <v>32160</v>
      </c>
      <c r="BG13" s="29">
        <v>32160</v>
      </c>
      <c r="BH13" s="29">
        <v>28944</v>
      </c>
      <c r="BI13" s="29">
        <v>28944</v>
      </c>
      <c r="BJ13" s="29">
        <v>22512.000000000004</v>
      </c>
      <c r="BK13" s="78">
        <v>16080</v>
      </c>
      <c r="BL13" s="78">
        <v>24120</v>
      </c>
      <c r="BM13" s="78">
        <v>33768</v>
      </c>
      <c r="BN13" s="78">
        <v>43416</v>
      </c>
      <c r="BO13" s="78">
        <v>43416</v>
      </c>
      <c r="BP13" s="78">
        <v>48240</v>
      </c>
      <c r="BQ13" s="78">
        <v>48240</v>
      </c>
      <c r="BR13" s="78">
        <v>48240</v>
      </c>
      <c r="BS13" s="78">
        <v>48240</v>
      </c>
      <c r="BT13" s="78">
        <v>43416</v>
      </c>
      <c r="BU13" s="78">
        <v>43416</v>
      </c>
      <c r="BV13" s="78">
        <v>33768</v>
      </c>
      <c r="BW13" s="71">
        <v>24120</v>
      </c>
    </row>
    <row r="14" spans="2:75" ht="15.75" thickBot="1" x14ac:dyDescent="0.3">
      <c r="B14" s="10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108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</row>
    <row r="15" spans="2:75" ht="15.75" thickBot="1" x14ac:dyDescent="0.3">
      <c r="B15" s="13" t="s">
        <v>0</v>
      </c>
      <c r="C15" s="62">
        <v>44317</v>
      </c>
      <c r="D15" s="62">
        <v>44348</v>
      </c>
      <c r="E15" s="62">
        <v>44378</v>
      </c>
      <c r="F15" s="62">
        <v>44409</v>
      </c>
      <c r="G15" s="62">
        <v>44440</v>
      </c>
      <c r="H15" s="62">
        <v>44470</v>
      </c>
      <c r="I15" s="62">
        <v>44501</v>
      </c>
      <c r="J15" s="62">
        <v>44531</v>
      </c>
      <c r="K15" s="62">
        <v>44562</v>
      </c>
      <c r="L15" s="62">
        <v>44593</v>
      </c>
      <c r="M15" s="62">
        <v>44621</v>
      </c>
      <c r="N15" s="62">
        <v>44652</v>
      </c>
      <c r="O15" s="62">
        <v>44682</v>
      </c>
      <c r="P15" s="62">
        <v>44713</v>
      </c>
      <c r="Q15" s="62">
        <v>44743</v>
      </c>
      <c r="R15" s="63">
        <v>44774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108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</row>
    <row r="16" spans="2:75" x14ac:dyDescent="0.25">
      <c r="B16" s="23" t="s">
        <v>30</v>
      </c>
      <c r="C16" s="33">
        <f t="shared" ref="C16:R16" si="6">SUM(C17:C18)</f>
        <v>103234.69039046686</v>
      </c>
      <c r="D16" s="33">
        <f t="shared" si="6"/>
        <v>105940.23630269055</v>
      </c>
      <c r="E16" s="33">
        <f t="shared" si="6"/>
        <v>252572.39809096575</v>
      </c>
      <c r="F16" s="33">
        <f t="shared" si="6"/>
        <v>89884.244359318458</v>
      </c>
      <c r="G16" s="33">
        <f t="shared" si="6"/>
        <v>679204.74921380891</v>
      </c>
      <c r="H16" s="33">
        <f t="shared" si="6"/>
        <v>672034.67309905251</v>
      </c>
      <c r="I16" s="33">
        <f t="shared" si="6"/>
        <v>644218.00972815033</v>
      </c>
      <c r="J16" s="33">
        <f t="shared" si="6"/>
        <v>1358829.173083737</v>
      </c>
      <c r="K16" s="33">
        <f t="shared" si="6"/>
        <v>728905.38469518244</v>
      </c>
      <c r="L16" s="33">
        <f t="shared" si="6"/>
        <v>735859.64606963936</v>
      </c>
      <c r="M16" s="33">
        <f t="shared" si="6"/>
        <v>755171.52673058782</v>
      </c>
      <c r="N16" s="33">
        <f t="shared" si="6"/>
        <v>714124.08962708723</v>
      </c>
      <c r="O16" s="33">
        <f t="shared" si="6"/>
        <v>700015.3738740664</v>
      </c>
      <c r="P16" s="33">
        <f t="shared" si="6"/>
        <v>1384857.3317030694</v>
      </c>
      <c r="Q16" s="33">
        <f t="shared" si="6"/>
        <v>714124.08962708723</v>
      </c>
      <c r="R16" s="34">
        <f t="shared" si="6"/>
        <v>755171.52673058782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108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hidden="1" x14ac:dyDescent="0.25">
      <c r="B17" s="19" t="s">
        <v>11</v>
      </c>
      <c r="C17" s="24">
        <v>91354.507766167095</v>
      </c>
      <c r="D17" s="24">
        <v>93748.701172619025</v>
      </c>
      <c r="E17" s="24">
        <v>223506.52688208479</v>
      </c>
      <c r="F17" s="24">
        <v>79540.422587809589</v>
      </c>
      <c r="G17" s="24">
        <v>601042.29791539442</v>
      </c>
      <c r="H17" s="24">
        <v>594697.34960749489</v>
      </c>
      <c r="I17" s="24">
        <v>570081.81019594253</v>
      </c>
      <c r="J17" s="24">
        <v>1202455.9745939418</v>
      </c>
      <c r="K17" s="24">
        <v>645023.41582153051</v>
      </c>
      <c r="L17" s="24">
        <v>651177.38521241897</v>
      </c>
      <c r="M17" s="24">
        <v>668266.86690841697</v>
      </c>
      <c r="N17" s="24">
        <v>631943.14280492242</v>
      </c>
      <c r="O17" s="24">
        <v>619458.04910284444</v>
      </c>
      <c r="P17" s="24">
        <v>1225488.8292451764</v>
      </c>
      <c r="Q17" s="24">
        <v>631943.14280492242</v>
      </c>
      <c r="R17" s="31">
        <v>668266.86690841697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108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</row>
    <row r="18" spans="2:75" hidden="1" x14ac:dyDescent="0.25">
      <c r="B18" s="19" t="s">
        <v>13</v>
      </c>
      <c r="C18" s="28">
        <v>11880.182624299756</v>
      </c>
      <c r="D18" s="28">
        <v>12191.535130071532</v>
      </c>
      <c r="E18" s="28">
        <v>29065.871208880981</v>
      </c>
      <c r="F18" s="28">
        <v>10343.82177150887</v>
      </c>
      <c r="G18" s="28">
        <v>78162.451298414511</v>
      </c>
      <c r="H18" s="28">
        <v>77337.323491557632</v>
      </c>
      <c r="I18" s="28">
        <v>74136.199532207771</v>
      </c>
      <c r="J18" s="28">
        <v>156373.19848979515</v>
      </c>
      <c r="K18" s="28">
        <v>83881.968873651946</v>
      </c>
      <c r="L18" s="28">
        <v>84682.260857220404</v>
      </c>
      <c r="M18" s="28">
        <v>86904.659822170812</v>
      </c>
      <c r="N18" s="28">
        <v>82180.946822164799</v>
      </c>
      <c r="O18" s="28">
        <v>80557.324771221931</v>
      </c>
      <c r="P18" s="28">
        <v>159368.5024578929</v>
      </c>
      <c r="Q18" s="28">
        <v>82180.946822164799</v>
      </c>
      <c r="R18" s="32">
        <v>86904.659822170812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108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x14ac:dyDescent="0.25">
      <c r="B19" s="18" t="s">
        <v>38</v>
      </c>
      <c r="C19" s="37">
        <v>0</v>
      </c>
      <c r="D19" s="37">
        <v>0</v>
      </c>
      <c r="E19" s="37">
        <v>0</v>
      </c>
      <c r="F19" s="37">
        <v>95913.994577919031</v>
      </c>
      <c r="G19" s="37">
        <v>168086.00542208095</v>
      </c>
      <c r="H19" s="37">
        <v>132000</v>
      </c>
      <c r="I19" s="37">
        <v>132000</v>
      </c>
      <c r="J19" s="37">
        <v>132000</v>
      </c>
      <c r="K19" s="37">
        <v>89680.412648590369</v>
      </c>
      <c r="L19" s="37">
        <v>89680.412648590369</v>
      </c>
      <c r="M19" s="37">
        <v>89680.412648590369</v>
      </c>
      <c r="N19" s="37">
        <v>89680.412648590369</v>
      </c>
      <c r="O19" s="37">
        <v>59865.825788122478</v>
      </c>
      <c r="P19" s="37">
        <v>59865.825788122478</v>
      </c>
      <c r="Q19" s="37">
        <v>59864.634586442015</v>
      </c>
      <c r="R19" s="36">
        <v>89680.412648590369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108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hidden="1" x14ac:dyDescent="0.25">
      <c r="B20" s="19" t="s">
        <v>11</v>
      </c>
      <c r="C20" s="24">
        <v>0</v>
      </c>
      <c r="D20" s="24">
        <v>0</v>
      </c>
      <c r="E20" s="24">
        <v>0</v>
      </c>
      <c r="F20" s="24">
        <v>95913.994577919031</v>
      </c>
      <c r="G20" s="24">
        <v>168086.00542208095</v>
      </c>
      <c r="H20" s="24">
        <v>132000</v>
      </c>
      <c r="I20" s="24">
        <v>132000</v>
      </c>
      <c r="J20" s="24">
        <v>132000</v>
      </c>
      <c r="K20" s="24">
        <v>80071.797007669971</v>
      </c>
      <c r="L20" s="24">
        <v>80071.797007669971</v>
      </c>
      <c r="M20" s="24">
        <v>80071.797007669971</v>
      </c>
      <c r="N20" s="24">
        <v>80071.797007669971</v>
      </c>
      <c r="O20" s="24">
        <v>53451.630167966498</v>
      </c>
      <c r="P20" s="24">
        <v>53451.630167966498</v>
      </c>
      <c r="Q20" s="24">
        <v>53450.566595037511</v>
      </c>
      <c r="R20" s="31">
        <v>80071.797007669971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108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hidden="1" x14ac:dyDescent="0.25">
      <c r="B21" s="19" t="s">
        <v>13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9608.6156409203959</v>
      </c>
      <c r="L21" s="28">
        <v>9608.6156409203959</v>
      </c>
      <c r="M21" s="28">
        <v>9608.6156409203959</v>
      </c>
      <c r="N21" s="28">
        <v>9608.6156409203959</v>
      </c>
      <c r="O21" s="28">
        <v>6414.1956201559797</v>
      </c>
      <c r="P21" s="28">
        <v>6414.1956201559797</v>
      </c>
      <c r="Q21" s="28">
        <v>6414.0679914045013</v>
      </c>
      <c r="R21" s="32">
        <v>9608.6156409203959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108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ht="15.75" thickBot="1" x14ac:dyDescent="0.3">
      <c r="B22" s="84" t="s">
        <v>31</v>
      </c>
      <c r="C22" s="85"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7">
        <v>0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108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ht="15.75" thickBot="1" x14ac:dyDescent="0.3">
      <c r="B23" s="10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108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</row>
    <row r="24" spans="2:75" ht="15.75" thickBot="1" x14ac:dyDescent="0.3">
      <c r="B24" s="13" t="s">
        <v>0</v>
      </c>
      <c r="C24" s="62">
        <v>44805</v>
      </c>
      <c r="D24" s="62">
        <v>44835</v>
      </c>
      <c r="E24" s="62">
        <v>44866</v>
      </c>
      <c r="F24" s="62">
        <v>44896</v>
      </c>
      <c r="G24" s="62">
        <v>44927</v>
      </c>
      <c r="H24" s="62">
        <v>44958</v>
      </c>
      <c r="I24" s="62">
        <v>44986</v>
      </c>
      <c r="J24" s="62">
        <v>45017</v>
      </c>
      <c r="K24" s="62">
        <v>45047</v>
      </c>
      <c r="L24" s="62">
        <v>45078</v>
      </c>
      <c r="M24" s="62">
        <v>45108</v>
      </c>
      <c r="N24" s="62">
        <v>45139</v>
      </c>
      <c r="O24" s="62">
        <v>45170</v>
      </c>
      <c r="P24" s="62">
        <v>45200</v>
      </c>
      <c r="Q24" s="62">
        <v>45231</v>
      </c>
      <c r="R24" s="63">
        <v>45261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108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</row>
    <row r="25" spans="2:75" x14ac:dyDescent="0.25">
      <c r="B25" s="23" t="s">
        <v>30</v>
      </c>
      <c r="C25" s="33">
        <f t="shared" ref="C25:R25" si="7">SUM(C26:C27)</f>
        <v>755171.52673058782</v>
      </c>
      <c r="D25" s="33">
        <f t="shared" si="7"/>
        <v>719198.91434665839</v>
      </c>
      <c r="E25" s="33">
        <f t="shared" si="7"/>
        <v>727799.76929570606</v>
      </c>
      <c r="F25" s="33">
        <f t="shared" si="7"/>
        <v>1389600.8205697401</v>
      </c>
      <c r="G25" s="33">
        <f t="shared" si="7"/>
        <v>509564.21290171077</v>
      </c>
      <c r="H25" s="33">
        <f t="shared" si="7"/>
        <v>509564.21290171077</v>
      </c>
      <c r="I25" s="33">
        <f t="shared" si="7"/>
        <v>509564.21290171077</v>
      </c>
      <c r="J25" s="33">
        <f t="shared" si="7"/>
        <v>508258.89961892995</v>
      </c>
      <c r="K25" s="33">
        <f t="shared" si="7"/>
        <v>509564.21290171077</v>
      </c>
      <c r="L25" s="33">
        <f t="shared" si="7"/>
        <v>1091302.6542488872</v>
      </c>
      <c r="M25" s="33">
        <f t="shared" si="7"/>
        <v>509460.98273645621</v>
      </c>
      <c r="N25" s="33">
        <f t="shared" si="7"/>
        <v>506304.80058665772</v>
      </c>
      <c r="O25" s="33">
        <f t="shared" si="7"/>
        <v>507551.94210372336</v>
      </c>
      <c r="P25" s="33">
        <f t="shared" si="7"/>
        <v>507040.11634714541</v>
      </c>
      <c r="Q25" s="33">
        <f t="shared" si="7"/>
        <v>505830.6947332464</v>
      </c>
      <c r="R25" s="34">
        <f t="shared" si="7"/>
        <v>1385993.0580181093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108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</row>
    <row r="26" spans="2:75" hidden="1" x14ac:dyDescent="0.25">
      <c r="B26" s="19" t="s">
        <v>11</v>
      </c>
      <c r="C26" s="24">
        <v>668266.86690841697</v>
      </c>
      <c r="D26" s="24">
        <v>636433.95991787629</v>
      </c>
      <c r="E26" s="24">
        <v>644045.03394024784</v>
      </c>
      <c r="F26" s="24">
        <v>1229686.4404248097</v>
      </c>
      <c r="G26" s="24">
        <v>450923.88681381551</v>
      </c>
      <c r="H26" s="24">
        <v>450923.88681381551</v>
      </c>
      <c r="I26" s="24">
        <v>450923.88681381551</v>
      </c>
      <c r="J26" s="24">
        <v>449768.78815484676</v>
      </c>
      <c r="K26" s="24">
        <v>450923.88681381551</v>
      </c>
      <c r="L26" s="24">
        <v>965716.23768849939</v>
      </c>
      <c r="M26" s="24">
        <v>450832.53631043545</v>
      </c>
      <c r="N26" s="24">
        <v>448039.56559851061</v>
      </c>
      <c r="O26" s="24">
        <v>449143.1868616282</v>
      </c>
      <c r="P26" s="24">
        <v>448690.26168814849</v>
      </c>
      <c r="Q26" s="24">
        <v>447620.01954569027</v>
      </c>
      <c r="R26" s="31">
        <v>1226493.8568969776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108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</row>
    <row r="27" spans="2:75" hidden="1" x14ac:dyDescent="0.25">
      <c r="B27" s="19" t="s">
        <v>13</v>
      </c>
      <c r="C27" s="28">
        <v>86904.659822170812</v>
      </c>
      <c r="D27" s="28">
        <v>82764.954428782119</v>
      </c>
      <c r="E27" s="28">
        <v>83754.735355458237</v>
      </c>
      <c r="F27" s="28">
        <v>159914.38014493039</v>
      </c>
      <c r="G27" s="28">
        <v>58640.326087895286</v>
      </c>
      <c r="H27" s="28">
        <v>58640.326087895286</v>
      </c>
      <c r="I27" s="28">
        <v>58640.326087895286</v>
      </c>
      <c r="J27" s="28">
        <v>58490.111464083209</v>
      </c>
      <c r="K27" s="28">
        <v>58640.326087895286</v>
      </c>
      <c r="L27" s="28">
        <v>125586.41656038781</v>
      </c>
      <c r="M27" s="28">
        <v>58628.446426020753</v>
      </c>
      <c r="N27" s="28">
        <v>58265.234988147116</v>
      </c>
      <c r="O27" s="28">
        <v>58408.755242095147</v>
      </c>
      <c r="P27" s="28">
        <v>58349.85465899689</v>
      </c>
      <c r="Q27" s="28">
        <v>58210.675187556139</v>
      </c>
      <c r="R27" s="32">
        <v>159499.20112113163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108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2:75" x14ac:dyDescent="0.25">
      <c r="B28" s="18" t="s">
        <v>38</v>
      </c>
      <c r="C28" s="37">
        <v>89680.412648590369</v>
      </c>
      <c r="D28" s="37">
        <v>89680.412648590369</v>
      </c>
      <c r="E28" s="37">
        <v>89680.412648590369</v>
      </c>
      <c r="F28" s="37">
        <v>89680.412648590369</v>
      </c>
      <c r="G28" s="37">
        <v>67183.939524106827</v>
      </c>
      <c r="H28" s="37">
        <v>67183.939524106827</v>
      </c>
      <c r="I28" s="37">
        <v>67183.939524106827</v>
      </c>
      <c r="J28" s="37">
        <v>67183.939524106827</v>
      </c>
      <c r="K28" s="37">
        <v>44848.574891454169</v>
      </c>
      <c r="L28" s="37">
        <v>44848.574891454169</v>
      </c>
      <c r="M28" s="37">
        <v>44847.394500130176</v>
      </c>
      <c r="N28" s="37">
        <v>67183.939524106827</v>
      </c>
      <c r="O28" s="37">
        <v>67183.939524106827</v>
      </c>
      <c r="P28" s="37">
        <v>67183.939524106827</v>
      </c>
      <c r="Q28" s="37">
        <v>67183.939524106827</v>
      </c>
      <c r="R28" s="36">
        <v>67183.939524106827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108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2:75" hidden="1" x14ac:dyDescent="0.25">
      <c r="B29" s="19" t="s">
        <v>11</v>
      </c>
      <c r="C29" s="24">
        <v>80071.797007669971</v>
      </c>
      <c r="D29" s="24">
        <v>80071.797007669971</v>
      </c>
      <c r="E29" s="24">
        <v>80071.797007669971</v>
      </c>
      <c r="F29" s="24">
        <v>80071.797007669971</v>
      </c>
      <c r="G29" s="24">
        <v>59985.6602893811</v>
      </c>
      <c r="H29" s="24">
        <v>59985.6602893811</v>
      </c>
      <c r="I29" s="24">
        <v>59985.6602893811</v>
      </c>
      <c r="J29" s="24">
        <v>59985.6602893811</v>
      </c>
      <c r="K29" s="24">
        <v>40043.370438798367</v>
      </c>
      <c r="L29" s="24">
        <v>40043.370438798367</v>
      </c>
      <c r="M29" s="24">
        <v>40042.31651797337</v>
      </c>
      <c r="N29" s="24">
        <v>59985.6602893811</v>
      </c>
      <c r="O29" s="24">
        <v>59985.6602893811</v>
      </c>
      <c r="P29" s="24">
        <v>59985.6602893811</v>
      </c>
      <c r="Q29" s="24">
        <v>59985.6602893811</v>
      </c>
      <c r="R29" s="31">
        <v>59985.6602893811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108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2:75" hidden="1" x14ac:dyDescent="0.25">
      <c r="B30" s="19" t="s">
        <v>13</v>
      </c>
      <c r="C30" s="28">
        <v>9608.6156409203959</v>
      </c>
      <c r="D30" s="28">
        <v>9608.6156409203959</v>
      </c>
      <c r="E30" s="28">
        <v>9608.6156409203959</v>
      </c>
      <c r="F30" s="28">
        <v>9608.6156409203959</v>
      </c>
      <c r="G30" s="28">
        <v>7198.2792347257318</v>
      </c>
      <c r="H30" s="28">
        <v>7198.2792347257318</v>
      </c>
      <c r="I30" s="28">
        <v>7198.2792347257318</v>
      </c>
      <c r="J30" s="28">
        <v>7198.2792347257318</v>
      </c>
      <c r="K30" s="28">
        <v>4805.2044526558038</v>
      </c>
      <c r="L30" s="28">
        <v>4805.2044526558038</v>
      </c>
      <c r="M30" s="28">
        <v>4805.077982156804</v>
      </c>
      <c r="N30" s="28">
        <v>7198.2792347257318</v>
      </c>
      <c r="O30" s="28">
        <v>7198.2792347257318</v>
      </c>
      <c r="P30" s="28">
        <v>7198.2792347257318</v>
      </c>
      <c r="Q30" s="28">
        <v>7198.2792347257318</v>
      </c>
      <c r="R30" s="32">
        <v>7198.2792347257318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108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</row>
    <row r="31" spans="2:75" ht="15.75" thickBot="1" x14ac:dyDescent="0.3">
      <c r="B31" s="84" t="s">
        <v>31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7">
        <v>0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08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</row>
    <row r="32" spans="2:75" ht="15.75" thickBot="1" x14ac:dyDescent="0.3">
      <c r="B32" s="10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08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</row>
    <row r="33" spans="2:75" ht="15.75" thickBot="1" x14ac:dyDescent="0.3">
      <c r="B33" s="13" t="s">
        <v>0</v>
      </c>
      <c r="C33" s="62">
        <v>47119</v>
      </c>
      <c r="D33" s="62">
        <v>47150</v>
      </c>
      <c r="E33" s="62">
        <v>47178</v>
      </c>
      <c r="F33" s="62">
        <v>47209</v>
      </c>
      <c r="G33" s="62">
        <v>47239</v>
      </c>
      <c r="H33" s="62">
        <v>47270</v>
      </c>
      <c r="I33" s="62">
        <v>47300</v>
      </c>
      <c r="J33" s="62">
        <v>47331</v>
      </c>
      <c r="K33" s="62">
        <v>47362</v>
      </c>
      <c r="L33" s="62">
        <v>47392</v>
      </c>
      <c r="M33" s="62">
        <v>47423</v>
      </c>
      <c r="N33" s="62">
        <v>47453</v>
      </c>
      <c r="O33" s="62">
        <v>47484</v>
      </c>
      <c r="P33" s="62">
        <v>47515</v>
      </c>
      <c r="Q33" s="62">
        <v>47543</v>
      </c>
      <c r="R33" s="63">
        <v>47574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08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</row>
    <row r="34" spans="2:75" x14ac:dyDescent="0.25">
      <c r="B34" s="23" t="s">
        <v>30</v>
      </c>
      <c r="C34" s="7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59">
        <v>0</v>
      </c>
      <c r="O34" s="59">
        <v>0</v>
      </c>
      <c r="P34" s="59">
        <v>0</v>
      </c>
      <c r="Q34" s="59">
        <v>0</v>
      </c>
      <c r="R34" s="34">
        <v>0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108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</row>
    <row r="35" spans="2:75" hidden="1" x14ac:dyDescent="0.25">
      <c r="B35" s="19" t="s">
        <v>11</v>
      </c>
      <c r="C35" s="7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58">
        <v>0</v>
      </c>
      <c r="O35" s="58">
        <v>0</v>
      </c>
      <c r="P35" s="58">
        <v>0</v>
      </c>
      <c r="Q35" s="58">
        <v>0</v>
      </c>
      <c r="R35" s="31">
        <v>0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108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</row>
    <row r="36" spans="2:75" hidden="1" x14ac:dyDescent="0.25">
      <c r="B36" s="19" t="s">
        <v>13</v>
      </c>
      <c r="C36" s="75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66">
        <v>0</v>
      </c>
      <c r="O36" s="66">
        <v>0</v>
      </c>
      <c r="P36" s="66">
        <v>0</v>
      </c>
      <c r="Q36" s="66">
        <v>0</v>
      </c>
      <c r="R36" s="32">
        <v>0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108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2:75" x14ac:dyDescent="0.25">
      <c r="B37" s="18" t="s">
        <v>38</v>
      </c>
      <c r="C37" s="76">
        <v>0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60">
        <v>0</v>
      </c>
      <c r="O37" s="60">
        <v>0</v>
      </c>
      <c r="P37" s="60">
        <v>0</v>
      </c>
      <c r="Q37" s="60">
        <v>0</v>
      </c>
      <c r="R37" s="36">
        <v>0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108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</row>
    <row r="38" spans="2:75" hidden="1" x14ac:dyDescent="0.25">
      <c r="B38" s="19" t="s">
        <v>11</v>
      </c>
      <c r="C38" s="7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58">
        <v>0</v>
      </c>
      <c r="O38" s="58">
        <v>0</v>
      </c>
      <c r="P38" s="58">
        <v>0</v>
      </c>
      <c r="Q38" s="58">
        <v>0</v>
      </c>
      <c r="R38" s="31">
        <v>0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108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</row>
    <row r="39" spans="2:75" hidden="1" x14ac:dyDescent="0.25">
      <c r="B39" s="19" t="s">
        <v>13</v>
      </c>
      <c r="C39" s="75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66">
        <v>0</v>
      </c>
      <c r="O39" s="66">
        <v>0</v>
      </c>
      <c r="P39" s="66">
        <v>0</v>
      </c>
      <c r="Q39" s="66">
        <v>0</v>
      </c>
      <c r="R39" s="32">
        <v>0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108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</row>
    <row r="40" spans="2:75" ht="15.75" thickBot="1" x14ac:dyDescent="0.3">
      <c r="B40" s="84" t="s">
        <v>31</v>
      </c>
      <c r="C40" s="93">
        <v>150080</v>
      </c>
      <c r="D40" s="85">
        <v>210112.00000000003</v>
      </c>
      <c r="E40" s="85">
        <v>270144</v>
      </c>
      <c r="F40" s="85">
        <v>270144</v>
      </c>
      <c r="G40" s="85">
        <v>300160</v>
      </c>
      <c r="H40" s="85">
        <v>300160</v>
      </c>
      <c r="I40" s="85">
        <v>300160</v>
      </c>
      <c r="J40" s="85">
        <v>300160</v>
      </c>
      <c r="K40" s="85">
        <v>270144</v>
      </c>
      <c r="L40" s="85">
        <v>270144</v>
      </c>
      <c r="M40" s="85">
        <v>210112.00000000003</v>
      </c>
      <c r="N40" s="86">
        <v>150080</v>
      </c>
      <c r="O40" s="86">
        <v>225120</v>
      </c>
      <c r="P40" s="86">
        <v>315168</v>
      </c>
      <c r="Q40" s="86">
        <v>405216</v>
      </c>
      <c r="R40" s="87">
        <v>405216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108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</row>
    <row r="41" spans="2:75" ht="15.75" thickBot="1" x14ac:dyDescent="0.3">
      <c r="B41" s="10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108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</row>
    <row r="42" spans="2:75" ht="15.75" thickBot="1" x14ac:dyDescent="0.3">
      <c r="B42" s="13" t="s">
        <v>0</v>
      </c>
      <c r="C42" s="62">
        <v>47604</v>
      </c>
      <c r="D42" s="62">
        <v>47635</v>
      </c>
      <c r="E42" s="62">
        <v>47665</v>
      </c>
      <c r="F42" s="62">
        <v>47696</v>
      </c>
      <c r="G42" s="62">
        <v>47727</v>
      </c>
      <c r="H42" s="62">
        <v>47757</v>
      </c>
      <c r="I42" s="62">
        <v>47788</v>
      </c>
      <c r="J42" s="63">
        <v>47818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108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</row>
    <row r="43" spans="2:75" x14ac:dyDescent="0.25">
      <c r="B43" s="23" t="s">
        <v>30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34">
        <v>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108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2:75" hidden="1" x14ac:dyDescent="0.25">
      <c r="B44" s="19" t="s">
        <v>11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31">
        <v>0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108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</row>
    <row r="45" spans="2:75" hidden="1" x14ac:dyDescent="0.25">
      <c r="B45" s="19" t="s">
        <v>13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32"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108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</row>
    <row r="46" spans="2:75" x14ac:dyDescent="0.25">
      <c r="B46" s="18" t="s">
        <v>38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36">
        <v>0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108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</row>
    <row r="47" spans="2:75" hidden="1" x14ac:dyDescent="0.25">
      <c r="B47" s="19" t="s">
        <v>11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31">
        <v>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108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</row>
    <row r="48" spans="2:75" hidden="1" x14ac:dyDescent="0.25">
      <c r="B48" s="19" t="s">
        <v>13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32">
        <v>0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108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</row>
    <row r="49" spans="2:86" ht="15.75" thickBot="1" x14ac:dyDescent="0.3">
      <c r="B49" s="84" t="s">
        <v>31</v>
      </c>
      <c r="C49" s="86">
        <v>450240</v>
      </c>
      <c r="D49" s="86">
        <v>450240</v>
      </c>
      <c r="E49" s="86">
        <v>450240</v>
      </c>
      <c r="F49" s="86">
        <v>450240</v>
      </c>
      <c r="G49" s="86">
        <v>405216</v>
      </c>
      <c r="H49" s="86">
        <v>405216</v>
      </c>
      <c r="I49" s="86">
        <v>315168</v>
      </c>
      <c r="J49" s="87">
        <v>225120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108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</row>
    <row r="50" spans="2:86" ht="15.75" thickBot="1" x14ac:dyDescent="0.3">
      <c r="B50" s="10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108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</row>
    <row r="51" spans="2:86" ht="15.75" thickBot="1" x14ac:dyDescent="0.3">
      <c r="B51" s="13" t="s">
        <v>0</v>
      </c>
      <c r="C51" s="14">
        <v>2020</v>
      </c>
      <c r="D51" s="14">
        <v>2021</v>
      </c>
      <c r="E51" s="14">
        <v>2022</v>
      </c>
      <c r="F51" s="14">
        <v>2023</v>
      </c>
      <c r="G51" s="14">
        <v>2029</v>
      </c>
      <c r="H51" s="14">
        <v>2030</v>
      </c>
      <c r="I51" s="15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</row>
    <row r="52" spans="2:86" x14ac:dyDescent="0.25">
      <c r="B52" s="110" t="s">
        <v>30</v>
      </c>
      <c r="C52" s="111">
        <f t="shared" ref="C52:G52" si="8">SUM(C53:C54)</f>
        <v>2520000</v>
      </c>
      <c r="D52" s="111">
        <f t="shared" si="8"/>
        <v>5040000</v>
      </c>
      <c r="E52" s="111">
        <f t="shared" si="8"/>
        <v>10080000</v>
      </c>
      <c r="F52" s="111">
        <f t="shared" si="8"/>
        <v>7559999.9999999991</v>
      </c>
      <c r="G52" s="111">
        <f t="shared" si="8"/>
        <v>0</v>
      </c>
      <c r="H52" s="111">
        <v>0</v>
      </c>
      <c r="I52" s="112">
        <f t="shared" ref="I52" si="9">SUM(I53:I54)</f>
        <v>25200000</v>
      </c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</row>
    <row r="53" spans="2:86" hidden="1" x14ac:dyDescent="0.25">
      <c r="B53" s="100" t="s">
        <v>11</v>
      </c>
      <c r="C53" s="96">
        <f t="shared" ref="C53:G54" si="10">SUMIF($1:$1,C$51,6:6)</f>
        <v>2230000</v>
      </c>
      <c r="D53" s="96">
        <f t="shared" si="10"/>
        <v>4460000</v>
      </c>
      <c r="E53" s="96">
        <f t="shared" si="10"/>
        <v>8920000</v>
      </c>
      <c r="F53" s="96">
        <f t="shared" si="10"/>
        <v>6689999.9999999991</v>
      </c>
      <c r="G53" s="96">
        <f t="shared" si="10"/>
        <v>0</v>
      </c>
      <c r="H53" s="96">
        <v>0</v>
      </c>
      <c r="I53" s="101">
        <f>SUM(C53:H53)</f>
        <v>22300000</v>
      </c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</row>
    <row r="54" spans="2:86" hidden="1" x14ac:dyDescent="0.25">
      <c r="B54" s="100" t="s">
        <v>13</v>
      </c>
      <c r="C54" s="96">
        <f t="shared" si="10"/>
        <v>290000</v>
      </c>
      <c r="D54" s="96">
        <f t="shared" si="10"/>
        <v>580000</v>
      </c>
      <c r="E54" s="96">
        <f t="shared" si="10"/>
        <v>1160000</v>
      </c>
      <c r="F54" s="96">
        <f t="shared" si="10"/>
        <v>869999.99999999988</v>
      </c>
      <c r="G54" s="96">
        <f t="shared" si="10"/>
        <v>0</v>
      </c>
      <c r="H54" s="96">
        <v>0</v>
      </c>
      <c r="I54" s="101">
        <f>SUM(C54:H54)</f>
        <v>2900000</v>
      </c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</row>
    <row r="55" spans="2:86" x14ac:dyDescent="0.25">
      <c r="B55" s="98" t="s">
        <v>38</v>
      </c>
      <c r="C55" s="95">
        <f t="shared" ref="C55:G55" si="11">SUM(C56:C57)</f>
        <v>0</v>
      </c>
      <c r="D55" s="95">
        <f t="shared" si="11"/>
        <v>660000</v>
      </c>
      <c r="E55" s="95">
        <f t="shared" si="11"/>
        <v>986720</v>
      </c>
      <c r="F55" s="95">
        <f t="shared" si="11"/>
        <v>739199.99999999988</v>
      </c>
      <c r="G55" s="95">
        <f t="shared" si="11"/>
        <v>0</v>
      </c>
      <c r="H55" s="95">
        <v>0</v>
      </c>
      <c r="I55" s="99">
        <f t="shared" ref="I55" si="12">SUM(I56:I57)</f>
        <v>2385920</v>
      </c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</row>
    <row r="56" spans="2:86" hidden="1" x14ac:dyDescent="0.25">
      <c r="B56" s="100" t="s">
        <v>11</v>
      </c>
      <c r="C56" s="96">
        <f t="shared" ref="C56:G57" si="13">SUMIF($1:$1,C$51,9:9)</f>
        <v>0</v>
      </c>
      <c r="D56" s="96">
        <f t="shared" si="13"/>
        <v>660000</v>
      </c>
      <c r="E56" s="96">
        <f t="shared" si="13"/>
        <v>881000</v>
      </c>
      <c r="F56" s="96">
        <f t="shared" si="13"/>
        <v>659999.99999999988</v>
      </c>
      <c r="G56" s="96">
        <f t="shared" si="13"/>
        <v>0</v>
      </c>
      <c r="H56" s="96">
        <v>0</v>
      </c>
      <c r="I56" s="101">
        <f>SUM(C56:H56)</f>
        <v>2201000</v>
      </c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</row>
    <row r="57" spans="2:86" hidden="1" x14ac:dyDescent="0.25">
      <c r="B57" s="100" t="s">
        <v>13</v>
      </c>
      <c r="C57" s="96">
        <f t="shared" si="13"/>
        <v>0</v>
      </c>
      <c r="D57" s="96">
        <f t="shared" si="13"/>
        <v>0</v>
      </c>
      <c r="E57" s="96">
        <f t="shared" si="13"/>
        <v>105720.00000000003</v>
      </c>
      <c r="F57" s="96">
        <f t="shared" si="13"/>
        <v>79200.000000000015</v>
      </c>
      <c r="G57" s="96">
        <f t="shared" si="13"/>
        <v>0</v>
      </c>
      <c r="H57" s="96">
        <v>0</v>
      </c>
      <c r="I57" s="101">
        <f>SUM(C57:H57)</f>
        <v>184920.00000000006</v>
      </c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</row>
    <row r="58" spans="2:86" x14ac:dyDescent="0.25">
      <c r="B58" s="98" t="s">
        <v>31</v>
      </c>
      <c r="C58" s="95">
        <f t="shared" ref="C58:I58" si="14">SUM(C59:C60)</f>
        <v>0</v>
      </c>
      <c r="D58" s="95">
        <f t="shared" si="14"/>
        <v>0</v>
      </c>
      <c r="E58" s="95">
        <f t="shared" si="14"/>
        <v>0</v>
      </c>
      <c r="F58" s="95">
        <f t="shared" si="14"/>
        <v>0</v>
      </c>
      <c r="G58" s="95">
        <f t="shared" si="14"/>
        <v>3001600</v>
      </c>
      <c r="H58" s="95">
        <f t="shared" si="14"/>
        <v>4502400</v>
      </c>
      <c r="I58" s="99">
        <f t="shared" si="14"/>
        <v>7504000</v>
      </c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</row>
    <row r="59" spans="2:86" hidden="1" x14ac:dyDescent="0.25">
      <c r="B59" s="100" t="s">
        <v>11</v>
      </c>
      <c r="C59" s="96">
        <f t="shared" ref="C59:H60" si="15">SUMIF($1:$1,C$51,12:12)</f>
        <v>0</v>
      </c>
      <c r="D59" s="96">
        <f t="shared" si="15"/>
        <v>0</v>
      </c>
      <c r="E59" s="96">
        <f t="shared" si="15"/>
        <v>0</v>
      </c>
      <c r="F59" s="96">
        <f t="shared" si="15"/>
        <v>0</v>
      </c>
      <c r="G59" s="96">
        <f t="shared" si="15"/>
        <v>2680000</v>
      </c>
      <c r="H59" s="96">
        <f t="shared" si="15"/>
        <v>4020000</v>
      </c>
      <c r="I59" s="101">
        <f>SUM(C59:H59)</f>
        <v>6700000</v>
      </c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</row>
    <row r="60" spans="2:86" hidden="1" x14ac:dyDescent="0.25">
      <c r="B60" s="100" t="s">
        <v>13</v>
      </c>
      <c r="C60" s="96">
        <f t="shared" si="15"/>
        <v>0</v>
      </c>
      <c r="D60" s="96">
        <f t="shared" si="15"/>
        <v>0</v>
      </c>
      <c r="E60" s="96">
        <f t="shared" si="15"/>
        <v>0</v>
      </c>
      <c r="F60" s="96">
        <f t="shared" si="15"/>
        <v>0</v>
      </c>
      <c r="G60" s="96">
        <f t="shared" si="15"/>
        <v>321600</v>
      </c>
      <c r="H60" s="96">
        <f t="shared" si="15"/>
        <v>482400</v>
      </c>
      <c r="I60" s="101">
        <f>SUM(C60:H60)</f>
        <v>804000</v>
      </c>
      <c r="J60" s="69"/>
      <c r="K60" s="69"/>
      <c r="L60" s="69"/>
      <c r="M60" s="69"/>
      <c r="N60" s="69"/>
      <c r="O60" s="69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</row>
    <row r="61" spans="2:86" hidden="1" x14ac:dyDescent="0.25">
      <c r="B61" s="98"/>
      <c r="C61" s="94"/>
      <c r="D61" s="94"/>
      <c r="E61" s="94"/>
      <c r="F61" s="94"/>
      <c r="G61" s="94"/>
      <c r="H61" s="94"/>
      <c r="I61" s="102"/>
      <c r="J61" s="69"/>
      <c r="L61" s="69"/>
      <c r="M61" s="69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</row>
    <row r="62" spans="2:86" hidden="1" x14ac:dyDescent="0.25">
      <c r="B62" s="98" t="s">
        <v>11</v>
      </c>
      <c r="C62" s="97">
        <f t="shared" ref="C62:I63" si="16">SUM(C53,C56,C59)</f>
        <v>2230000</v>
      </c>
      <c r="D62" s="97">
        <f t="shared" si="16"/>
        <v>5120000</v>
      </c>
      <c r="E62" s="97">
        <f t="shared" si="16"/>
        <v>9801000</v>
      </c>
      <c r="F62" s="97">
        <f t="shared" si="16"/>
        <v>7349999.9999999991</v>
      </c>
      <c r="G62" s="97">
        <f t="shared" si="16"/>
        <v>2680000</v>
      </c>
      <c r="H62" s="97">
        <f>SUM(H53,H56,H59)</f>
        <v>4020000</v>
      </c>
      <c r="I62" s="103">
        <f>SUM(I53,I56,I59)</f>
        <v>31201000</v>
      </c>
      <c r="L62" s="69"/>
      <c r="M62" s="69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</row>
    <row r="63" spans="2:86" hidden="1" x14ac:dyDescent="0.25">
      <c r="B63" s="98" t="s">
        <v>13</v>
      </c>
      <c r="C63" s="97">
        <f t="shared" si="16"/>
        <v>290000</v>
      </c>
      <c r="D63" s="97">
        <f t="shared" si="16"/>
        <v>580000</v>
      </c>
      <c r="E63" s="97">
        <f t="shared" si="16"/>
        <v>1265720</v>
      </c>
      <c r="F63" s="97">
        <f t="shared" si="16"/>
        <v>949199.99999999988</v>
      </c>
      <c r="G63" s="97">
        <f t="shared" si="16"/>
        <v>321600</v>
      </c>
      <c r="H63" s="97">
        <f t="shared" si="16"/>
        <v>482400</v>
      </c>
      <c r="I63" s="103">
        <f t="shared" si="16"/>
        <v>3888920</v>
      </c>
      <c r="L63" s="69"/>
      <c r="M63" s="69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</row>
    <row r="64" spans="2:86" ht="15.75" thickBot="1" x14ac:dyDescent="0.3">
      <c r="B64" s="104" t="s">
        <v>29</v>
      </c>
      <c r="C64" s="105">
        <f t="shared" ref="C64:I64" si="17">SUM(C62:C63)</f>
        <v>2520000</v>
      </c>
      <c r="D64" s="105">
        <f t="shared" si="17"/>
        <v>5700000</v>
      </c>
      <c r="E64" s="105">
        <f t="shared" si="17"/>
        <v>11066720</v>
      </c>
      <c r="F64" s="105">
        <f t="shared" si="17"/>
        <v>8299199.9999999991</v>
      </c>
      <c r="G64" s="105">
        <f t="shared" si="17"/>
        <v>3001600</v>
      </c>
      <c r="H64" s="105">
        <f t="shared" si="17"/>
        <v>4502400</v>
      </c>
      <c r="I64" s="106">
        <f t="shared" si="17"/>
        <v>35089920</v>
      </c>
      <c r="J64" s="69"/>
      <c r="L64" s="69"/>
      <c r="M64" s="69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</row>
    <row r="65" spans="2:75" x14ac:dyDescent="0.25">
      <c r="L65" s="69"/>
      <c r="M65" s="69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</row>
    <row r="66" spans="2:75" x14ac:dyDescent="0.25">
      <c r="L66" s="69"/>
      <c r="M66" s="69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</row>
    <row r="67" spans="2:75" x14ac:dyDescent="0.25">
      <c r="L67" s="69"/>
      <c r="M67" s="69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</row>
    <row r="68" spans="2:75" x14ac:dyDescent="0.25">
      <c r="L68" s="69"/>
      <c r="M68" s="69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</row>
    <row r="69" spans="2:75" x14ac:dyDescent="0.25">
      <c r="L69" s="69"/>
      <c r="M69" s="69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</row>
    <row r="70" spans="2:75" x14ac:dyDescent="0.25">
      <c r="B70" t="s">
        <v>36</v>
      </c>
      <c r="L70" s="69"/>
      <c r="M70" s="69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</row>
    <row r="71" spans="2:75" x14ac:dyDescent="0.25">
      <c r="B71" s="123" t="s">
        <v>37</v>
      </c>
      <c r="C71" s="123"/>
      <c r="D71" s="123"/>
      <c r="E71" s="123"/>
      <c r="F71" s="123"/>
      <c r="G71" s="123"/>
      <c r="H71" s="123"/>
      <c r="I71" s="123"/>
      <c r="J71" s="123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</row>
    <row r="72" spans="2:75" x14ac:dyDescent="0.25"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</row>
    <row r="73" spans="2:75" x14ac:dyDescent="0.25"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</row>
    <row r="74" spans="2:75" x14ac:dyDescent="0.25"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</row>
    <row r="75" spans="2:75" x14ac:dyDescent="0.25"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</row>
    <row r="76" spans="2:75" x14ac:dyDescent="0.25"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</row>
    <row r="77" spans="2:75" x14ac:dyDescent="0.25"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</row>
    <row r="78" spans="2:75" x14ac:dyDescent="0.25"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</row>
    <row r="79" spans="2:75" x14ac:dyDescent="0.25"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</row>
    <row r="80" spans="2:75" x14ac:dyDescent="0.25"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</row>
    <row r="81" spans="16:75" x14ac:dyDescent="0.25"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</row>
    <row r="82" spans="16:75" x14ac:dyDescent="0.25"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</row>
    <row r="83" spans="16:75" x14ac:dyDescent="0.25"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</row>
    <row r="84" spans="16:75" x14ac:dyDescent="0.25"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</row>
    <row r="85" spans="16:75" x14ac:dyDescent="0.25"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</row>
    <row r="86" spans="16:75" x14ac:dyDescent="0.25"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</row>
    <row r="87" spans="16:75" x14ac:dyDescent="0.25"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</row>
    <row r="88" spans="16:75" x14ac:dyDescent="0.25"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</row>
    <row r="89" spans="16:75" x14ac:dyDescent="0.25"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</row>
    <row r="90" spans="16:75" x14ac:dyDescent="0.25"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</row>
    <row r="91" spans="16:75" x14ac:dyDescent="0.25"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</row>
    <row r="92" spans="16:75" x14ac:dyDescent="0.25"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</row>
    <row r="93" spans="16:75" x14ac:dyDescent="0.25"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</row>
    <row r="94" spans="16:75" x14ac:dyDescent="0.25"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</row>
    <row r="95" spans="16:75" x14ac:dyDescent="0.25"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</row>
  </sheetData>
  <mergeCells count="3">
    <mergeCell ref="B71:J71"/>
    <mergeCell ref="B2:R2"/>
    <mergeCell ref="B3:R3"/>
  </mergeCells>
  <pageMargins left="0.7" right="0.7" top="0.75" bottom="0.75" header="0.3" footer="0.3"/>
  <pageSetup scale="75" orientation="landscape" horizontalDpi="1200" verticalDpi="1200" r:id="rId1"/>
  <headerFooter>
    <oddHeader>&amp;RKPSC Case No. 2021-00004
AG-KIUC First Set of Data Requests
Dated March 10, 2021
Item No. 02
Attachment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122FCC-DDAB-42E8-A61A-39B29C3EF64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5E71324C-7079-4B25-AACF-317439249C71}"/>
</file>

<file path=customXml/itemProps3.xml><?xml version="1.0" encoding="utf-8"?>
<ds:datastoreItem xmlns:ds="http://schemas.openxmlformats.org/officeDocument/2006/customXml" ds:itemID="{6CA712B0-1330-4F4D-A047-D3E2BAE38BE9}"/>
</file>

<file path=customXml/itemProps4.xml><?xml version="1.0" encoding="utf-8"?>
<ds:datastoreItem xmlns:ds="http://schemas.openxmlformats.org/officeDocument/2006/customXml" ds:itemID="{BFDFF692-0542-4FC5-8B1E-60A2991FBD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AM 11.20.20</vt:lpstr>
      <vt:lpstr>MT 11.20.2020</vt:lpstr>
      <vt:lpstr>ML CCR ELG Monthly 100%</vt:lpstr>
      <vt:lpstr>ML CCR Only Monthly 100%</vt:lpstr>
      <vt:lpstr>'ML CCR ELG Monthly 100%'!Print_Area</vt:lpstr>
      <vt:lpstr>'ML CCR Only Monthly 100%'!Print_Area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s266407</dc:creator>
  <cp:keywords/>
  <cp:lastModifiedBy>s254353</cp:lastModifiedBy>
  <cp:lastPrinted>2021-03-23T14:27:38Z</cp:lastPrinted>
  <dcterms:created xsi:type="dcterms:W3CDTF">2020-11-17T00:09:59Z</dcterms:created>
  <dcterms:modified xsi:type="dcterms:W3CDTF">2021-03-23T14:27:49Z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abfcfa94-6c70-453f-ae1c-b55e672c4818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U7UjPUlwTOPHRQmLGWGKmTY66oGWBHDD</vt:lpwstr>
  </property>
  <property fmtid="{D5CDD505-2E9C-101B-9397-08002B2CF9AE}" pid="7" name="ContentTypeId">
    <vt:lpwstr>0x01010053E2BDECB756CA4D9BCDF6A872126CDA</vt:lpwstr>
  </property>
</Properties>
</file>