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Internal\01_Regulatory Services\02_Cases\2021 Cases\2021-00004 Mitchell ECP &amp; CPCN for CCR-ELG\02_Testimony\Direct\Scott\Exhibits\Exhibit 4 - Revenue Requirement\"/>
    </mc:Choice>
  </mc:AlternateContent>
  <bookViews>
    <workbookView xWindow="0" yWindow="0" windowWidth="28800" windowHeight="12300" tabRatio="844"/>
  </bookViews>
  <sheets>
    <sheet name="Summary Revenue Req By Period" sheetId="24" r:id="rId1"/>
    <sheet name="Est Revenue Req CCR.ELG" sheetId="1" r:id="rId2"/>
    <sheet name="Est Revenue Req CCR Only" sheetId="20" r:id="rId3"/>
    <sheet name="Depreciation " sheetId="4" r:id="rId4"/>
    <sheet name="ADFIT-CCR.ELG" sheetId="8" r:id="rId5"/>
    <sheet name="ADFIT-CCR only" sheetId="7" r:id="rId6"/>
    <sheet name="Allocation Factor" sheetId="5" r:id="rId7"/>
    <sheet name="WACC" sheetId="13" r:id="rId8"/>
    <sheet name="CWIP CCR.ELG" sheetId="17" r:id="rId9"/>
    <sheet name="CWIP CCR Only" sheetId="19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locFactors">[1]Table!$G$6:$H$13</definedName>
    <definedName name="ASD">'[2]Pg 18'!$C$59</definedName>
    <definedName name="Begin_AP" localSheetId="9">#REF!</definedName>
    <definedName name="Begin_AP" localSheetId="2">#REF!</definedName>
    <definedName name="Begin_AP">#REF!</definedName>
    <definedName name="Begin_Print1" localSheetId="4">'[3]Big Sandy Detail'!#REF!</definedName>
    <definedName name="Begin_Print1" localSheetId="9">'[3]Big Sandy Detail'!#REF!</definedName>
    <definedName name="Begin_Print1" localSheetId="2">'[3]Big Sandy Detail'!#REF!</definedName>
    <definedName name="Begin_Print1" localSheetId="7">#REF!</definedName>
    <definedName name="Begin_Print1">'[3]Big Sandy Detail'!#REF!</definedName>
    <definedName name="Begin_Print2" localSheetId="4">'[3]Big Sandy Detail'!#REF!</definedName>
    <definedName name="Begin_Print2" localSheetId="9">'[3]Big Sandy Detail'!#REF!</definedName>
    <definedName name="Begin_Print2" localSheetId="2">'[3]Big Sandy Detail'!#REF!</definedName>
    <definedName name="Begin_Print2">'[3]Big Sandy Detail'!#REF!</definedName>
    <definedName name="BS_BEGIN" localSheetId="9">#REF!</definedName>
    <definedName name="BS_BEGIN" localSheetId="2">#REF!</definedName>
    <definedName name="BS_BEGIN">#REF!</definedName>
    <definedName name="BS_CAP" localSheetId="9">#REF!</definedName>
    <definedName name="BS_CAP" localSheetId="2">#REF!</definedName>
    <definedName name="BS_CAP">#REF!</definedName>
    <definedName name="BS_END" localSheetId="9">#REF!</definedName>
    <definedName name="BS_END" localSheetId="2">#REF!</definedName>
    <definedName name="BS_END">#REF!</definedName>
    <definedName name="CSA" localSheetId="9">#REF!</definedName>
    <definedName name="CSA" localSheetId="2">#REF!</definedName>
    <definedName name="CSA">#REF!</definedName>
    <definedName name="CSO" localSheetId="9">#REF!</definedName>
    <definedName name="CSO" localSheetId="2">#REF!</definedName>
    <definedName name="CSO">#REF!</definedName>
    <definedName name="End_AP" localSheetId="9">#REF!</definedName>
    <definedName name="End_AP" localSheetId="2">#REF!</definedName>
    <definedName name="End_AP">#REF!</definedName>
    <definedName name="End_of_Report" localSheetId="4">'[3]Big Sandy Detail'!#REF!</definedName>
    <definedName name="End_of_Report" localSheetId="9">'[3]Big Sandy Detail'!#REF!</definedName>
    <definedName name="End_of_Report" localSheetId="2">'[3]Big Sandy Detail'!#REF!</definedName>
    <definedName name="End_of_Report">'[3]Big Sandy Detail'!#REF!</definedName>
    <definedName name="End_Print1" localSheetId="4">'[3]Big Sandy Detail'!#REF!</definedName>
    <definedName name="End_Print1" localSheetId="9">'[3]Big Sandy Detail'!#REF!</definedName>
    <definedName name="End_Print1" localSheetId="2">'[3]Big Sandy Detail'!#REF!</definedName>
    <definedName name="End_Print1">'[3]Big Sandy Detail'!#REF!</definedName>
    <definedName name="End_Print2" localSheetId="4">'[3]Big Sandy Detail'!#REF!</definedName>
    <definedName name="End_Print2" localSheetId="9">'[3]Big Sandy Detail'!#REF!</definedName>
    <definedName name="End_Print2" localSheetId="2">'[3]Big Sandy Detail'!#REF!</definedName>
    <definedName name="End_Print2">'[3]Big Sandy Detail'!#REF!</definedName>
    <definedName name="Marshall_Rate" localSheetId="7">'[4]Property Tax'!$B$2</definedName>
    <definedName name="Marshall_Rate">'[5]Property Tax'!$B$2</definedName>
    <definedName name="NONUTILITY" localSheetId="9">#REF!</definedName>
    <definedName name="NONUTILITY" localSheetId="2">#REF!</definedName>
    <definedName name="NONUTILITY">#REF!</definedName>
    <definedName name="NvsASD" localSheetId="7">"V2017-08-31"</definedName>
    <definedName name="NvsASD">"V2013-03-31"</definedName>
    <definedName name="NvsAutoDrillOk">"VN"</definedName>
    <definedName name="NvsElapsedTime" localSheetId="7">0.00255787037167465</definedName>
    <definedName name="NvsElapsedTime">0.000115740738692693</definedName>
    <definedName name="NvsEndTime" localSheetId="7">42990.6050462963</definedName>
    <definedName name="NvsEndTime">41370.633587963</definedName>
    <definedName name="NvsInstanceHook">"""nvsMacro"""</definedName>
    <definedName name="NvsInstLang">"VENG"</definedName>
    <definedName name="NvsInstSpec" localSheetId="7">"%,FBUSINESS_UNIT,TGL_PRPT_CONS,NKYP_CORP_CONSOL"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.GL_PRPT_CONS">"NNNNN"</definedName>
    <definedName name="NvsTreeASD" localSheetId="7">"V2017-08-31"</definedName>
    <definedName name="NvsTreeASD">"V2099-01-01"</definedName>
    <definedName name="NvsValTbl.ACCOUNT">"GL_ACCOUNT_TBL"</definedName>
    <definedName name="NvsValTbl.AEP_BENEFIT_LOC">"AEP_BEN_ALL_VW"</definedName>
    <definedName name="NvsValTbl.AFFILIATE">"AFFILIATE_VW"</definedName>
    <definedName name="NvsValTbl.BUSINESS_UNIT">"BUS_UNIT_TBL_FS"</definedName>
    <definedName name="NvsValTbl.CURRENCY_CD">"CURRENCY_CD_TBL"</definedName>
    <definedName name="NvsValTbl.DEPTID">"DEPARTMENT_TBL"</definedName>
    <definedName name="OPR_ID" localSheetId="9">#REF!</definedName>
    <definedName name="OPR_ID" localSheetId="2">#REF!</definedName>
    <definedName name="OPR_ID">#REF!</definedName>
    <definedName name="PC_Percent" localSheetId="7">'[4]Property Tax'!$B$6</definedName>
    <definedName name="PC_Percent">'[5]Property Tax'!$B$6</definedName>
    <definedName name="RESERVED" localSheetId="9">#REF!</definedName>
    <definedName name="RESERVED" localSheetId="2">#REF!</definedName>
    <definedName name="RESERVED">#REF!</definedName>
    <definedName name="Reserved_Section" localSheetId="9">#REF!</definedName>
    <definedName name="Reserved_Section" localSheetId="2">#REF!</definedName>
    <definedName name="Reserved_Section">#REF!</definedName>
    <definedName name="Rev_End" localSheetId="4">#REF!</definedName>
    <definedName name="Rev_End" localSheetId="9">#REF!</definedName>
    <definedName name="Rev_End" localSheetId="2">#REF!</definedName>
    <definedName name="Rev_End" localSheetId="7">#REF!</definedName>
    <definedName name="Rev_End">#REF!</definedName>
    <definedName name="search_directory_name">"R:\fcm90prd\nvision\rpts\Fin_Reports\"</definedName>
    <definedName name="tim" localSheetId="4">#REF!</definedName>
    <definedName name="tim" localSheetId="9">#REF!</definedName>
    <definedName name="tim" localSheetId="2">#REF!</definedName>
    <definedName name="tim" localSheetId="7">#REF!</definedName>
    <definedName name="tim">#REF!</definedName>
    <definedName name="timm" localSheetId="4">#REF!</definedName>
    <definedName name="timm" localSheetId="9">#REF!</definedName>
    <definedName name="timm" localSheetId="2">#REF!</definedName>
    <definedName name="timm">#REF!</definedName>
    <definedName name="WV_List" localSheetId="7">'[4]Property Tax'!$B$4</definedName>
    <definedName name="WV_List">'[5]Property Tax'!$B$4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13" l="1"/>
  <c r="P8" i="13" l="1"/>
  <c r="P34" i="13"/>
  <c r="AF7" i="20" l="1"/>
  <c r="Q13" i="24" l="1"/>
  <c r="Q12" i="24"/>
  <c r="Q6" i="24"/>
  <c r="Q5" i="24"/>
  <c r="F12" i="24" l="1"/>
  <c r="F5" i="24"/>
  <c r="F15" i="24"/>
  <c r="F14" i="24"/>
  <c r="F13" i="24"/>
  <c r="F8" i="24"/>
  <c r="F7" i="24"/>
  <c r="F6" i="24"/>
  <c r="BR59" i="8" l="1"/>
  <c r="BR55" i="8"/>
  <c r="BR47" i="8"/>
  <c r="BR51" i="8" s="1"/>
  <c r="AT59" i="8"/>
  <c r="Z79" i="1" l="1"/>
  <c r="Z78" i="1"/>
  <c r="Z77" i="1"/>
  <c r="Z76" i="1"/>
  <c r="Z75" i="1"/>
  <c r="Z74" i="1"/>
  <c r="Z73" i="1"/>
  <c r="Z72" i="1"/>
  <c r="Z71" i="1"/>
  <c r="P79" i="1"/>
  <c r="P78" i="1"/>
  <c r="P77" i="1"/>
  <c r="P76" i="1"/>
  <c r="P75" i="1"/>
  <c r="P74" i="1"/>
  <c r="P73" i="1"/>
  <c r="P72" i="1"/>
  <c r="P71" i="1"/>
  <c r="F79" i="1"/>
  <c r="F78" i="1"/>
  <c r="F77" i="1"/>
  <c r="F76" i="1"/>
  <c r="F75" i="1"/>
  <c r="F74" i="1"/>
  <c r="F73" i="1"/>
  <c r="F72" i="1"/>
  <c r="F71" i="1"/>
  <c r="BR18" i="8"/>
  <c r="BP18" i="8"/>
  <c r="BN18" i="8"/>
  <c r="BL18" i="8"/>
  <c r="BJ18" i="8"/>
  <c r="BH18" i="8"/>
  <c r="BF18" i="8"/>
  <c r="BD18" i="8"/>
  <c r="C32" i="4" l="1"/>
  <c r="C33" i="4" s="1"/>
  <c r="C34" i="4" s="1"/>
  <c r="C35" i="4" s="1"/>
  <c r="C36" i="4" s="1"/>
  <c r="C37" i="4" s="1"/>
  <c r="C38" i="4" s="1"/>
  <c r="C39" i="4" s="1"/>
  <c r="C8" i="4" l="1"/>
  <c r="C9" i="4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Z61" i="20" l="1"/>
  <c r="Z60" i="20"/>
  <c r="Z59" i="20"/>
  <c r="Z58" i="20"/>
  <c r="Z57" i="20"/>
  <c r="Z56" i="20"/>
  <c r="Z55" i="20"/>
  <c r="Z54" i="20"/>
  <c r="Z53" i="20"/>
  <c r="Z52" i="20"/>
  <c r="Z51" i="20"/>
  <c r="T51" i="20"/>
  <c r="T52" i="20" s="1"/>
  <c r="T53" i="20" s="1"/>
  <c r="T54" i="20" s="1"/>
  <c r="T55" i="20" s="1"/>
  <c r="T56" i="20" s="1"/>
  <c r="T57" i="20" s="1"/>
  <c r="T58" i="20" s="1"/>
  <c r="T59" i="20" s="1"/>
  <c r="T60" i="20" s="1"/>
  <c r="T61" i="20" s="1"/>
  <c r="Z50" i="20"/>
  <c r="P50" i="20"/>
  <c r="P51" i="20" s="1"/>
  <c r="P52" i="20" s="1"/>
  <c r="P53" i="20" s="1"/>
  <c r="P54" i="20" s="1"/>
  <c r="P55" i="20" s="1"/>
  <c r="P56" i="20" s="1"/>
  <c r="P57" i="20" s="1"/>
  <c r="P58" i="20" s="1"/>
  <c r="P59" i="20" s="1"/>
  <c r="P60" i="20" s="1"/>
  <c r="P61" i="20" s="1"/>
  <c r="Z49" i="20"/>
  <c r="V49" i="20"/>
  <c r="P49" i="20"/>
  <c r="L49" i="20"/>
  <c r="J49" i="20"/>
  <c r="Z48" i="20"/>
  <c r="V48" i="20"/>
  <c r="P48" i="20"/>
  <c r="L48" i="20"/>
  <c r="J48" i="20"/>
  <c r="Z47" i="20"/>
  <c r="V47" i="20"/>
  <c r="P47" i="20"/>
  <c r="L47" i="20"/>
  <c r="N47" i="20" s="1"/>
  <c r="J47" i="20"/>
  <c r="Z46" i="20"/>
  <c r="V46" i="20"/>
  <c r="P46" i="20"/>
  <c r="L46" i="20"/>
  <c r="J46" i="20"/>
  <c r="Z45" i="20"/>
  <c r="V45" i="20"/>
  <c r="P45" i="20"/>
  <c r="L45" i="20"/>
  <c r="J45" i="20"/>
  <c r="Z44" i="20"/>
  <c r="V44" i="20"/>
  <c r="P44" i="20"/>
  <c r="L44" i="20"/>
  <c r="J44" i="20"/>
  <c r="Z43" i="20"/>
  <c r="V43" i="20"/>
  <c r="P43" i="20"/>
  <c r="L43" i="20"/>
  <c r="N43" i="20" s="1"/>
  <c r="J43" i="20"/>
  <c r="Z42" i="20"/>
  <c r="V42" i="20"/>
  <c r="P42" i="20"/>
  <c r="L42" i="20"/>
  <c r="J42" i="20"/>
  <c r="Z41" i="20"/>
  <c r="V41" i="20"/>
  <c r="P41" i="20"/>
  <c r="L41" i="20"/>
  <c r="J41" i="20"/>
  <c r="Z40" i="20"/>
  <c r="V40" i="20"/>
  <c r="P40" i="20"/>
  <c r="L40" i="20"/>
  <c r="J40" i="20"/>
  <c r="Z39" i="20"/>
  <c r="V39" i="20"/>
  <c r="P39" i="20"/>
  <c r="L39" i="20"/>
  <c r="N39" i="20" s="1"/>
  <c r="J39" i="20"/>
  <c r="Z38" i="20"/>
  <c r="V38" i="20"/>
  <c r="P38" i="20"/>
  <c r="L38" i="20"/>
  <c r="J38" i="20"/>
  <c r="Z37" i="20"/>
  <c r="V37" i="20"/>
  <c r="P37" i="20"/>
  <c r="L37" i="20"/>
  <c r="J37" i="20"/>
  <c r="Z36" i="20"/>
  <c r="V36" i="20"/>
  <c r="P36" i="20"/>
  <c r="L36" i="20"/>
  <c r="J36" i="20"/>
  <c r="Z35" i="20"/>
  <c r="V35" i="20"/>
  <c r="P35" i="20"/>
  <c r="L35" i="20"/>
  <c r="N35" i="20" s="1"/>
  <c r="J35" i="20"/>
  <c r="Z34" i="20"/>
  <c r="V34" i="20"/>
  <c r="P34" i="20"/>
  <c r="L34" i="20"/>
  <c r="J34" i="20"/>
  <c r="Z33" i="20"/>
  <c r="V33" i="20"/>
  <c r="P33" i="20"/>
  <c r="L33" i="20"/>
  <c r="J33" i="20"/>
  <c r="Z32" i="20"/>
  <c r="V32" i="20"/>
  <c r="P32" i="20"/>
  <c r="L32" i="20"/>
  <c r="J32" i="20"/>
  <c r="Z31" i="20"/>
  <c r="V31" i="20"/>
  <c r="P31" i="20"/>
  <c r="L31" i="20"/>
  <c r="N31" i="20" s="1"/>
  <c r="J31" i="20"/>
  <c r="Z30" i="20"/>
  <c r="V30" i="20"/>
  <c r="P30" i="20"/>
  <c r="L30" i="20"/>
  <c r="J30" i="20"/>
  <c r="Z29" i="20"/>
  <c r="V29" i="20"/>
  <c r="P29" i="20"/>
  <c r="L29" i="20"/>
  <c r="J29" i="20"/>
  <c r="Z28" i="20"/>
  <c r="V28" i="20"/>
  <c r="P28" i="20"/>
  <c r="L28" i="20"/>
  <c r="J28" i="20"/>
  <c r="Z27" i="20"/>
  <c r="V27" i="20"/>
  <c r="P27" i="20"/>
  <c r="L27" i="20"/>
  <c r="J27" i="20"/>
  <c r="Z26" i="20"/>
  <c r="V26" i="20"/>
  <c r="P26" i="20"/>
  <c r="L26" i="20"/>
  <c r="J26" i="20"/>
  <c r="Z25" i="20"/>
  <c r="V25" i="20"/>
  <c r="P25" i="20"/>
  <c r="L25" i="20"/>
  <c r="J25" i="20"/>
  <c r="Z24" i="20"/>
  <c r="V24" i="20"/>
  <c r="P24" i="20"/>
  <c r="L24" i="20"/>
  <c r="J24" i="20"/>
  <c r="Z23" i="20"/>
  <c r="V23" i="20"/>
  <c r="P23" i="20"/>
  <c r="L23" i="20"/>
  <c r="N23" i="20" s="1"/>
  <c r="J23" i="20"/>
  <c r="Z20" i="20"/>
  <c r="V20" i="20"/>
  <c r="P20" i="20"/>
  <c r="L20" i="20"/>
  <c r="J20" i="20"/>
  <c r="Z19" i="20"/>
  <c r="V19" i="20"/>
  <c r="P19" i="20"/>
  <c r="L19" i="20"/>
  <c r="J19" i="20"/>
  <c r="Z18" i="20"/>
  <c r="V18" i="20"/>
  <c r="P18" i="20"/>
  <c r="L18" i="20"/>
  <c r="J18" i="20"/>
  <c r="Z17" i="20"/>
  <c r="V17" i="20"/>
  <c r="P17" i="20"/>
  <c r="L17" i="20"/>
  <c r="N17" i="20" s="1"/>
  <c r="J17" i="20"/>
  <c r="Z16" i="20"/>
  <c r="V16" i="20"/>
  <c r="P16" i="20"/>
  <c r="L16" i="20"/>
  <c r="J16" i="20"/>
  <c r="Z15" i="20"/>
  <c r="V15" i="20"/>
  <c r="P15" i="20"/>
  <c r="L15" i="20"/>
  <c r="J15" i="20"/>
  <c r="Z14" i="20"/>
  <c r="V14" i="20"/>
  <c r="P14" i="20"/>
  <c r="L14" i="20"/>
  <c r="J14" i="20"/>
  <c r="Z13" i="20"/>
  <c r="V13" i="20"/>
  <c r="P13" i="20"/>
  <c r="L13" i="20"/>
  <c r="N13" i="20" s="1"/>
  <c r="J13" i="20"/>
  <c r="Z12" i="20"/>
  <c r="V12" i="20"/>
  <c r="P12" i="20"/>
  <c r="L12" i="20"/>
  <c r="J12" i="20"/>
  <c r="Z11" i="20"/>
  <c r="V11" i="20"/>
  <c r="P11" i="20"/>
  <c r="L11" i="20"/>
  <c r="J11" i="20"/>
  <c r="Z10" i="20"/>
  <c r="V10" i="20"/>
  <c r="P10" i="20"/>
  <c r="L10" i="20"/>
  <c r="J10" i="20"/>
  <c r="Z9" i="20"/>
  <c r="V9" i="20"/>
  <c r="P9" i="20"/>
  <c r="L9" i="20"/>
  <c r="J9" i="20"/>
  <c r="C7" i="20"/>
  <c r="D7" i="20" s="1"/>
  <c r="F7" i="20" s="1"/>
  <c r="H7" i="20" s="1"/>
  <c r="J7" i="20" s="1"/>
  <c r="L7" i="20" s="1"/>
  <c r="N7" i="20" s="1"/>
  <c r="P7" i="20" s="1"/>
  <c r="R7" i="20" s="1"/>
  <c r="T7" i="20" s="1"/>
  <c r="V7" i="20" s="1"/>
  <c r="X7" i="20" s="1"/>
  <c r="Z7" i="20" s="1"/>
  <c r="AB7" i="20" s="1"/>
  <c r="AD7" i="20" s="1"/>
  <c r="B65" i="19"/>
  <c r="D50" i="20" s="1"/>
  <c r="D67" i="17"/>
  <c r="C67" i="17"/>
  <c r="B67" i="17"/>
  <c r="H17" i="7" l="1"/>
  <c r="N10" i="20"/>
  <c r="R10" i="20" s="1"/>
  <c r="X10" i="20" s="1"/>
  <c r="AB10" i="20" s="1"/>
  <c r="N18" i="20"/>
  <c r="R18" i="20" s="1"/>
  <c r="X18" i="20" s="1"/>
  <c r="AB18" i="20" s="1"/>
  <c r="N28" i="20"/>
  <c r="R28" i="20" s="1"/>
  <c r="X28" i="20" s="1"/>
  <c r="AB28" i="20" s="1"/>
  <c r="N32" i="20"/>
  <c r="R32" i="20" s="1"/>
  <c r="X32" i="20" s="1"/>
  <c r="AB32" i="20" s="1"/>
  <c r="N44" i="20"/>
  <c r="N15" i="20"/>
  <c r="R15" i="20" s="1"/>
  <c r="X15" i="20" s="1"/>
  <c r="AB15" i="20" s="1"/>
  <c r="N19" i="20"/>
  <c r="R19" i="20" s="1"/>
  <c r="X19" i="20" s="1"/>
  <c r="AB19" i="20" s="1"/>
  <c r="N25" i="20"/>
  <c r="N29" i="20"/>
  <c r="N33" i="20"/>
  <c r="R33" i="20" s="1"/>
  <c r="X33" i="20" s="1"/>
  <c r="AB33" i="20" s="1"/>
  <c r="N37" i="20"/>
  <c r="N41" i="20"/>
  <c r="N45" i="20"/>
  <c r="N49" i="20"/>
  <c r="R49" i="20" s="1"/>
  <c r="X49" i="20" s="1"/>
  <c r="AB49" i="20" s="1"/>
  <c r="R9" i="20"/>
  <c r="X9" i="20" s="1"/>
  <c r="AB9" i="20" s="1"/>
  <c r="N9" i="20"/>
  <c r="N27" i="20"/>
  <c r="R27" i="20" s="1"/>
  <c r="X27" i="20" s="1"/>
  <c r="AB27" i="20" s="1"/>
  <c r="N14" i="20"/>
  <c r="R14" i="20" s="1"/>
  <c r="X14" i="20" s="1"/>
  <c r="AB14" i="20" s="1"/>
  <c r="N24" i="20"/>
  <c r="R24" i="20" s="1"/>
  <c r="X24" i="20" s="1"/>
  <c r="AB24" i="20" s="1"/>
  <c r="N36" i="20"/>
  <c r="R36" i="20" s="1"/>
  <c r="X36" i="20" s="1"/>
  <c r="AB36" i="20" s="1"/>
  <c r="N40" i="20"/>
  <c r="R40" i="20" s="1"/>
  <c r="X40" i="20" s="1"/>
  <c r="AB40" i="20" s="1"/>
  <c r="N48" i="20"/>
  <c r="R48" i="20" s="1"/>
  <c r="X48" i="20" s="1"/>
  <c r="AB48" i="20" s="1"/>
  <c r="N11" i="20"/>
  <c r="R11" i="20" s="1"/>
  <c r="X11" i="20" s="1"/>
  <c r="AB11" i="20" s="1"/>
  <c r="N12" i="20"/>
  <c r="R12" i="20" s="1"/>
  <c r="X12" i="20" s="1"/>
  <c r="AB12" i="20" s="1"/>
  <c r="N16" i="20"/>
  <c r="R16" i="20" s="1"/>
  <c r="X16" i="20" s="1"/>
  <c r="AB16" i="20" s="1"/>
  <c r="N20" i="20"/>
  <c r="R20" i="20" s="1"/>
  <c r="X20" i="20" s="1"/>
  <c r="AB20" i="20" s="1"/>
  <c r="N26" i="20"/>
  <c r="N30" i="20"/>
  <c r="R30" i="20" s="1"/>
  <c r="X30" i="20" s="1"/>
  <c r="AB30" i="20" s="1"/>
  <c r="N34" i="20"/>
  <c r="R34" i="20" s="1"/>
  <c r="X34" i="20" s="1"/>
  <c r="AB34" i="20" s="1"/>
  <c r="N38" i="20"/>
  <c r="N42" i="20"/>
  <c r="R42" i="20" s="1"/>
  <c r="X42" i="20" s="1"/>
  <c r="AB42" i="20" s="1"/>
  <c r="N46" i="20"/>
  <c r="R46" i="20" s="1"/>
  <c r="X46" i="20" s="1"/>
  <c r="AB46" i="20" s="1"/>
  <c r="R39" i="20"/>
  <c r="X39" i="20" s="1"/>
  <c r="AB39" i="20" s="1"/>
  <c r="R43" i="20"/>
  <c r="X43" i="20" s="1"/>
  <c r="AB43" i="20" s="1"/>
  <c r="R47" i="20"/>
  <c r="X47" i="20" s="1"/>
  <c r="AB47" i="20" s="1"/>
  <c r="D59" i="1"/>
  <c r="V59" i="1" s="1"/>
  <c r="D54" i="1"/>
  <c r="V54" i="1" s="1"/>
  <c r="D48" i="1"/>
  <c r="V48" i="1" s="1"/>
  <c r="R25" i="20"/>
  <c r="X25" i="20" s="1"/>
  <c r="AB25" i="20" s="1"/>
  <c r="R29" i="20"/>
  <c r="X29" i="20" s="1"/>
  <c r="AB29" i="20" s="1"/>
  <c r="R26" i="20"/>
  <c r="X26" i="20" s="1"/>
  <c r="AB26" i="20" s="1"/>
  <c r="R41" i="20"/>
  <c r="X41" i="20" s="1"/>
  <c r="AB41" i="20" s="1"/>
  <c r="R44" i="20"/>
  <c r="X44" i="20" s="1"/>
  <c r="AB44" i="20" s="1"/>
  <c r="R38" i="20"/>
  <c r="X38" i="20" s="1"/>
  <c r="AB38" i="20" s="1"/>
  <c r="R45" i="20"/>
  <c r="X45" i="20" s="1"/>
  <c r="AB45" i="20" s="1"/>
  <c r="R17" i="20"/>
  <c r="X17" i="20" s="1"/>
  <c r="AB17" i="20" s="1"/>
  <c r="R35" i="20"/>
  <c r="X35" i="20" s="1"/>
  <c r="AB35" i="20" s="1"/>
  <c r="R13" i="20"/>
  <c r="X13" i="20" s="1"/>
  <c r="AB13" i="20" s="1"/>
  <c r="R31" i="20"/>
  <c r="X31" i="20" s="1"/>
  <c r="AB31" i="20" s="1"/>
  <c r="R23" i="20"/>
  <c r="X23" i="20" s="1"/>
  <c r="AB23" i="20" s="1"/>
  <c r="R37" i="20"/>
  <c r="X37" i="20" s="1"/>
  <c r="AB37" i="20" s="1"/>
  <c r="V50" i="20"/>
  <c r="D51" i="20"/>
  <c r="AB21" i="20" l="1"/>
  <c r="D52" i="20"/>
  <c r="V51" i="20"/>
  <c r="N8" i="13"/>
  <c r="P12" i="24" l="1"/>
  <c r="R12" i="24" s="1"/>
  <c r="T12" i="24" s="1"/>
  <c r="V12" i="24" s="1"/>
  <c r="P5" i="24"/>
  <c r="R5" i="24" s="1"/>
  <c r="T5" i="24" s="1"/>
  <c r="V5" i="24" s="1"/>
  <c r="V52" i="20"/>
  <c r="D53" i="20"/>
  <c r="T8" i="13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D54" i="20" l="1"/>
  <c r="V53" i="20"/>
  <c r="L56" i="1"/>
  <c r="L52" i="1"/>
  <c r="L48" i="1"/>
  <c r="L44" i="1"/>
  <c r="L40" i="1"/>
  <c r="L36" i="1"/>
  <c r="L32" i="1"/>
  <c r="L28" i="1"/>
  <c r="L22" i="1"/>
  <c r="L18" i="1"/>
  <c r="L14" i="1"/>
  <c r="L10" i="1"/>
  <c r="J45" i="1"/>
  <c r="J41" i="1"/>
  <c r="J37" i="1"/>
  <c r="J33" i="1"/>
  <c r="J29" i="1"/>
  <c r="J23" i="1"/>
  <c r="J19" i="1"/>
  <c r="J15" i="1"/>
  <c r="J11" i="1"/>
  <c r="J48" i="1"/>
  <c r="L55" i="1"/>
  <c r="L51" i="1"/>
  <c r="L47" i="1"/>
  <c r="L43" i="1"/>
  <c r="L39" i="1"/>
  <c r="L35" i="1"/>
  <c r="L31" i="1"/>
  <c r="L27" i="1"/>
  <c r="L21" i="1"/>
  <c r="L17" i="1"/>
  <c r="J14" i="1"/>
  <c r="J32" i="1"/>
  <c r="L9" i="1"/>
  <c r="J18" i="1"/>
  <c r="J36" i="1"/>
  <c r="L13" i="1"/>
  <c r="J22" i="1"/>
  <c r="J40" i="1"/>
  <c r="J10" i="1"/>
  <c r="J28" i="1"/>
  <c r="J44" i="1"/>
  <c r="J12" i="1"/>
  <c r="J16" i="1"/>
  <c r="J20" i="1"/>
  <c r="J24" i="1"/>
  <c r="J30" i="1"/>
  <c r="J34" i="1"/>
  <c r="J38" i="1"/>
  <c r="J42" i="1"/>
  <c r="J46" i="1"/>
  <c r="L11" i="1"/>
  <c r="L15" i="1"/>
  <c r="L19" i="1"/>
  <c r="L23" i="1"/>
  <c r="L29" i="1"/>
  <c r="L33" i="1"/>
  <c r="L37" i="1"/>
  <c r="L41" i="1"/>
  <c r="L45" i="1"/>
  <c r="L49" i="1"/>
  <c r="L53" i="1"/>
  <c r="L57" i="1"/>
  <c r="J54" i="1"/>
  <c r="J9" i="1"/>
  <c r="J13" i="1"/>
  <c r="J17" i="1"/>
  <c r="N17" i="1" s="1"/>
  <c r="J21" i="1"/>
  <c r="J27" i="1"/>
  <c r="J31" i="1"/>
  <c r="J35" i="1"/>
  <c r="N35" i="1" s="1"/>
  <c r="J39" i="1"/>
  <c r="J43" i="1"/>
  <c r="N43" i="1" s="1"/>
  <c r="J47" i="1"/>
  <c r="L12" i="1"/>
  <c r="N12" i="1" s="1"/>
  <c r="L16" i="1"/>
  <c r="L20" i="1"/>
  <c r="L24" i="1"/>
  <c r="L30" i="1"/>
  <c r="N30" i="1" s="1"/>
  <c r="L34" i="1"/>
  <c r="L38" i="1"/>
  <c r="L42" i="1"/>
  <c r="N42" i="1" s="1"/>
  <c r="L46" i="1"/>
  <c r="N46" i="1" s="1"/>
  <c r="L50" i="1"/>
  <c r="L54" i="1"/>
  <c r="L58" i="1"/>
  <c r="Z17" i="1"/>
  <c r="Z16" i="1"/>
  <c r="Z15" i="1"/>
  <c r="Z14" i="1"/>
  <c r="Z13" i="1"/>
  <c r="Z12" i="1"/>
  <c r="Z11" i="1"/>
  <c r="Z10" i="1"/>
  <c r="Z9" i="1"/>
  <c r="I8" i="13"/>
  <c r="I7" i="13"/>
  <c r="I6" i="13"/>
  <c r="I10" i="13" s="1"/>
  <c r="I5" i="13"/>
  <c r="C30" i="13"/>
  <c r="C32" i="13" s="1"/>
  <c r="C34" i="13" s="1"/>
  <c r="P24" i="13"/>
  <c r="T22" i="13"/>
  <c r="T20" i="13"/>
  <c r="T18" i="13"/>
  <c r="T24" i="13" s="1"/>
  <c r="G10" i="13"/>
  <c r="N7" i="13"/>
  <c r="C7" i="13"/>
  <c r="C8" i="13" s="1"/>
  <c r="C10" i="13" s="1"/>
  <c r="N6" i="13"/>
  <c r="C6" i="13"/>
  <c r="N36" i="1" l="1"/>
  <c r="N34" i="1"/>
  <c r="N47" i="1"/>
  <c r="N31" i="1"/>
  <c r="V54" i="20"/>
  <c r="D55" i="20"/>
  <c r="N41" i="1"/>
  <c r="N23" i="1"/>
  <c r="N18" i="1"/>
  <c r="N13" i="1"/>
  <c r="N9" i="1"/>
  <c r="N14" i="1"/>
  <c r="N24" i="1"/>
  <c r="N21" i="1"/>
  <c r="N33" i="1"/>
  <c r="N15" i="1"/>
  <c r="N38" i="1"/>
  <c r="N20" i="1"/>
  <c r="N32" i="1"/>
  <c r="N27" i="1"/>
  <c r="N16" i="1"/>
  <c r="N22" i="1"/>
  <c r="N44" i="1"/>
  <c r="N45" i="1"/>
  <c r="N29" i="1"/>
  <c r="N11" i="1"/>
  <c r="N39" i="1"/>
  <c r="N40" i="1"/>
  <c r="N10" i="1"/>
  <c r="N28" i="1"/>
  <c r="N19" i="1"/>
  <c r="N37" i="1"/>
  <c r="N5" i="13"/>
  <c r="P7" i="13"/>
  <c r="T7" i="13" s="1"/>
  <c r="P6" i="13"/>
  <c r="T6" i="13" s="1"/>
  <c r="P5" i="13"/>
  <c r="T5" i="13" s="1"/>
  <c r="T26" i="13"/>
  <c r="T28" i="13"/>
  <c r="D56" i="20" l="1"/>
  <c r="V55" i="20"/>
  <c r="T30" i="13"/>
  <c r="T32" i="13"/>
  <c r="T34" i="13" s="1"/>
  <c r="V56" i="20" l="1"/>
  <c r="D57" i="20"/>
  <c r="P12" i="1"/>
  <c r="R12" i="1" s="1"/>
  <c r="X12" i="1" s="1"/>
  <c r="AB12" i="1" s="1"/>
  <c r="P11" i="1"/>
  <c r="R11" i="1" s="1"/>
  <c r="X11" i="1" s="1"/>
  <c r="AB11" i="1" s="1"/>
  <c r="P10" i="1"/>
  <c r="R10" i="1" s="1"/>
  <c r="X10" i="1" s="1"/>
  <c r="AB10" i="1" s="1"/>
  <c r="P9" i="1"/>
  <c r="R9" i="1" s="1"/>
  <c r="X9" i="1" s="1"/>
  <c r="AB9" i="1" s="1"/>
  <c r="P70" i="1"/>
  <c r="P66" i="1"/>
  <c r="P62" i="1"/>
  <c r="P58" i="1"/>
  <c r="P54" i="1"/>
  <c r="P50" i="1"/>
  <c r="P46" i="1"/>
  <c r="P42" i="1"/>
  <c r="P38" i="1"/>
  <c r="P34" i="1"/>
  <c r="P30" i="1"/>
  <c r="P24" i="1"/>
  <c r="P20" i="1"/>
  <c r="P41" i="1"/>
  <c r="P33" i="1"/>
  <c r="P29" i="1"/>
  <c r="P19" i="1"/>
  <c r="P68" i="1"/>
  <c r="P60" i="1"/>
  <c r="P56" i="1"/>
  <c r="P48" i="1"/>
  <c r="P44" i="1"/>
  <c r="P36" i="1"/>
  <c r="P28" i="1"/>
  <c r="P22" i="1"/>
  <c r="P67" i="1"/>
  <c r="P63" i="1"/>
  <c r="P55" i="1"/>
  <c r="P51" i="1"/>
  <c r="P43" i="1"/>
  <c r="P39" i="1"/>
  <c r="P31" i="1"/>
  <c r="P21" i="1"/>
  <c r="P16" i="1"/>
  <c r="R16" i="1" s="1"/>
  <c r="X16" i="1" s="1"/>
  <c r="AB16" i="1" s="1"/>
  <c r="P15" i="1"/>
  <c r="R15" i="1" s="1"/>
  <c r="X15" i="1" s="1"/>
  <c r="AB15" i="1" s="1"/>
  <c r="P14" i="1"/>
  <c r="R14" i="1" s="1"/>
  <c r="X14" i="1" s="1"/>
  <c r="AB14" i="1" s="1"/>
  <c r="P13" i="1"/>
  <c r="R13" i="1" s="1"/>
  <c r="X13" i="1" s="1"/>
  <c r="AB13" i="1" s="1"/>
  <c r="P69" i="1"/>
  <c r="P65" i="1"/>
  <c r="P61" i="1"/>
  <c r="P57" i="1"/>
  <c r="P53" i="1"/>
  <c r="P49" i="1"/>
  <c r="P45" i="1"/>
  <c r="P37" i="1"/>
  <c r="P23" i="1"/>
  <c r="P17" i="1"/>
  <c r="R17" i="1" s="1"/>
  <c r="X17" i="1" s="1"/>
  <c r="AB17" i="1" s="1"/>
  <c r="P64" i="1"/>
  <c r="P52" i="1"/>
  <c r="P40" i="1"/>
  <c r="P32" i="1"/>
  <c r="P18" i="1"/>
  <c r="P59" i="1"/>
  <c r="P47" i="1"/>
  <c r="P35" i="1"/>
  <c r="P27" i="1"/>
  <c r="D58" i="20" l="1"/>
  <c r="V57" i="20"/>
  <c r="R20" i="1"/>
  <c r="X20" i="1" s="1"/>
  <c r="R24" i="1"/>
  <c r="X24" i="1" s="1"/>
  <c r="R21" i="1"/>
  <c r="X21" i="1" s="1"/>
  <c r="R27" i="1"/>
  <c r="X27" i="1" s="1"/>
  <c r="R31" i="1"/>
  <c r="X31" i="1" s="1"/>
  <c r="R35" i="1"/>
  <c r="X35" i="1" s="1"/>
  <c r="R39" i="1"/>
  <c r="X39" i="1" s="1"/>
  <c r="R43" i="1"/>
  <c r="X43" i="1" s="1"/>
  <c r="R47" i="1"/>
  <c r="R18" i="1"/>
  <c r="X18" i="1" s="1"/>
  <c r="R19" i="1"/>
  <c r="X19" i="1" s="1"/>
  <c r="R30" i="1"/>
  <c r="X30" i="1" s="1"/>
  <c r="R34" i="1"/>
  <c r="X34" i="1" s="1"/>
  <c r="R38" i="1"/>
  <c r="X38" i="1" s="1"/>
  <c r="R42" i="1"/>
  <c r="X42" i="1" s="1"/>
  <c r="R46" i="1"/>
  <c r="X46" i="1" s="1"/>
  <c r="R23" i="1"/>
  <c r="X23" i="1" s="1"/>
  <c r="R29" i="1"/>
  <c r="X29" i="1" s="1"/>
  <c r="R33" i="1"/>
  <c r="X33" i="1" s="1"/>
  <c r="R37" i="1"/>
  <c r="X37" i="1" s="1"/>
  <c r="R41" i="1"/>
  <c r="X41" i="1" s="1"/>
  <c r="R45" i="1"/>
  <c r="X45" i="1" s="1"/>
  <c r="R22" i="1"/>
  <c r="X22" i="1" s="1"/>
  <c r="R28" i="1"/>
  <c r="X28" i="1" s="1"/>
  <c r="R32" i="1"/>
  <c r="X32" i="1" s="1"/>
  <c r="R36" i="1"/>
  <c r="X36" i="1" s="1"/>
  <c r="R40" i="1"/>
  <c r="X40" i="1" s="1"/>
  <c r="R44" i="1"/>
  <c r="X44" i="1" s="1"/>
  <c r="X47" i="1"/>
  <c r="G8" i="4"/>
  <c r="G9" i="4" l="1"/>
  <c r="F50" i="20"/>
  <c r="V58" i="20"/>
  <c r="D59" i="20"/>
  <c r="F48" i="1"/>
  <c r="G10" i="4" l="1"/>
  <c r="F51" i="20"/>
  <c r="V59" i="20"/>
  <c r="D60" i="20"/>
  <c r="D49" i="1"/>
  <c r="V49" i="1" s="1"/>
  <c r="G11" i="4" l="1"/>
  <c r="F52" i="20"/>
  <c r="D61" i="20"/>
  <c r="V60" i="20"/>
  <c r="J49" i="1"/>
  <c r="F49" i="1"/>
  <c r="D50" i="1"/>
  <c r="V50" i="1" s="1"/>
  <c r="G12" i="4" l="1"/>
  <c r="F53" i="20"/>
  <c r="V61" i="20"/>
  <c r="J50" i="1"/>
  <c r="F50" i="1"/>
  <c r="D51" i="1"/>
  <c r="V51" i="1" s="1"/>
  <c r="G13" i="4" l="1"/>
  <c r="F54" i="20"/>
  <c r="J51" i="1"/>
  <c r="F51" i="1"/>
  <c r="D52" i="1"/>
  <c r="V52" i="1" s="1"/>
  <c r="G14" i="4" l="1"/>
  <c r="F55" i="20"/>
  <c r="J52" i="1"/>
  <c r="F52" i="1"/>
  <c r="D53" i="1"/>
  <c r="V53" i="1" s="1"/>
  <c r="G15" i="4" l="1"/>
  <c r="F56" i="20"/>
  <c r="J53" i="1"/>
  <c r="F53" i="1"/>
  <c r="G16" i="4" l="1"/>
  <c r="F57" i="20"/>
  <c r="F54" i="1"/>
  <c r="T17" i="8"/>
  <c r="D55" i="1"/>
  <c r="V55" i="1" s="1"/>
  <c r="G17" i="4" l="1"/>
  <c r="F58" i="20"/>
  <c r="J55" i="1"/>
  <c r="F55" i="1"/>
  <c r="D56" i="1"/>
  <c r="V56" i="1" s="1"/>
  <c r="G18" i="4" l="1"/>
  <c r="F59" i="20"/>
  <c r="J56" i="1"/>
  <c r="F56" i="1"/>
  <c r="D57" i="1"/>
  <c r="V57" i="1" s="1"/>
  <c r="G19" i="4" l="1"/>
  <c r="F61" i="20" s="1"/>
  <c r="F60" i="20"/>
  <c r="J57" i="1"/>
  <c r="F57" i="1"/>
  <c r="D58" i="1"/>
  <c r="V58" i="1" s="1"/>
  <c r="J58" i="1" l="1"/>
  <c r="F58" i="1"/>
  <c r="F59" i="1" l="1"/>
  <c r="AD17" i="8"/>
  <c r="D60" i="1"/>
  <c r="V60" i="1" s="1"/>
  <c r="F60" i="1" l="1"/>
  <c r="D61" i="1"/>
  <c r="V61" i="1" s="1"/>
  <c r="F61" i="1" l="1"/>
  <c r="D62" i="1"/>
  <c r="V62" i="1" s="1"/>
  <c r="F62" i="1" l="1"/>
  <c r="D63" i="1"/>
  <c r="V63" i="1" s="1"/>
  <c r="F63" i="1" l="1"/>
  <c r="D64" i="1"/>
  <c r="V64" i="1" s="1"/>
  <c r="F64" i="1" l="1"/>
  <c r="D65" i="1"/>
  <c r="V65" i="1" s="1"/>
  <c r="F65" i="1" l="1"/>
  <c r="D66" i="1"/>
  <c r="V66" i="1" s="1"/>
  <c r="F66" i="1" l="1"/>
  <c r="D67" i="1"/>
  <c r="V67" i="1" s="1"/>
  <c r="F67" i="1" l="1"/>
  <c r="D68" i="1"/>
  <c r="V68" i="1" s="1"/>
  <c r="F68" i="1" l="1"/>
  <c r="D69" i="1"/>
  <c r="V69" i="1" s="1"/>
  <c r="F69" i="1" l="1"/>
  <c r="D70" i="1"/>
  <c r="V70" i="1" l="1"/>
  <c r="D71" i="1"/>
  <c r="F70" i="1"/>
  <c r="D72" i="1" l="1"/>
  <c r="V71" i="1"/>
  <c r="AT47" i="8"/>
  <c r="AT51" i="8" s="1"/>
  <c r="V51" i="8"/>
  <c r="H18" i="8"/>
  <c r="H17" i="8"/>
  <c r="AD51" i="7"/>
  <c r="J51" i="7"/>
  <c r="J13" i="8"/>
  <c r="J12" i="8"/>
  <c r="L12" i="8" s="1"/>
  <c r="N12" i="8" s="1"/>
  <c r="P12" i="8" s="1"/>
  <c r="R12" i="8" s="1"/>
  <c r="T12" i="8" s="1"/>
  <c r="V12" i="8" s="1"/>
  <c r="X12" i="8" s="1"/>
  <c r="Z12" i="8" s="1"/>
  <c r="AB12" i="8" s="1"/>
  <c r="AD12" i="8" s="1"/>
  <c r="AF12" i="8" s="1"/>
  <c r="AH12" i="8" s="1"/>
  <c r="AJ12" i="8" s="1"/>
  <c r="AL12" i="8" s="1"/>
  <c r="AN12" i="8" s="1"/>
  <c r="AP12" i="8" s="1"/>
  <c r="AR12" i="8" s="1"/>
  <c r="AT12" i="8" s="1"/>
  <c r="AV12" i="8" s="1"/>
  <c r="AX12" i="8" s="1"/>
  <c r="AZ12" i="8" s="1"/>
  <c r="BB12" i="8" s="1"/>
  <c r="BD12" i="8" s="1"/>
  <c r="BF12" i="8" s="1"/>
  <c r="BH12" i="8" s="1"/>
  <c r="BJ12" i="8" s="1"/>
  <c r="BL12" i="8" s="1"/>
  <c r="BN12" i="8" s="1"/>
  <c r="BP12" i="8" s="1"/>
  <c r="BR12" i="8" s="1"/>
  <c r="AD47" i="7"/>
  <c r="AA30" i="7"/>
  <c r="Y30" i="7"/>
  <c r="H18" i="7"/>
  <c r="J13" i="7"/>
  <c r="L12" i="7"/>
  <c r="N12" i="7" s="1"/>
  <c r="P12" i="7" s="1"/>
  <c r="R12" i="7" s="1"/>
  <c r="T12" i="7" s="1"/>
  <c r="V12" i="7" s="1"/>
  <c r="X12" i="7" s="1"/>
  <c r="Z12" i="7" s="1"/>
  <c r="AB12" i="7" s="1"/>
  <c r="AD12" i="7" s="1"/>
  <c r="J12" i="7"/>
  <c r="D73" i="1" l="1"/>
  <c r="V72" i="1"/>
  <c r="H25" i="8"/>
  <c r="J17" i="8"/>
  <c r="L17" i="8" s="1"/>
  <c r="H20" i="8"/>
  <c r="H20" i="7"/>
  <c r="H25" i="7"/>
  <c r="J17" i="7"/>
  <c r="L17" i="7" s="1"/>
  <c r="L25" i="7" s="1"/>
  <c r="D74" i="1" l="1"/>
  <c r="V73" i="1"/>
  <c r="J25" i="8"/>
  <c r="J25" i="7"/>
  <c r="J48" i="7" s="1"/>
  <c r="N17" i="7"/>
  <c r="N25" i="7" s="1"/>
  <c r="D75" i="1" l="1"/>
  <c r="V74" i="1"/>
  <c r="L25" i="8"/>
  <c r="N17" i="8"/>
  <c r="J52" i="7"/>
  <c r="J26" i="7" s="1"/>
  <c r="J28" i="7" s="1"/>
  <c r="J49" i="7"/>
  <c r="J50" i="7" s="1"/>
  <c r="P17" i="7"/>
  <c r="P25" i="7" s="1"/>
  <c r="D76" i="1" l="1"/>
  <c r="V75" i="1"/>
  <c r="H26" i="7"/>
  <c r="H28" i="7" s="1"/>
  <c r="H30" i="7" s="1"/>
  <c r="N25" i="8"/>
  <c r="P17" i="8"/>
  <c r="J30" i="7"/>
  <c r="R17" i="7"/>
  <c r="R25" i="7" s="1"/>
  <c r="D77" i="1" l="1"/>
  <c r="V76" i="1"/>
  <c r="H35" i="7"/>
  <c r="H39" i="7" s="1"/>
  <c r="H50" i="20" s="1"/>
  <c r="P25" i="8"/>
  <c r="R17" i="8"/>
  <c r="T17" i="7"/>
  <c r="T25" i="7" s="1"/>
  <c r="N50" i="20" l="1"/>
  <c r="R50" i="20" s="1"/>
  <c r="X50" i="20" s="1"/>
  <c r="AB50" i="20" s="1"/>
  <c r="D78" i="1"/>
  <c r="V77" i="1"/>
  <c r="R25" i="8"/>
  <c r="V17" i="7"/>
  <c r="V25" i="7" s="1"/>
  <c r="D79" i="1" l="1"/>
  <c r="V78" i="1"/>
  <c r="T25" i="8"/>
  <c r="V17" i="8"/>
  <c r="X17" i="7"/>
  <c r="X25" i="7" s="1"/>
  <c r="V79" i="1" l="1"/>
  <c r="V25" i="8"/>
  <c r="V48" i="8" s="1"/>
  <c r="AT48" i="8" s="1"/>
  <c r="BR48" i="8" s="1"/>
  <c r="X17" i="8"/>
  <c r="Z17" i="7"/>
  <c r="Z25" i="7" s="1"/>
  <c r="BR52" i="8" l="1"/>
  <c r="BR49" i="8"/>
  <c r="BR50" i="8" s="1"/>
  <c r="V52" i="8"/>
  <c r="V49" i="8"/>
  <c r="V50" i="8" s="1"/>
  <c r="X25" i="8"/>
  <c r="Z17" i="8"/>
  <c r="AB17" i="7"/>
  <c r="AB25" i="7" s="1"/>
  <c r="H26" i="8" l="1"/>
  <c r="H28" i="8" s="1"/>
  <c r="Z25" i="8"/>
  <c r="AB17" i="8"/>
  <c r="AD17" i="7"/>
  <c r="J26" i="8" l="1"/>
  <c r="J28" i="8" s="1"/>
  <c r="J30" i="8" s="1"/>
  <c r="H30" i="8"/>
  <c r="H35" i="8"/>
  <c r="H39" i="8" s="1"/>
  <c r="H48" i="1" s="1"/>
  <c r="N48" i="1" s="1"/>
  <c r="AB25" i="8"/>
  <c r="AF17" i="8"/>
  <c r="AD25" i="7"/>
  <c r="AD48" i="7" s="1"/>
  <c r="L26" i="8" l="1"/>
  <c r="N26" i="8" s="1"/>
  <c r="P26" i="8" s="1"/>
  <c r="R26" i="8" s="1"/>
  <c r="T26" i="8" s="1"/>
  <c r="V26" i="8" s="1"/>
  <c r="R48" i="1"/>
  <c r="X48" i="1" s="1"/>
  <c r="AH17" i="8"/>
  <c r="AF25" i="8"/>
  <c r="AD25" i="8"/>
  <c r="AD52" i="7"/>
  <c r="L26" i="7" s="1"/>
  <c r="L28" i="7" s="1"/>
  <c r="AD49" i="7"/>
  <c r="AD50" i="7" s="1"/>
  <c r="AH25" i="8" l="1"/>
  <c r="AJ17" i="8"/>
  <c r="L30" i="7"/>
  <c r="N26" i="7"/>
  <c r="N28" i="7" s="1"/>
  <c r="AL17" i="8" l="1"/>
  <c r="AJ25" i="8"/>
  <c r="P26" i="7"/>
  <c r="P28" i="7" s="1"/>
  <c r="N30" i="7"/>
  <c r="R26" i="7" l="1"/>
  <c r="T26" i="7" s="1"/>
  <c r="AN17" i="8"/>
  <c r="AL25" i="8"/>
  <c r="L28" i="8"/>
  <c r="P30" i="7"/>
  <c r="R28" i="7"/>
  <c r="AP17" i="8" l="1"/>
  <c r="AN25" i="8"/>
  <c r="L30" i="8"/>
  <c r="R30" i="7"/>
  <c r="T28" i="7"/>
  <c r="V26" i="7"/>
  <c r="AR17" i="8" l="1"/>
  <c r="AP25" i="8"/>
  <c r="N28" i="8"/>
  <c r="T30" i="7"/>
  <c r="V28" i="7"/>
  <c r="X26" i="7"/>
  <c r="AT17" i="8" l="1"/>
  <c r="AR25" i="8"/>
  <c r="P28" i="8"/>
  <c r="N30" i="8"/>
  <c r="V30" i="7"/>
  <c r="X28" i="7"/>
  <c r="Z26" i="7"/>
  <c r="AV17" i="8" l="1"/>
  <c r="AT25" i="8"/>
  <c r="AT56" i="8" s="1"/>
  <c r="R28" i="8"/>
  <c r="P30" i="8"/>
  <c r="X30" i="7"/>
  <c r="Z28" i="7"/>
  <c r="AB26" i="7"/>
  <c r="AT57" i="8" l="1"/>
  <c r="AT58" i="8"/>
  <c r="AT60" i="8"/>
  <c r="AX17" i="8"/>
  <c r="AV25" i="8"/>
  <c r="T28" i="8"/>
  <c r="R30" i="8"/>
  <c r="Z30" i="7"/>
  <c r="AB28" i="7"/>
  <c r="AD26" i="7"/>
  <c r="AD28" i="7" s="1"/>
  <c r="AT52" i="8" l="1"/>
  <c r="AT49" i="8"/>
  <c r="AT50" i="8" s="1"/>
  <c r="AX25" i="8"/>
  <c r="AZ17" i="8"/>
  <c r="V28" i="8"/>
  <c r="T30" i="8"/>
  <c r="AD30" i="7"/>
  <c r="AB30" i="7"/>
  <c r="X26" i="8" l="1"/>
  <c r="Z26" i="8"/>
  <c r="AB26" i="8" s="1"/>
  <c r="AD26" i="8" s="1"/>
  <c r="AF26" i="8" s="1"/>
  <c r="AH26" i="8" s="1"/>
  <c r="AJ26" i="8" s="1"/>
  <c r="AL26" i="8" s="1"/>
  <c r="AN26" i="8" s="1"/>
  <c r="AP26" i="8" s="1"/>
  <c r="AR26" i="8" s="1"/>
  <c r="AT26" i="8" s="1"/>
  <c r="BB17" i="8"/>
  <c r="AZ25" i="8"/>
  <c r="V30" i="8"/>
  <c r="BD17" i="8" l="1"/>
  <c r="BF17" i="8" s="1"/>
  <c r="BF25" i="8"/>
  <c r="BH17" i="8"/>
  <c r="BF20" i="8"/>
  <c r="BD20" i="8"/>
  <c r="BD25" i="8"/>
  <c r="X28" i="8"/>
  <c r="X30" i="8" s="1"/>
  <c r="BB25" i="8"/>
  <c r="Z28" i="8"/>
  <c r="BH25" i="8" l="1"/>
  <c r="BJ17" i="8"/>
  <c r="BH20" i="8"/>
  <c r="J18" i="7"/>
  <c r="J20" i="7" s="1"/>
  <c r="J35" i="7" s="1"/>
  <c r="J39" i="7" s="1"/>
  <c r="H51" i="20" s="1"/>
  <c r="J18" i="8"/>
  <c r="J20" i="8" s="1"/>
  <c r="J35" i="8" s="1"/>
  <c r="J39" i="8" s="1"/>
  <c r="H49" i="1" s="1"/>
  <c r="N49" i="1" s="1"/>
  <c r="AB28" i="8"/>
  <c r="Z30" i="8"/>
  <c r="C19" i="5"/>
  <c r="N51" i="20" l="1"/>
  <c r="R51" i="20" s="1"/>
  <c r="X51" i="20" s="1"/>
  <c r="AB51" i="20" s="1"/>
  <c r="BJ25" i="8"/>
  <c r="BJ20" i="8"/>
  <c r="BL17" i="8"/>
  <c r="Z20" i="1"/>
  <c r="AB20" i="1" s="1"/>
  <c r="Z19" i="1"/>
  <c r="AB19" i="1" s="1"/>
  <c r="Z22" i="1"/>
  <c r="AB22" i="1" s="1"/>
  <c r="Z44" i="1"/>
  <c r="AB44" i="1" s="1"/>
  <c r="Z40" i="1"/>
  <c r="AB40" i="1" s="1"/>
  <c r="Z36" i="1"/>
  <c r="AB36" i="1" s="1"/>
  <c r="Z32" i="1"/>
  <c r="AB32" i="1" s="1"/>
  <c r="Z28" i="1"/>
  <c r="AB28" i="1" s="1"/>
  <c r="Z39" i="1"/>
  <c r="AB39" i="1" s="1"/>
  <c r="Z23" i="1"/>
  <c r="AB23" i="1" s="1"/>
  <c r="Z18" i="1"/>
  <c r="AB18" i="1" s="1"/>
  <c r="Z46" i="1"/>
  <c r="AB46" i="1" s="1"/>
  <c r="Z42" i="1"/>
  <c r="AB42" i="1" s="1"/>
  <c r="Z38" i="1"/>
  <c r="AB38" i="1" s="1"/>
  <c r="Z34" i="1"/>
  <c r="AB34" i="1" s="1"/>
  <c r="Z30" i="1"/>
  <c r="AB30" i="1" s="1"/>
  <c r="Z24" i="1"/>
  <c r="AB24" i="1" s="1"/>
  <c r="Z45" i="1"/>
  <c r="AB45" i="1" s="1"/>
  <c r="Z41" i="1"/>
  <c r="AB41" i="1" s="1"/>
  <c r="Z35" i="1"/>
  <c r="AB35" i="1" s="1"/>
  <c r="Z31" i="1"/>
  <c r="AB31" i="1" s="1"/>
  <c r="Z27" i="1"/>
  <c r="AB27" i="1" s="1"/>
  <c r="Z21" i="1"/>
  <c r="AB21" i="1" s="1"/>
  <c r="Z47" i="1"/>
  <c r="AB47" i="1" s="1"/>
  <c r="Z43" i="1"/>
  <c r="AB43" i="1" s="1"/>
  <c r="Z37" i="1"/>
  <c r="AB37" i="1" s="1"/>
  <c r="Z33" i="1"/>
  <c r="AB33" i="1" s="1"/>
  <c r="Z29" i="1"/>
  <c r="AB29" i="1" s="1"/>
  <c r="Z67" i="1"/>
  <c r="Z63" i="1"/>
  <c r="Z59" i="1"/>
  <c r="Z55" i="1"/>
  <c r="Z51" i="1"/>
  <c r="Z62" i="1"/>
  <c r="Z54" i="1"/>
  <c r="Z50" i="1"/>
  <c r="Z53" i="1"/>
  <c r="Z48" i="1"/>
  <c r="AB48" i="1" s="1"/>
  <c r="Z70" i="1"/>
  <c r="Z66" i="1"/>
  <c r="Z58" i="1"/>
  <c r="Z64" i="1"/>
  <c r="Z56" i="1"/>
  <c r="Z69" i="1"/>
  <c r="Z65" i="1"/>
  <c r="Z61" i="1"/>
  <c r="Z57" i="1"/>
  <c r="Z49" i="1"/>
  <c r="Z68" i="1"/>
  <c r="Z60" i="1"/>
  <c r="Z52" i="1"/>
  <c r="R49" i="1"/>
  <c r="X49" i="1" s="1"/>
  <c r="AB49" i="1" s="1"/>
  <c r="L18" i="7"/>
  <c r="L20" i="7" s="1"/>
  <c r="L35" i="7" s="1"/>
  <c r="L39" i="7" s="1"/>
  <c r="H52" i="20" s="1"/>
  <c r="L18" i="8"/>
  <c r="L20" i="8" s="1"/>
  <c r="L35" i="8" s="1"/>
  <c r="L39" i="8" s="1"/>
  <c r="H50" i="1" s="1"/>
  <c r="N50" i="1" s="1"/>
  <c r="AD28" i="8"/>
  <c r="AD30" i="8" s="1"/>
  <c r="AB30" i="8"/>
  <c r="N52" i="20" l="1"/>
  <c r="R52" i="20" s="1"/>
  <c r="X52" i="20" s="1"/>
  <c r="AB52" i="20" s="1"/>
  <c r="AB25" i="1"/>
  <c r="E5" i="24"/>
  <c r="G5" i="24" s="1"/>
  <c r="I5" i="24" s="1"/>
  <c r="K5" i="24" s="1"/>
  <c r="E12" i="24"/>
  <c r="BL25" i="8"/>
  <c r="BN17" i="8"/>
  <c r="BL20" i="8"/>
  <c r="R50" i="1"/>
  <c r="X50" i="1" s="1"/>
  <c r="AB50" i="1" s="1"/>
  <c r="N18" i="7"/>
  <c r="N20" i="7" s="1"/>
  <c r="N35" i="7" s="1"/>
  <c r="N39" i="7" s="1"/>
  <c r="H53" i="20" s="1"/>
  <c r="N18" i="8"/>
  <c r="N20" i="8" s="1"/>
  <c r="N35" i="8" s="1"/>
  <c r="N39" i="8" s="1"/>
  <c r="H51" i="1" s="1"/>
  <c r="N51" i="1" s="1"/>
  <c r="AF28" i="8"/>
  <c r="N53" i="20" l="1"/>
  <c r="R53" i="20" s="1"/>
  <c r="X53" i="20" s="1"/>
  <c r="AB53" i="20" s="1"/>
  <c r="G12" i="24"/>
  <c r="I12" i="24" s="1"/>
  <c r="K12" i="24" s="1"/>
  <c r="BP17" i="8"/>
  <c r="BN25" i="8"/>
  <c r="BN20" i="8"/>
  <c r="R51" i="1"/>
  <c r="X51" i="1" s="1"/>
  <c r="AB51" i="1" s="1"/>
  <c r="P18" i="7"/>
  <c r="P20" i="7" s="1"/>
  <c r="P35" i="7" s="1"/>
  <c r="P39" i="7" s="1"/>
  <c r="H54" i="20" s="1"/>
  <c r="P18" i="8"/>
  <c r="P20" i="8" s="1"/>
  <c r="P35" i="8" s="1"/>
  <c r="P39" i="8" s="1"/>
  <c r="H52" i="1" s="1"/>
  <c r="N52" i="1" s="1"/>
  <c r="AH28" i="8"/>
  <c r="AF30" i="8"/>
  <c r="N54" i="20" l="1"/>
  <c r="R54" i="20" s="1"/>
  <c r="X54" i="20" s="1"/>
  <c r="AB54" i="20" s="1"/>
  <c r="BP25" i="8"/>
  <c r="BP20" i="8"/>
  <c r="BR17" i="8"/>
  <c r="R52" i="1"/>
  <c r="X52" i="1" s="1"/>
  <c r="AB52" i="1" s="1"/>
  <c r="R18" i="7"/>
  <c r="R20" i="7" s="1"/>
  <c r="R35" i="7" s="1"/>
  <c r="R39" i="7" s="1"/>
  <c r="H55" i="20" s="1"/>
  <c r="R18" i="8"/>
  <c r="R20" i="8" s="1"/>
  <c r="R35" i="8" s="1"/>
  <c r="R39" i="8" s="1"/>
  <c r="H53" i="1" s="1"/>
  <c r="N53" i="1" s="1"/>
  <c r="AJ28" i="8"/>
  <c r="AH30" i="8"/>
  <c r="N55" i="20" l="1"/>
  <c r="R55" i="20" s="1"/>
  <c r="X55" i="20" s="1"/>
  <c r="AB55" i="20" s="1"/>
  <c r="BR25" i="8"/>
  <c r="BR56" i="8" s="1"/>
  <c r="BR20" i="8"/>
  <c r="R53" i="1"/>
  <c r="X53" i="1" s="1"/>
  <c r="AB53" i="1" s="1"/>
  <c r="T18" i="7"/>
  <c r="T20" i="7" s="1"/>
  <c r="T35" i="7" s="1"/>
  <c r="T39" i="7" s="1"/>
  <c r="H56" i="20" s="1"/>
  <c r="T18" i="8"/>
  <c r="T20" i="8" s="1"/>
  <c r="T35" i="8" s="1"/>
  <c r="T39" i="8" s="1"/>
  <c r="H54" i="1" s="1"/>
  <c r="N54" i="1" s="1"/>
  <c r="AL28" i="8"/>
  <c r="AJ30" i="8"/>
  <c r="N56" i="20" l="1"/>
  <c r="R56" i="20" s="1"/>
  <c r="X56" i="20" s="1"/>
  <c r="AB56" i="20" s="1"/>
  <c r="BR57" i="8"/>
  <c r="BR58" i="8"/>
  <c r="BR60" i="8"/>
  <c r="R54" i="1"/>
  <c r="X54" i="1" s="1"/>
  <c r="AB54" i="1" s="1"/>
  <c r="V18" i="7"/>
  <c r="V20" i="7" s="1"/>
  <c r="V35" i="7" s="1"/>
  <c r="V39" i="7" s="1"/>
  <c r="H57" i="20" s="1"/>
  <c r="V18" i="8"/>
  <c r="V20" i="8" s="1"/>
  <c r="AL30" i="8"/>
  <c r="AN28" i="8"/>
  <c r="N57" i="20" l="1"/>
  <c r="R57" i="20" s="1"/>
  <c r="X57" i="20" s="1"/>
  <c r="AB57" i="20" s="1"/>
  <c r="AV26" i="8"/>
  <c r="AX26" i="8" s="1"/>
  <c r="AZ26" i="8" s="1"/>
  <c r="BB26" i="8" s="1"/>
  <c r="BD26" i="8" s="1"/>
  <c r="V35" i="8"/>
  <c r="V39" i="8" s="1"/>
  <c r="H55" i="1" s="1"/>
  <c r="N55" i="1" s="1"/>
  <c r="R55" i="1" s="1"/>
  <c r="X55" i="1" s="1"/>
  <c r="AB55" i="1" s="1"/>
  <c r="X18" i="7"/>
  <c r="X20" i="7" s="1"/>
  <c r="X35" i="7" s="1"/>
  <c r="X39" i="7" s="1"/>
  <c r="H58" i="20" s="1"/>
  <c r="X18" i="8"/>
  <c r="X20" i="8" s="1"/>
  <c r="X35" i="8" s="1"/>
  <c r="X39" i="8" s="1"/>
  <c r="H56" i="1" s="1"/>
  <c r="N56" i="1" s="1"/>
  <c r="AN30" i="8"/>
  <c r="AP28" i="8"/>
  <c r="N58" i="20" l="1"/>
  <c r="R58" i="20" s="1"/>
  <c r="X58" i="20" s="1"/>
  <c r="AB58" i="20" s="1"/>
  <c r="BF26" i="8"/>
  <c r="BD28" i="8"/>
  <c r="R56" i="1"/>
  <c r="X56" i="1" s="1"/>
  <c r="AB56" i="1" s="1"/>
  <c r="Z18" i="7"/>
  <c r="Z20" i="7" s="1"/>
  <c r="Z35" i="7" s="1"/>
  <c r="Z39" i="7" s="1"/>
  <c r="H59" i="20" s="1"/>
  <c r="Z18" i="8"/>
  <c r="Z20" i="8" s="1"/>
  <c r="Z35" i="8" s="1"/>
  <c r="Z39" i="8" s="1"/>
  <c r="H57" i="1" s="1"/>
  <c r="N57" i="1" s="1"/>
  <c r="AP30" i="8"/>
  <c r="AR28" i="8"/>
  <c r="N59" i="20" l="1"/>
  <c r="R59" i="20" s="1"/>
  <c r="X59" i="20" s="1"/>
  <c r="AB59" i="20" s="1"/>
  <c r="BD30" i="8"/>
  <c r="BD35" i="8"/>
  <c r="BD39" i="8" s="1"/>
  <c r="H72" i="1" s="1"/>
  <c r="N72" i="1" s="1"/>
  <c r="R72" i="1" s="1"/>
  <c r="X72" i="1" s="1"/>
  <c r="AB72" i="1" s="1"/>
  <c r="BH26" i="8"/>
  <c r="BF28" i="8"/>
  <c r="R57" i="1"/>
  <c r="X57" i="1" s="1"/>
  <c r="AB57" i="1" s="1"/>
  <c r="AB18" i="7"/>
  <c r="AB20" i="7" s="1"/>
  <c r="AB35" i="7" s="1"/>
  <c r="AB39" i="7" s="1"/>
  <c r="H60" i="20" s="1"/>
  <c r="AB18" i="8"/>
  <c r="AB20" i="8" s="1"/>
  <c r="AB35" i="8" s="1"/>
  <c r="AB39" i="8" s="1"/>
  <c r="H58" i="1" s="1"/>
  <c r="N58" i="1" s="1"/>
  <c r="AR30" i="8"/>
  <c r="AT28" i="8"/>
  <c r="N60" i="20" l="1"/>
  <c r="R60" i="20" s="1"/>
  <c r="X60" i="20" s="1"/>
  <c r="AB60" i="20" s="1"/>
  <c r="BJ26" i="8"/>
  <c r="BH28" i="8"/>
  <c r="BF30" i="8"/>
  <c r="BF35" i="8"/>
  <c r="BF39" i="8" s="1"/>
  <c r="H73" i="1" s="1"/>
  <c r="N73" i="1" s="1"/>
  <c r="R73" i="1" s="1"/>
  <c r="X73" i="1" s="1"/>
  <c r="AB73" i="1" s="1"/>
  <c r="R58" i="1"/>
  <c r="X58" i="1" s="1"/>
  <c r="AB58" i="1" s="1"/>
  <c r="E7" i="24" s="1"/>
  <c r="G7" i="24" s="1"/>
  <c r="I7" i="24" s="1"/>
  <c r="K7" i="24" s="1"/>
  <c r="AD18" i="7"/>
  <c r="AD20" i="7" s="1"/>
  <c r="AD35" i="7" s="1"/>
  <c r="AD39" i="7" s="1"/>
  <c r="H61" i="20" s="1"/>
  <c r="AD18" i="8"/>
  <c r="AD20" i="8" s="1"/>
  <c r="AD35" i="8" s="1"/>
  <c r="AD39" i="8" s="1"/>
  <c r="AT30" i="8"/>
  <c r="AV28" i="8"/>
  <c r="N61" i="20" l="1"/>
  <c r="R61" i="20" s="1"/>
  <c r="X61" i="20" s="1"/>
  <c r="AB61" i="20" s="1"/>
  <c r="E14" i="24"/>
  <c r="G14" i="24" s="1"/>
  <c r="I14" i="24" s="1"/>
  <c r="K14" i="24" s="1"/>
  <c r="BH30" i="8"/>
  <c r="BH35" i="8"/>
  <c r="BH39" i="8" s="1"/>
  <c r="H74" i="1" s="1"/>
  <c r="N74" i="1" s="1"/>
  <c r="R74" i="1" s="1"/>
  <c r="X74" i="1" s="1"/>
  <c r="AB74" i="1" s="1"/>
  <c r="BL26" i="8"/>
  <c r="BJ28" i="8"/>
  <c r="H59" i="1"/>
  <c r="N59" i="1" s="1"/>
  <c r="R59" i="1" s="1"/>
  <c r="X59" i="1" s="1"/>
  <c r="AB59" i="1" s="1"/>
  <c r="AF18" i="8"/>
  <c r="AF20" i="8" s="1"/>
  <c r="AF35" i="8" s="1"/>
  <c r="AF39" i="8" s="1"/>
  <c r="AV30" i="8"/>
  <c r="AX28" i="8"/>
  <c r="P6" i="24" l="1"/>
  <c r="R6" i="24" s="1"/>
  <c r="T6" i="24" s="1"/>
  <c r="V6" i="24" s="1"/>
  <c r="P13" i="24"/>
  <c r="R13" i="24" s="1"/>
  <c r="T13" i="24" s="1"/>
  <c r="V13" i="24" s="1"/>
  <c r="BJ35" i="8"/>
  <c r="BJ39" i="8" s="1"/>
  <c r="H75" i="1" s="1"/>
  <c r="N75" i="1" s="1"/>
  <c r="R75" i="1" s="1"/>
  <c r="X75" i="1" s="1"/>
  <c r="AB75" i="1" s="1"/>
  <c r="BJ30" i="8"/>
  <c r="BN26" i="8"/>
  <c r="BL28" i="8"/>
  <c r="H60" i="1"/>
  <c r="N60" i="1" s="1"/>
  <c r="R60" i="1" s="1"/>
  <c r="X60" i="1" s="1"/>
  <c r="AB60" i="1" s="1"/>
  <c r="AH18" i="8"/>
  <c r="AH20" i="8" s="1"/>
  <c r="AH35" i="8" s="1"/>
  <c r="AH39" i="8" s="1"/>
  <c r="AX30" i="8"/>
  <c r="BB28" i="8"/>
  <c r="AZ28" i="8"/>
  <c r="BL30" i="8" l="1"/>
  <c r="BL35" i="8"/>
  <c r="BL39" i="8" s="1"/>
  <c r="H76" i="1" s="1"/>
  <c r="N76" i="1" s="1"/>
  <c r="R76" i="1" s="1"/>
  <c r="X76" i="1" s="1"/>
  <c r="AB76" i="1" s="1"/>
  <c r="BP26" i="8"/>
  <c r="BN28" i="8"/>
  <c r="H61" i="1"/>
  <c r="N61" i="1" s="1"/>
  <c r="R61" i="1" s="1"/>
  <c r="X61" i="1" s="1"/>
  <c r="AB61" i="1" s="1"/>
  <c r="AJ18" i="8"/>
  <c r="AJ20" i="8" s="1"/>
  <c r="AJ35" i="8" s="1"/>
  <c r="AJ39" i="8" s="1"/>
  <c r="AZ30" i="8"/>
  <c r="BB30" i="8"/>
  <c r="BN30" i="8" l="1"/>
  <c r="BN35" i="8"/>
  <c r="BN39" i="8" s="1"/>
  <c r="H77" i="1" s="1"/>
  <c r="N77" i="1" s="1"/>
  <c r="R77" i="1" s="1"/>
  <c r="X77" i="1" s="1"/>
  <c r="AB77" i="1" s="1"/>
  <c r="BR26" i="8"/>
  <c r="BR28" i="8" s="1"/>
  <c r="BP28" i="8"/>
  <c r="H62" i="1"/>
  <c r="N62" i="1" s="1"/>
  <c r="R62" i="1" s="1"/>
  <c r="X62" i="1" s="1"/>
  <c r="AB62" i="1" s="1"/>
  <c r="AL18" i="8"/>
  <c r="AL20" i="8" s="1"/>
  <c r="AL35" i="8" s="1"/>
  <c r="AL39" i="8" s="1"/>
  <c r="BP30" i="8" l="1"/>
  <c r="BP35" i="8"/>
  <c r="BP39" i="8" s="1"/>
  <c r="H78" i="1" s="1"/>
  <c r="N78" i="1" s="1"/>
  <c r="R78" i="1" s="1"/>
  <c r="X78" i="1" s="1"/>
  <c r="AB78" i="1" s="1"/>
  <c r="BR30" i="8"/>
  <c r="BR35" i="8"/>
  <c r="BR39" i="8" s="1"/>
  <c r="H79" i="1" s="1"/>
  <c r="N79" i="1" s="1"/>
  <c r="R79" i="1" s="1"/>
  <c r="X79" i="1" s="1"/>
  <c r="AB79" i="1" s="1"/>
  <c r="H63" i="1"/>
  <c r="N63" i="1" s="1"/>
  <c r="R63" i="1" s="1"/>
  <c r="X63" i="1" s="1"/>
  <c r="AB63" i="1" s="1"/>
  <c r="AN18" i="8"/>
  <c r="AN20" i="8" s="1"/>
  <c r="AN35" i="8" s="1"/>
  <c r="AN39" i="8" s="1"/>
  <c r="H64" i="1" l="1"/>
  <c r="N64" i="1" s="1"/>
  <c r="R64" i="1" s="1"/>
  <c r="X64" i="1" s="1"/>
  <c r="AB64" i="1" s="1"/>
  <c r="AP18" i="8"/>
  <c r="AP20" i="8" s="1"/>
  <c r="AP35" i="8" s="1"/>
  <c r="AP39" i="8" s="1"/>
  <c r="H65" i="1" l="1"/>
  <c r="N65" i="1" s="1"/>
  <c r="R65" i="1" s="1"/>
  <c r="X65" i="1" s="1"/>
  <c r="AB65" i="1" s="1"/>
  <c r="AR18" i="8"/>
  <c r="AR20" i="8" s="1"/>
  <c r="AR35" i="8" s="1"/>
  <c r="AR39" i="8" s="1"/>
  <c r="H66" i="1" l="1"/>
  <c r="N66" i="1" s="1"/>
  <c r="R66" i="1" s="1"/>
  <c r="X66" i="1" s="1"/>
  <c r="AB66" i="1" s="1"/>
  <c r="AT18" i="8"/>
  <c r="AT20" i="8" s="1"/>
  <c r="C7" i="1"/>
  <c r="D7" i="1" s="1"/>
  <c r="F7" i="1" s="1"/>
  <c r="AT35" i="8" l="1"/>
  <c r="AT39" i="8" s="1"/>
  <c r="H67" i="1" s="1"/>
  <c r="N67" i="1" s="1"/>
  <c r="R67" i="1" s="1"/>
  <c r="X67" i="1" s="1"/>
  <c r="AB67" i="1" s="1"/>
  <c r="AV18" i="8"/>
  <c r="AV20" i="8" s="1"/>
  <c r="AV35" i="8" s="1"/>
  <c r="AV39" i="8" s="1"/>
  <c r="H7" i="1"/>
  <c r="H68" i="1" l="1"/>
  <c r="N68" i="1" s="1"/>
  <c r="R68" i="1" s="1"/>
  <c r="X68" i="1" s="1"/>
  <c r="AB68" i="1" s="1"/>
  <c r="J7" i="1"/>
  <c r="L7" i="1" s="1"/>
  <c r="N7" i="1" s="1"/>
  <c r="P7" i="1" s="1"/>
  <c r="R7" i="1" s="1"/>
  <c r="T7" i="1" s="1"/>
  <c r="V7" i="1" s="1"/>
  <c r="X7" i="1" s="1"/>
  <c r="AX18" i="8"/>
  <c r="AX20" i="8" s="1"/>
  <c r="AX35" i="8" s="1"/>
  <c r="AX39" i="8" s="1"/>
  <c r="H69" i="1" l="1"/>
  <c r="N69" i="1" s="1"/>
  <c r="R69" i="1" s="1"/>
  <c r="X69" i="1" s="1"/>
  <c r="AB69" i="1" s="1"/>
  <c r="AZ18" i="8"/>
  <c r="AZ20" i="8" s="1"/>
  <c r="AZ35" i="8" s="1"/>
  <c r="AZ39" i="8" s="1"/>
  <c r="BB18" i="8"/>
  <c r="BB20" i="8" s="1"/>
  <c r="Z7" i="1"/>
  <c r="AB7" i="1" s="1"/>
  <c r="AD7" i="1" s="1"/>
  <c r="AE7" i="1" s="1"/>
  <c r="BB35" i="8" l="1"/>
  <c r="BB39" i="8" s="1"/>
  <c r="H71" i="1" s="1"/>
  <c r="N71" i="1" s="1"/>
  <c r="R71" i="1" s="1"/>
  <c r="X71" i="1" s="1"/>
  <c r="AB71" i="1" s="1"/>
  <c r="H70" i="1"/>
  <c r="N70" i="1" s="1"/>
  <c r="R70" i="1" s="1"/>
  <c r="X70" i="1" s="1"/>
  <c r="AB70" i="1" s="1"/>
  <c r="E6" i="24" l="1"/>
  <c r="G6" i="24" s="1"/>
  <c r="I6" i="24" s="1"/>
  <c r="K6" i="24" s="1"/>
  <c r="E13" i="24"/>
  <c r="G13" i="24" s="1"/>
  <c r="I13" i="24" s="1"/>
  <c r="K13" i="24" s="1"/>
  <c r="E15" i="24"/>
  <c r="G15" i="24" s="1"/>
  <c r="I15" i="24" s="1"/>
  <c r="K15" i="24" s="1"/>
  <c r="E8" i="24"/>
  <c r="G8" i="24" s="1"/>
  <c r="I8" i="24" s="1"/>
  <c r="K8" i="24" s="1"/>
</calcChain>
</file>

<file path=xl/sharedStrings.xml><?xml version="1.0" encoding="utf-8"?>
<sst xmlns="http://schemas.openxmlformats.org/spreadsheetml/2006/main" count="609" uniqueCount="159">
  <si>
    <t xml:space="preserve"> </t>
  </si>
  <si>
    <t>Accumulated Depreciation</t>
  </si>
  <si>
    <t xml:space="preserve">ADFIT </t>
  </si>
  <si>
    <t>Rate Base</t>
  </si>
  <si>
    <t>Monthly Return on Rate Base</t>
  </si>
  <si>
    <t>Monthly O &amp; M</t>
  </si>
  <si>
    <t>Month</t>
  </si>
  <si>
    <t>Year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</si>
  <si>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</si>
  <si>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</si>
  <si>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</si>
  <si>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</si>
  <si>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</si>
  <si>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</si>
  <si>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</si>
  <si>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</si>
  <si>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</si>
  <si>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</si>
  <si>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</si>
  <si>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</si>
  <si>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KENTUCKY POWER CO</t>
  </si>
  <si>
    <t>Calculation of Estimated Deferred FIT</t>
  </si>
  <si>
    <t>Environmental</t>
  </si>
  <si>
    <t>In-Service Date</t>
  </si>
  <si>
    <t>Bonus Depreciation %</t>
  </si>
  <si>
    <t>Quarter of Addition</t>
  </si>
  <si>
    <t>Half-Year</t>
  </si>
  <si>
    <t>Installed  Book Cost</t>
  </si>
  <si>
    <t>Less:  Accumulated Depreciation</t>
  </si>
  <si>
    <t>Tax Basis</t>
  </si>
  <si>
    <t>Less:  Accum Tax Depreciation</t>
  </si>
  <si>
    <t>% Tax Depreciated</t>
  </si>
  <si>
    <t>Accum Book vs Tax Temporary Difference</t>
  </si>
  <si>
    <t>Federal Income Tax Rate</t>
  </si>
  <si>
    <t>Bonus Tax Depreciation Adjustment</t>
  </si>
  <si>
    <t>Remaining Depreciable Tax Basis</t>
  </si>
  <si>
    <t>Tax Depreciation Rate</t>
  </si>
  <si>
    <t>Tax Depreciation</t>
  </si>
  <si>
    <t>MACRS Tax Depreciation Tables</t>
  </si>
  <si>
    <t xml:space="preserve">     Net Book Basis @ </t>
  </si>
  <si>
    <t xml:space="preserve">     Net Tax Basis @ </t>
  </si>
  <si>
    <t xml:space="preserve">     Accum DFIT @  -  Asset &lt;Liability&gt;</t>
  </si>
  <si>
    <t>Number</t>
  </si>
  <si>
    <t>Expense Month</t>
  </si>
  <si>
    <t>Monthly Depreciation Expense</t>
  </si>
  <si>
    <t>Month
(Actuals)</t>
  </si>
  <si>
    <t>Month Filed</t>
  </si>
  <si>
    <t>Month Billed</t>
  </si>
  <si>
    <t>As Filed</t>
  </si>
  <si>
    <t>KY Retail Allocation Factor</t>
  </si>
  <si>
    <t>Form 1.00, Line 5</t>
  </si>
  <si>
    <t>Allocation Factor</t>
  </si>
  <si>
    <t>Mitchell WACC</t>
  </si>
  <si>
    <t>12 Mos. Ended Dec 2020
Average Retail Allocation</t>
  </si>
  <si>
    <t>Environmental Utility Plant at Original Cost*</t>
  </si>
  <si>
    <t>Alternative 1</t>
  </si>
  <si>
    <t>Alternative 2</t>
  </si>
  <si>
    <t>5/31/2023</t>
  </si>
  <si>
    <t>6/30/2023</t>
  </si>
  <si>
    <t>7/31/2023</t>
  </si>
  <si>
    <t>8/31/2023</t>
  </si>
  <si>
    <t>9/30/2023</t>
  </si>
  <si>
    <t>10/31/2023</t>
  </si>
  <si>
    <t>11/30/2023</t>
  </si>
  <si>
    <t>12/31/2023</t>
  </si>
  <si>
    <t>1/31/2024</t>
  </si>
  <si>
    <t>2/28/2024</t>
  </si>
  <si>
    <t>3/31/2024</t>
  </si>
  <si>
    <t>4/302024</t>
  </si>
  <si>
    <t>5/31/2024</t>
  </si>
  <si>
    <t>6/30/2024</t>
  </si>
  <si>
    <t>7/31/2024</t>
  </si>
  <si>
    <t>8/31/2024</t>
  </si>
  <si>
    <t>9/30/2024</t>
  </si>
  <si>
    <t>10/31/2024</t>
  </si>
  <si>
    <t>In-Service Year</t>
  </si>
  <si>
    <t>Mitchell Plant</t>
  </si>
  <si>
    <t>ENVIRONMENTAL COMPLIANCE PLAN</t>
  </si>
  <si>
    <t>11/30/2024</t>
  </si>
  <si>
    <t>12/31/2024</t>
  </si>
  <si>
    <t>1/30/2025</t>
  </si>
  <si>
    <t>2/28/2025</t>
  </si>
  <si>
    <t>3/31/'2025</t>
  </si>
  <si>
    <t>4/30/2025</t>
  </si>
  <si>
    <t>Tax Depreciation - Annual</t>
  </si>
  <si>
    <t>CWIP</t>
  </si>
  <si>
    <t>CWIP 
in Base</t>
  </si>
  <si>
    <t>Pre-2020</t>
  </si>
  <si>
    <t xml:space="preserve">ML1-2 Dry Ash Handling Capital </t>
  </si>
  <si>
    <t xml:space="preserve">ML0 FGD WWT Capital </t>
  </si>
  <si>
    <t xml:space="preserve">ML0 Pond Repurpose Capital </t>
  </si>
  <si>
    <t>Total</t>
  </si>
  <si>
    <t>CWIP 
in Base Rates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</si>
  <si>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</si>
  <si>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</si>
  <si>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</si>
  <si>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</si>
  <si>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</si>
  <si>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</si>
  <si>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</si>
  <si>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</si>
  <si>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</si>
  <si>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</si>
  <si>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</si>
  <si>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</si>
  <si>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**</t>
  </si>
  <si>
    <t>TOTAL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</si>
  <si>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</si>
  <si>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</si>
  <si>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</si>
  <si>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</si>
  <si>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</si>
  <si>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</si>
  <si>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Operating  Income Percentage</t>
  </si>
  <si>
    <t>Gross Up Factor  (100.00/Ln 9)</t>
  </si>
  <si>
    <t>*</t>
  </si>
  <si>
    <t xml:space="preserve">  </t>
  </si>
  <si>
    <t>As of                                           3/31/2020*</t>
  </si>
  <si>
    <t>Less State Income Taxes (Ln 4 x 5.8545)</t>
  </si>
  <si>
    <t>Income Before Federal Income Taxes</t>
  </si>
  <si>
    <t>Less Federal Income Taxes (Ln 13*21%)</t>
  </si>
  <si>
    <t>Twelve Mo. Average</t>
  </si>
  <si>
    <t>Total Monthly Environmental Revenue Requirement</t>
  </si>
  <si>
    <t>* Costs related to ELG/CCR will be recovered through the end of the useful life (2040).</t>
  </si>
  <si>
    <t>Estimated Revenue Requirement for CCR Only Through October 2024*</t>
  </si>
  <si>
    <t>* Costs related to CCR will be recovered through the end of the useful life (2028).</t>
  </si>
  <si>
    <t>Comments</t>
  </si>
  <si>
    <t>CCR/ELG Cost Estimate</t>
  </si>
  <si>
    <t>($000 - Kentucky Power Share)</t>
  </si>
  <si>
    <t>CCR Only Cost Estimate</t>
  </si>
  <si>
    <t>Estimated Revenue Requirement for ELG/CCR Through 2025*</t>
  </si>
  <si>
    <t>2023 In-Service Assets</t>
  </si>
  <si>
    <t>2024 In-Service Assets</t>
  </si>
  <si>
    <t>Revenue Requirement</t>
  </si>
  <si>
    <t>Residential</t>
  </si>
  <si>
    <t>All Other</t>
  </si>
  <si>
    <t>Period 1</t>
  </si>
  <si>
    <t>Period 2</t>
  </si>
  <si>
    <t>Period 3</t>
  </si>
  <si>
    <t>Period 4</t>
  </si>
  <si>
    <t>Mos. In Period</t>
  </si>
  <si>
    <t>Annualized Revenue Req</t>
  </si>
  <si>
    <t>Period</t>
  </si>
  <si>
    <t>Monthly inclusion of CWIP as a component of ES rate base begins, assuming Commission approval in August 2021. Would begin with September 2021 filing, billed October 2021.</t>
  </si>
  <si>
    <t>Wastewater Ponds placed in-service</t>
  </si>
  <si>
    <t>Dry Ash Handling System placed in-service</t>
  </si>
  <si>
    <t>Water Biological Treatment System with Ultrafiltration placed in-service</t>
  </si>
  <si>
    <t>CWIP revenue requirement prior to assumed order date in case</t>
  </si>
  <si>
    <t>Percent  Increase to Total Bill</t>
  </si>
  <si>
    <t>Cost Allocation</t>
  </si>
  <si>
    <t>Propose to levelize ($105,111 /21) and recover throughout Period 1. Would begin recovery with September 2021 filing, billed October 2021.</t>
  </si>
  <si>
    <t xml:space="preserve">12Mos Ending December 2020 Revenues </t>
  </si>
  <si>
    <t>Period From*</t>
  </si>
  <si>
    <t>Period To*</t>
  </si>
  <si>
    <t>* Expense Month</t>
  </si>
  <si>
    <t>CCR and ELG Revenue Requirement Summary By Period</t>
  </si>
  <si>
    <t>CCR Only Revenue Requirement Summary By Period</t>
  </si>
  <si>
    <t>Proposed Revenue Requirement</t>
  </si>
  <si>
    <t>If CCR-Only chosen would propose to levelize ($98,736 /27) and recover throughout Period 1. Would begin recovery with September 2021 filing, billed October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</si>
</sst>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&quot;$&quot;#,##0.00"/>
    <numFmt numFmtId="167" formatCode="0.0%"/>
    <numFmt numFmtId="168" formatCode="m/d/yyyy;@"/>
    <numFmt numFmtId="169" formatCode="0.0000%"/>
    <numFmt numFmtId="170" formatCode="0.000%"/>
    <numFmt numFmtId="171" formatCode="_(* #,##0.0000_);_(* \(#,##0.0000\);_(* &quot;-&quot;??_);_(@_)"/>
    <numFmt numFmtId="172" formatCode="0.000000"/>
    <numFmt numFmtId="173" formatCode="0.0000"/>
    <numFmt numFmtId="174" formatCode="#,##0.0000_);\(#,##0.0000\)"/>
    <numFmt numFmtId="175" formatCode="_(&quot;$&quot;* #,##0,_);_(&quot;$&quot;* \(#,##0,\);_(&quot;$&quot;* &quot;-&quot;??_);_(@_)"/>
    <numFmt numFmtId="176" formatCode="_(&quot;$&quot;* #,##0_);_(&quot;$&quot;* \(#,##0\);_(&quot;$&quot;* &quot;-&quot;??_);_(@_)"/>
    <numFmt numFmtId="177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8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sz val="11"/>
      <color rgb="FF0000FF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8"/>
      <color rgb="FF0000FF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  <font>
      <sz val="10"/>
      <name val="MS Sans Serif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7" fillId="0" borderId="0"/>
    <xf numFmtId="0" fontId="24" fillId="0" borderId="0"/>
  </cellStyleXfs>
  <cellXfs count="286">
    <xf numFmtId="0" fontId="0" fillId="0" borderId="0" xfId="0"/>
    <xf numFmtId="0" fontId="3" fillId="0" borderId="0" xfId="4" applyFont="1" applyFill="1" applyBorder="1" applyAlignment="1"/>
    <xf numFmtId="0" fontId="4" fillId="0" borderId="0" xfId="4" applyFont="1" applyFill="1" applyBorder="1" applyAlignment="1">
      <alignment horizontal="right"/>
    </xf>
    <xf numFmtId="10" fontId="4" fillId="0" borderId="0" xfId="6" applyNumberFormat="1" applyFont="1" applyFill="1" applyBorder="1" applyAlignment="1"/>
    <xf numFmtId="3" fontId="5" fillId="0" borderId="0" xfId="4" applyNumberFormat="1" applyFont="1" applyFill="1" applyBorder="1" applyAlignment="1" applyProtection="1">
      <protection locked="0"/>
    </xf>
    <xf numFmtId="3" fontId="5" fillId="0" borderId="0" xfId="4" applyNumberFormat="1" applyFont="1" applyFill="1" applyBorder="1" applyAlignment="1" applyProtection="1">
      <alignment horizontal="center"/>
      <protection locked="0"/>
    </xf>
    <xf numFmtId="3" fontId="4" fillId="0" borderId="0" xfId="4" applyNumberFormat="1" applyFont="1" applyFill="1" applyBorder="1" applyAlignment="1" applyProtection="1">
      <protection locked="0"/>
    </xf>
    <xf numFmtId="0" fontId="4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center" wrapText="1"/>
    </xf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164" fontId="6" fillId="0" borderId="0" xfId="2" applyNumberFormat="1" applyFont="1" applyAlignment="1">
      <alignment horizontal="center"/>
    </xf>
    <xf numFmtId="6" fontId="6" fillId="0" borderId="0" xfId="2" applyNumberFormat="1" applyFont="1"/>
    <xf numFmtId="0" fontId="6" fillId="0" borderId="0" xfId="2" applyFont="1" applyFill="1"/>
    <xf numFmtId="165" fontId="6" fillId="0" borderId="0" xfId="3" applyNumberFormat="1" applyFont="1"/>
    <xf numFmtId="166" fontId="7" fillId="0" borderId="0" xfId="2" applyNumberFormat="1" applyFont="1"/>
    <xf numFmtId="165" fontId="7" fillId="0" borderId="0" xfId="3" applyNumberFormat="1" applyFont="1"/>
    <xf numFmtId="14" fontId="6" fillId="0" borderId="0" xfId="2" applyNumberFormat="1" applyFont="1"/>
    <xf numFmtId="0" fontId="6" fillId="0" borderId="0" xfId="2" applyFont="1" applyFill="1" applyAlignment="1"/>
    <xf numFmtId="0" fontId="8" fillId="0" borderId="0" xfId="2" applyFont="1"/>
    <xf numFmtId="0" fontId="8" fillId="0" borderId="0" xfId="2" applyFont="1" applyAlignment="1">
      <alignment wrapText="1"/>
    </xf>
    <xf numFmtId="43" fontId="6" fillId="0" borderId="0" xfId="10" applyFont="1"/>
    <xf numFmtId="0" fontId="6" fillId="0" borderId="0" xfId="2" applyFont="1" applyAlignment="1">
      <alignment horizontal="left"/>
    </xf>
    <xf numFmtId="0" fontId="6" fillId="0" borderId="0" xfId="0" applyFont="1"/>
    <xf numFmtId="0" fontId="7" fillId="2" borderId="0" xfId="0" applyFont="1" applyFill="1" applyAlignment="1">
      <alignment horizontal="center" wrapText="1"/>
    </xf>
    <xf numFmtId="6" fontId="6" fillId="0" borderId="0" xfId="2" applyNumberFormat="1" applyFont="1" applyFill="1"/>
    <xf numFmtId="0" fontId="7" fillId="0" borderId="0" xfId="2" applyFont="1" applyFill="1"/>
    <xf numFmtId="165" fontId="6" fillId="0" borderId="0" xfId="3" applyNumberFormat="1" applyFont="1" applyFill="1"/>
    <xf numFmtId="15" fontId="6" fillId="0" borderId="0" xfId="0" applyNumberFormat="1" applyFont="1"/>
    <xf numFmtId="6" fontId="6" fillId="0" borderId="0" xfId="2" applyNumberFormat="1" applyFont="1" applyAlignment="1">
      <alignment horizontal="center" vertical="center" wrapText="1"/>
    </xf>
    <xf numFmtId="0" fontId="6" fillId="0" borderId="0" xfId="0" applyFont="1" applyFill="1"/>
    <xf numFmtId="169" fontId="6" fillId="0" borderId="0" xfId="1" applyNumberFormat="1" applyFont="1" applyFill="1"/>
    <xf numFmtId="0" fontId="0" fillId="0" borderId="0" xfId="0" applyFill="1"/>
    <xf numFmtId="167" fontId="6" fillId="2" borderId="0" xfId="1" applyNumberFormat="1" applyFont="1" applyFill="1"/>
    <xf numFmtId="166" fontId="7" fillId="0" borderId="0" xfId="3" applyNumberFormat="1" applyFont="1"/>
    <xf numFmtId="0" fontId="9" fillId="0" borderId="0" xfId="2" applyFont="1" applyFill="1" applyAlignment="1"/>
    <xf numFmtId="165" fontId="7" fillId="0" borderId="0" xfId="3" applyNumberFormat="1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vertical="center"/>
    </xf>
    <xf numFmtId="15" fontId="6" fillId="0" borderId="0" xfId="0" applyNumberFormat="1" applyFont="1" applyFill="1"/>
    <xf numFmtId="6" fontId="6" fillId="0" borderId="0" xfId="2" applyNumberFormat="1" applyFont="1" applyFill="1" applyAlignment="1">
      <alignment horizontal="center" vertical="center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11" fillId="0" borderId="0" xfId="4" applyFont="1" applyFill="1" applyBorder="1" applyAlignment="1">
      <alignment horizontal="center"/>
    </xf>
    <xf numFmtId="0" fontId="12" fillId="0" borderId="0" xfId="4" applyFont="1" applyFill="1" applyBorder="1" applyAlignment="1">
      <alignment horizontal="center"/>
    </xf>
    <xf numFmtId="164" fontId="5" fillId="0" borderId="0" xfId="5" applyNumberFormat="1" applyFont="1" applyFill="1" applyBorder="1" applyAlignment="1">
      <alignment horizontal="center"/>
    </xf>
    <xf numFmtId="0" fontId="5" fillId="0" borderId="4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fill"/>
    </xf>
    <xf numFmtId="0" fontId="5" fillId="0" borderId="0" xfId="4" applyFont="1" applyFill="1" applyBorder="1" applyAlignment="1"/>
    <xf numFmtId="168" fontId="5" fillId="0" borderId="0" xfId="4" applyNumberFormat="1" applyFont="1" applyFill="1" applyBorder="1" applyAlignment="1">
      <alignment horizontal="center"/>
    </xf>
    <xf numFmtId="37" fontId="4" fillId="0" borderId="0" xfId="4" applyNumberFormat="1" applyFont="1" applyFill="1" applyBorder="1" applyAlignment="1"/>
    <xf numFmtId="37" fontId="4" fillId="0" borderId="0" xfId="4" applyNumberFormat="1" applyFont="1" applyFill="1" applyBorder="1" applyAlignment="1">
      <alignment horizontal="fill"/>
    </xf>
    <xf numFmtId="0" fontId="5" fillId="0" borderId="0" xfId="4" applyFont="1" applyFill="1" applyBorder="1" applyAlignment="1">
      <alignment horizontal="left"/>
    </xf>
    <xf numFmtId="3" fontId="5" fillId="0" borderId="0" xfId="4" applyNumberFormat="1" applyFont="1" applyFill="1" applyBorder="1" applyAlignment="1">
      <alignment horizontal="center"/>
    </xf>
    <xf numFmtId="37" fontId="4" fillId="0" borderId="1" xfId="4" applyNumberFormat="1" applyFont="1" applyFill="1" applyBorder="1" applyAlignment="1"/>
    <xf numFmtId="37" fontId="5" fillId="0" borderId="1" xfId="4" applyNumberFormat="1" applyFont="1" applyFill="1" applyBorder="1" applyAlignment="1"/>
    <xf numFmtId="169" fontId="5" fillId="0" borderId="0" xfId="4" applyNumberFormat="1" applyFont="1" applyFill="1" applyBorder="1" applyAlignment="1"/>
    <xf numFmtId="6" fontId="6" fillId="0" borderId="0" xfId="0" applyNumberFormat="1" applyFont="1"/>
    <xf numFmtId="37" fontId="4" fillId="0" borderId="4" xfId="4" applyNumberFormat="1" applyFont="1" applyFill="1" applyBorder="1" applyAlignment="1"/>
    <xf numFmtId="0" fontId="14" fillId="0" borderId="0" xfId="0" applyFont="1" applyFill="1"/>
    <xf numFmtId="0" fontId="7" fillId="0" borderId="0" xfId="2" quotePrefix="1" applyFont="1" applyFill="1"/>
    <xf numFmtId="0" fontId="6" fillId="0" borderId="0" xfId="2" applyFont="1" applyFill="1" applyAlignment="1">
      <alignment horizontal="center"/>
    </xf>
    <xf numFmtId="0" fontId="7" fillId="0" borderId="0" xfId="2" applyFont="1" applyAlignment="1">
      <alignment horizontal="center" wrapText="1"/>
    </xf>
    <xf numFmtId="0" fontId="2" fillId="0" borderId="0" xfId="12" applyAlignment="1">
      <alignment horizontal="center"/>
    </xf>
    <xf numFmtId="0" fontId="2" fillId="0" borderId="0" xfId="12"/>
    <xf numFmtId="0" fontId="2" fillId="0" borderId="0" xfId="12" applyFont="1"/>
    <xf numFmtId="0" fontId="2" fillId="0" borderId="0" xfId="12" applyBorder="1" applyAlignment="1">
      <alignment horizontal="center"/>
    </xf>
    <xf numFmtId="0" fontId="2" fillId="0" borderId="0" xfId="12" applyBorder="1"/>
    <xf numFmtId="49" fontId="17" fillId="0" borderId="2" xfId="13" applyNumberFormat="1" applyBorder="1" applyAlignment="1">
      <alignment horizontal="center" wrapText="1"/>
    </xf>
    <xf numFmtId="49" fontId="17" fillId="4" borderId="6" xfId="13" applyNumberFormat="1" applyFill="1" applyBorder="1" applyAlignment="1">
      <alignment wrapText="1"/>
    </xf>
    <xf numFmtId="49" fontId="17" fillId="0" borderId="11" xfId="13" applyNumberFormat="1" applyBorder="1" applyAlignment="1">
      <alignment horizontal="center" wrapText="1"/>
    </xf>
    <xf numFmtId="49" fontId="17" fillId="4" borderId="12" xfId="13" applyNumberFormat="1" applyFill="1" applyBorder="1" applyAlignment="1">
      <alignment wrapText="1"/>
    </xf>
    <xf numFmtId="49" fontId="17" fillId="0" borderId="12" xfId="13" applyNumberFormat="1" applyBorder="1" applyAlignment="1">
      <alignment horizontal="center" wrapText="1"/>
    </xf>
    <xf numFmtId="49" fontId="17" fillId="0" borderId="2" xfId="13" applyNumberFormat="1" applyFill="1" applyBorder="1" applyAlignment="1">
      <alignment wrapText="1"/>
    </xf>
    <xf numFmtId="0" fontId="17" fillId="4" borderId="12" xfId="13" applyFill="1" applyBorder="1"/>
    <xf numFmtId="0" fontId="17" fillId="0" borderId="12" xfId="13" applyBorder="1" applyAlignment="1">
      <alignment horizontal="center"/>
    </xf>
    <xf numFmtId="0" fontId="17" fillId="4" borderId="12" xfId="13" applyFill="1" applyBorder="1" applyAlignment="1">
      <alignment horizontal="center"/>
    </xf>
    <xf numFmtId="0" fontId="17" fillId="0" borderId="12" xfId="13" applyBorder="1"/>
    <xf numFmtId="49" fontId="17" fillId="0" borderId="13" xfId="13" applyNumberFormat="1" applyBorder="1" applyAlignment="1">
      <alignment horizontal="center" wrapText="1"/>
    </xf>
    <xf numFmtId="49" fontId="17" fillId="0" borderId="15" xfId="13" applyNumberFormat="1" applyBorder="1" applyAlignment="1">
      <alignment horizontal="center" wrapText="1"/>
    </xf>
    <xf numFmtId="49" fontId="17" fillId="4" borderId="0" xfId="13" applyNumberFormat="1" applyFill="1" applyBorder="1" applyAlignment="1">
      <alignment wrapText="1"/>
    </xf>
    <xf numFmtId="49" fontId="17" fillId="0" borderId="0" xfId="13" applyNumberFormat="1" applyBorder="1" applyAlignment="1">
      <alignment horizontal="center" wrapText="1"/>
    </xf>
    <xf numFmtId="49" fontId="17" fillId="0" borderId="16" xfId="13" applyNumberFormat="1" applyFill="1" applyBorder="1" applyAlignment="1">
      <alignment wrapText="1"/>
    </xf>
    <xf numFmtId="0" fontId="17" fillId="4" borderId="0" xfId="13" applyFill="1" applyBorder="1"/>
    <xf numFmtId="0" fontId="17" fillId="0" borderId="0" xfId="13" applyBorder="1" applyAlignment="1">
      <alignment horizontal="center"/>
    </xf>
    <xf numFmtId="0" fontId="17" fillId="4" borderId="0" xfId="13" applyFill="1" applyBorder="1" applyAlignment="1">
      <alignment horizontal="center"/>
    </xf>
    <xf numFmtId="0" fontId="17" fillId="0" borderId="0" xfId="13" applyBorder="1"/>
    <xf numFmtId="49" fontId="17" fillId="0" borderId="14" xfId="13" applyNumberFormat="1" applyBorder="1" applyAlignment="1">
      <alignment horizontal="center" wrapText="1"/>
    </xf>
    <xf numFmtId="0" fontId="17" fillId="0" borderId="17" xfId="13" applyBorder="1" applyAlignment="1">
      <alignment horizontal="center"/>
    </xf>
    <xf numFmtId="0" fontId="17" fillId="4" borderId="6" xfId="13" applyFill="1" applyBorder="1"/>
    <xf numFmtId="0" fontId="17" fillId="0" borderId="6" xfId="13" applyBorder="1"/>
    <xf numFmtId="0" fontId="17" fillId="0" borderId="17" xfId="13" applyFill="1" applyBorder="1"/>
    <xf numFmtId="0" fontId="17" fillId="0" borderId="7" xfId="13" applyBorder="1"/>
    <xf numFmtId="0" fontId="0" fillId="0" borderId="16" xfId="13" applyFont="1" applyBorder="1" applyAlignment="1">
      <alignment horizontal="center"/>
    </xf>
    <xf numFmtId="0" fontId="17" fillId="0" borderId="16" xfId="13" applyFill="1" applyBorder="1"/>
    <xf numFmtId="0" fontId="0" fillId="0" borderId="0" xfId="13" applyFont="1" applyBorder="1"/>
    <xf numFmtId="49" fontId="17" fillId="0" borderId="0" xfId="13" applyNumberFormat="1" applyFill="1" applyBorder="1" applyAlignment="1">
      <alignment wrapText="1"/>
    </xf>
    <xf numFmtId="0" fontId="2" fillId="0" borderId="16" xfId="13" applyFont="1" applyBorder="1" applyAlignment="1">
      <alignment horizontal="center"/>
    </xf>
    <xf numFmtId="0" fontId="0" fillId="0" borderId="0" xfId="13" applyFont="1" applyBorder="1" applyAlignment="1">
      <alignment horizontal="center"/>
    </xf>
    <xf numFmtId="0" fontId="17" fillId="0" borderId="14" xfId="13" applyBorder="1"/>
    <xf numFmtId="0" fontId="0" fillId="0" borderId="18" xfId="13" applyFont="1" applyBorder="1" applyAlignment="1">
      <alignment horizontal="center"/>
    </xf>
    <xf numFmtId="0" fontId="17" fillId="4" borderId="8" xfId="13" applyFill="1" applyBorder="1"/>
    <xf numFmtId="0" fontId="17" fillId="0" borderId="8" xfId="13" applyBorder="1"/>
    <xf numFmtId="0" fontId="17" fillId="0" borderId="18" xfId="13" applyFill="1" applyBorder="1"/>
    <xf numFmtId="0" fontId="17" fillId="0" borderId="9" xfId="13" applyBorder="1"/>
    <xf numFmtId="0" fontId="2" fillId="0" borderId="15" xfId="12" applyBorder="1" applyAlignment="1">
      <alignment horizontal="center"/>
    </xf>
    <xf numFmtId="0" fontId="2" fillId="4" borderId="0" xfId="12" applyFill="1" applyBorder="1"/>
    <xf numFmtId="0" fontId="2" fillId="4" borderId="0" xfId="12" applyFill="1" applyBorder="1" applyAlignment="1">
      <alignment horizontal="center"/>
    </xf>
    <xf numFmtId="0" fontId="2" fillId="0" borderId="14" xfId="12" applyBorder="1"/>
    <xf numFmtId="0" fontId="2" fillId="0" borderId="0" xfId="12" applyFill="1" applyBorder="1" applyAlignment="1">
      <alignment horizontal="center"/>
    </xf>
    <xf numFmtId="0" fontId="2" fillId="0" borderId="0" xfId="12" applyFill="1" applyBorder="1"/>
    <xf numFmtId="0" fontId="23" fillId="0" borderId="0" xfId="12" applyFont="1" applyFill="1" applyBorder="1" applyAlignment="1">
      <alignment horizontal="center"/>
    </xf>
    <xf numFmtId="0" fontId="2" fillId="0" borderId="0" xfId="12" applyFill="1"/>
    <xf numFmtId="0" fontId="17" fillId="0" borderId="0" xfId="13"/>
    <xf numFmtId="0" fontId="0" fillId="0" borderId="0" xfId="13" applyFont="1"/>
    <xf numFmtId="0" fontId="2" fillId="0" borderId="0" xfId="13" applyFont="1"/>
    <xf numFmtId="0" fontId="2" fillId="0" borderId="0" xfId="12" applyFont="1" applyAlignment="1">
      <alignment horizontal="center"/>
    </xf>
    <xf numFmtId="0" fontId="17" fillId="0" borderId="0" xfId="13" applyAlignment="1">
      <alignment horizontal="center"/>
    </xf>
    <xf numFmtId="0" fontId="2" fillId="0" borderId="0" xfId="13" applyFont="1" applyAlignment="1">
      <alignment horizontal="center"/>
    </xf>
    <xf numFmtId="37" fontId="2" fillId="0" borderId="0" xfId="13" applyNumberFormat="1" applyFont="1" applyFill="1" applyBorder="1" applyAlignment="1">
      <alignment horizontal="center"/>
    </xf>
    <xf numFmtId="0" fontId="2" fillId="0" borderId="0" xfId="13" applyFont="1" applyFill="1" applyBorder="1"/>
    <xf numFmtId="49" fontId="2" fillId="0" borderId="0" xfId="12" applyNumberFormat="1" applyBorder="1" applyAlignment="1">
      <alignment horizontal="center" wrapText="1"/>
    </xf>
    <xf numFmtId="10" fontId="2" fillId="0" borderId="0" xfId="12" applyNumberFormat="1" applyBorder="1"/>
    <xf numFmtId="0" fontId="24" fillId="0" borderId="0" xfId="14"/>
    <xf numFmtId="174" fontId="2" fillId="0" borderId="0" xfId="12" applyNumberFormat="1" applyBorder="1"/>
    <xf numFmtId="10" fontId="22" fillId="0" borderId="0" xfId="12" applyNumberFormat="1" applyFont="1" applyBorder="1" applyAlignment="1">
      <alignment horizontal="center" wrapText="1"/>
    </xf>
    <xf numFmtId="0" fontId="22" fillId="0" borderId="0" xfId="13" applyFont="1" applyFill="1" applyBorder="1" applyAlignment="1">
      <alignment horizontal="center"/>
    </xf>
    <xf numFmtId="0" fontId="17" fillId="0" borderId="0" xfId="13" applyFill="1" applyBorder="1"/>
    <xf numFmtId="10" fontId="17" fillId="0" borderId="0" xfId="13" applyNumberFormat="1" applyFill="1" applyBorder="1"/>
    <xf numFmtId="0" fontId="17" fillId="0" borderId="0" xfId="13" applyFill="1" applyBorder="1" applyAlignment="1">
      <alignment horizontal="center"/>
    </xf>
    <xf numFmtId="0" fontId="17" fillId="0" borderId="0" xfId="13" applyFill="1"/>
    <xf numFmtId="49" fontId="2" fillId="0" borderId="0" xfId="13" applyNumberFormat="1" applyFont="1" applyFill="1" applyBorder="1" applyAlignment="1">
      <alignment horizontal="center" wrapText="1"/>
    </xf>
    <xf numFmtId="37" fontId="17" fillId="0" borderId="0" xfId="13" applyNumberFormat="1" applyFill="1" applyBorder="1" applyAlignment="1">
      <alignment horizontal="center"/>
    </xf>
    <xf numFmtId="49" fontId="18" fillId="0" borderId="0" xfId="13" applyNumberFormat="1" applyFont="1" applyFill="1" applyBorder="1" applyAlignment="1">
      <alignment horizontal="center" wrapText="1"/>
    </xf>
    <xf numFmtId="49" fontId="17" fillId="0" borderId="0" xfId="13" applyNumberFormat="1" applyFill="1" applyBorder="1" applyAlignment="1">
      <alignment horizontal="center" wrapText="1"/>
    </xf>
    <xf numFmtId="0" fontId="17" fillId="0" borderId="6" xfId="13" applyFill="1" applyBorder="1"/>
    <xf numFmtId="5" fontId="19" fillId="0" borderId="0" xfId="13" applyNumberFormat="1" applyFont="1" applyFill="1" applyBorder="1"/>
    <xf numFmtId="10" fontId="17" fillId="2" borderId="0" xfId="13" applyNumberFormat="1" applyFill="1" applyBorder="1"/>
    <xf numFmtId="170" fontId="19" fillId="0" borderId="0" xfId="13" applyNumberFormat="1" applyFont="1" applyFill="1" applyBorder="1"/>
    <xf numFmtId="172" fontId="17" fillId="2" borderId="0" xfId="13" applyNumberFormat="1" applyFill="1" applyBorder="1" applyAlignment="1">
      <alignment horizontal="center"/>
    </xf>
    <xf numFmtId="170" fontId="18" fillId="0" borderId="0" xfId="13" applyNumberFormat="1" applyFont="1" applyFill="1" applyBorder="1"/>
    <xf numFmtId="172" fontId="18" fillId="2" borderId="0" xfId="13" applyNumberFormat="1" applyFont="1" applyFill="1" applyBorder="1" applyAlignment="1">
      <alignment horizontal="center"/>
    </xf>
    <xf numFmtId="170" fontId="17" fillId="2" borderId="0" xfId="13" applyNumberFormat="1" applyFill="1" applyBorder="1"/>
    <xf numFmtId="170" fontId="20" fillId="0" borderId="0" xfId="13" applyNumberFormat="1" applyFont="1" applyFill="1" applyBorder="1"/>
    <xf numFmtId="5" fontId="21" fillId="0" borderId="0" xfId="13" applyNumberFormat="1" applyFont="1" applyFill="1" applyBorder="1"/>
    <xf numFmtId="10" fontId="22" fillId="2" borderId="0" xfId="13" applyNumberFormat="1" applyFont="1" applyFill="1" applyBorder="1"/>
    <xf numFmtId="171" fontId="17" fillId="0" borderId="0" xfId="9" applyNumberFormat="1" applyFont="1" applyFill="1" applyBorder="1"/>
    <xf numFmtId="171" fontId="17" fillId="0" borderId="0" xfId="9" applyNumberFormat="1" applyFont="1" applyFill="1" applyBorder="1" applyAlignment="1">
      <alignment horizontal="right"/>
    </xf>
    <xf numFmtId="171" fontId="17" fillId="0" borderId="0" xfId="9" applyNumberFormat="1" applyFont="1" applyFill="1" applyAlignment="1">
      <alignment horizontal="right"/>
    </xf>
    <xf numFmtId="173" fontId="17" fillId="0" borderId="0" xfId="13" applyNumberFormat="1" applyFill="1"/>
    <xf numFmtId="0" fontId="0" fillId="0" borderId="0" xfId="13" applyFont="1" applyFill="1"/>
    <xf numFmtId="173" fontId="17" fillId="2" borderId="0" xfId="13" applyNumberFormat="1" applyFill="1"/>
    <xf numFmtId="0" fontId="17" fillId="2" borderId="0" xfId="13" applyFill="1"/>
    <xf numFmtId="171" fontId="17" fillId="2" borderId="0" xfId="9" applyNumberFormat="1" applyFont="1" applyFill="1" applyAlignment="1">
      <alignment horizontal="right"/>
    </xf>
    <xf numFmtId="171" fontId="17" fillId="0" borderId="0" xfId="9" applyNumberFormat="1" applyFont="1" applyAlignment="1">
      <alignment horizontal="right"/>
    </xf>
    <xf numFmtId="169" fontId="17" fillId="0" borderId="0" xfId="1" applyNumberFormat="1" applyFont="1" applyFill="1"/>
    <xf numFmtId="171" fontId="17" fillId="2" borderId="0" xfId="9" applyNumberFormat="1" applyFont="1" applyFill="1" applyAlignment="1">
      <alignment horizontal="right" vertical="center"/>
    </xf>
    <xf numFmtId="0" fontId="17" fillId="0" borderId="0" xfId="13" applyAlignment="1">
      <alignment horizontal="right"/>
    </xf>
    <xf numFmtId="172" fontId="17" fillId="2" borderId="0" xfId="13" applyNumberFormat="1" applyFill="1"/>
    <xf numFmtId="173" fontId="17" fillId="2" borderId="0" xfId="13" applyNumberFormat="1" applyFill="1" applyAlignment="1">
      <alignment horizontal="right"/>
    </xf>
    <xf numFmtId="49" fontId="17" fillId="0" borderId="16" xfId="13" applyNumberFormat="1" applyBorder="1" applyAlignment="1">
      <alignment horizontal="center" wrapText="1"/>
    </xf>
    <xf numFmtId="0" fontId="17" fillId="0" borderId="17" xfId="13" applyBorder="1"/>
    <xf numFmtId="10" fontId="17" fillId="2" borderId="16" xfId="13" applyNumberFormat="1" applyFill="1" applyBorder="1"/>
    <xf numFmtId="170" fontId="17" fillId="0" borderId="16" xfId="13" applyNumberFormat="1" applyBorder="1"/>
    <xf numFmtId="10" fontId="22" fillId="0" borderId="16" xfId="13" applyNumberFormat="1" applyFont="1" applyBorder="1"/>
    <xf numFmtId="0" fontId="17" fillId="0" borderId="16" xfId="13" applyBorder="1"/>
    <xf numFmtId="0" fontId="17" fillId="0" borderId="18" xfId="13" applyBorder="1"/>
    <xf numFmtId="167" fontId="6" fillId="0" borderId="0" xfId="1" applyNumberFormat="1" applyFont="1" applyFill="1"/>
    <xf numFmtId="0" fontId="7" fillId="0" borderId="0" xfId="0" applyFont="1" applyFill="1"/>
    <xf numFmtId="164" fontId="6" fillId="0" borderId="0" xfId="2" applyNumberFormat="1" applyFont="1" applyFill="1" applyAlignment="1">
      <alignment horizontal="center"/>
    </xf>
    <xf numFmtId="10" fontId="17" fillId="2" borderId="14" xfId="13" applyNumberFormat="1" applyFill="1" applyBorder="1"/>
    <xf numFmtId="10" fontId="22" fillId="2" borderId="14" xfId="13" applyNumberFormat="1" applyFont="1" applyFill="1" applyBorder="1" applyAlignment="1">
      <alignment horizontal="right" wrapText="1"/>
    </xf>
    <xf numFmtId="0" fontId="2" fillId="0" borderId="0" xfId="4" applyFill="1"/>
    <xf numFmtId="0" fontId="12" fillId="0" borderId="2" xfId="4" applyFont="1" applyFill="1" applyBorder="1" applyAlignment="1">
      <alignment horizontal="center"/>
    </xf>
    <xf numFmtId="3" fontId="5" fillId="0" borderId="0" xfId="4" quotePrefix="1" applyNumberFormat="1" applyFont="1" applyFill="1" applyBorder="1" applyAlignment="1" applyProtection="1">
      <alignment horizontal="center"/>
      <protection locked="0"/>
    </xf>
    <xf numFmtId="0" fontId="13" fillId="0" borderId="3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9" fontId="5" fillId="0" borderId="0" xfId="6" applyFont="1" applyFill="1" applyBorder="1" applyAlignment="1">
      <alignment horizontal="right"/>
    </xf>
    <xf numFmtId="0" fontId="5" fillId="0" borderId="0" xfId="4" applyFont="1" applyFill="1" applyBorder="1" applyAlignment="1">
      <alignment horizontal="right"/>
    </xf>
    <xf numFmtId="37" fontId="14" fillId="0" borderId="0" xfId="0" applyNumberFormat="1" applyFont="1" applyFill="1"/>
    <xf numFmtId="10" fontId="4" fillId="0" borderId="4" xfId="4" applyNumberFormat="1" applyFont="1" applyFill="1" applyBorder="1" applyAlignment="1"/>
    <xf numFmtId="164" fontId="14" fillId="0" borderId="0" xfId="0" applyNumberFormat="1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37" fontId="16" fillId="0" borderId="0" xfId="0" applyNumberFormat="1" applyFont="1" applyFill="1"/>
    <xf numFmtId="0" fontId="16" fillId="0" borderId="0" xfId="0" applyFont="1" applyFill="1"/>
    <xf numFmtId="37" fontId="16" fillId="0" borderId="10" xfId="0" applyNumberFormat="1" applyFont="1" applyFill="1" applyBorder="1"/>
    <xf numFmtId="170" fontId="14" fillId="0" borderId="0" xfId="1" applyNumberFormat="1" applyFont="1" applyFill="1"/>
    <xf numFmtId="170" fontId="16" fillId="0" borderId="0" xfId="1" applyNumberFormat="1" applyFont="1" applyFill="1"/>
    <xf numFmtId="37" fontId="16" fillId="0" borderId="5" xfId="0" applyNumberFormat="1" applyFont="1" applyFill="1" applyBorder="1"/>
    <xf numFmtId="170" fontId="4" fillId="0" borderId="0" xfId="6" applyNumberFormat="1" applyFont="1" applyFill="1" applyBorder="1" applyAlignment="1" applyProtection="1">
      <protection locked="0"/>
    </xf>
    <xf numFmtId="0" fontId="15" fillId="0" borderId="0" xfId="4" applyFont="1" applyFill="1"/>
    <xf numFmtId="0" fontId="6" fillId="0" borderId="0" xfId="2" applyFont="1" applyFill="1" applyBorder="1"/>
    <xf numFmtId="6" fontId="6" fillId="0" borderId="0" xfId="2" applyNumberFormat="1" applyFont="1" applyFill="1" applyBorder="1"/>
    <xf numFmtId="165" fontId="6" fillId="0" borderId="0" xfId="3" applyNumberFormat="1" applyFont="1" applyFill="1" applyBorder="1"/>
    <xf numFmtId="0" fontId="7" fillId="0" borderId="0" xfId="2" applyFont="1" applyAlignment="1">
      <alignment horizontal="center" wrapText="1"/>
    </xf>
    <xf numFmtId="0" fontId="10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6" fontId="7" fillId="0" borderId="0" xfId="2" applyNumberFormat="1" applyFont="1" applyFill="1" applyBorder="1"/>
    <xf numFmtId="6" fontId="6" fillId="0" borderId="0" xfId="2" applyNumberFormat="1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175" fontId="6" fillId="3" borderId="3" xfId="11" applyNumberFormat="1" applyFont="1" applyFill="1" applyBorder="1"/>
    <xf numFmtId="175" fontId="6" fillId="0" borderId="0" xfId="0" applyNumberFormat="1" applyFont="1"/>
    <xf numFmtId="17" fontId="7" fillId="0" borderId="3" xfId="0" applyNumberFormat="1" applyFont="1" applyBorder="1" applyAlignment="1">
      <alignment horizontal="center"/>
    </xf>
    <xf numFmtId="0" fontId="6" fillId="0" borderId="0" xfId="0" applyFont="1" applyBorder="1"/>
    <xf numFmtId="17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75" fontId="6" fillId="5" borderId="3" xfId="11" applyNumberFormat="1" applyFont="1" applyFill="1" applyBorder="1"/>
    <xf numFmtId="6" fontId="6" fillId="0" borderId="0" xfId="2" applyNumberFormat="1" applyFont="1" applyFill="1" applyBorder="1" applyAlignment="1">
      <alignment horizontal="center" vertical="center" wrapText="1"/>
    </xf>
    <xf numFmtId="10" fontId="6" fillId="0" borderId="0" xfId="1" applyNumberFormat="1" applyFont="1" applyFill="1" applyAlignment="1">
      <alignment horizontal="center"/>
    </xf>
    <xf numFmtId="167" fontId="6" fillId="0" borderId="0" xfId="1" applyNumberFormat="1" applyFont="1" applyFill="1" applyAlignment="1">
      <alignment horizontal="center"/>
    </xf>
    <xf numFmtId="165" fontId="6" fillId="0" borderId="0" xfId="2" applyNumberFormat="1" applyFont="1" applyFill="1"/>
    <xf numFmtId="10" fontId="6" fillId="0" borderId="0" xfId="1" applyNumberFormat="1" applyFont="1" applyFill="1" applyBorder="1" applyAlignment="1">
      <alignment horizontal="center"/>
    </xf>
    <xf numFmtId="167" fontId="6" fillId="0" borderId="0" xfId="1" applyNumberFormat="1" applyFont="1" applyFill="1" applyBorder="1" applyAlignment="1">
      <alignment horizontal="center"/>
    </xf>
    <xf numFmtId="8" fontId="6" fillId="0" borderId="0" xfId="2" applyNumberFormat="1" applyFont="1" applyFill="1" applyAlignment="1">
      <alignment horizontal="center"/>
    </xf>
    <xf numFmtId="165" fontId="6" fillId="0" borderId="0" xfId="3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0" fontId="9" fillId="6" borderId="3" xfId="4" applyFont="1" applyFill="1" applyBorder="1" applyAlignment="1">
      <alignment horizontal="center"/>
    </xf>
    <xf numFmtId="175" fontId="6" fillId="2" borderId="3" xfId="11" applyNumberFormat="1" applyFont="1" applyFill="1" applyBorder="1"/>
    <xf numFmtId="0" fontId="6" fillId="0" borderId="0" xfId="0" applyFont="1" applyFill="1" applyBorder="1"/>
    <xf numFmtId="176" fontId="6" fillId="0" borderId="0" xfId="11" applyNumberFormat="1" applyFont="1" applyFill="1" applyBorder="1"/>
    <xf numFmtId="44" fontId="6" fillId="0" borderId="0" xfId="0" applyNumberFormat="1" applyFont="1" applyFill="1" applyBorder="1"/>
    <xf numFmtId="165" fontId="6" fillId="0" borderId="0" xfId="2" applyNumberFormat="1" applyFont="1"/>
    <xf numFmtId="166" fontId="6" fillId="0" borderId="0" xfId="2" applyNumberFormat="1" applyFont="1" applyFill="1"/>
    <xf numFmtId="0" fontId="7" fillId="0" borderId="0" xfId="2" quotePrefix="1" applyFont="1" applyFill="1" applyBorder="1"/>
    <xf numFmtId="165" fontId="6" fillId="0" borderId="0" xfId="2" applyNumberFormat="1" applyFont="1" applyFill="1" applyBorder="1"/>
    <xf numFmtId="175" fontId="6" fillId="3" borderId="19" xfId="11" applyNumberFormat="1" applyFont="1" applyFill="1" applyBorder="1"/>
    <xf numFmtId="0" fontId="7" fillId="0" borderId="2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/>
    <xf numFmtId="14" fontId="5" fillId="0" borderId="0" xfId="4" quotePrefix="1" applyNumberFormat="1" applyFont="1" applyFill="1" applyBorder="1" applyAlignment="1" applyProtection="1">
      <alignment horizontal="center"/>
      <protection locked="0"/>
    </xf>
    <xf numFmtId="0" fontId="10" fillId="0" borderId="0" xfId="2" applyFont="1" applyFill="1" applyBorder="1" applyAlignment="1">
      <alignment horizontal="center" vertical="center"/>
    </xf>
    <xf numFmtId="0" fontId="7" fillId="0" borderId="0" xfId="2" applyFont="1" applyAlignment="1">
      <alignment horizontal="center" wrapText="1"/>
    </xf>
    <xf numFmtId="0" fontId="10" fillId="0" borderId="0" xfId="2" applyFont="1" applyFill="1" applyBorder="1" applyAlignment="1">
      <alignment horizontal="center" vertical="center"/>
    </xf>
    <xf numFmtId="0" fontId="0" fillId="0" borderId="0" xfId="0" applyBorder="1"/>
    <xf numFmtId="165" fontId="6" fillId="0" borderId="0" xfId="2" applyNumberFormat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4" fontId="6" fillId="0" borderId="0" xfId="2" applyNumberFormat="1" applyFont="1" applyAlignment="1">
      <alignment horizontal="left"/>
    </xf>
    <xf numFmtId="165" fontId="7" fillId="0" borderId="0" xfId="2" applyNumberFormat="1" applyFont="1" applyFill="1" applyBorder="1"/>
    <xf numFmtId="0" fontId="7" fillId="7" borderId="0" xfId="2" quotePrefix="1" applyFont="1" applyFill="1" applyBorder="1"/>
    <xf numFmtId="0" fontId="6" fillId="7" borderId="0" xfId="2" applyFont="1" applyFill="1" applyBorder="1"/>
    <xf numFmtId="6" fontId="6" fillId="7" borderId="0" xfId="2" applyNumberFormat="1" applyFont="1" applyFill="1" applyBorder="1"/>
    <xf numFmtId="0" fontId="7" fillId="7" borderId="0" xfId="2" applyFont="1" applyFill="1" applyBorder="1"/>
    <xf numFmtId="6" fontId="6" fillId="7" borderId="0" xfId="2" applyNumberFormat="1" applyFont="1" applyFill="1" applyBorder="1" applyAlignment="1">
      <alignment horizontal="center" vertical="center" wrapText="1"/>
    </xf>
    <xf numFmtId="10" fontId="6" fillId="7" borderId="0" xfId="1" applyNumberFormat="1" applyFont="1" applyFill="1" applyBorder="1" applyAlignment="1">
      <alignment horizontal="center"/>
    </xf>
    <xf numFmtId="165" fontId="6" fillId="7" borderId="0" xfId="3" applyNumberFormat="1" applyFont="1" applyFill="1" applyBorder="1"/>
    <xf numFmtId="167" fontId="6" fillId="7" borderId="0" xfId="1" applyNumberFormat="1" applyFont="1" applyFill="1" applyBorder="1" applyAlignment="1">
      <alignment horizontal="center"/>
    </xf>
    <xf numFmtId="165" fontId="6" fillId="7" borderId="0" xfId="2" applyNumberFormat="1" applyFont="1" applyFill="1" applyBorder="1"/>
    <xf numFmtId="165" fontId="6" fillId="7" borderId="0" xfId="2" applyNumberFormat="1" applyFont="1" applyFill="1" applyBorder="1" applyAlignment="1">
      <alignment horizontal="left" vertical="center" wrapText="1"/>
    </xf>
    <xf numFmtId="165" fontId="6" fillId="7" borderId="0" xfId="2" applyNumberFormat="1" applyFont="1" applyFill="1" applyBorder="1" applyAlignment="1">
      <alignment vertical="center"/>
    </xf>
    <xf numFmtId="0" fontId="7" fillId="0" borderId="4" xfId="2" quotePrefix="1" applyFont="1" applyFill="1" applyBorder="1"/>
    <xf numFmtId="0" fontId="6" fillId="0" borderId="4" xfId="2" applyFont="1" applyFill="1" applyBorder="1"/>
    <xf numFmtId="6" fontId="6" fillId="0" borderId="4" xfId="2" applyNumberFormat="1" applyFont="1" applyFill="1" applyBorder="1"/>
    <xf numFmtId="0" fontId="7" fillId="0" borderId="4" xfId="2" applyFont="1" applyFill="1" applyBorder="1"/>
    <xf numFmtId="6" fontId="6" fillId="0" borderId="4" xfId="2" applyNumberFormat="1" applyFont="1" applyFill="1" applyBorder="1" applyAlignment="1">
      <alignment horizontal="center" vertical="center" wrapText="1"/>
    </xf>
    <xf numFmtId="10" fontId="6" fillId="0" borderId="4" xfId="1" applyNumberFormat="1" applyFont="1" applyFill="1" applyBorder="1" applyAlignment="1">
      <alignment horizontal="center"/>
    </xf>
    <xf numFmtId="165" fontId="6" fillId="0" borderId="4" xfId="3" applyNumberFormat="1" applyFont="1" applyFill="1" applyBorder="1"/>
    <xf numFmtId="167" fontId="6" fillId="0" borderId="4" xfId="1" applyNumberFormat="1" applyFont="1" applyFill="1" applyBorder="1" applyAlignment="1">
      <alignment horizontal="center"/>
    </xf>
    <xf numFmtId="165" fontId="7" fillId="0" borderId="4" xfId="2" applyNumberFormat="1" applyFont="1" applyFill="1" applyBorder="1"/>
    <xf numFmtId="0" fontId="7" fillId="0" borderId="4" xfId="0" applyFont="1" applyBorder="1" applyAlignment="1">
      <alignment horizontal="center" vertical="center" wrapText="1"/>
    </xf>
    <xf numFmtId="14" fontId="6" fillId="0" borderId="0" xfId="0" applyNumberFormat="1" applyFont="1"/>
    <xf numFmtId="0" fontId="0" fillId="0" borderId="0" xfId="0" applyBorder="1" applyAlignment="1">
      <alignment wrapText="1"/>
    </xf>
    <xf numFmtId="17" fontId="6" fillId="0" borderId="3" xfId="0" applyNumberFormat="1" applyFont="1" applyBorder="1" applyAlignment="1">
      <alignment horizontal="center"/>
    </xf>
    <xf numFmtId="176" fontId="6" fillId="0" borderId="3" xfId="11" applyNumberFormat="1" applyFont="1" applyBorder="1"/>
    <xf numFmtId="177" fontId="6" fillId="0" borderId="3" xfId="10" applyNumberFormat="1" applyFont="1" applyBorder="1"/>
    <xf numFmtId="10" fontId="6" fillId="0" borderId="3" xfId="1" applyNumberFormat="1" applyFont="1" applyBorder="1"/>
    <xf numFmtId="176" fontId="6" fillId="0" borderId="3" xfId="0" applyNumberFormat="1" applyFont="1" applyBorder="1" applyAlignment="1">
      <alignment horizontal="center"/>
    </xf>
    <xf numFmtId="10" fontId="6" fillId="0" borderId="3" xfId="1" applyNumberFormat="1" applyFont="1" applyBorder="1" applyAlignment="1">
      <alignment horizontal="center"/>
    </xf>
    <xf numFmtId="165" fontId="7" fillId="0" borderId="0" xfId="2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165" fontId="7" fillId="0" borderId="0" xfId="2" applyNumberFormat="1" applyFont="1" applyFill="1"/>
    <xf numFmtId="0" fontId="25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7" fillId="0" borderId="0" xfId="2" applyFont="1" applyAlignment="1">
      <alignment horizontal="center" wrapText="1"/>
    </xf>
    <xf numFmtId="0" fontId="10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wrapText="1"/>
    </xf>
    <xf numFmtId="0" fontId="7" fillId="0" borderId="0" xfId="2" applyFont="1" applyAlignment="1">
      <alignment horizontal="left" wrapText="1"/>
    </xf>
    <xf numFmtId="165" fontId="6" fillId="0" borderId="0" xfId="2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5">
    <cellStyle name="Comma" xfId="10" builtinId="3"/>
    <cellStyle name="Comma 10" xfId="5"/>
    <cellStyle name="Comma 2" xfId="9"/>
    <cellStyle name="Currency" xfId="11" builtinId="4"/>
    <cellStyle name="Currency 2" xfId="3"/>
    <cellStyle name="Currency 2 2" xfId="8"/>
    <cellStyle name="Normal" xfId="0" builtinId="0"/>
    <cellStyle name="Normal 2" xfId="2"/>
    <cellStyle name="Normal 2 2" xfId="13"/>
    <cellStyle name="Normal 2 2 2" xfId="4"/>
    <cellStyle name="Normal 3" xfId="12"/>
    <cellStyle name="Normal 4" xfId="7"/>
    <cellStyle name="Normal 5" xfId="14"/>
    <cellStyle name="Percent" xfId="1" builtinId="5"/>
    <cellStyle name="Percent 10" xfId="6"/>
  </cellStyles>
  <dxfs count="0"/>
  <tableStyles count="0" defaultTableStyle="TableStyleMedium2" defaultPivotStyle="PivotStyleLight16"/>
  <colors>
    <mruColors>
      <color rgb="FF0000FF"/>
      <color rgb="FFEAE1FB"/>
      <color rgb="FFFFCCFF"/>
      <color rgb="FFCC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IN_REPORTS\12C\FERC%20%20(CORP-LEVEL%20CONSOLIDATIONS)\!FERC%20%20-%20Kentucky%20Power%20Corp%20Consol\2018_3\2018_3%20%20P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Mitchell%20Plant%20Environmental%20at%20201312,%20used%20for%20BRR--Updated%20with%202014%20projec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16"/>
      <sheetName val="Pg 18"/>
      <sheetName val="Modification History"/>
    </sheetNames>
    <sheetDataSet>
      <sheetData sheetId="0"/>
      <sheetData sheetId="1">
        <row r="59">
          <cell r="C59" t="str">
            <v>2018-03-31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0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20" sqref="L20"/>
    </sheetView>
  </sheetViews>
  <sheetFormatPr defaultRowHeight="15" x14ac:dyDescent="0.25"/>
  <cols>
    <col min="1" max="1" width="2" style="238" customWidth="1"/>
    <col min="2" max="2" width="8.85546875" style="238" customWidth="1"/>
    <col min="3" max="4" width="7.140625" style="238" customWidth="1"/>
    <col min="5" max="5" width="11.28515625" style="238" customWidth="1"/>
    <col min="6" max="6" width="8" style="238" customWidth="1"/>
    <col min="7" max="7" width="12.140625" style="238" customWidth="1"/>
    <col min="8" max="8" width="9.7109375" style="238" customWidth="1"/>
    <col min="9" max="10" width="12.140625" style="238" customWidth="1"/>
    <col min="11" max="11" width="12.5703125" style="238" customWidth="1"/>
    <col min="12" max="12" width="11.28515625" style="238" customWidth="1"/>
    <col min="13" max="13" width="9.140625" style="238" customWidth="1"/>
    <col min="14" max="15" width="7.140625" style="238" customWidth="1"/>
    <col min="16" max="16" width="11.5703125" style="238" customWidth="1"/>
    <col min="17" max="17" width="8" style="238" customWidth="1"/>
    <col min="18" max="18" width="12.5703125" style="238" customWidth="1"/>
    <col min="19" max="19" width="9.7109375" style="238" customWidth="1"/>
    <col min="20" max="21" width="12.140625" style="238" customWidth="1"/>
    <col min="22" max="22" width="12.5703125" style="238" customWidth="1"/>
    <col min="23" max="16384" width="9.140625" style="238"/>
  </cols>
  <sheetData>
    <row r="1" spans="2:22" ht="40.5" customHeight="1" x14ac:dyDescent="0.25">
      <c r="B1" s="277" t="s">
        <v>155</v>
      </c>
      <c r="C1" s="277"/>
      <c r="D1" s="277"/>
      <c r="E1" s="277"/>
      <c r="F1" s="277"/>
      <c r="G1" s="277"/>
      <c r="H1" s="277"/>
      <c r="I1" s="277"/>
      <c r="J1" s="277"/>
      <c r="K1" s="277"/>
      <c r="M1" s="277" t="s">
        <v>156</v>
      </c>
      <c r="N1" s="277"/>
      <c r="O1" s="277"/>
      <c r="P1" s="277"/>
      <c r="Q1" s="277"/>
      <c r="R1" s="277"/>
      <c r="S1" s="277"/>
      <c r="T1" s="277"/>
      <c r="U1" s="277"/>
      <c r="V1" s="277"/>
    </row>
    <row r="3" spans="2:22" x14ac:dyDescent="0.25">
      <c r="B3" s="278" t="s">
        <v>134</v>
      </c>
      <c r="C3" s="278"/>
      <c r="D3" s="278"/>
      <c r="E3" s="278"/>
      <c r="F3" s="278"/>
      <c r="G3" s="278"/>
      <c r="H3" s="278"/>
      <c r="I3" s="278"/>
      <c r="J3" s="278"/>
      <c r="K3" s="278"/>
      <c r="M3" s="278" t="s">
        <v>134</v>
      </c>
      <c r="N3" s="278"/>
      <c r="O3" s="278"/>
      <c r="P3" s="278"/>
      <c r="Q3" s="278"/>
      <c r="R3" s="278"/>
      <c r="S3" s="278"/>
      <c r="T3" s="278"/>
      <c r="U3" s="278"/>
      <c r="V3" s="278"/>
    </row>
    <row r="4" spans="2:22" s="266" customFormat="1" ht="51" x14ac:dyDescent="0.25">
      <c r="B4" s="264" t="s">
        <v>142</v>
      </c>
      <c r="C4" s="264" t="s">
        <v>152</v>
      </c>
      <c r="D4" s="264" t="s">
        <v>153</v>
      </c>
      <c r="E4" s="264" t="s">
        <v>133</v>
      </c>
      <c r="F4" s="264" t="s">
        <v>140</v>
      </c>
      <c r="G4" s="264" t="s">
        <v>141</v>
      </c>
      <c r="H4" s="264" t="s">
        <v>51</v>
      </c>
      <c r="I4" s="264" t="s">
        <v>149</v>
      </c>
      <c r="J4" s="264" t="s">
        <v>151</v>
      </c>
      <c r="K4" s="264" t="s">
        <v>148</v>
      </c>
      <c r="M4" s="264" t="s">
        <v>142</v>
      </c>
      <c r="N4" s="264" t="s">
        <v>152</v>
      </c>
      <c r="O4" s="264" t="s">
        <v>153</v>
      </c>
      <c r="P4" s="264" t="s">
        <v>133</v>
      </c>
      <c r="Q4" s="264" t="s">
        <v>140</v>
      </c>
      <c r="R4" s="264" t="s">
        <v>141</v>
      </c>
      <c r="S4" s="264" t="s">
        <v>51</v>
      </c>
      <c r="T4" s="264" t="s">
        <v>149</v>
      </c>
      <c r="U4" s="264" t="s">
        <v>151</v>
      </c>
      <c r="V4" s="264" t="s">
        <v>148</v>
      </c>
    </row>
    <row r="5" spans="2:22" x14ac:dyDescent="0.25">
      <c r="B5" s="275" t="s">
        <v>136</v>
      </c>
      <c r="C5" s="267">
        <v>44409</v>
      </c>
      <c r="D5" s="267">
        <v>45017</v>
      </c>
      <c r="E5" s="268">
        <f>SUMIF('Est Revenue Req CCR.ELG'!$AD$9:$AD$70,B5,'Est Revenue Req CCR.ELG'!$AB$9:$AB$70)+'Est Revenue Req CCR.ELG'!$AB$25</f>
        <v>2536934.7803344112</v>
      </c>
      <c r="F5" s="269">
        <f>COUNTIF('Est Revenue Req CCR.ELG'!$AD$9:$AD$70,B5)</f>
        <v>21</v>
      </c>
      <c r="G5" s="268">
        <f>E5/F5*12</f>
        <v>1449677.0173339492</v>
      </c>
      <c r="H5" s="270">
        <v>0.44690000000000002</v>
      </c>
      <c r="I5" s="271">
        <f>G5*H5</f>
        <v>647860.6590465419</v>
      </c>
      <c r="J5" s="268">
        <v>230294086.14999998</v>
      </c>
      <c r="K5" s="272">
        <f>I5/J5</f>
        <v>2.8131884317019054E-3</v>
      </c>
      <c r="M5" s="275" t="s">
        <v>136</v>
      </c>
      <c r="N5" s="267">
        <v>44409</v>
      </c>
      <c r="O5" s="267">
        <v>45200</v>
      </c>
      <c r="P5" s="268">
        <f>SUMIF('Est Revenue Req CCR Only'!$AD$23:$AD$61,M5,'Est Revenue Req CCR Only'!$AB$23:$AB$61)+'Est Revenue Req CCR Only'!$AB$21</f>
        <v>1262368.079014</v>
      </c>
      <c r="Q5" s="269">
        <f>COUNTIF('Est Revenue Req CCR Only'!$AD$9:$AD$61,M5)</f>
        <v>27</v>
      </c>
      <c r="R5" s="268">
        <f>P5/Q5*12</f>
        <v>561052.47956177779</v>
      </c>
      <c r="S5" s="270">
        <v>0.44690000000000002</v>
      </c>
      <c r="T5" s="271">
        <f>R5*S5</f>
        <v>250734.35311615851</v>
      </c>
      <c r="U5" s="268">
        <v>230294086.14999998</v>
      </c>
      <c r="V5" s="272">
        <f>T5/U5</f>
        <v>1.0887572377904875E-3</v>
      </c>
    </row>
    <row r="6" spans="2:22" x14ac:dyDescent="0.25">
      <c r="B6" s="275" t="s">
        <v>137</v>
      </c>
      <c r="C6" s="267">
        <v>45047</v>
      </c>
      <c r="D6" s="267">
        <v>45200</v>
      </c>
      <c r="E6" s="268">
        <f>SUMIF('Est Revenue Req CCR.ELG'!$AD$9:$AD$70,B6,'Est Revenue Req CCR.ELG'!$AB$9:$AB$70)</f>
        <v>2796201.9466447555</v>
      </c>
      <c r="F6" s="269">
        <f>COUNTIF('Est Revenue Req CCR.ELG'!$AD$9:$AD$70,B6)</f>
        <v>6</v>
      </c>
      <c r="G6" s="268">
        <f>E6/F6*12</f>
        <v>5592403.8932895111</v>
      </c>
      <c r="H6" s="270">
        <v>0.44690000000000002</v>
      </c>
      <c r="I6" s="271">
        <f t="shared" ref="I6:I8" si="0">G6*H6</f>
        <v>2499245.2999110827</v>
      </c>
      <c r="J6" s="268">
        <v>230294086.14999998</v>
      </c>
      <c r="K6" s="272">
        <f t="shared" ref="K6:K8" si="1">I6/J6</f>
        <v>1.0852407639696061E-2</v>
      </c>
      <c r="M6" s="275" t="s">
        <v>137</v>
      </c>
      <c r="N6" s="267">
        <v>45231</v>
      </c>
      <c r="O6" s="267">
        <v>45566</v>
      </c>
      <c r="P6" s="268">
        <f>SUMIF('Est Revenue Req CCR Only'!$AD$23:$AD$61,M6,'Est Revenue Req CCR Only'!$AB$23:$AB$61)</f>
        <v>3246749.8461291664</v>
      </c>
      <c r="Q6" s="269">
        <f>COUNTIF('Est Revenue Req CCR Only'!$AD$9:$AD$61,M6)</f>
        <v>12</v>
      </c>
      <c r="R6" s="268">
        <f>P6/Q6*12</f>
        <v>3246749.8461291664</v>
      </c>
      <c r="S6" s="270">
        <v>0.44690000000000002</v>
      </c>
      <c r="T6" s="271">
        <f t="shared" ref="T6" si="2">R6*S6</f>
        <v>1450972.5062351245</v>
      </c>
      <c r="U6" s="268">
        <v>230294086.14999998</v>
      </c>
      <c r="V6" s="272">
        <f t="shared" ref="V6" si="3">T6/U6</f>
        <v>6.3005200458775426E-3</v>
      </c>
    </row>
    <row r="7" spans="2:22" x14ac:dyDescent="0.25">
      <c r="B7" s="275" t="s">
        <v>138</v>
      </c>
      <c r="C7" s="267">
        <v>45231</v>
      </c>
      <c r="D7" s="267">
        <v>45352</v>
      </c>
      <c r="E7" s="268">
        <f>SUMIF('Est Revenue Req CCR.ELG'!$AD$9:$AD$70,B7,'Est Revenue Req CCR.ELG'!$AB$9:$AB$70)</f>
        <v>2849899.3414834398</v>
      </c>
      <c r="F7" s="269">
        <f>COUNTIF('Est Revenue Req CCR.ELG'!$AD$9:$AD$70,B7)</f>
        <v>5</v>
      </c>
      <c r="G7" s="268">
        <f>E7/F7*12</f>
        <v>6839758.4195602555</v>
      </c>
      <c r="H7" s="270">
        <v>0.44690000000000002</v>
      </c>
      <c r="I7" s="271">
        <f t="shared" si="0"/>
        <v>3056688.0377014782</v>
      </c>
      <c r="J7" s="268">
        <v>230294086.14999998</v>
      </c>
      <c r="K7" s="272">
        <f t="shared" si="1"/>
        <v>1.3272976691683399E-2</v>
      </c>
    </row>
    <row r="8" spans="2:22" x14ac:dyDescent="0.25">
      <c r="B8" s="275" t="s">
        <v>139</v>
      </c>
      <c r="C8" s="267">
        <v>45383</v>
      </c>
      <c r="D8" s="267">
        <v>45717</v>
      </c>
      <c r="E8" s="268">
        <f>SUMIF('Est Revenue Req CCR.ELG'!$AD$9:$AD$70,B8,'Est Revenue Req CCR.ELG'!$AB$9:$AB$70)</f>
        <v>8166153.1063271835</v>
      </c>
      <c r="F8" s="269">
        <f>COUNTIF('Est Revenue Req CCR.ELG'!$AD$9:$AD$70,B8)</f>
        <v>12</v>
      </c>
      <c r="G8" s="268">
        <f>E8/F8*12</f>
        <v>8166153.1063271835</v>
      </c>
      <c r="H8" s="270">
        <v>0.44690000000000002</v>
      </c>
      <c r="I8" s="271">
        <f t="shared" si="0"/>
        <v>3649453.8232176183</v>
      </c>
      <c r="J8" s="268">
        <v>230294086.14999998</v>
      </c>
      <c r="K8" s="272">
        <f t="shared" si="1"/>
        <v>1.5846928091937974E-2</v>
      </c>
    </row>
    <row r="9" spans="2:22" x14ac:dyDescent="0.25">
      <c r="B9" s="207"/>
      <c r="C9" s="207"/>
      <c r="D9" s="207"/>
      <c r="E9" s="207"/>
      <c r="F9" s="207"/>
      <c r="G9" s="207"/>
      <c r="H9" s="207"/>
      <c r="I9" s="207"/>
      <c r="J9" s="207"/>
      <c r="K9" s="207"/>
    </row>
    <row r="10" spans="2:22" x14ac:dyDescent="0.25">
      <c r="B10" s="278" t="s">
        <v>135</v>
      </c>
      <c r="C10" s="278"/>
      <c r="D10" s="278"/>
      <c r="E10" s="278"/>
      <c r="F10" s="278"/>
      <c r="G10" s="278"/>
      <c r="H10" s="278"/>
      <c r="I10" s="278"/>
      <c r="J10" s="278"/>
      <c r="K10" s="278"/>
      <c r="M10" s="278" t="s">
        <v>135</v>
      </c>
      <c r="N10" s="278"/>
      <c r="O10" s="278"/>
      <c r="P10" s="278"/>
      <c r="Q10" s="278"/>
      <c r="R10" s="278"/>
      <c r="S10" s="278"/>
      <c r="T10" s="278"/>
      <c r="U10" s="278"/>
      <c r="V10" s="278"/>
    </row>
    <row r="11" spans="2:22" ht="51" x14ac:dyDescent="0.25">
      <c r="B11" s="264" t="s">
        <v>142</v>
      </c>
      <c r="C11" s="264" t="s">
        <v>152</v>
      </c>
      <c r="D11" s="264" t="s">
        <v>153</v>
      </c>
      <c r="E11" s="264" t="s">
        <v>133</v>
      </c>
      <c r="F11" s="264" t="s">
        <v>140</v>
      </c>
      <c r="G11" s="264" t="s">
        <v>141</v>
      </c>
      <c r="H11" s="264" t="s">
        <v>51</v>
      </c>
      <c r="I11" s="264" t="s">
        <v>149</v>
      </c>
      <c r="J11" s="264" t="s">
        <v>151</v>
      </c>
      <c r="K11" s="264" t="s">
        <v>148</v>
      </c>
      <c r="M11" s="264" t="s">
        <v>142</v>
      </c>
      <c r="N11" s="264" t="s">
        <v>152</v>
      </c>
      <c r="O11" s="264" t="s">
        <v>153</v>
      </c>
      <c r="P11" s="264" t="s">
        <v>133</v>
      </c>
      <c r="Q11" s="264" t="s">
        <v>140</v>
      </c>
      <c r="R11" s="264" t="s">
        <v>141</v>
      </c>
      <c r="S11" s="264" t="s">
        <v>51</v>
      </c>
      <c r="T11" s="264" t="s">
        <v>149</v>
      </c>
      <c r="U11" s="264" t="s">
        <v>151</v>
      </c>
      <c r="V11" s="264" t="s">
        <v>148</v>
      </c>
    </row>
    <row r="12" spans="2:22" x14ac:dyDescent="0.25">
      <c r="B12" s="275" t="s">
        <v>136</v>
      </c>
      <c r="C12" s="267">
        <v>44409</v>
      </c>
      <c r="D12" s="267">
        <v>45017</v>
      </c>
      <c r="E12" s="268">
        <f>SUMIF('Est Revenue Req CCR.ELG'!$AD$9:$AD$70,B12,'Est Revenue Req CCR.ELG'!$AB$9:$AB$70)+'Est Revenue Req CCR.ELG'!$AB$25</f>
        <v>2536934.7803344112</v>
      </c>
      <c r="F12" s="269">
        <f>COUNTIF('Est Revenue Req CCR.ELG'!$AD$9:$AD$70,B12)</f>
        <v>21</v>
      </c>
      <c r="G12" s="268">
        <f>E12/F12*12</f>
        <v>1449677.0173339492</v>
      </c>
      <c r="H12" s="270">
        <v>0.55310000000000004</v>
      </c>
      <c r="I12" s="271">
        <f t="shared" ref="I12:I15" si="4">G12*H12</f>
        <v>801816.35828740732</v>
      </c>
      <c r="J12" s="268">
        <v>268639784.5</v>
      </c>
      <c r="K12" s="272">
        <f>I12/J12</f>
        <v>2.9847267774569231E-3</v>
      </c>
      <c r="M12" s="275" t="s">
        <v>136</v>
      </c>
      <c r="N12" s="267">
        <v>44409</v>
      </c>
      <c r="O12" s="267">
        <v>45200</v>
      </c>
      <c r="P12" s="268">
        <f>SUMIF('Est Revenue Req CCR Only'!$AD$23:$AD$61,M12,'Est Revenue Req CCR Only'!$AB$23:$AB$61)+'Est Revenue Req CCR Only'!$AB$21</f>
        <v>1262368.079014</v>
      </c>
      <c r="Q12" s="269">
        <f>COUNTIF('Est Revenue Req CCR Only'!$AD$9:$AD$61,M12)</f>
        <v>27</v>
      </c>
      <c r="R12" s="268">
        <f>P12/Q12*12</f>
        <v>561052.47956177779</v>
      </c>
      <c r="S12" s="270">
        <v>0.55310000000000004</v>
      </c>
      <c r="T12" s="271">
        <f>R12*S12</f>
        <v>310318.12644561933</v>
      </c>
      <c r="U12" s="268">
        <v>268639784.5</v>
      </c>
      <c r="V12" s="272">
        <f>T12/U12</f>
        <v>1.1551458285420837E-3</v>
      </c>
    </row>
    <row r="13" spans="2:22" x14ac:dyDescent="0.25">
      <c r="B13" s="275" t="s">
        <v>137</v>
      </c>
      <c r="C13" s="267">
        <v>45047</v>
      </c>
      <c r="D13" s="267">
        <v>45200</v>
      </c>
      <c r="E13" s="268">
        <f>SUMIF('Est Revenue Req CCR.ELG'!$AD$9:$AD$70,B13,'Est Revenue Req CCR.ELG'!$AB$9:$AB$70)</f>
        <v>2796201.9466447555</v>
      </c>
      <c r="F13" s="269">
        <f>COUNTIF('Est Revenue Req CCR.ELG'!$AD$9:$AD$70,B13)</f>
        <v>6</v>
      </c>
      <c r="G13" s="268">
        <f>E13/F13*12</f>
        <v>5592403.8932895111</v>
      </c>
      <c r="H13" s="270">
        <v>0.55310000000000004</v>
      </c>
      <c r="I13" s="271">
        <f t="shared" si="4"/>
        <v>3093158.5933784288</v>
      </c>
      <c r="J13" s="268">
        <v>268639784.5</v>
      </c>
      <c r="K13" s="272">
        <f t="shared" ref="K13:K15" si="5">I13/J13</f>
        <v>1.1514149325035767E-2</v>
      </c>
      <c r="M13" s="275" t="s">
        <v>137</v>
      </c>
      <c r="N13" s="267">
        <v>45231</v>
      </c>
      <c r="O13" s="267">
        <v>45566</v>
      </c>
      <c r="P13" s="268">
        <f>SUMIF('Est Revenue Req CCR Only'!$AD$23:$AD$61,M13,'Est Revenue Req CCR Only'!$AB$23:$AB$61)</f>
        <v>3246749.8461291664</v>
      </c>
      <c r="Q13" s="269">
        <f>COUNTIF('Est Revenue Req CCR Only'!$AD$9:$AD$61,M13)</f>
        <v>12</v>
      </c>
      <c r="R13" s="268">
        <f>P13/Q13*12</f>
        <v>3246749.8461291664</v>
      </c>
      <c r="S13" s="270">
        <v>0.55310000000000004</v>
      </c>
      <c r="T13" s="271">
        <f t="shared" ref="T13" si="6">R13*S13</f>
        <v>1795777.3398940421</v>
      </c>
      <c r="U13" s="268">
        <v>268639784.5</v>
      </c>
      <c r="V13" s="272">
        <f t="shared" ref="V13" si="7">T13/U13</f>
        <v>6.6847036198915731E-3</v>
      </c>
    </row>
    <row r="14" spans="2:22" x14ac:dyDescent="0.25">
      <c r="B14" s="275" t="s">
        <v>138</v>
      </c>
      <c r="C14" s="267">
        <v>45231</v>
      </c>
      <c r="D14" s="267">
        <v>45352</v>
      </c>
      <c r="E14" s="268">
        <f>SUMIF('Est Revenue Req CCR.ELG'!$AD$9:$AD$70,B14,'Est Revenue Req CCR.ELG'!$AB$9:$AB$70)</f>
        <v>2849899.3414834398</v>
      </c>
      <c r="F14" s="269">
        <f>COUNTIF('Est Revenue Req CCR.ELG'!$AD$9:$AD$70,B14)</f>
        <v>5</v>
      </c>
      <c r="G14" s="268">
        <f>E14/F14*12</f>
        <v>6839758.4195602555</v>
      </c>
      <c r="H14" s="270">
        <v>0.55310000000000004</v>
      </c>
      <c r="I14" s="271">
        <f t="shared" si="4"/>
        <v>3783070.3818587777</v>
      </c>
      <c r="J14" s="268">
        <v>268639784.5</v>
      </c>
      <c r="K14" s="272">
        <f t="shared" si="5"/>
        <v>1.4082316172565191E-2</v>
      </c>
      <c r="M14" s="274"/>
    </row>
    <row r="15" spans="2:22" x14ac:dyDescent="0.25">
      <c r="B15" s="275" t="s">
        <v>139</v>
      </c>
      <c r="C15" s="267">
        <v>45383</v>
      </c>
      <c r="D15" s="267">
        <v>45717</v>
      </c>
      <c r="E15" s="268">
        <f>SUMIF('Est Revenue Req CCR.ELG'!$AD$9:$AD$70,B15,'Est Revenue Req CCR.ELG'!$AB$9:$AB$70)</f>
        <v>8166153.1063271835</v>
      </c>
      <c r="F15" s="269">
        <f>COUNTIF('Est Revenue Req CCR.ELG'!$AD$9:$AD$70,B15)</f>
        <v>12</v>
      </c>
      <c r="G15" s="268">
        <f>E15/F15*12</f>
        <v>8166153.1063271835</v>
      </c>
      <c r="H15" s="270">
        <v>0.55310000000000004</v>
      </c>
      <c r="I15" s="271">
        <f t="shared" si="4"/>
        <v>4516699.2831095653</v>
      </c>
      <c r="J15" s="268">
        <v>268639784.5</v>
      </c>
      <c r="K15" s="272">
        <f t="shared" si="5"/>
        <v>1.6813218085013633E-2</v>
      </c>
    </row>
    <row r="16" spans="2:22" x14ac:dyDescent="0.25">
      <c r="B16" s="274"/>
    </row>
    <row r="20" spans="2:2" x14ac:dyDescent="0.25">
      <c r="B20" s="274" t="s">
        <v>154</v>
      </c>
    </row>
  </sheetData>
  <mergeCells count="6">
    <mergeCell ref="M1:V1"/>
    <mergeCell ref="M3:V3"/>
    <mergeCell ref="M10:V10"/>
    <mergeCell ref="B3:K3"/>
    <mergeCell ref="B10:K10"/>
    <mergeCell ref="B1:K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activeCell="B76" sqref="B76"/>
    </sheetView>
  </sheetViews>
  <sheetFormatPr defaultRowHeight="12.75" x14ac:dyDescent="0.2"/>
  <cols>
    <col min="1" max="1" width="9.140625" style="26"/>
    <col min="2" max="2" width="14.28515625" style="26" customWidth="1"/>
    <col min="3" max="16384" width="9.140625" style="26"/>
  </cols>
  <sheetData>
    <row r="1" spans="1:3" x14ac:dyDescent="0.2">
      <c r="A1" s="233" t="s">
        <v>129</v>
      </c>
      <c r="B1" s="233"/>
      <c r="C1" s="233"/>
    </row>
    <row r="2" spans="1:3" x14ac:dyDescent="0.2">
      <c r="A2" s="233" t="s">
        <v>128</v>
      </c>
      <c r="B2" s="233"/>
      <c r="C2" s="233"/>
    </row>
    <row r="3" spans="1:3" s="202" customFormat="1" x14ac:dyDescent="0.25">
      <c r="A3" s="209"/>
      <c r="B3" s="210"/>
    </row>
    <row r="4" spans="1:3" x14ac:dyDescent="0.2">
      <c r="A4" s="206">
        <v>43831</v>
      </c>
      <c r="B4" s="204">
        <v>0</v>
      </c>
    </row>
    <row r="5" spans="1:3" x14ac:dyDescent="0.2">
      <c r="A5" s="206">
        <v>43862</v>
      </c>
      <c r="B5" s="204">
        <v>0</v>
      </c>
    </row>
    <row r="6" spans="1:3" x14ac:dyDescent="0.2">
      <c r="A6" s="206">
        <v>43891</v>
      </c>
      <c r="B6" s="204">
        <v>0</v>
      </c>
    </row>
    <row r="7" spans="1:3" x14ac:dyDescent="0.2">
      <c r="A7" s="206">
        <v>43922</v>
      </c>
      <c r="B7" s="204">
        <v>0</v>
      </c>
    </row>
    <row r="8" spans="1:3" x14ac:dyDescent="0.2">
      <c r="A8" s="206">
        <v>43952</v>
      </c>
      <c r="B8" s="204">
        <v>0</v>
      </c>
    </row>
    <row r="9" spans="1:3" x14ac:dyDescent="0.2">
      <c r="A9" s="206">
        <v>43983</v>
      </c>
      <c r="B9" s="204">
        <v>0</v>
      </c>
    </row>
    <row r="10" spans="1:3" x14ac:dyDescent="0.2">
      <c r="A10" s="206">
        <v>44013</v>
      </c>
      <c r="B10" s="204">
        <v>0</v>
      </c>
    </row>
    <row r="11" spans="1:3" x14ac:dyDescent="0.2">
      <c r="A11" s="206">
        <v>44044</v>
      </c>
      <c r="B11" s="204">
        <v>108273.53419950703</v>
      </c>
    </row>
    <row r="12" spans="1:3" x14ac:dyDescent="0.2">
      <c r="A12" s="206">
        <v>44075</v>
      </c>
      <c r="B12" s="204">
        <v>124780.94560556198</v>
      </c>
    </row>
    <row r="13" spans="1:3" x14ac:dyDescent="0.2">
      <c r="A13" s="206">
        <v>44105</v>
      </c>
      <c r="B13" s="204">
        <v>616.57244675579545</v>
      </c>
    </row>
    <row r="14" spans="1:3" x14ac:dyDescent="0.2">
      <c r="A14" s="206">
        <v>44136</v>
      </c>
      <c r="B14" s="204">
        <v>479529.27912957256</v>
      </c>
    </row>
    <row r="15" spans="1:3" x14ac:dyDescent="0.2">
      <c r="A15" s="206">
        <v>44166</v>
      </c>
      <c r="B15" s="204">
        <v>546799.66861860256</v>
      </c>
    </row>
    <row r="16" spans="1:3" x14ac:dyDescent="0.2">
      <c r="A16" s="206">
        <v>44197</v>
      </c>
      <c r="B16" s="204">
        <v>408130.55841186905</v>
      </c>
    </row>
    <row r="17" spans="1:2" x14ac:dyDescent="0.2">
      <c r="A17" s="206">
        <v>44228</v>
      </c>
      <c r="B17" s="204">
        <v>52970.118151345276</v>
      </c>
    </row>
    <row r="18" spans="1:2" x14ac:dyDescent="0.2">
      <c r="A18" s="206">
        <v>44256</v>
      </c>
      <c r="B18" s="204">
        <v>52970.118151345276</v>
      </c>
    </row>
    <row r="19" spans="1:2" x14ac:dyDescent="0.2">
      <c r="A19" s="206">
        <v>44287</v>
      </c>
      <c r="B19" s="204">
        <v>52970.118151345276</v>
      </c>
    </row>
    <row r="20" spans="1:2" x14ac:dyDescent="0.2">
      <c r="A20" s="206">
        <v>44317</v>
      </c>
      <c r="B20" s="204">
        <v>51617.345195233429</v>
      </c>
    </row>
    <row r="21" spans="1:2" x14ac:dyDescent="0.2">
      <c r="A21" s="206">
        <v>44348</v>
      </c>
      <c r="B21" s="204">
        <v>52970.118151345276</v>
      </c>
    </row>
    <row r="22" spans="1:2" x14ac:dyDescent="0.2">
      <c r="A22" s="206">
        <v>44378</v>
      </c>
      <c r="B22" s="204">
        <v>126286.19904548288</v>
      </c>
    </row>
    <row r="23" spans="1:2" x14ac:dyDescent="0.2">
      <c r="A23" s="206">
        <v>44409</v>
      </c>
      <c r="B23" s="204">
        <v>44942.122179659229</v>
      </c>
    </row>
    <row r="24" spans="1:2" x14ac:dyDescent="0.2">
      <c r="A24" s="206">
        <v>44440</v>
      </c>
      <c r="B24" s="204">
        <v>339602.37460690446</v>
      </c>
    </row>
    <row r="25" spans="1:2" x14ac:dyDescent="0.2">
      <c r="A25" s="206">
        <v>44470</v>
      </c>
      <c r="B25" s="204">
        <v>336017.33654952626</v>
      </c>
    </row>
    <row r="26" spans="1:2" x14ac:dyDescent="0.2">
      <c r="A26" s="206">
        <v>44501</v>
      </c>
      <c r="B26" s="204">
        <v>322109.00486407516</v>
      </c>
    </row>
    <row r="27" spans="1:2" x14ac:dyDescent="0.2">
      <c r="A27" s="206">
        <v>44531</v>
      </c>
      <c r="B27" s="204">
        <v>679414.58654186851</v>
      </c>
    </row>
    <row r="28" spans="1:2" x14ac:dyDescent="0.2">
      <c r="A28" s="206">
        <v>44562</v>
      </c>
      <c r="B28" s="204">
        <v>364452.69234759122</v>
      </c>
    </row>
    <row r="29" spans="1:2" x14ac:dyDescent="0.2">
      <c r="A29" s="206">
        <v>44593</v>
      </c>
      <c r="B29" s="204">
        <v>367929.82303481968</v>
      </c>
    </row>
    <row r="30" spans="1:2" x14ac:dyDescent="0.2">
      <c r="A30" s="206">
        <v>44621</v>
      </c>
      <c r="B30" s="204">
        <v>377585.76336529391</v>
      </c>
    </row>
    <row r="31" spans="1:2" x14ac:dyDescent="0.2">
      <c r="A31" s="206">
        <v>44652</v>
      </c>
      <c r="B31" s="204">
        <v>357062.04481354362</v>
      </c>
    </row>
    <row r="32" spans="1:2" x14ac:dyDescent="0.2">
      <c r="A32" s="206">
        <v>44682</v>
      </c>
      <c r="B32" s="204">
        <v>350007.6869370332</v>
      </c>
    </row>
    <row r="33" spans="1:2" x14ac:dyDescent="0.2">
      <c r="A33" s="206">
        <v>44713</v>
      </c>
      <c r="B33" s="204">
        <v>692428.66585153469</v>
      </c>
    </row>
    <row r="34" spans="1:2" x14ac:dyDescent="0.2">
      <c r="A34" s="206">
        <v>44743</v>
      </c>
      <c r="B34" s="204">
        <v>357062.04481354362</v>
      </c>
    </row>
    <row r="35" spans="1:2" x14ac:dyDescent="0.2">
      <c r="A35" s="206">
        <v>44774</v>
      </c>
      <c r="B35" s="204">
        <v>377585.76336529391</v>
      </c>
    </row>
    <row r="36" spans="1:2" x14ac:dyDescent="0.2">
      <c r="A36" s="206">
        <v>44805</v>
      </c>
      <c r="B36" s="204">
        <v>377585.76336529391</v>
      </c>
    </row>
    <row r="37" spans="1:2" x14ac:dyDescent="0.2">
      <c r="A37" s="206">
        <v>44835</v>
      </c>
      <c r="B37" s="204">
        <v>359599.4571733292</v>
      </c>
    </row>
    <row r="38" spans="1:2" x14ac:dyDescent="0.2">
      <c r="A38" s="206">
        <v>44866</v>
      </c>
      <c r="B38" s="204">
        <v>363899.88464785303</v>
      </c>
    </row>
    <row r="39" spans="1:2" x14ac:dyDescent="0.2">
      <c r="A39" s="206">
        <v>44896</v>
      </c>
      <c r="B39" s="204">
        <v>694800.41028487007</v>
      </c>
    </row>
    <row r="40" spans="1:2" x14ac:dyDescent="0.2">
      <c r="A40" s="206">
        <v>44927</v>
      </c>
      <c r="B40" s="204">
        <v>254782.10645085538</v>
      </c>
    </row>
    <row r="41" spans="1:2" x14ac:dyDescent="0.2">
      <c r="A41" s="206">
        <v>44958</v>
      </c>
      <c r="B41" s="204">
        <v>254782.10645085538</v>
      </c>
    </row>
    <row r="42" spans="1:2" x14ac:dyDescent="0.2">
      <c r="A42" s="206">
        <v>44986</v>
      </c>
      <c r="B42" s="204">
        <v>254782.10645085538</v>
      </c>
    </row>
    <row r="43" spans="1:2" x14ac:dyDescent="0.2">
      <c r="A43" s="206">
        <v>45017</v>
      </c>
      <c r="B43" s="204">
        <v>254129.44980946498</v>
      </c>
    </row>
    <row r="44" spans="1:2" x14ac:dyDescent="0.2">
      <c r="A44" s="206">
        <v>45047</v>
      </c>
      <c r="B44" s="204">
        <v>254782.10645085538</v>
      </c>
    </row>
    <row r="45" spans="1:2" x14ac:dyDescent="0.2">
      <c r="A45" s="206">
        <v>45078</v>
      </c>
      <c r="B45" s="204">
        <v>545651.3271244436</v>
      </c>
    </row>
    <row r="46" spans="1:2" x14ac:dyDescent="0.2">
      <c r="A46" s="206">
        <v>45108</v>
      </c>
      <c r="B46" s="204">
        <v>254730.4913682281</v>
      </c>
    </row>
    <row r="47" spans="1:2" x14ac:dyDescent="0.2">
      <c r="A47" s="206">
        <v>45139</v>
      </c>
      <c r="B47" s="204">
        <v>253152.40029332886</v>
      </c>
    </row>
    <row r="48" spans="1:2" x14ac:dyDescent="0.2">
      <c r="A48" s="206">
        <v>45170</v>
      </c>
      <c r="B48" s="204">
        <v>253775.97105186168</v>
      </c>
    </row>
    <row r="49" spans="1:2" x14ac:dyDescent="0.2">
      <c r="A49" s="206">
        <v>45200</v>
      </c>
      <c r="B49" s="204">
        <v>253520.0581735727</v>
      </c>
    </row>
    <row r="50" spans="1:2" x14ac:dyDescent="0.2">
      <c r="A50" s="206">
        <v>45231</v>
      </c>
      <c r="B50" s="211">
        <v>252915.3473666232</v>
      </c>
    </row>
    <row r="51" spans="1:2" x14ac:dyDescent="0.2">
      <c r="A51" s="206">
        <v>45261</v>
      </c>
      <c r="B51" s="211">
        <v>692996.52900905465</v>
      </c>
    </row>
    <row r="52" spans="1:2" x14ac:dyDescent="0.2">
      <c r="A52" s="206">
        <v>45292</v>
      </c>
      <c r="B52" s="211">
        <v>0</v>
      </c>
    </row>
    <row r="53" spans="1:2" x14ac:dyDescent="0.2">
      <c r="A53" s="206">
        <v>45323</v>
      </c>
      <c r="B53" s="211">
        <v>0</v>
      </c>
    </row>
    <row r="54" spans="1:2" x14ac:dyDescent="0.2">
      <c r="A54" s="206">
        <v>45352</v>
      </c>
      <c r="B54" s="211">
        <v>0</v>
      </c>
    </row>
    <row r="55" spans="1:2" x14ac:dyDescent="0.2">
      <c r="A55" s="206">
        <v>45383</v>
      </c>
      <c r="B55" s="211">
        <v>0</v>
      </c>
    </row>
    <row r="56" spans="1:2" x14ac:dyDescent="0.2">
      <c r="A56" s="206">
        <v>45413</v>
      </c>
      <c r="B56" s="211">
        <v>0</v>
      </c>
    </row>
    <row r="57" spans="1:2" x14ac:dyDescent="0.2">
      <c r="A57" s="206">
        <v>45444</v>
      </c>
      <c r="B57" s="211">
        <v>0</v>
      </c>
    </row>
    <row r="58" spans="1:2" x14ac:dyDescent="0.2">
      <c r="A58" s="206">
        <v>45474</v>
      </c>
      <c r="B58" s="211">
        <v>0</v>
      </c>
    </row>
    <row r="59" spans="1:2" x14ac:dyDescent="0.2">
      <c r="A59" s="206">
        <v>45505</v>
      </c>
      <c r="B59" s="211">
        <v>0</v>
      </c>
    </row>
    <row r="60" spans="1:2" x14ac:dyDescent="0.2">
      <c r="A60" s="206">
        <v>45536</v>
      </c>
      <c r="B60" s="211">
        <v>0</v>
      </c>
    </row>
    <row r="61" spans="1:2" x14ac:dyDescent="0.2">
      <c r="A61" s="206">
        <v>45566</v>
      </c>
      <c r="B61" s="211">
        <v>0</v>
      </c>
    </row>
    <row r="62" spans="1:2" x14ac:dyDescent="0.2">
      <c r="A62" s="206">
        <v>45597</v>
      </c>
      <c r="B62" s="211">
        <v>0</v>
      </c>
    </row>
    <row r="63" spans="1:2" x14ac:dyDescent="0.2">
      <c r="A63" s="206">
        <v>45627</v>
      </c>
      <c r="B63" s="211">
        <v>0</v>
      </c>
    </row>
    <row r="65" spans="1:2" x14ac:dyDescent="0.2">
      <c r="A65" s="208" t="s">
        <v>91</v>
      </c>
      <c r="B65" s="195">
        <f>SUM(B4:B64)</f>
        <v>12600000.000000002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I82"/>
  <sheetViews>
    <sheetView showGridLines="0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E27" sqref="AE27"/>
    </sheetView>
  </sheetViews>
  <sheetFormatPr defaultColWidth="8.85546875" defaultRowHeight="12.75" x14ac:dyDescent="0.2"/>
  <cols>
    <col min="1" max="1" width="1.7109375" style="9" customWidth="1"/>
    <col min="2" max="2" width="10.140625" style="9" customWidth="1"/>
    <col min="3" max="3" width="8.140625" style="9" customWidth="1"/>
    <col min="4" max="4" width="17.7109375" style="9" customWidth="1"/>
    <col min="5" max="5" width="2.5703125" style="9" customWidth="1"/>
    <col min="6" max="6" width="14" style="9" customWidth="1"/>
    <col min="7" max="7" width="2.5703125" style="9" customWidth="1"/>
    <col min="8" max="8" width="12.42578125" style="9" customWidth="1"/>
    <col min="9" max="9" width="2.5703125" style="9" customWidth="1"/>
    <col min="10" max="10" width="12.42578125" style="9" customWidth="1"/>
    <col min="11" max="11" width="2.5703125" style="9" customWidth="1"/>
    <col min="12" max="12" width="12.42578125" style="9" customWidth="1"/>
    <col min="13" max="13" width="2.5703125" style="9" customWidth="1"/>
    <col min="14" max="14" width="14.5703125" style="9" customWidth="1"/>
    <col min="15" max="15" width="2.5703125" style="9" customWidth="1"/>
    <col min="16" max="16" width="14.5703125" style="9" customWidth="1"/>
    <col min="17" max="17" width="2.5703125" style="9" customWidth="1"/>
    <col min="18" max="18" width="10.7109375" style="9" customWidth="1"/>
    <col min="19" max="19" width="2.5703125" style="9" customWidth="1"/>
    <col min="20" max="20" width="8.5703125" style="9" customWidth="1"/>
    <col min="21" max="21" width="2.5703125" style="9" customWidth="1"/>
    <col min="22" max="22" width="12.140625" style="9" customWidth="1"/>
    <col min="23" max="23" width="2.5703125" style="9" customWidth="1"/>
    <col min="24" max="24" width="14.5703125" style="9" customWidth="1"/>
    <col min="25" max="25" width="2.5703125" style="9" customWidth="1"/>
    <col min="26" max="26" width="12.28515625" style="9" customWidth="1"/>
    <col min="27" max="27" width="2.140625" style="9" customWidth="1"/>
    <col min="28" max="28" width="12" style="9" customWidth="1"/>
    <col min="29" max="29" width="1.7109375" style="9" customWidth="1"/>
    <col min="30" max="30" width="19" style="9" customWidth="1"/>
    <col min="31" max="31" width="74" style="9" customWidth="1"/>
    <col min="32" max="32" width="8.85546875" style="9"/>
    <col min="33" max="33" width="12" style="9" bestFit="1" customWidth="1"/>
    <col min="34" max="34" width="10.5703125" style="9" bestFit="1" customWidth="1"/>
    <col min="35" max="35" width="12" style="9" bestFit="1" customWidth="1"/>
    <col min="36" max="16384" width="8.85546875" style="9"/>
  </cols>
  <sheetData>
    <row r="1" spans="2:33" ht="14.25" x14ac:dyDescent="0.2">
      <c r="B1" s="280" t="s">
        <v>130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35"/>
      <c r="AD1" s="235"/>
    </row>
    <row r="2" spans="2:33" ht="14.25" x14ac:dyDescent="0.2"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35"/>
      <c r="AD2" s="235"/>
    </row>
    <row r="3" spans="2:33" x14ac:dyDescent="0.2">
      <c r="B3" s="38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2:33" ht="12.75" customHeight="1" x14ac:dyDescent="0.2">
      <c r="B4" s="9" t="s">
        <v>0</v>
      </c>
      <c r="X4" s="281" t="s">
        <v>122</v>
      </c>
      <c r="Z4" s="281" t="s">
        <v>53</v>
      </c>
      <c r="AB4" s="279" t="s">
        <v>157</v>
      </c>
      <c r="AC4" s="236"/>
      <c r="AD4" s="279" t="s">
        <v>142</v>
      </c>
      <c r="AE4" s="282" t="s">
        <v>126</v>
      </c>
    </row>
    <row r="5" spans="2:33" ht="24" customHeight="1" x14ac:dyDescent="0.2">
      <c r="B5" s="279" t="s">
        <v>43</v>
      </c>
      <c r="D5" s="279" t="s">
        <v>54</v>
      </c>
      <c r="E5" s="10"/>
      <c r="F5" s="279" t="s">
        <v>1</v>
      </c>
      <c r="H5" s="279" t="s">
        <v>2</v>
      </c>
      <c r="J5" s="65"/>
      <c r="L5" s="281" t="s">
        <v>92</v>
      </c>
      <c r="N5" s="279" t="s">
        <v>3</v>
      </c>
      <c r="P5" s="279" t="s">
        <v>52</v>
      </c>
      <c r="R5" s="279" t="s">
        <v>4</v>
      </c>
      <c r="T5" s="279" t="s">
        <v>5</v>
      </c>
      <c r="V5" s="279" t="s">
        <v>44</v>
      </c>
      <c r="W5" s="11"/>
      <c r="X5" s="281"/>
      <c r="Z5" s="281"/>
      <c r="AB5" s="279"/>
      <c r="AC5" s="236"/>
      <c r="AD5" s="279"/>
      <c r="AE5" s="282"/>
    </row>
    <row r="6" spans="2:33" s="13" customFormat="1" ht="14.25" customHeight="1" x14ac:dyDescent="0.2">
      <c r="B6" s="279"/>
      <c r="C6" s="12" t="s">
        <v>7</v>
      </c>
      <c r="D6" s="279"/>
      <c r="E6" s="12"/>
      <c r="F6" s="279"/>
      <c r="H6" s="279"/>
      <c r="J6" s="65" t="s">
        <v>85</v>
      </c>
      <c r="L6" s="281"/>
      <c r="N6" s="279"/>
      <c r="P6" s="279"/>
      <c r="R6" s="279"/>
      <c r="T6" s="279"/>
      <c r="V6" s="279"/>
      <c r="W6" s="11"/>
      <c r="X6" s="281"/>
      <c r="Z6" s="281"/>
      <c r="AB6" s="279"/>
      <c r="AC6" s="236"/>
      <c r="AD6" s="279"/>
      <c r="AE6" s="282"/>
    </row>
    <row r="7" spans="2:33" s="14" customFormat="1" x14ac:dyDescent="0.2">
      <c r="B7" s="14">
        <v>-1</v>
      </c>
      <c r="C7" s="14">
        <f>B7-1</f>
        <v>-2</v>
      </c>
      <c r="D7" s="14">
        <f>C7-1</f>
        <v>-3</v>
      </c>
      <c r="E7" s="14" t="s">
        <v>0</v>
      </c>
      <c r="F7" s="14">
        <f>D7-1</f>
        <v>-4</v>
      </c>
      <c r="G7" s="14" t="s">
        <v>0</v>
      </c>
      <c r="H7" s="14">
        <f>F7-1</f>
        <v>-5</v>
      </c>
      <c r="I7" s="14" t="s">
        <v>0</v>
      </c>
      <c r="J7" s="14">
        <f>H7-1</f>
        <v>-6</v>
      </c>
      <c r="K7" s="14" t="s">
        <v>0</v>
      </c>
      <c r="L7" s="172">
        <f>J7-1</f>
        <v>-7</v>
      </c>
      <c r="M7" s="14" t="s">
        <v>0</v>
      </c>
      <c r="N7" s="14">
        <f>L7-1</f>
        <v>-8</v>
      </c>
      <c r="O7" s="14" t="s">
        <v>0</v>
      </c>
      <c r="P7" s="14">
        <f>N7-1</f>
        <v>-9</v>
      </c>
      <c r="Q7" s="14" t="s">
        <v>0</v>
      </c>
      <c r="R7" s="14">
        <f>P7-1</f>
        <v>-10</v>
      </c>
      <c r="S7" s="14" t="s">
        <v>0</v>
      </c>
      <c r="T7" s="14">
        <f>R7-1</f>
        <v>-11</v>
      </c>
      <c r="V7" s="14">
        <f>T7-1</f>
        <v>-12</v>
      </c>
      <c r="W7" s="14" t="s">
        <v>0</v>
      </c>
      <c r="X7" s="172">
        <f>V7-1</f>
        <v>-13</v>
      </c>
      <c r="Y7" s="14" t="s">
        <v>0</v>
      </c>
      <c r="Z7" s="172">
        <f>X7-1</f>
        <v>-14</v>
      </c>
      <c r="AB7" s="14">
        <f>Z7-1</f>
        <v>-15</v>
      </c>
      <c r="AD7" s="14">
        <f>AB7-1</f>
        <v>-16</v>
      </c>
      <c r="AE7" s="242">
        <f>AD7-1</f>
        <v>-17</v>
      </c>
    </row>
    <row r="8" spans="2:33" ht="9.75" customHeight="1" x14ac:dyDescent="0.2">
      <c r="E8" s="10"/>
      <c r="L8" s="16"/>
      <c r="N8" s="15"/>
      <c r="R8" s="15"/>
    </row>
    <row r="9" spans="2:33" ht="15" customHeight="1" x14ac:dyDescent="0.2">
      <c r="B9" s="228" t="s">
        <v>14</v>
      </c>
      <c r="C9" s="194">
        <v>2020</v>
      </c>
      <c r="D9" s="195">
        <v>0</v>
      </c>
      <c r="E9" s="199"/>
      <c r="F9" s="212">
        <v>0</v>
      </c>
      <c r="G9" s="194"/>
      <c r="H9" s="212">
        <v>0</v>
      </c>
      <c r="I9" s="194"/>
      <c r="J9" s="212">
        <f>SUM('CWIP CCR.ELG'!$E$5:E9)</f>
        <v>1019968.6499999999</v>
      </c>
      <c r="K9" s="194"/>
      <c r="L9" s="212">
        <f>SUM('CWIP CCR.ELG'!$E$5:$E$8)</f>
        <v>822405.09</v>
      </c>
      <c r="M9" s="194"/>
      <c r="N9" s="195">
        <f>SUM(D9:J9)-L9</f>
        <v>197563.55999999994</v>
      </c>
      <c r="O9" s="194"/>
      <c r="P9" s="216">
        <f>WACC!$T$10</f>
        <v>7.4999999999999997E-2</v>
      </c>
      <c r="Q9" s="194"/>
      <c r="R9" s="195">
        <f t="shared" ref="R9:R17" si="0">N9*P9/12</f>
        <v>1234.7722499999995</v>
      </c>
      <c r="S9" s="194"/>
      <c r="T9" s="196">
        <v>0</v>
      </c>
      <c r="U9" s="194"/>
      <c r="V9" s="196">
        <f>(ROUND(D9*0.0586/12,0))</f>
        <v>0</v>
      </c>
      <c r="W9" s="196"/>
      <c r="X9" s="196">
        <f t="shared" ref="X9:X17" si="1">V9+T9+R9</f>
        <v>1234.7722499999995</v>
      </c>
      <c r="Y9" s="194"/>
      <c r="Z9" s="217">
        <f>'Allocation Factor'!$C$19</f>
        <v>0.96306666666666663</v>
      </c>
      <c r="AA9" s="194"/>
      <c r="AB9" s="229">
        <f t="shared" ref="AB9:AB17" si="2">X9*Z9</f>
        <v>1189.1679948999995</v>
      </c>
      <c r="AC9" s="229"/>
      <c r="AD9" s="283"/>
      <c r="AE9" s="239"/>
      <c r="AF9" s="16"/>
      <c r="AG9" s="16"/>
    </row>
    <row r="10" spans="2:33" x14ac:dyDescent="0.2">
      <c r="B10" s="228" t="s">
        <v>15</v>
      </c>
      <c r="C10" s="194">
        <v>2020</v>
      </c>
      <c r="D10" s="195">
        <v>0</v>
      </c>
      <c r="E10" s="199"/>
      <c r="F10" s="212">
        <v>0</v>
      </c>
      <c r="G10" s="194"/>
      <c r="H10" s="212">
        <v>0</v>
      </c>
      <c r="I10" s="194"/>
      <c r="J10" s="212">
        <f>SUM('CWIP CCR.ELG'!$E$5:E10)</f>
        <v>1106132.6599999999</v>
      </c>
      <c r="K10" s="194"/>
      <c r="L10" s="212">
        <f>SUM('CWIP CCR.ELG'!$E$5:$E$8)</f>
        <v>822405.09</v>
      </c>
      <c r="M10" s="194"/>
      <c r="N10" s="195">
        <f t="shared" ref="N10:N70" si="3">SUM(D10:J10)-L10</f>
        <v>283727.56999999995</v>
      </c>
      <c r="O10" s="194"/>
      <c r="P10" s="216">
        <f>WACC!$T$10</f>
        <v>7.4999999999999997E-2</v>
      </c>
      <c r="Q10" s="194"/>
      <c r="R10" s="195">
        <f t="shared" si="0"/>
        <v>1773.2973124999996</v>
      </c>
      <c r="S10" s="194"/>
      <c r="T10" s="196">
        <v>0</v>
      </c>
      <c r="U10" s="194"/>
      <c r="V10" s="196">
        <f t="shared" ref="V10:V75" si="4">(ROUND(D10*0.0586/12,0))</f>
        <v>0</v>
      </c>
      <c r="W10" s="196"/>
      <c r="X10" s="196">
        <f t="shared" si="1"/>
        <v>1773.2973124999996</v>
      </c>
      <c r="Y10" s="194"/>
      <c r="Z10" s="217">
        <f>'Allocation Factor'!$C$19</f>
        <v>0.96306666666666663</v>
      </c>
      <c r="AA10" s="194"/>
      <c r="AB10" s="229">
        <f t="shared" si="2"/>
        <v>1707.8035317583328</v>
      </c>
      <c r="AC10" s="229"/>
      <c r="AD10" s="283"/>
      <c r="AE10" s="240"/>
      <c r="AF10" s="16"/>
      <c r="AG10" s="16"/>
    </row>
    <row r="11" spans="2:33" x14ac:dyDescent="0.2">
      <c r="B11" s="228" t="s">
        <v>16</v>
      </c>
      <c r="C11" s="194">
        <v>2020</v>
      </c>
      <c r="D11" s="195">
        <v>0</v>
      </c>
      <c r="E11" s="199"/>
      <c r="F11" s="212">
        <v>0</v>
      </c>
      <c r="G11" s="194"/>
      <c r="H11" s="212">
        <v>0</v>
      </c>
      <c r="I11" s="194"/>
      <c r="J11" s="212">
        <f>SUM('CWIP CCR.ELG'!$E$5:E11)</f>
        <v>1191819.71</v>
      </c>
      <c r="K11" s="194"/>
      <c r="L11" s="212">
        <f>SUM('CWIP CCR.ELG'!$E$5:$E$8)</f>
        <v>822405.09</v>
      </c>
      <c r="M11" s="194"/>
      <c r="N11" s="195">
        <f t="shared" si="3"/>
        <v>369414.62</v>
      </c>
      <c r="O11" s="194"/>
      <c r="P11" s="216">
        <f>WACC!$T$10</f>
        <v>7.4999999999999997E-2</v>
      </c>
      <c r="Q11" s="194"/>
      <c r="R11" s="195">
        <f t="shared" si="0"/>
        <v>2308.841375</v>
      </c>
      <c r="S11" s="194"/>
      <c r="T11" s="196">
        <v>0</v>
      </c>
      <c r="U11" s="194"/>
      <c r="V11" s="196">
        <f t="shared" si="4"/>
        <v>0</v>
      </c>
      <c r="W11" s="196"/>
      <c r="X11" s="196">
        <f t="shared" si="1"/>
        <v>2308.841375</v>
      </c>
      <c r="Y11" s="194"/>
      <c r="Z11" s="217">
        <f>'Allocation Factor'!$C$19</f>
        <v>0.96306666666666663</v>
      </c>
      <c r="AA11" s="194"/>
      <c r="AB11" s="229">
        <f t="shared" si="2"/>
        <v>2223.5681668833331</v>
      </c>
      <c r="AC11" s="229"/>
      <c r="AD11" s="283"/>
      <c r="AE11" s="241"/>
      <c r="AF11" s="16"/>
      <c r="AG11" s="16"/>
    </row>
    <row r="12" spans="2:33" x14ac:dyDescent="0.2">
      <c r="B12" s="228" t="s">
        <v>17</v>
      </c>
      <c r="C12" s="194">
        <v>2020</v>
      </c>
      <c r="D12" s="195">
        <v>0</v>
      </c>
      <c r="E12" s="199"/>
      <c r="F12" s="212">
        <v>0</v>
      </c>
      <c r="G12" s="194"/>
      <c r="H12" s="212">
        <v>0</v>
      </c>
      <c r="I12" s="194"/>
      <c r="J12" s="212">
        <f>SUM('CWIP CCR.ELG'!$E$5:E12)</f>
        <v>1255629.3999999999</v>
      </c>
      <c r="K12" s="194"/>
      <c r="L12" s="212">
        <f>SUM('CWIP CCR.ELG'!$E$5:$E$8)</f>
        <v>822405.09</v>
      </c>
      <c r="M12" s="194"/>
      <c r="N12" s="195">
        <f t="shared" si="3"/>
        <v>433224.30999999994</v>
      </c>
      <c r="O12" s="194"/>
      <c r="P12" s="216">
        <f>WACC!$T$10</f>
        <v>7.4999999999999997E-2</v>
      </c>
      <c r="Q12" s="194"/>
      <c r="R12" s="195">
        <f t="shared" si="0"/>
        <v>2707.6519374999993</v>
      </c>
      <c r="S12" s="194"/>
      <c r="T12" s="196">
        <v>0</v>
      </c>
      <c r="U12" s="194"/>
      <c r="V12" s="196">
        <f t="shared" si="4"/>
        <v>0</v>
      </c>
      <c r="W12" s="196"/>
      <c r="X12" s="196">
        <f t="shared" si="1"/>
        <v>2707.6519374999993</v>
      </c>
      <c r="Y12" s="194"/>
      <c r="Z12" s="217">
        <f>'Allocation Factor'!$C$19</f>
        <v>0.96306666666666663</v>
      </c>
      <c r="AA12" s="194"/>
      <c r="AB12" s="229">
        <f t="shared" si="2"/>
        <v>2607.6493259416661</v>
      </c>
      <c r="AC12" s="229"/>
      <c r="AD12" s="283"/>
      <c r="AE12" s="241"/>
      <c r="AF12" s="16"/>
      <c r="AG12" s="16"/>
    </row>
    <row r="13" spans="2:33" x14ac:dyDescent="0.2">
      <c r="B13" s="228" t="s">
        <v>18</v>
      </c>
      <c r="C13" s="194">
        <v>2020</v>
      </c>
      <c r="D13" s="195">
        <v>0</v>
      </c>
      <c r="E13" s="199"/>
      <c r="F13" s="212">
        <v>0</v>
      </c>
      <c r="G13" s="194"/>
      <c r="H13" s="212">
        <v>0</v>
      </c>
      <c r="I13" s="194"/>
      <c r="J13" s="212">
        <f>SUM('CWIP CCR.ELG'!$E$5:E13)</f>
        <v>1319342.6499999999</v>
      </c>
      <c r="K13" s="194"/>
      <c r="L13" s="212">
        <f>SUM('CWIP CCR.ELG'!$E$5:$E$8)</f>
        <v>822405.09</v>
      </c>
      <c r="M13" s="194"/>
      <c r="N13" s="195">
        <f t="shared" si="3"/>
        <v>496937.55999999994</v>
      </c>
      <c r="O13" s="194"/>
      <c r="P13" s="216">
        <f>WACC!$T$10</f>
        <v>7.4999999999999997E-2</v>
      </c>
      <c r="Q13" s="194"/>
      <c r="R13" s="195">
        <f t="shared" si="0"/>
        <v>3105.8597499999996</v>
      </c>
      <c r="S13" s="194"/>
      <c r="T13" s="196">
        <v>0</v>
      </c>
      <c r="U13" s="194"/>
      <c r="V13" s="196">
        <f t="shared" si="4"/>
        <v>0</v>
      </c>
      <c r="W13" s="196"/>
      <c r="X13" s="196">
        <f t="shared" si="1"/>
        <v>3105.8597499999996</v>
      </c>
      <c r="Y13" s="194"/>
      <c r="Z13" s="217">
        <f>'Allocation Factor'!$C$19</f>
        <v>0.96306666666666663</v>
      </c>
      <c r="AA13" s="194"/>
      <c r="AB13" s="229">
        <f t="shared" si="2"/>
        <v>2991.1499965666662</v>
      </c>
      <c r="AC13" s="229"/>
      <c r="AD13" s="283"/>
      <c r="AE13" s="241"/>
      <c r="AF13" s="16"/>
      <c r="AG13" s="16"/>
    </row>
    <row r="14" spans="2:33" x14ac:dyDescent="0.2">
      <c r="B14" s="228" t="s">
        <v>19</v>
      </c>
      <c r="C14" s="194">
        <v>2020</v>
      </c>
      <c r="D14" s="195">
        <v>0</v>
      </c>
      <c r="E14" s="199"/>
      <c r="F14" s="212">
        <v>0</v>
      </c>
      <c r="G14" s="194"/>
      <c r="H14" s="212">
        <v>0</v>
      </c>
      <c r="I14" s="194"/>
      <c r="J14" s="212">
        <f>SUM('CWIP CCR.ELG'!$E$5:E14)</f>
        <v>1381967.26</v>
      </c>
      <c r="K14" s="194"/>
      <c r="L14" s="212">
        <f>SUM('CWIP CCR.ELG'!$E$5:$E$8)</f>
        <v>822405.09</v>
      </c>
      <c r="M14" s="194"/>
      <c r="N14" s="195">
        <f t="shared" si="3"/>
        <v>559562.17000000004</v>
      </c>
      <c r="O14" s="194"/>
      <c r="P14" s="216">
        <f>WACC!$T$10</f>
        <v>7.4999999999999997E-2</v>
      </c>
      <c r="Q14" s="194"/>
      <c r="R14" s="195">
        <f t="shared" si="0"/>
        <v>3497.2635625000003</v>
      </c>
      <c r="S14" s="194"/>
      <c r="T14" s="196">
        <v>0</v>
      </c>
      <c r="U14" s="194"/>
      <c r="V14" s="196">
        <f t="shared" si="4"/>
        <v>0</v>
      </c>
      <c r="W14" s="196"/>
      <c r="X14" s="196">
        <f t="shared" si="1"/>
        <v>3497.2635625000003</v>
      </c>
      <c r="Y14" s="194"/>
      <c r="Z14" s="217">
        <f>'Allocation Factor'!$C$19</f>
        <v>0.96306666666666663</v>
      </c>
      <c r="AA14" s="194"/>
      <c r="AB14" s="229">
        <f t="shared" si="2"/>
        <v>3368.0979615916667</v>
      </c>
      <c r="AC14" s="229"/>
      <c r="AD14" s="283"/>
      <c r="AE14" s="241"/>
      <c r="AF14" s="16"/>
      <c r="AG14" s="16"/>
    </row>
    <row r="15" spans="2:33" x14ac:dyDescent="0.2">
      <c r="B15" s="228" t="s">
        <v>8</v>
      </c>
      <c r="C15" s="194">
        <v>2020</v>
      </c>
      <c r="D15" s="195">
        <v>0</v>
      </c>
      <c r="E15" s="199"/>
      <c r="F15" s="212">
        <v>0</v>
      </c>
      <c r="G15" s="194"/>
      <c r="H15" s="212">
        <v>0</v>
      </c>
      <c r="I15" s="194"/>
      <c r="J15" s="212">
        <f>SUM('CWIP CCR.ELG'!$E$5:E15)</f>
        <v>1447745.69</v>
      </c>
      <c r="K15" s="194"/>
      <c r="L15" s="212">
        <f>SUM('CWIP CCR.ELG'!$E$5:$E$8)</f>
        <v>822405.09</v>
      </c>
      <c r="M15" s="194"/>
      <c r="N15" s="195">
        <f t="shared" si="3"/>
        <v>625340.6</v>
      </c>
      <c r="O15" s="194"/>
      <c r="P15" s="216">
        <f>WACC!$T$10</f>
        <v>7.4999999999999997E-2</v>
      </c>
      <c r="Q15" s="194"/>
      <c r="R15" s="195">
        <f t="shared" si="0"/>
        <v>3908.3787499999999</v>
      </c>
      <c r="S15" s="194"/>
      <c r="T15" s="196">
        <v>0</v>
      </c>
      <c r="U15" s="194"/>
      <c r="V15" s="196">
        <f t="shared" si="4"/>
        <v>0</v>
      </c>
      <c r="W15" s="196"/>
      <c r="X15" s="196">
        <f t="shared" si="1"/>
        <v>3908.3787499999999</v>
      </c>
      <c r="Y15" s="194"/>
      <c r="Z15" s="217">
        <f>'Allocation Factor'!$C$19</f>
        <v>0.96306666666666663</v>
      </c>
      <c r="AA15" s="194"/>
      <c r="AB15" s="229">
        <f t="shared" si="2"/>
        <v>3764.0292948333331</v>
      </c>
      <c r="AC15" s="229"/>
      <c r="AD15" s="283"/>
      <c r="AE15" s="241"/>
      <c r="AF15" s="16"/>
      <c r="AG15" s="16"/>
    </row>
    <row r="16" spans="2:33" x14ac:dyDescent="0.2">
      <c r="B16" s="228" t="s">
        <v>9</v>
      </c>
      <c r="C16" s="194">
        <v>2020</v>
      </c>
      <c r="D16" s="195">
        <v>0</v>
      </c>
      <c r="E16" s="199"/>
      <c r="F16" s="212">
        <v>0</v>
      </c>
      <c r="G16" s="194"/>
      <c r="H16" s="212">
        <v>0</v>
      </c>
      <c r="I16" s="194"/>
      <c r="J16" s="212">
        <f>SUM('CWIP CCR.ELG'!$E$5:E16)</f>
        <v>1634622.1903473344</v>
      </c>
      <c r="K16" s="194"/>
      <c r="L16" s="212">
        <f>SUM('CWIP CCR.ELG'!$E$5:$E$8)</f>
        <v>822405.09</v>
      </c>
      <c r="M16" s="194"/>
      <c r="N16" s="195">
        <f t="shared" si="3"/>
        <v>812217.1003473344</v>
      </c>
      <c r="O16" s="194"/>
      <c r="P16" s="216">
        <f>WACC!$T$10</f>
        <v>7.4999999999999997E-2</v>
      </c>
      <c r="Q16" s="194"/>
      <c r="R16" s="195">
        <f t="shared" si="0"/>
        <v>5076.3568771708397</v>
      </c>
      <c r="S16" s="194"/>
      <c r="T16" s="196">
        <v>0</v>
      </c>
      <c r="U16" s="194"/>
      <c r="V16" s="196">
        <f t="shared" si="4"/>
        <v>0</v>
      </c>
      <c r="W16" s="196"/>
      <c r="X16" s="196">
        <f t="shared" si="1"/>
        <v>5076.3568771708397</v>
      </c>
      <c r="Y16" s="194"/>
      <c r="Z16" s="217">
        <f>'Allocation Factor'!$C$19</f>
        <v>0.96306666666666663</v>
      </c>
      <c r="AA16" s="194"/>
      <c r="AB16" s="229">
        <f t="shared" si="2"/>
        <v>4888.8700965073294</v>
      </c>
      <c r="AC16" s="229"/>
      <c r="AD16" s="283"/>
      <c r="AE16" s="241"/>
      <c r="AF16" s="16"/>
      <c r="AG16" s="16"/>
    </row>
    <row r="17" spans="2:33" x14ac:dyDescent="0.2">
      <c r="B17" s="228" t="s">
        <v>10</v>
      </c>
      <c r="C17" s="194">
        <v>2020</v>
      </c>
      <c r="D17" s="195">
        <v>0</v>
      </c>
      <c r="E17" s="199"/>
      <c r="F17" s="212">
        <v>0</v>
      </c>
      <c r="G17" s="194"/>
      <c r="H17" s="212">
        <v>0</v>
      </c>
      <c r="I17" s="194"/>
      <c r="J17" s="212">
        <f>SUM('CWIP CCR.ELG'!$E$5:E17)</f>
        <v>2038178.9850751976</v>
      </c>
      <c r="K17" s="194"/>
      <c r="L17" s="212">
        <f>SUM('CWIP CCR.ELG'!$E$5:$E$8)</f>
        <v>822405.09</v>
      </c>
      <c r="M17" s="194"/>
      <c r="N17" s="195">
        <f t="shared" si="3"/>
        <v>1215773.8950751978</v>
      </c>
      <c r="O17" s="194"/>
      <c r="P17" s="216">
        <f>WACC!$T$10</f>
        <v>7.4999999999999997E-2</v>
      </c>
      <c r="Q17" s="194"/>
      <c r="R17" s="195">
        <f t="shared" si="0"/>
        <v>7598.5868442199862</v>
      </c>
      <c r="S17" s="194"/>
      <c r="T17" s="196">
        <v>0</v>
      </c>
      <c r="U17" s="194"/>
      <c r="V17" s="196">
        <f t="shared" si="4"/>
        <v>0</v>
      </c>
      <c r="W17" s="196"/>
      <c r="X17" s="196">
        <f t="shared" si="1"/>
        <v>7598.5868442199862</v>
      </c>
      <c r="Y17" s="194"/>
      <c r="Z17" s="217">
        <f>'Allocation Factor'!$C$19</f>
        <v>0.96306666666666663</v>
      </c>
      <c r="AA17" s="194"/>
      <c r="AB17" s="229">
        <f t="shared" si="2"/>
        <v>7317.9457034401275</v>
      </c>
      <c r="AC17" s="229"/>
      <c r="AD17" s="283"/>
      <c r="AE17" s="241"/>
      <c r="AF17" s="16"/>
      <c r="AG17" s="16"/>
    </row>
    <row r="18" spans="2:33" x14ac:dyDescent="0.2">
      <c r="B18" s="228" t="s">
        <v>11</v>
      </c>
      <c r="C18" s="194">
        <v>2021</v>
      </c>
      <c r="D18" s="195">
        <v>0</v>
      </c>
      <c r="E18" s="199"/>
      <c r="F18" s="212">
        <v>0</v>
      </c>
      <c r="G18" s="194"/>
      <c r="H18" s="212">
        <v>0</v>
      </c>
      <c r="I18" s="194"/>
      <c r="J18" s="212">
        <f>SUM('CWIP CCR.ELG'!$E$5:E18)</f>
        <v>2303165.9850751976</v>
      </c>
      <c r="K18" s="194"/>
      <c r="L18" s="212">
        <f>SUM('CWIP CCR.ELG'!$E$5:$E$8)</f>
        <v>822405.09</v>
      </c>
      <c r="M18" s="194"/>
      <c r="N18" s="195">
        <f t="shared" si="3"/>
        <v>1480760.8950751978</v>
      </c>
      <c r="O18" s="194"/>
      <c r="P18" s="216">
        <f>WACC!$T$10</f>
        <v>7.4999999999999997E-2</v>
      </c>
      <c r="Q18" s="194"/>
      <c r="R18" s="195">
        <f t="shared" ref="R18:R21" si="5">N18*P18/12</f>
        <v>9254.7555942199851</v>
      </c>
      <c r="S18" s="194"/>
      <c r="T18" s="196">
        <v>0</v>
      </c>
      <c r="U18" s="194"/>
      <c r="V18" s="196">
        <f t="shared" si="4"/>
        <v>0</v>
      </c>
      <c r="W18" s="196"/>
      <c r="X18" s="196">
        <f t="shared" ref="X18:X23" si="6">V18+T18+R18</f>
        <v>9254.7555942199851</v>
      </c>
      <c r="Y18" s="194"/>
      <c r="Z18" s="217">
        <f>'Allocation Factor'!$C$19</f>
        <v>0.96306666666666663</v>
      </c>
      <c r="AA18" s="194"/>
      <c r="AB18" s="229">
        <f t="shared" ref="AB18:AB23" si="7">X18*Z18</f>
        <v>8912.9466209401271</v>
      </c>
      <c r="AC18" s="229"/>
      <c r="AD18" s="283"/>
      <c r="AE18" s="241"/>
      <c r="AF18" s="16"/>
      <c r="AG18" s="16"/>
    </row>
    <row r="19" spans="2:33" x14ac:dyDescent="0.2">
      <c r="B19" s="228" t="s">
        <v>12</v>
      </c>
      <c r="C19" s="194">
        <v>2021</v>
      </c>
      <c r="D19" s="195">
        <v>0</v>
      </c>
      <c r="E19" s="199"/>
      <c r="F19" s="212">
        <v>0</v>
      </c>
      <c r="G19" s="194"/>
      <c r="H19" s="212">
        <v>0</v>
      </c>
      <c r="I19" s="194"/>
      <c r="J19" s="212">
        <f>SUM('CWIP CCR.ELG'!$E$5:E19)</f>
        <v>2380295.7725207251</v>
      </c>
      <c r="K19" s="194"/>
      <c r="L19" s="212">
        <f>SUM('CWIP CCR.ELG'!$E$5:$E$8)</f>
        <v>822405.09</v>
      </c>
      <c r="M19" s="194"/>
      <c r="N19" s="195">
        <f t="shared" si="3"/>
        <v>1557890.6825207253</v>
      </c>
      <c r="O19" s="194"/>
      <c r="P19" s="216">
        <f>WACC!$T$10</f>
        <v>7.4999999999999997E-2</v>
      </c>
      <c r="Q19" s="194"/>
      <c r="R19" s="195">
        <f t="shared" si="5"/>
        <v>9736.8167657545328</v>
      </c>
      <c r="S19" s="194"/>
      <c r="T19" s="196">
        <v>0</v>
      </c>
      <c r="U19" s="194"/>
      <c r="V19" s="196">
        <f t="shared" si="4"/>
        <v>0</v>
      </c>
      <c r="W19" s="196"/>
      <c r="X19" s="196">
        <f t="shared" si="6"/>
        <v>9736.8167657545328</v>
      </c>
      <c r="Y19" s="194"/>
      <c r="Z19" s="217">
        <f>'Allocation Factor'!$C$19</f>
        <v>0.96306666666666663</v>
      </c>
      <c r="AA19" s="194"/>
      <c r="AB19" s="229">
        <f t="shared" si="7"/>
        <v>9377.2036665393316</v>
      </c>
      <c r="AC19" s="229"/>
      <c r="AD19" s="283"/>
      <c r="AE19" s="241"/>
      <c r="AF19" s="16"/>
      <c r="AG19" s="16"/>
    </row>
    <row r="20" spans="2:33" x14ac:dyDescent="0.2">
      <c r="B20" s="228" t="s">
        <v>13</v>
      </c>
      <c r="C20" s="194">
        <v>2021</v>
      </c>
      <c r="D20" s="195">
        <v>0</v>
      </c>
      <c r="E20" s="199"/>
      <c r="F20" s="212">
        <v>0</v>
      </c>
      <c r="G20" s="194"/>
      <c r="H20" s="212">
        <v>0</v>
      </c>
      <c r="I20" s="194"/>
      <c r="J20" s="212">
        <f>SUM('CWIP CCR.ELG'!$E$5:E20)</f>
        <v>2457425.5599662527</v>
      </c>
      <c r="K20" s="194"/>
      <c r="L20" s="212">
        <f>SUM('CWIP CCR.ELG'!$E$5:$E$8)</f>
        <v>822405.09</v>
      </c>
      <c r="M20" s="194"/>
      <c r="N20" s="195">
        <f t="shared" si="3"/>
        <v>1635020.4699662528</v>
      </c>
      <c r="O20" s="194"/>
      <c r="P20" s="216">
        <f>WACC!$T$10</f>
        <v>7.4999999999999997E-2</v>
      </c>
      <c r="Q20" s="194"/>
      <c r="R20" s="195">
        <f t="shared" si="5"/>
        <v>10218.87793728908</v>
      </c>
      <c r="S20" s="194"/>
      <c r="T20" s="196">
        <v>0</v>
      </c>
      <c r="U20" s="194"/>
      <c r="V20" s="196">
        <f t="shared" si="4"/>
        <v>0</v>
      </c>
      <c r="W20" s="196"/>
      <c r="X20" s="196">
        <f t="shared" si="6"/>
        <v>10218.87793728908</v>
      </c>
      <c r="Y20" s="194"/>
      <c r="Z20" s="217">
        <f>'Allocation Factor'!$C$19</f>
        <v>0.96306666666666663</v>
      </c>
      <c r="AA20" s="194"/>
      <c r="AB20" s="229">
        <f t="shared" si="7"/>
        <v>9841.4607121385361</v>
      </c>
      <c r="AC20" s="229"/>
      <c r="AD20" s="283"/>
      <c r="AE20" s="241"/>
      <c r="AF20" s="16"/>
      <c r="AG20" s="16"/>
    </row>
    <row r="21" spans="2:33" x14ac:dyDescent="0.2">
      <c r="B21" s="228" t="s">
        <v>14</v>
      </c>
      <c r="C21" s="194">
        <v>2021</v>
      </c>
      <c r="D21" s="195">
        <v>0</v>
      </c>
      <c r="E21" s="199"/>
      <c r="F21" s="212">
        <v>0</v>
      </c>
      <c r="G21" s="194"/>
      <c r="H21" s="212">
        <v>0</v>
      </c>
      <c r="I21" s="194"/>
      <c r="J21" s="212">
        <f>SUM('CWIP CCR.ELG'!$E$5:E21)</f>
        <v>2534555.3474117802</v>
      </c>
      <c r="K21" s="194"/>
      <c r="L21" s="212">
        <f>SUM('CWIP CCR.ELG'!$E$5:$E$8)</f>
        <v>822405.09</v>
      </c>
      <c r="M21" s="194"/>
      <c r="N21" s="195">
        <f t="shared" si="3"/>
        <v>1712150.2574117803</v>
      </c>
      <c r="O21" s="194"/>
      <c r="P21" s="216">
        <f>WACC!$T$10</f>
        <v>7.4999999999999997E-2</v>
      </c>
      <c r="Q21" s="194"/>
      <c r="R21" s="195">
        <f t="shared" si="5"/>
        <v>10700.939108823626</v>
      </c>
      <c r="S21" s="194"/>
      <c r="T21" s="196">
        <v>0</v>
      </c>
      <c r="U21" s="194"/>
      <c r="V21" s="196">
        <f t="shared" si="4"/>
        <v>0</v>
      </c>
      <c r="W21" s="196"/>
      <c r="X21" s="196">
        <f t="shared" si="6"/>
        <v>10700.939108823626</v>
      </c>
      <c r="Y21" s="194"/>
      <c r="Z21" s="217">
        <f>'Allocation Factor'!$C$19</f>
        <v>0.96306666666666663</v>
      </c>
      <c r="AA21" s="194"/>
      <c r="AB21" s="229">
        <f t="shared" si="7"/>
        <v>10305.717757737741</v>
      </c>
      <c r="AC21" s="229"/>
      <c r="AD21" s="283"/>
      <c r="AE21" s="241"/>
      <c r="AF21" s="16"/>
      <c r="AG21" s="16"/>
    </row>
    <row r="22" spans="2:33" x14ac:dyDescent="0.2">
      <c r="B22" s="228" t="s">
        <v>15</v>
      </c>
      <c r="C22" s="194">
        <v>2021</v>
      </c>
      <c r="D22" s="195">
        <v>0</v>
      </c>
      <c r="E22" s="199"/>
      <c r="F22" s="212">
        <v>0</v>
      </c>
      <c r="G22" s="194"/>
      <c r="H22" s="212">
        <v>0</v>
      </c>
      <c r="I22" s="194"/>
      <c r="J22" s="212">
        <f>SUM('CWIP CCR.ELG'!$E$5:E22)</f>
        <v>2621797.4616960702</v>
      </c>
      <c r="K22" s="194"/>
      <c r="L22" s="212">
        <f>SUM('CWIP CCR.ELG'!$E$5:$E$8)</f>
        <v>822405.09</v>
      </c>
      <c r="M22" s="194"/>
      <c r="N22" s="195">
        <f t="shared" si="3"/>
        <v>1799392.3716960703</v>
      </c>
      <c r="O22" s="194"/>
      <c r="P22" s="216">
        <f>WACC!$T$10</f>
        <v>7.4999999999999997E-2</v>
      </c>
      <c r="Q22" s="194"/>
      <c r="R22" s="195">
        <f t="shared" ref="R22:R47" si="8">N22*P22/12</f>
        <v>11246.20232310044</v>
      </c>
      <c r="S22" s="194"/>
      <c r="T22" s="196">
        <v>0</v>
      </c>
      <c r="U22" s="194"/>
      <c r="V22" s="196">
        <f t="shared" si="4"/>
        <v>0</v>
      </c>
      <c r="W22" s="196"/>
      <c r="X22" s="196">
        <f t="shared" ref="X22:X47" si="9">V22+T22+R22</f>
        <v>11246.20232310044</v>
      </c>
      <c r="Y22" s="194"/>
      <c r="Z22" s="217">
        <f>'Allocation Factor'!$C$19</f>
        <v>0.96306666666666663</v>
      </c>
      <c r="AA22" s="194"/>
      <c r="AB22" s="229">
        <f t="shared" ref="AB22:AB47" si="10">X22*Z22</f>
        <v>10830.842583967264</v>
      </c>
      <c r="AC22" s="229"/>
      <c r="AD22" s="283"/>
      <c r="AE22" s="241"/>
      <c r="AF22" s="16"/>
      <c r="AG22" s="16"/>
    </row>
    <row r="23" spans="2:33" x14ac:dyDescent="0.2">
      <c r="B23" s="228" t="s">
        <v>16</v>
      </c>
      <c r="C23" s="194">
        <v>2021</v>
      </c>
      <c r="D23" s="195">
        <v>0</v>
      </c>
      <c r="E23" s="199"/>
      <c r="F23" s="212">
        <v>0</v>
      </c>
      <c r="G23" s="194"/>
      <c r="H23" s="212">
        <v>0</v>
      </c>
      <c r="I23" s="194"/>
      <c r="J23" s="212">
        <f>SUM('CWIP CCR.ELG'!$E$5:E23)</f>
        <v>2795461.7491415977</v>
      </c>
      <c r="K23" s="194"/>
      <c r="L23" s="212">
        <f>SUM('CWIP CCR.ELG'!$E$5:$E$8)</f>
        <v>822405.09</v>
      </c>
      <c r="M23" s="194"/>
      <c r="N23" s="195">
        <f t="shared" si="3"/>
        <v>1973056.6591415978</v>
      </c>
      <c r="O23" s="194"/>
      <c r="P23" s="216">
        <f>WACC!$T$10</f>
        <v>7.4999999999999997E-2</v>
      </c>
      <c r="Q23" s="194"/>
      <c r="R23" s="195">
        <f t="shared" si="8"/>
        <v>12331.604119634985</v>
      </c>
      <c r="S23" s="194"/>
      <c r="T23" s="196">
        <v>0</v>
      </c>
      <c r="U23" s="194"/>
      <c r="V23" s="196">
        <f t="shared" si="4"/>
        <v>0</v>
      </c>
      <c r="W23" s="196"/>
      <c r="X23" s="196">
        <f t="shared" si="6"/>
        <v>12331.604119634985</v>
      </c>
      <c r="Y23" s="194"/>
      <c r="Z23" s="217">
        <f>'Allocation Factor'!$C$19</f>
        <v>0.96306666666666663</v>
      </c>
      <c r="AA23" s="194"/>
      <c r="AB23" s="229">
        <f t="shared" si="7"/>
        <v>11876.156874149799</v>
      </c>
      <c r="AC23" s="229"/>
      <c r="AD23" s="283"/>
      <c r="AE23" s="241"/>
      <c r="AF23" s="16"/>
      <c r="AG23" s="16"/>
    </row>
    <row r="24" spans="2:33" x14ac:dyDescent="0.2">
      <c r="B24" s="228" t="s">
        <v>17</v>
      </c>
      <c r="C24" s="194">
        <v>2021</v>
      </c>
      <c r="D24" s="195">
        <v>0</v>
      </c>
      <c r="E24" s="199"/>
      <c r="F24" s="212">
        <v>0</v>
      </c>
      <c r="G24" s="194"/>
      <c r="H24" s="212">
        <v>0</v>
      </c>
      <c r="I24" s="194"/>
      <c r="J24" s="212">
        <f>SUM('CWIP CCR.ELG'!$E$5:E24)</f>
        <v>3133117.945285134</v>
      </c>
      <c r="K24" s="194"/>
      <c r="L24" s="212">
        <f>SUM('CWIP CCR.ELG'!$E$5:$E$8)</f>
        <v>822405.09</v>
      </c>
      <c r="M24" s="194"/>
      <c r="N24" s="195">
        <f t="shared" si="3"/>
        <v>2310712.8552851342</v>
      </c>
      <c r="O24" s="194"/>
      <c r="P24" s="216">
        <f>WACC!$T$10</f>
        <v>7.4999999999999997E-2</v>
      </c>
      <c r="Q24" s="194"/>
      <c r="R24" s="195">
        <f t="shared" si="8"/>
        <v>14441.955345532087</v>
      </c>
      <c r="S24" s="194"/>
      <c r="T24" s="196">
        <v>0</v>
      </c>
      <c r="U24" s="194"/>
      <c r="V24" s="196">
        <f t="shared" si="4"/>
        <v>0</v>
      </c>
      <c r="W24" s="196"/>
      <c r="X24" s="196">
        <f t="shared" si="9"/>
        <v>14441.955345532087</v>
      </c>
      <c r="Y24" s="194"/>
      <c r="Z24" s="217">
        <f>'Allocation Factor'!$C$19</f>
        <v>0.96306666666666663</v>
      </c>
      <c r="AA24" s="194"/>
      <c r="AB24" s="229">
        <f t="shared" si="10"/>
        <v>13908.565794770435</v>
      </c>
      <c r="AC24" s="229"/>
      <c r="AD24" s="283"/>
      <c r="AE24" s="241"/>
      <c r="AF24" s="16"/>
      <c r="AG24" s="16"/>
    </row>
    <row r="25" spans="2:33" x14ac:dyDescent="0.2">
      <c r="B25" s="255" t="s">
        <v>147</v>
      </c>
      <c r="C25" s="256"/>
      <c r="D25" s="257"/>
      <c r="E25" s="258"/>
      <c r="F25" s="259"/>
      <c r="G25" s="256"/>
      <c r="H25" s="259"/>
      <c r="I25" s="256"/>
      <c r="J25" s="259"/>
      <c r="K25" s="256"/>
      <c r="L25" s="259"/>
      <c r="M25" s="256"/>
      <c r="N25" s="257"/>
      <c r="O25" s="256"/>
      <c r="P25" s="260"/>
      <c r="Q25" s="256"/>
      <c r="R25" s="257"/>
      <c r="S25" s="256"/>
      <c r="T25" s="261"/>
      <c r="U25" s="256"/>
      <c r="V25" s="261"/>
      <c r="W25" s="261"/>
      <c r="X25" s="261"/>
      <c r="Y25" s="256"/>
      <c r="Z25" s="262"/>
      <c r="AA25" s="256"/>
      <c r="AB25" s="263">
        <f>SUM(AB9:AB24)</f>
        <v>105111.17608266568</v>
      </c>
      <c r="AC25" s="243"/>
      <c r="AD25" s="273"/>
      <c r="AE25" s="241" t="s">
        <v>150</v>
      </c>
      <c r="AF25" s="16"/>
      <c r="AG25" s="16"/>
    </row>
    <row r="26" spans="2:33" ht="5.25" customHeight="1" x14ac:dyDescent="0.2">
      <c r="B26" s="244"/>
      <c r="C26" s="245"/>
      <c r="D26" s="246"/>
      <c r="E26" s="247"/>
      <c r="F26" s="248"/>
      <c r="G26" s="245"/>
      <c r="H26" s="248"/>
      <c r="I26" s="245"/>
      <c r="J26" s="248"/>
      <c r="K26" s="245"/>
      <c r="L26" s="248"/>
      <c r="M26" s="245"/>
      <c r="N26" s="246"/>
      <c r="O26" s="245"/>
      <c r="P26" s="249"/>
      <c r="Q26" s="245"/>
      <c r="R26" s="246"/>
      <c r="S26" s="245"/>
      <c r="T26" s="250"/>
      <c r="U26" s="245"/>
      <c r="V26" s="250"/>
      <c r="W26" s="250"/>
      <c r="X26" s="250"/>
      <c r="Y26" s="245"/>
      <c r="Z26" s="251"/>
      <c r="AA26" s="245"/>
      <c r="AB26" s="252"/>
      <c r="AC26" s="252"/>
      <c r="AD26" s="253"/>
      <c r="AE26" s="254"/>
      <c r="AF26" s="16"/>
      <c r="AG26" s="16"/>
    </row>
    <row r="27" spans="2:33" ht="12.75" customHeight="1" x14ac:dyDescent="0.2">
      <c r="B27" s="228" t="s">
        <v>18</v>
      </c>
      <c r="C27" s="194">
        <v>2021</v>
      </c>
      <c r="D27" s="195">
        <v>0</v>
      </c>
      <c r="E27" s="199"/>
      <c r="F27" s="212">
        <v>0</v>
      </c>
      <c r="G27" s="194"/>
      <c r="H27" s="212">
        <v>0</v>
      </c>
      <c r="I27" s="194"/>
      <c r="J27" s="212">
        <f>SUM('CWIP CCR.ELG'!$E$5:E25)</f>
        <v>3464072.2521839184</v>
      </c>
      <c r="K27" s="194"/>
      <c r="L27" s="212">
        <f>SUM('CWIP CCR.ELG'!$E$5:$E$8)</f>
        <v>822405.09</v>
      </c>
      <c r="M27" s="194"/>
      <c r="N27" s="195">
        <f t="shared" si="3"/>
        <v>2641667.1621839185</v>
      </c>
      <c r="O27" s="194"/>
      <c r="P27" s="216">
        <f>WACC!$T$10</f>
        <v>7.4999999999999997E-2</v>
      </c>
      <c r="Q27" s="194"/>
      <c r="R27" s="195">
        <f t="shared" si="8"/>
        <v>16510.41976364949</v>
      </c>
      <c r="S27" s="194"/>
      <c r="T27" s="196">
        <v>0</v>
      </c>
      <c r="U27" s="194"/>
      <c r="V27" s="196">
        <f t="shared" si="4"/>
        <v>0</v>
      </c>
      <c r="W27" s="196"/>
      <c r="X27" s="196">
        <f t="shared" si="9"/>
        <v>16510.41976364949</v>
      </c>
      <c r="Y27" s="194"/>
      <c r="Z27" s="217">
        <f>'Allocation Factor'!$C$19</f>
        <v>0.96306666666666663</v>
      </c>
      <c r="AA27" s="194"/>
      <c r="AB27" s="229">
        <f t="shared" si="10"/>
        <v>15900.634927045368</v>
      </c>
      <c r="AC27" s="229"/>
      <c r="AD27" s="229" t="s">
        <v>136</v>
      </c>
      <c r="AE27" s="229" t="s">
        <v>143</v>
      </c>
      <c r="AF27" s="16"/>
      <c r="AG27" s="227"/>
    </row>
    <row r="28" spans="2:33" x14ac:dyDescent="0.2">
      <c r="B28" s="228" t="s">
        <v>19</v>
      </c>
      <c r="C28" s="194">
        <v>2021</v>
      </c>
      <c r="D28" s="195">
        <v>0</v>
      </c>
      <c r="E28" s="199"/>
      <c r="F28" s="212">
        <v>0</v>
      </c>
      <c r="G28" s="194"/>
      <c r="H28" s="212">
        <v>0</v>
      </c>
      <c r="I28" s="194"/>
      <c r="J28" s="212">
        <f>SUM('CWIP CCR.ELG'!$E$5:E26)</f>
        <v>4557264.9537523398</v>
      </c>
      <c r="K28" s="194"/>
      <c r="L28" s="212">
        <f>SUM('CWIP CCR.ELG'!$E$5:$E$8)</f>
        <v>822405.09</v>
      </c>
      <c r="M28" s="194"/>
      <c r="N28" s="195">
        <f t="shared" si="3"/>
        <v>3734859.86375234</v>
      </c>
      <c r="O28" s="194"/>
      <c r="P28" s="216">
        <f>WACC!$T$10</f>
        <v>7.4999999999999997E-2</v>
      </c>
      <c r="Q28" s="194"/>
      <c r="R28" s="195">
        <f t="shared" si="8"/>
        <v>23342.874148452127</v>
      </c>
      <c r="S28" s="194"/>
      <c r="T28" s="196">
        <v>0</v>
      </c>
      <c r="U28" s="194"/>
      <c r="V28" s="196">
        <f t="shared" si="4"/>
        <v>0</v>
      </c>
      <c r="W28" s="196"/>
      <c r="X28" s="196">
        <f t="shared" si="9"/>
        <v>23342.874148452127</v>
      </c>
      <c r="Y28" s="194"/>
      <c r="Z28" s="217">
        <f>'Allocation Factor'!$C$19</f>
        <v>0.96306666666666663</v>
      </c>
      <c r="AA28" s="194"/>
      <c r="AB28" s="229">
        <f t="shared" si="10"/>
        <v>22480.743996569294</v>
      </c>
      <c r="AC28" s="229"/>
      <c r="AD28" s="229" t="s">
        <v>136</v>
      </c>
      <c r="AE28" s="229"/>
      <c r="AF28" s="16"/>
      <c r="AG28" s="16"/>
    </row>
    <row r="29" spans="2:33" x14ac:dyDescent="0.2">
      <c r="B29" s="228" t="s">
        <v>8</v>
      </c>
      <c r="C29" s="194">
        <v>2021</v>
      </c>
      <c r="D29" s="195">
        <v>0</v>
      </c>
      <c r="E29" s="199"/>
      <c r="F29" s="212">
        <v>0</v>
      </c>
      <c r="G29" s="194"/>
      <c r="H29" s="212">
        <v>0</v>
      </c>
      <c r="I29" s="194"/>
      <c r="J29" s="212">
        <f>SUM('CWIP CCR.ELG'!$E$5:E27)</f>
        <v>5791998.3249805784</v>
      </c>
      <c r="K29" s="194"/>
      <c r="L29" s="212">
        <f>SUM('CWIP CCR.ELG'!$E$5:$E$8)</f>
        <v>822405.09</v>
      </c>
      <c r="M29" s="194"/>
      <c r="N29" s="195">
        <f t="shared" si="3"/>
        <v>4969593.2349805785</v>
      </c>
      <c r="O29" s="194"/>
      <c r="P29" s="216">
        <f>WACC!$T$10</f>
        <v>7.4999999999999997E-2</v>
      </c>
      <c r="Q29" s="194"/>
      <c r="R29" s="195">
        <f t="shared" si="8"/>
        <v>31059.957718628615</v>
      </c>
      <c r="S29" s="194"/>
      <c r="T29" s="196">
        <v>0</v>
      </c>
      <c r="U29" s="194"/>
      <c r="V29" s="196">
        <f t="shared" si="4"/>
        <v>0</v>
      </c>
      <c r="W29" s="196"/>
      <c r="X29" s="196">
        <f t="shared" si="9"/>
        <v>31059.957718628615</v>
      </c>
      <c r="Y29" s="194"/>
      <c r="Z29" s="217">
        <f>'Allocation Factor'!$C$19</f>
        <v>0.96306666666666663</v>
      </c>
      <c r="AA29" s="194"/>
      <c r="AB29" s="229">
        <f t="shared" si="10"/>
        <v>29912.809946887264</v>
      </c>
      <c r="AC29" s="229"/>
      <c r="AD29" s="229" t="s">
        <v>136</v>
      </c>
      <c r="AE29" s="194"/>
      <c r="AF29" s="16"/>
      <c r="AG29" s="16"/>
    </row>
    <row r="30" spans="2:33" x14ac:dyDescent="0.2">
      <c r="B30" s="228" t="s">
        <v>9</v>
      </c>
      <c r="C30" s="194">
        <v>2021</v>
      </c>
      <c r="D30" s="195">
        <v>0</v>
      </c>
      <c r="E30" s="199"/>
      <c r="F30" s="212">
        <v>0</v>
      </c>
      <c r="G30" s="194"/>
      <c r="H30" s="212">
        <v>0</v>
      </c>
      <c r="I30" s="194"/>
      <c r="J30" s="212">
        <f>SUM('CWIP CCR.ELG'!$E$5:E28)</f>
        <v>7922389.1848176606</v>
      </c>
      <c r="K30" s="194"/>
      <c r="L30" s="212">
        <f>SUM('CWIP CCR.ELG'!$E$5:$E$8)</f>
        <v>822405.09</v>
      </c>
      <c r="M30" s="194"/>
      <c r="N30" s="195">
        <f t="shared" si="3"/>
        <v>7099984.0948176607</v>
      </c>
      <c r="O30" s="194"/>
      <c r="P30" s="216">
        <f>WACC!$T$10</f>
        <v>7.4999999999999997E-2</v>
      </c>
      <c r="Q30" s="194"/>
      <c r="R30" s="195">
        <f t="shared" si="8"/>
        <v>44374.900592610378</v>
      </c>
      <c r="S30" s="194"/>
      <c r="T30" s="196">
        <v>0</v>
      </c>
      <c r="U30" s="194"/>
      <c r="V30" s="196">
        <f t="shared" si="4"/>
        <v>0</v>
      </c>
      <c r="W30" s="196"/>
      <c r="X30" s="196">
        <f t="shared" si="9"/>
        <v>44374.900592610378</v>
      </c>
      <c r="Y30" s="194"/>
      <c r="Z30" s="217">
        <f>'Allocation Factor'!$C$19</f>
        <v>0.96306666666666663</v>
      </c>
      <c r="AA30" s="194"/>
      <c r="AB30" s="229">
        <f t="shared" si="10"/>
        <v>42735.987597389969</v>
      </c>
      <c r="AC30" s="229"/>
      <c r="AD30" s="229" t="s">
        <v>136</v>
      </c>
      <c r="AE30" s="194"/>
      <c r="AF30" s="16"/>
      <c r="AG30" s="16"/>
    </row>
    <row r="31" spans="2:33" x14ac:dyDescent="0.2">
      <c r="B31" s="228" t="s">
        <v>10</v>
      </c>
      <c r="C31" s="194">
        <v>2021</v>
      </c>
      <c r="D31" s="195">
        <v>0</v>
      </c>
      <c r="E31" s="199"/>
      <c r="F31" s="212">
        <v>0</v>
      </c>
      <c r="G31" s="194"/>
      <c r="H31" s="212">
        <v>0</v>
      </c>
      <c r="I31" s="194"/>
      <c r="J31" s="212">
        <f>SUM('CWIP CCR.ELG'!$E$5:E29)</f>
        <v>10438089.587704979</v>
      </c>
      <c r="K31" s="194"/>
      <c r="L31" s="212">
        <f>SUM('CWIP CCR.ELG'!$E$5:$E$8)</f>
        <v>822405.09</v>
      </c>
      <c r="M31" s="194"/>
      <c r="N31" s="195">
        <f t="shared" si="3"/>
        <v>9615684.497704979</v>
      </c>
      <c r="O31" s="194"/>
      <c r="P31" s="216">
        <f>WACC!$T$10</f>
        <v>7.4999999999999997E-2</v>
      </c>
      <c r="Q31" s="194"/>
      <c r="R31" s="195">
        <f t="shared" si="8"/>
        <v>60098.028110656123</v>
      </c>
      <c r="S31" s="194"/>
      <c r="T31" s="196">
        <v>0</v>
      </c>
      <c r="U31" s="194"/>
      <c r="V31" s="196">
        <f t="shared" si="4"/>
        <v>0</v>
      </c>
      <c r="W31" s="196"/>
      <c r="X31" s="196">
        <f t="shared" si="9"/>
        <v>60098.028110656123</v>
      </c>
      <c r="Y31" s="194"/>
      <c r="Z31" s="217">
        <f>'Allocation Factor'!$C$19</f>
        <v>0.96306666666666663</v>
      </c>
      <c r="AA31" s="194"/>
      <c r="AB31" s="229">
        <f t="shared" si="10"/>
        <v>57878.407605769222</v>
      </c>
      <c r="AC31" s="229"/>
      <c r="AD31" s="229" t="s">
        <v>136</v>
      </c>
      <c r="AE31" s="194"/>
      <c r="AF31" s="16"/>
      <c r="AG31" s="16"/>
    </row>
    <row r="32" spans="2:33" x14ac:dyDescent="0.2">
      <c r="B32" s="228" t="s">
        <v>11</v>
      </c>
      <c r="C32" s="194">
        <v>2022</v>
      </c>
      <c r="D32" s="195">
        <v>0</v>
      </c>
      <c r="E32" s="199"/>
      <c r="F32" s="212">
        <v>0</v>
      </c>
      <c r="G32" s="194"/>
      <c r="H32" s="212">
        <v>0</v>
      </c>
      <c r="I32" s="194"/>
      <c r="J32" s="212">
        <f>SUM('CWIP CCR.ELG'!$E$5:E30)</f>
        <v>11650380.036798842</v>
      </c>
      <c r="K32" s="194"/>
      <c r="L32" s="212">
        <f>SUM('CWIP CCR.ELG'!$E$5:$E$8)</f>
        <v>822405.09</v>
      </c>
      <c r="M32" s="194"/>
      <c r="N32" s="195">
        <f t="shared" si="3"/>
        <v>10827974.946798842</v>
      </c>
      <c r="O32" s="194"/>
      <c r="P32" s="216">
        <f>WACC!$T$10</f>
        <v>7.4999999999999997E-2</v>
      </c>
      <c r="Q32" s="194"/>
      <c r="R32" s="195">
        <f t="shared" si="8"/>
        <v>67674.843417492768</v>
      </c>
      <c r="S32" s="194"/>
      <c r="T32" s="196">
        <v>0</v>
      </c>
      <c r="U32" s="194"/>
      <c r="V32" s="196">
        <f t="shared" si="4"/>
        <v>0</v>
      </c>
      <c r="W32" s="196"/>
      <c r="X32" s="196">
        <f t="shared" si="9"/>
        <v>67674.843417492768</v>
      </c>
      <c r="Y32" s="194"/>
      <c r="Z32" s="217">
        <f>'Allocation Factor'!$C$19</f>
        <v>0.96306666666666663</v>
      </c>
      <c r="AA32" s="194"/>
      <c r="AB32" s="229">
        <f t="shared" si="10"/>
        <v>65175.385867273362</v>
      </c>
      <c r="AC32" s="229"/>
      <c r="AD32" s="229" t="s">
        <v>136</v>
      </c>
      <c r="AE32" s="194"/>
      <c r="AF32" s="16"/>
      <c r="AG32" s="16"/>
    </row>
    <row r="33" spans="2:33" x14ac:dyDescent="0.2">
      <c r="B33" s="228" t="s">
        <v>12</v>
      </c>
      <c r="C33" s="194">
        <v>2022</v>
      </c>
      <c r="D33" s="195">
        <v>0</v>
      </c>
      <c r="E33" s="199"/>
      <c r="F33" s="212">
        <v>0</v>
      </c>
      <c r="G33" s="194"/>
      <c r="H33" s="212">
        <v>0</v>
      </c>
      <c r="I33" s="194"/>
      <c r="J33" s="212">
        <f>SUM('CWIP CCR.ELG'!$E$5:E31)</f>
        <v>12760093.800681707</v>
      </c>
      <c r="K33" s="194"/>
      <c r="L33" s="212">
        <f>SUM('CWIP CCR.ELG'!$E$5:$E$8)</f>
        <v>822405.09</v>
      </c>
      <c r="M33" s="194"/>
      <c r="N33" s="195">
        <f t="shared" si="3"/>
        <v>11937688.710681707</v>
      </c>
      <c r="O33" s="194"/>
      <c r="P33" s="216">
        <f>WACC!$T$10</f>
        <v>7.4999999999999997E-2</v>
      </c>
      <c r="Q33" s="194"/>
      <c r="R33" s="195">
        <f t="shared" si="8"/>
        <v>74610.554441760658</v>
      </c>
      <c r="S33" s="194"/>
      <c r="T33" s="196">
        <v>0</v>
      </c>
      <c r="U33" s="194"/>
      <c r="V33" s="196">
        <f t="shared" si="4"/>
        <v>0</v>
      </c>
      <c r="W33" s="196"/>
      <c r="X33" s="196">
        <f t="shared" si="9"/>
        <v>74610.554441760658</v>
      </c>
      <c r="Y33" s="194"/>
      <c r="Z33" s="217">
        <f>'Allocation Factor'!$C$19</f>
        <v>0.96306666666666663</v>
      </c>
      <c r="AA33" s="194"/>
      <c r="AB33" s="229">
        <f t="shared" si="10"/>
        <v>71854.937964378289</v>
      </c>
      <c r="AC33" s="229"/>
      <c r="AD33" s="229" t="s">
        <v>136</v>
      </c>
      <c r="AE33" s="194"/>
      <c r="AF33" s="16"/>
      <c r="AG33" s="16"/>
    </row>
    <row r="34" spans="2:33" x14ac:dyDescent="0.2">
      <c r="B34" s="228" t="s">
        <v>13</v>
      </c>
      <c r="C34" s="194">
        <v>2022</v>
      </c>
      <c r="D34" s="195">
        <v>0</v>
      </c>
      <c r="E34" s="199"/>
      <c r="F34" s="212">
        <v>0</v>
      </c>
      <c r="G34" s="194"/>
      <c r="H34" s="212">
        <v>0</v>
      </c>
      <c r="I34" s="194"/>
      <c r="J34" s="212">
        <f>SUM('CWIP CCR.ELG'!$E$5:E32)</f>
        <v>13664654.194142569</v>
      </c>
      <c r="K34" s="194"/>
      <c r="L34" s="212">
        <f>SUM('CWIP CCR.ELG'!$E$5:$E$8)</f>
        <v>822405.09</v>
      </c>
      <c r="M34" s="194"/>
      <c r="N34" s="195">
        <f t="shared" si="3"/>
        <v>12842249.104142569</v>
      </c>
      <c r="O34" s="194"/>
      <c r="P34" s="216">
        <f>WACC!$T$10</f>
        <v>7.4999999999999997E-2</v>
      </c>
      <c r="Q34" s="194"/>
      <c r="R34" s="195">
        <f t="shared" si="8"/>
        <v>80264.056900891053</v>
      </c>
      <c r="S34" s="194"/>
      <c r="T34" s="196">
        <v>0</v>
      </c>
      <c r="U34" s="194"/>
      <c r="V34" s="196">
        <f t="shared" si="4"/>
        <v>0</v>
      </c>
      <c r="W34" s="196"/>
      <c r="X34" s="196">
        <f t="shared" si="9"/>
        <v>80264.056900891053</v>
      </c>
      <c r="Y34" s="194"/>
      <c r="Z34" s="217">
        <f>'Allocation Factor'!$C$19</f>
        <v>0.96306666666666663</v>
      </c>
      <c r="AA34" s="194"/>
      <c r="AB34" s="229">
        <f t="shared" si="10"/>
        <v>77299.637732684801</v>
      </c>
      <c r="AC34" s="229"/>
      <c r="AD34" s="229" t="s">
        <v>136</v>
      </c>
      <c r="AE34" s="194"/>
      <c r="AF34" s="16"/>
      <c r="AG34" s="16"/>
    </row>
    <row r="35" spans="2:33" x14ac:dyDescent="0.2">
      <c r="B35" s="228" t="s">
        <v>14</v>
      </c>
      <c r="C35" s="194">
        <v>2022</v>
      </c>
      <c r="D35" s="195">
        <v>0</v>
      </c>
      <c r="E35" s="199"/>
      <c r="F35" s="212">
        <v>0</v>
      </c>
      <c r="G35" s="194"/>
      <c r="H35" s="212">
        <v>0</v>
      </c>
      <c r="I35" s="194"/>
      <c r="J35" s="212">
        <f>SUM('CWIP CCR.ELG'!$E$5:E33)</f>
        <v>15184674.698869433</v>
      </c>
      <c r="K35" s="194"/>
      <c r="L35" s="212">
        <f>SUM('CWIP CCR.ELG'!$E$5:$E$8)</f>
        <v>822405.09</v>
      </c>
      <c r="M35" s="194"/>
      <c r="N35" s="195">
        <f t="shared" si="3"/>
        <v>14362269.608869433</v>
      </c>
      <c r="O35" s="194"/>
      <c r="P35" s="216">
        <f>WACC!$T$10</f>
        <v>7.4999999999999997E-2</v>
      </c>
      <c r="Q35" s="194"/>
      <c r="R35" s="195">
        <f t="shared" si="8"/>
        <v>89764.185055433947</v>
      </c>
      <c r="S35" s="194"/>
      <c r="T35" s="196">
        <v>0</v>
      </c>
      <c r="U35" s="194"/>
      <c r="V35" s="196">
        <f t="shared" si="4"/>
        <v>0</v>
      </c>
      <c r="W35" s="196"/>
      <c r="X35" s="196">
        <f t="shared" si="9"/>
        <v>89764.185055433947</v>
      </c>
      <c r="Y35" s="194"/>
      <c r="Z35" s="217">
        <f>'Allocation Factor'!$C$19</f>
        <v>0.96306666666666663</v>
      </c>
      <c r="AA35" s="194"/>
      <c r="AB35" s="229">
        <f t="shared" si="10"/>
        <v>86448.894487386584</v>
      </c>
      <c r="AC35" s="229"/>
      <c r="AD35" s="229" t="s">
        <v>136</v>
      </c>
      <c r="AE35" s="194"/>
      <c r="AF35" s="16"/>
      <c r="AG35" s="16"/>
    </row>
    <row r="36" spans="2:33" x14ac:dyDescent="0.2">
      <c r="B36" s="228" t="s">
        <v>15</v>
      </c>
      <c r="C36" s="194">
        <v>2022</v>
      </c>
      <c r="D36" s="195">
        <v>0</v>
      </c>
      <c r="E36" s="199"/>
      <c r="F36" s="212">
        <v>0</v>
      </c>
      <c r="G36" s="194"/>
      <c r="H36" s="212">
        <v>0</v>
      </c>
      <c r="I36" s="194"/>
      <c r="J36" s="212">
        <f>SUM('CWIP CCR.ELG'!$E$5:E34)</f>
        <v>17217578.629651297</v>
      </c>
      <c r="K36" s="194"/>
      <c r="L36" s="212">
        <f>SUM('CWIP CCR.ELG'!$E$5:$E$8)</f>
        <v>822405.09</v>
      </c>
      <c r="M36" s="194"/>
      <c r="N36" s="195">
        <f t="shared" si="3"/>
        <v>16395173.539651297</v>
      </c>
      <c r="O36" s="194"/>
      <c r="P36" s="216">
        <f>WACC!$T$10</f>
        <v>7.4999999999999997E-2</v>
      </c>
      <c r="Q36" s="194"/>
      <c r="R36" s="195">
        <f t="shared" si="8"/>
        <v>102469.83462282061</v>
      </c>
      <c r="S36" s="194"/>
      <c r="T36" s="196">
        <v>0</v>
      </c>
      <c r="U36" s="194"/>
      <c r="V36" s="196">
        <f t="shared" si="4"/>
        <v>0</v>
      </c>
      <c r="W36" s="196"/>
      <c r="X36" s="196">
        <f t="shared" si="9"/>
        <v>102469.83462282061</v>
      </c>
      <c r="Y36" s="194"/>
      <c r="Z36" s="217">
        <f>'Allocation Factor'!$C$19</f>
        <v>0.96306666666666663</v>
      </c>
      <c r="AA36" s="194"/>
      <c r="AB36" s="229">
        <f t="shared" si="10"/>
        <v>98685.282064084429</v>
      </c>
      <c r="AC36" s="229"/>
      <c r="AD36" s="229" t="s">
        <v>136</v>
      </c>
      <c r="AE36" s="194"/>
      <c r="AF36" s="16"/>
      <c r="AG36" s="16"/>
    </row>
    <row r="37" spans="2:33" x14ac:dyDescent="0.2">
      <c r="B37" s="228" t="s">
        <v>16</v>
      </c>
      <c r="C37" s="194">
        <v>2022</v>
      </c>
      <c r="D37" s="195">
        <v>0</v>
      </c>
      <c r="E37" s="199"/>
      <c r="F37" s="212">
        <v>0</v>
      </c>
      <c r="G37" s="194"/>
      <c r="H37" s="212">
        <v>0</v>
      </c>
      <c r="I37" s="194"/>
      <c r="J37" s="212">
        <f>SUM('CWIP CCR.ELG'!$E$5:E35)</f>
        <v>19703078.71482816</v>
      </c>
      <c r="K37" s="194"/>
      <c r="L37" s="212">
        <f>SUM('CWIP CCR.ELG'!$E$5:$E$8)</f>
        <v>822405.09</v>
      </c>
      <c r="M37" s="194"/>
      <c r="N37" s="195">
        <f t="shared" si="3"/>
        <v>18880673.62482816</v>
      </c>
      <c r="O37" s="194"/>
      <c r="P37" s="216">
        <f>WACC!$T$10</f>
        <v>7.4999999999999997E-2</v>
      </c>
      <c r="Q37" s="194"/>
      <c r="R37" s="195">
        <f t="shared" si="8"/>
        <v>118004.210155176</v>
      </c>
      <c r="S37" s="194"/>
      <c r="T37" s="196">
        <v>0</v>
      </c>
      <c r="U37" s="194"/>
      <c r="V37" s="196">
        <f t="shared" si="4"/>
        <v>0</v>
      </c>
      <c r="W37" s="196"/>
      <c r="X37" s="196">
        <f t="shared" si="9"/>
        <v>118004.210155176</v>
      </c>
      <c r="Y37" s="194"/>
      <c r="Z37" s="217">
        <f>'Allocation Factor'!$C$19</f>
        <v>0.96306666666666663</v>
      </c>
      <c r="AA37" s="194"/>
      <c r="AB37" s="229">
        <f t="shared" si="10"/>
        <v>113645.92132677816</v>
      </c>
      <c r="AC37" s="229"/>
      <c r="AD37" s="229" t="s">
        <v>136</v>
      </c>
      <c r="AE37" s="194"/>
      <c r="AF37" s="16"/>
      <c r="AG37" s="16"/>
    </row>
    <row r="38" spans="2:33" x14ac:dyDescent="0.2">
      <c r="B38" s="228" t="s">
        <v>17</v>
      </c>
      <c r="C38" s="194">
        <v>2022</v>
      </c>
      <c r="D38" s="195">
        <v>0</v>
      </c>
      <c r="E38" s="199"/>
      <c r="F38" s="212">
        <v>0</v>
      </c>
      <c r="G38" s="194"/>
      <c r="H38" s="212">
        <v>0</v>
      </c>
      <c r="I38" s="194"/>
      <c r="J38" s="212">
        <f>SUM('CWIP CCR.ELG'!$E$5:E36)</f>
        <v>21223099.219555024</v>
      </c>
      <c r="K38" s="194"/>
      <c r="L38" s="212">
        <f>SUM('CWIP CCR.ELG'!$E$5:$E$8)</f>
        <v>822405.09</v>
      </c>
      <c r="M38" s="194"/>
      <c r="N38" s="195">
        <f t="shared" si="3"/>
        <v>20400694.129555024</v>
      </c>
      <c r="O38" s="194"/>
      <c r="P38" s="216">
        <f>WACC!$T$10</f>
        <v>7.4999999999999997E-2</v>
      </c>
      <c r="Q38" s="194"/>
      <c r="R38" s="195">
        <f t="shared" si="8"/>
        <v>127504.33830971889</v>
      </c>
      <c r="S38" s="194"/>
      <c r="T38" s="196">
        <v>0</v>
      </c>
      <c r="U38" s="194"/>
      <c r="V38" s="196">
        <f t="shared" si="4"/>
        <v>0</v>
      </c>
      <c r="W38" s="196"/>
      <c r="X38" s="196">
        <f t="shared" si="9"/>
        <v>127504.33830971889</v>
      </c>
      <c r="Y38" s="194"/>
      <c r="Z38" s="217">
        <f>'Allocation Factor'!$C$19</f>
        <v>0.96306666666666663</v>
      </c>
      <c r="AA38" s="194"/>
      <c r="AB38" s="229">
        <f t="shared" si="10"/>
        <v>122795.17808147994</v>
      </c>
      <c r="AC38" s="229"/>
      <c r="AD38" s="229" t="s">
        <v>136</v>
      </c>
      <c r="AE38" s="194"/>
      <c r="AF38" s="16"/>
      <c r="AG38" s="16"/>
    </row>
    <row r="39" spans="2:33" x14ac:dyDescent="0.2">
      <c r="B39" s="228" t="s">
        <v>18</v>
      </c>
      <c r="C39" s="194">
        <v>2022</v>
      </c>
      <c r="D39" s="195">
        <v>0</v>
      </c>
      <c r="E39" s="199"/>
      <c r="F39" s="212">
        <v>0</v>
      </c>
      <c r="G39" s="194"/>
      <c r="H39" s="212">
        <v>0</v>
      </c>
      <c r="I39" s="194"/>
      <c r="J39" s="212">
        <f>SUM('CWIP CCR.ELG'!$E$5:E37)</f>
        <v>22127659.613015886</v>
      </c>
      <c r="K39" s="194"/>
      <c r="L39" s="212">
        <f>SUM('CWIP CCR.ELG'!$E$5:$E$8)</f>
        <v>822405.09</v>
      </c>
      <c r="M39" s="194"/>
      <c r="N39" s="195">
        <f t="shared" si="3"/>
        <v>21305254.523015887</v>
      </c>
      <c r="O39" s="194"/>
      <c r="P39" s="216">
        <f>WACC!$T$10</f>
        <v>7.4999999999999997E-2</v>
      </c>
      <c r="Q39" s="194"/>
      <c r="R39" s="195">
        <f t="shared" si="8"/>
        <v>133157.84076884927</v>
      </c>
      <c r="S39" s="194"/>
      <c r="T39" s="196">
        <v>0</v>
      </c>
      <c r="U39" s="194"/>
      <c r="V39" s="196">
        <f t="shared" si="4"/>
        <v>0</v>
      </c>
      <c r="W39" s="196"/>
      <c r="X39" s="196">
        <f t="shared" si="9"/>
        <v>133157.84076884927</v>
      </c>
      <c r="Y39" s="194"/>
      <c r="Z39" s="217">
        <f>'Allocation Factor'!$C$19</f>
        <v>0.96306666666666663</v>
      </c>
      <c r="AA39" s="194"/>
      <c r="AB39" s="229">
        <f t="shared" si="10"/>
        <v>128239.87784978644</v>
      </c>
      <c r="AC39" s="229"/>
      <c r="AD39" s="229" t="s">
        <v>136</v>
      </c>
      <c r="AE39" s="194"/>
      <c r="AF39" s="16"/>
      <c r="AG39" s="16"/>
    </row>
    <row r="40" spans="2:33" x14ac:dyDescent="0.2">
      <c r="B40" s="228" t="s">
        <v>19</v>
      </c>
      <c r="C40" s="194">
        <v>2022</v>
      </c>
      <c r="D40" s="195">
        <v>0</v>
      </c>
      <c r="E40" s="199"/>
      <c r="F40" s="212">
        <v>0</v>
      </c>
      <c r="G40" s="194"/>
      <c r="H40" s="212">
        <v>0</v>
      </c>
      <c r="I40" s="194"/>
      <c r="J40" s="212">
        <f>SUM('CWIP CCR.ELG'!$E$5:E38)</f>
        <v>23032220.006476749</v>
      </c>
      <c r="K40" s="194"/>
      <c r="L40" s="212">
        <f>SUM('CWIP CCR.ELG'!$E$5:$E$8)</f>
        <v>822405.09</v>
      </c>
      <c r="M40" s="194"/>
      <c r="N40" s="195">
        <f t="shared" si="3"/>
        <v>22209814.916476749</v>
      </c>
      <c r="O40" s="194"/>
      <c r="P40" s="216">
        <f>WACC!$T$10</f>
        <v>7.4999999999999997E-2</v>
      </c>
      <c r="Q40" s="194"/>
      <c r="R40" s="195">
        <f t="shared" si="8"/>
        <v>138811.34322797967</v>
      </c>
      <c r="S40" s="194"/>
      <c r="T40" s="196">
        <v>0</v>
      </c>
      <c r="U40" s="194"/>
      <c r="V40" s="196">
        <f t="shared" si="4"/>
        <v>0</v>
      </c>
      <c r="W40" s="196"/>
      <c r="X40" s="196">
        <f t="shared" si="9"/>
        <v>138811.34322797967</v>
      </c>
      <c r="Y40" s="194"/>
      <c r="Z40" s="217">
        <f>'Allocation Factor'!$C$19</f>
        <v>0.96306666666666663</v>
      </c>
      <c r="AA40" s="194"/>
      <c r="AB40" s="229">
        <f t="shared" si="10"/>
        <v>133684.57761809294</v>
      </c>
      <c r="AC40" s="229"/>
      <c r="AD40" s="229" t="s">
        <v>136</v>
      </c>
      <c r="AE40" s="194"/>
      <c r="AF40" s="16"/>
      <c r="AG40" s="16"/>
    </row>
    <row r="41" spans="2:33" x14ac:dyDescent="0.2">
      <c r="B41" s="228" t="s">
        <v>8</v>
      </c>
      <c r="C41" s="194">
        <v>2022</v>
      </c>
      <c r="D41" s="195">
        <v>0</v>
      </c>
      <c r="E41" s="199"/>
      <c r="F41" s="212">
        <v>0</v>
      </c>
      <c r="G41" s="194"/>
      <c r="H41" s="212">
        <v>0</v>
      </c>
      <c r="I41" s="194"/>
      <c r="J41" s="212">
        <f>SUM('CWIP CCR.ELG'!$E$5:E39)</f>
        <v>24127692.174766246</v>
      </c>
      <c r="K41" s="194"/>
      <c r="L41" s="212">
        <f>SUM('CWIP CCR.ELG'!$E$5:$E$8)</f>
        <v>822405.09</v>
      </c>
      <c r="M41" s="194"/>
      <c r="N41" s="195">
        <f t="shared" si="3"/>
        <v>23305287.084766246</v>
      </c>
      <c r="O41" s="194"/>
      <c r="P41" s="216">
        <f>WACC!$T$10</f>
        <v>7.4999999999999997E-2</v>
      </c>
      <c r="Q41" s="194"/>
      <c r="R41" s="195">
        <f t="shared" si="8"/>
        <v>145658.04427978903</v>
      </c>
      <c r="S41" s="194"/>
      <c r="T41" s="196">
        <v>0</v>
      </c>
      <c r="U41" s="194"/>
      <c r="V41" s="196">
        <f t="shared" si="4"/>
        <v>0</v>
      </c>
      <c r="W41" s="196"/>
      <c r="X41" s="196">
        <f t="shared" si="9"/>
        <v>145658.04427978903</v>
      </c>
      <c r="Y41" s="194"/>
      <c r="Z41" s="217">
        <f>'Allocation Factor'!$C$19</f>
        <v>0.96306666666666663</v>
      </c>
      <c r="AA41" s="194"/>
      <c r="AB41" s="229">
        <f t="shared" si="10"/>
        <v>140278.40717772214</v>
      </c>
      <c r="AC41" s="229"/>
      <c r="AD41" s="229" t="s">
        <v>136</v>
      </c>
      <c r="AE41" s="194"/>
      <c r="AF41" s="16"/>
      <c r="AG41" s="16"/>
    </row>
    <row r="42" spans="2:33" x14ac:dyDescent="0.2">
      <c r="B42" s="228" t="s">
        <v>9</v>
      </c>
      <c r="C42" s="194">
        <v>2022</v>
      </c>
      <c r="D42" s="195">
        <v>0</v>
      </c>
      <c r="E42" s="199"/>
      <c r="F42" s="212">
        <v>0</v>
      </c>
      <c r="G42" s="194"/>
      <c r="H42" s="212">
        <v>0</v>
      </c>
      <c r="I42" s="194"/>
      <c r="J42" s="212">
        <f>SUM('CWIP CCR.ELG'!$E$5:E40)</f>
        <v>25120587.657844745</v>
      </c>
      <c r="K42" s="194"/>
      <c r="L42" s="212">
        <f>SUM('CWIP CCR.ELG'!$E$5:$E$8)</f>
        <v>822405.09</v>
      </c>
      <c r="M42" s="194"/>
      <c r="N42" s="195">
        <f t="shared" si="3"/>
        <v>24298182.567844745</v>
      </c>
      <c r="O42" s="194"/>
      <c r="P42" s="216">
        <f>WACC!$T$10</f>
        <v>7.4999999999999997E-2</v>
      </c>
      <c r="Q42" s="194"/>
      <c r="R42" s="195">
        <f t="shared" si="8"/>
        <v>151863.64104902965</v>
      </c>
      <c r="S42" s="194"/>
      <c r="T42" s="196">
        <v>0</v>
      </c>
      <c r="U42" s="194"/>
      <c r="V42" s="196">
        <f t="shared" si="4"/>
        <v>0</v>
      </c>
      <c r="W42" s="196"/>
      <c r="X42" s="196">
        <f t="shared" si="9"/>
        <v>151863.64104902965</v>
      </c>
      <c r="Y42" s="194"/>
      <c r="Z42" s="217">
        <f>'Allocation Factor'!$C$19</f>
        <v>0.96306666666666663</v>
      </c>
      <c r="AA42" s="194"/>
      <c r="AB42" s="229">
        <f t="shared" si="10"/>
        <v>146254.81057295215</v>
      </c>
      <c r="AC42" s="229"/>
      <c r="AD42" s="229" t="s">
        <v>136</v>
      </c>
      <c r="AE42" s="194"/>
      <c r="AF42" s="16"/>
      <c r="AG42" s="16"/>
    </row>
    <row r="43" spans="2:33" x14ac:dyDescent="0.2">
      <c r="B43" s="228" t="s">
        <v>10</v>
      </c>
      <c r="C43" s="194">
        <v>2022</v>
      </c>
      <c r="D43" s="195">
        <v>0</v>
      </c>
      <c r="E43" s="199"/>
      <c r="F43" s="212">
        <v>0</v>
      </c>
      <c r="G43" s="194"/>
      <c r="H43" s="212">
        <v>0</v>
      </c>
      <c r="I43" s="194"/>
      <c r="J43" s="212">
        <f>SUM('CWIP CCR.ELG'!$E$5:E41)</f>
        <v>28878820.8409294</v>
      </c>
      <c r="K43" s="194"/>
      <c r="L43" s="212">
        <f>SUM('CWIP CCR.ELG'!$E$5:$E$8)</f>
        <v>822405.09</v>
      </c>
      <c r="M43" s="194"/>
      <c r="N43" s="195">
        <f t="shared" si="3"/>
        <v>28056415.7509294</v>
      </c>
      <c r="O43" s="194"/>
      <c r="P43" s="216">
        <f>WACC!$T$10</f>
        <v>7.4999999999999997E-2</v>
      </c>
      <c r="Q43" s="194"/>
      <c r="R43" s="195">
        <f t="shared" si="8"/>
        <v>175352.59844330873</v>
      </c>
      <c r="S43" s="194"/>
      <c r="T43" s="196">
        <v>0</v>
      </c>
      <c r="U43" s="194"/>
      <c r="V43" s="196">
        <f t="shared" si="4"/>
        <v>0</v>
      </c>
      <c r="W43" s="196"/>
      <c r="X43" s="196">
        <f t="shared" si="9"/>
        <v>175352.59844330873</v>
      </c>
      <c r="Y43" s="194"/>
      <c r="Z43" s="217">
        <f>'Allocation Factor'!$C$19</f>
        <v>0.96306666666666663</v>
      </c>
      <c r="AA43" s="194"/>
      <c r="AB43" s="229">
        <f t="shared" si="10"/>
        <v>168876.24247413586</v>
      </c>
      <c r="AC43" s="229"/>
      <c r="AD43" s="229" t="s">
        <v>136</v>
      </c>
      <c r="AE43" s="194"/>
      <c r="AF43" s="16"/>
      <c r="AG43" s="16"/>
    </row>
    <row r="44" spans="2:33" x14ac:dyDescent="0.2">
      <c r="B44" s="228" t="s">
        <v>11</v>
      </c>
      <c r="C44" s="194">
        <v>2023</v>
      </c>
      <c r="D44" s="195">
        <v>0</v>
      </c>
      <c r="E44" s="199"/>
      <c r="F44" s="212">
        <v>0</v>
      </c>
      <c r="G44" s="194"/>
      <c r="H44" s="212">
        <v>0</v>
      </c>
      <c r="I44" s="194"/>
      <c r="J44" s="212">
        <f>SUM('CWIP CCR.ELG'!$E$5:E42)</f>
        <v>32121282.858140878</v>
      </c>
      <c r="K44" s="194"/>
      <c r="L44" s="212">
        <f>SUM('CWIP CCR.ELG'!$E$5:$E$8)</f>
        <v>822405.09</v>
      </c>
      <c r="M44" s="194"/>
      <c r="N44" s="195">
        <f t="shared" si="3"/>
        <v>31298877.768140879</v>
      </c>
      <c r="O44" s="194"/>
      <c r="P44" s="216">
        <f>WACC!$T$10</f>
        <v>7.4999999999999997E-2</v>
      </c>
      <c r="Q44" s="194"/>
      <c r="R44" s="195">
        <f t="shared" si="8"/>
        <v>195617.98605088048</v>
      </c>
      <c r="S44" s="194"/>
      <c r="T44" s="196">
        <v>0</v>
      </c>
      <c r="U44" s="194"/>
      <c r="V44" s="196">
        <f t="shared" si="4"/>
        <v>0</v>
      </c>
      <c r="W44" s="196"/>
      <c r="X44" s="196">
        <f t="shared" si="9"/>
        <v>195617.98605088048</v>
      </c>
      <c r="Y44" s="194"/>
      <c r="Z44" s="217">
        <f>'Allocation Factor'!$C$19</f>
        <v>0.96306666666666663</v>
      </c>
      <c r="AA44" s="194"/>
      <c r="AB44" s="229">
        <f t="shared" si="10"/>
        <v>188393.16176606796</v>
      </c>
      <c r="AC44" s="229"/>
      <c r="AD44" s="229" t="s">
        <v>136</v>
      </c>
      <c r="AE44" s="194"/>
      <c r="AF44" s="16"/>
      <c r="AG44" s="16"/>
    </row>
    <row r="45" spans="2:33" x14ac:dyDescent="0.2">
      <c r="B45" s="228" t="s">
        <v>12</v>
      </c>
      <c r="C45" s="194">
        <v>2023</v>
      </c>
      <c r="D45" s="195">
        <v>0</v>
      </c>
      <c r="E45" s="199"/>
      <c r="F45" s="212">
        <v>0</v>
      </c>
      <c r="G45" s="194"/>
      <c r="H45" s="212">
        <v>0</v>
      </c>
      <c r="I45" s="194"/>
      <c r="J45" s="212">
        <f>SUM('CWIP CCR.ELG'!$E$5:E43)</f>
        <v>36160558.382001288</v>
      </c>
      <c r="K45" s="194"/>
      <c r="L45" s="212">
        <f>SUM('CWIP CCR.ELG'!$E$5:$E$8)</f>
        <v>822405.09</v>
      </c>
      <c r="M45" s="194"/>
      <c r="N45" s="195">
        <f t="shared" si="3"/>
        <v>35338153.292001285</v>
      </c>
      <c r="O45" s="194"/>
      <c r="P45" s="216">
        <f>WACC!$T$10</f>
        <v>7.4999999999999997E-2</v>
      </c>
      <c r="Q45" s="194"/>
      <c r="R45" s="195">
        <f t="shared" si="8"/>
        <v>220863.45807500801</v>
      </c>
      <c r="S45" s="194"/>
      <c r="T45" s="196">
        <v>0</v>
      </c>
      <c r="U45" s="194"/>
      <c r="V45" s="196">
        <f t="shared" si="4"/>
        <v>0</v>
      </c>
      <c r="W45" s="196"/>
      <c r="X45" s="196">
        <f t="shared" si="9"/>
        <v>220863.45807500801</v>
      </c>
      <c r="Y45" s="194"/>
      <c r="Z45" s="217">
        <f>'Allocation Factor'!$C$19</f>
        <v>0.96306666666666663</v>
      </c>
      <c r="AA45" s="194"/>
      <c r="AB45" s="229">
        <f t="shared" si="10"/>
        <v>212706.23435677105</v>
      </c>
      <c r="AC45" s="229"/>
      <c r="AD45" s="229" t="s">
        <v>136</v>
      </c>
      <c r="AE45" s="194"/>
      <c r="AF45" s="16"/>
      <c r="AG45" s="16"/>
    </row>
    <row r="46" spans="2:33" x14ac:dyDescent="0.2">
      <c r="B46" s="228" t="s">
        <v>13</v>
      </c>
      <c r="C46" s="194">
        <v>2023</v>
      </c>
      <c r="D46" s="195">
        <v>0</v>
      </c>
      <c r="E46" s="199"/>
      <c r="F46" s="212">
        <v>0</v>
      </c>
      <c r="G46" s="194"/>
      <c r="H46" s="212">
        <v>0</v>
      </c>
      <c r="I46" s="194"/>
      <c r="J46" s="212">
        <f>SUM('CWIP CCR.ELG'!$E$5:E44)</f>
        <v>40767683.905861698</v>
      </c>
      <c r="K46" s="194"/>
      <c r="L46" s="212">
        <f>SUM('CWIP CCR.ELG'!$E$5:$E$8)</f>
        <v>822405.09</v>
      </c>
      <c r="M46" s="194"/>
      <c r="N46" s="195">
        <f t="shared" si="3"/>
        <v>39945278.815861695</v>
      </c>
      <c r="O46" s="194"/>
      <c r="P46" s="216">
        <f>WACC!$T$10</f>
        <v>7.4999999999999997E-2</v>
      </c>
      <c r="Q46" s="194"/>
      <c r="R46" s="195">
        <f t="shared" si="8"/>
        <v>249657.99259913558</v>
      </c>
      <c r="S46" s="194"/>
      <c r="T46" s="196">
        <v>0</v>
      </c>
      <c r="U46" s="194"/>
      <c r="V46" s="196">
        <f t="shared" si="4"/>
        <v>0</v>
      </c>
      <c r="W46" s="196"/>
      <c r="X46" s="196">
        <f t="shared" si="9"/>
        <v>249657.99259913558</v>
      </c>
      <c r="Y46" s="194"/>
      <c r="Z46" s="217">
        <f>'Allocation Factor'!$C$19</f>
        <v>0.96306666666666663</v>
      </c>
      <c r="AA46" s="194"/>
      <c r="AB46" s="229">
        <f t="shared" si="10"/>
        <v>240437.29073914082</v>
      </c>
      <c r="AC46" s="229"/>
      <c r="AD46" s="229" t="s">
        <v>136</v>
      </c>
      <c r="AE46" s="194"/>
      <c r="AF46" s="16"/>
      <c r="AG46" s="16"/>
    </row>
    <row r="47" spans="2:33" x14ac:dyDescent="0.2">
      <c r="B47" s="228" t="s">
        <v>14</v>
      </c>
      <c r="C47" s="194">
        <v>2023</v>
      </c>
      <c r="D47" s="195">
        <v>0</v>
      </c>
      <c r="E47" s="199"/>
      <c r="F47" s="212">
        <v>0</v>
      </c>
      <c r="G47" s="194"/>
      <c r="H47" s="212">
        <v>0</v>
      </c>
      <c r="I47" s="194"/>
      <c r="J47" s="212">
        <f>SUM('CWIP CCR.ELG'!$E$5:E45)</f>
        <v>45369963.738652833</v>
      </c>
      <c r="K47" s="194"/>
      <c r="L47" s="212">
        <f>SUM('CWIP CCR.ELG'!$E$5:$E$8)</f>
        <v>822405.09</v>
      </c>
      <c r="M47" s="194"/>
      <c r="N47" s="195">
        <f t="shared" si="3"/>
        <v>44547558.648652829</v>
      </c>
      <c r="O47" s="194"/>
      <c r="P47" s="216">
        <f>WACC!$T$10</f>
        <v>7.4999999999999997E-2</v>
      </c>
      <c r="Q47" s="194"/>
      <c r="R47" s="195">
        <f t="shared" si="8"/>
        <v>278422.24155408016</v>
      </c>
      <c r="S47" s="194"/>
      <c r="T47" s="196">
        <v>0</v>
      </c>
      <c r="U47" s="194"/>
      <c r="V47" s="196">
        <f t="shared" si="4"/>
        <v>0</v>
      </c>
      <c r="W47" s="196"/>
      <c r="X47" s="196">
        <f t="shared" si="9"/>
        <v>278422.24155408016</v>
      </c>
      <c r="Y47" s="194"/>
      <c r="Z47" s="217">
        <f>'Allocation Factor'!$C$19</f>
        <v>0.96306666666666663</v>
      </c>
      <c r="AA47" s="194"/>
      <c r="AB47" s="229">
        <f t="shared" si="10"/>
        <v>268139.18009934947</v>
      </c>
      <c r="AC47" s="229"/>
      <c r="AD47" s="229" t="s">
        <v>136</v>
      </c>
      <c r="AE47" s="194"/>
      <c r="AF47" s="16"/>
      <c r="AG47" s="16"/>
    </row>
    <row r="48" spans="2:33" ht="12.75" customHeight="1" x14ac:dyDescent="0.2">
      <c r="B48" s="228" t="s">
        <v>15</v>
      </c>
      <c r="C48" s="194">
        <v>2023</v>
      </c>
      <c r="D48" s="195">
        <f>'CWIP CCR.ELG'!B67</f>
        <v>28308044.342800222</v>
      </c>
      <c r="E48" s="199"/>
      <c r="F48" s="212">
        <f>'Depreciation '!C8</f>
        <v>-138238</v>
      </c>
      <c r="G48" s="194"/>
      <c r="H48" s="212">
        <f>'ADFIT-CCR.ELG'!H39</f>
        <v>-106661</v>
      </c>
      <c r="I48" s="194"/>
      <c r="J48" s="212">
        <f>SUM('CWIP CCR.ELG'!$E$5:E46)-D48</f>
        <v>21099564.03686969</v>
      </c>
      <c r="K48" s="194"/>
      <c r="L48" s="212">
        <f>SUM('CWIP CCR.ELG'!$E$5:$E$8)</f>
        <v>822405.09</v>
      </c>
      <c r="M48" s="194"/>
      <c r="N48" s="195">
        <f t="shared" si="3"/>
        <v>48340304.289669909</v>
      </c>
      <c r="O48" s="194"/>
      <c r="P48" s="216">
        <f>WACC!$T$10</f>
        <v>7.4999999999999997E-2</v>
      </c>
      <c r="Q48" s="194"/>
      <c r="R48" s="195">
        <f t="shared" ref="R48:R70" si="11">N48*P48/12</f>
        <v>302126.90181043692</v>
      </c>
      <c r="S48" s="194"/>
      <c r="T48" s="196">
        <v>0</v>
      </c>
      <c r="U48" s="194"/>
      <c r="V48" s="196">
        <f t="shared" si="4"/>
        <v>138238</v>
      </c>
      <c r="W48" s="196"/>
      <c r="X48" s="196">
        <f t="shared" ref="X48:X70" si="12">V48+T48+R48</f>
        <v>440364.90181043692</v>
      </c>
      <c r="Y48" s="194"/>
      <c r="Z48" s="217">
        <f>'Allocation Factor'!$C$19</f>
        <v>0.96306666666666663</v>
      </c>
      <c r="AA48" s="194"/>
      <c r="AB48" s="229">
        <f t="shared" ref="AB48:AB70" si="13">X48*Z48</f>
        <v>424100.75810357142</v>
      </c>
      <c r="AC48" s="229"/>
      <c r="AD48" s="229" t="s">
        <v>137</v>
      </c>
      <c r="AE48" s="194" t="s">
        <v>145</v>
      </c>
      <c r="AF48" s="16"/>
      <c r="AG48" s="16"/>
    </row>
    <row r="49" spans="2:35" x14ac:dyDescent="0.2">
      <c r="B49" s="228" t="s">
        <v>16</v>
      </c>
      <c r="C49" s="194">
        <v>2023</v>
      </c>
      <c r="D49" s="195">
        <f t="shared" ref="D49:D58" si="14">D48</f>
        <v>28308044.342800222</v>
      </c>
      <c r="E49" s="199"/>
      <c r="F49" s="212">
        <f>'Depreciation '!C9</f>
        <v>-276476</v>
      </c>
      <c r="G49" s="194"/>
      <c r="H49" s="212">
        <f>'ADFIT-CCR.ELG'!J39</f>
        <v>-104770</v>
      </c>
      <c r="I49" s="194"/>
      <c r="J49" s="212">
        <f>SUM('CWIP CCR.ELG'!$E$5:E47)-D49</f>
        <v>26290696.016143955</v>
      </c>
      <c r="K49" s="194"/>
      <c r="L49" s="212">
        <f>SUM('CWIP CCR.ELG'!$E$5:$E$8)</f>
        <v>822405.09</v>
      </c>
      <c r="M49" s="194"/>
      <c r="N49" s="195">
        <f t="shared" si="3"/>
        <v>53395089.268944174</v>
      </c>
      <c r="O49" s="194"/>
      <c r="P49" s="216">
        <f>WACC!$T$10</f>
        <v>7.4999999999999997E-2</v>
      </c>
      <c r="Q49" s="194"/>
      <c r="R49" s="195">
        <f t="shared" si="11"/>
        <v>333719.30793090106</v>
      </c>
      <c r="S49" s="194"/>
      <c r="T49" s="196">
        <v>0</v>
      </c>
      <c r="U49" s="194"/>
      <c r="V49" s="196">
        <f t="shared" si="4"/>
        <v>138238</v>
      </c>
      <c r="W49" s="196"/>
      <c r="X49" s="196">
        <f t="shared" si="12"/>
        <v>471957.30793090106</v>
      </c>
      <c r="Y49" s="194"/>
      <c r="Z49" s="217">
        <f>'Allocation Factor'!$C$19</f>
        <v>0.96306666666666663</v>
      </c>
      <c r="AA49" s="194"/>
      <c r="AB49" s="229">
        <f t="shared" si="13"/>
        <v>454526.35135798645</v>
      </c>
      <c r="AC49" s="229"/>
      <c r="AD49" s="229" t="s">
        <v>137</v>
      </c>
      <c r="AE49" s="194"/>
      <c r="AF49" s="16"/>
      <c r="AG49" s="16"/>
    </row>
    <row r="50" spans="2:35" x14ac:dyDescent="0.2">
      <c r="B50" s="228" t="s">
        <v>17</v>
      </c>
      <c r="C50" s="194">
        <v>2023</v>
      </c>
      <c r="D50" s="195">
        <f t="shared" si="14"/>
        <v>28308044.342800222</v>
      </c>
      <c r="E50" s="199"/>
      <c r="F50" s="212">
        <f>'Depreciation '!C10</f>
        <v>-414714</v>
      </c>
      <c r="G50" s="194"/>
      <c r="H50" s="212">
        <f>'ADFIT-CCR.ELG'!L39</f>
        <v>-102878</v>
      </c>
      <c r="I50" s="194"/>
      <c r="J50" s="212">
        <f>SUM('CWIP CCR.ELG'!$E$5:E48)-D50</f>
        <v>28755803.040851437</v>
      </c>
      <c r="K50" s="194"/>
      <c r="L50" s="212">
        <f>SUM('CWIP CCR.ELG'!$E$5:$E$8)</f>
        <v>822405.09</v>
      </c>
      <c r="M50" s="194"/>
      <c r="N50" s="195">
        <f t="shared" si="3"/>
        <v>55723850.293651655</v>
      </c>
      <c r="O50" s="194"/>
      <c r="P50" s="216">
        <f>WACC!$T$10</f>
        <v>7.4999999999999997E-2</v>
      </c>
      <c r="Q50" s="194"/>
      <c r="R50" s="195">
        <f t="shared" si="11"/>
        <v>348274.06433532282</v>
      </c>
      <c r="S50" s="194"/>
      <c r="T50" s="196">
        <v>0</v>
      </c>
      <c r="U50" s="194"/>
      <c r="V50" s="196">
        <f t="shared" si="4"/>
        <v>138238</v>
      </c>
      <c r="W50" s="196"/>
      <c r="X50" s="196">
        <f t="shared" si="12"/>
        <v>486512.06433532282</v>
      </c>
      <c r="Y50" s="194"/>
      <c r="Z50" s="217">
        <f>'Allocation Factor'!$C$19</f>
        <v>0.96306666666666663</v>
      </c>
      <c r="AA50" s="194"/>
      <c r="AB50" s="229">
        <f t="shared" si="13"/>
        <v>468543.55209253822</v>
      </c>
      <c r="AC50" s="229"/>
      <c r="AD50" s="229" t="s">
        <v>137</v>
      </c>
      <c r="AE50" s="194"/>
      <c r="AF50" s="16"/>
      <c r="AG50" s="16"/>
    </row>
    <row r="51" spans="2:35" x14ac:dyDescent="0.2">
      <c r="B51" s="228" t="s">
        <v>18</v>
      </c>
      <c r="C51" s="194">
        <v>2023</v>
      </c>
      <c r="D51" s="195">
        <f t="shared" si="14"/>
        <v>28308044.342800222</v>
      </c>
      <c r="E51" s="195"/>
      <c r="F51" s="212">
        <f>'Depreciation '!C11</f>
        <v>-552952</v>
      </c>
      <c r="G51" s="194"/>
      <c r="H51" s="212">
        <f>'ADFIT-CCR.ELG'!N39</f>
        <v>-100986</v>
      </c>
      <c r="I51" s="194"/>
      <c r="J51" s="212">
        <f>SUM('CWIP CCR.ELG'!$E$5:E49)-D51</f>
        <v>30182182.599709548</v>
      </c>
      <c r="K51" s="194"/>
      <c r="L51" s="212">
        <f>SUM('CWIP CCR.ELG'!$E$5:$E$8)</f>
        <v>822405.09</v>
      </c>
      <c r="M51" s="194"/>
      <c r="N51" s="195">
        <f t="shared" si="3"/>
        <v>57013883.852509767</v>
      </c>
      <c r="O51" s="194"/>
      <c r="P51" s="216">
        <f>WACC!$T$10</f>
        <v>7.4999999999999997E-2</v>
      </c>
      <c r="Q51" s="194"/>
      <c r="R51" s="195">
        <f t="shared" si="11"/>
        <v>356336.77407818608</v>
      </c>
      <c r="S51" s="194"/>
      <c r="T51" s="196">
        <v>0</v>
      </c>
      <c r="U51" s="194"/>
      <c r="V51" s="196">
        <f t="shared" si="4"/>
        <v>138238</v>
      </c>
      <c r="W51" s="196"/>
      <c r="X51" s="196">
        <f t="shared" si="12"/>
        <v>494574.77407818608</v>
      </c>
      <c r="Y51" s="194"/>
      <c r="Z51" s="217">
        <f>'Allocation Factor'!$C$19</f>
        <v>0.96306666666666663</v>
      </c>
      <c r="AA51" s="194"/>
      <c r="AB51" s="229">
        <f t="shared" si="13"/>
        <v>476308.4790888984</v>
      </c>
      <c r="AC51" s="229"/>
      <c r="AD51" s="229" t="s">
        <v>137</v>
      </c>
      <c r="AE51" s="194"/>
      <c r="AF51" s="16"/>
      <c r="AG51" s="16"/>
    </row>
    <row r="52" spans="2:35" x14ac:dyDescent="0.2">
      <c r="B52" s="228" t="s">
        <v>19</v>
      </c>
      <c r="C52" s="194">
        <v>2023</v>
      </c>
      <c r="D52" s="195">
        <f t="shared" si="14"/>
        <v>28308044.342800222</v>
      </c>
      <c r="E52" s="195"/>
      <c r="F52" s="212">
        <f>'Depreciation '!C12</f>
        <v>-691190</v>
      </c>
      <c r="G52" s="194"/>
      <c r="H52" s="212">
        <f>'ADFIT-CCR.ELG'!P39</f>
        <v>-99095</v>
      </c>
      <c r="I52" s="194"/>
      <c r="J52" s="212">
        <f>SUM('CWIP CCR.ELG'!$E$5:E50)-D52</f>
        <v>31432373.436334118</v>
      </c>
      <c r="K52" s="194"/>
      <c r="L52" s="212">
        <f>SUM('CWIP CCR.ELG'!$E$5:$E$8)</f>
        <v>822405.09</v>
      </c>
      <c r="M52" s="194"/>
      <c r="N52" s="195">
        <f t="shared" si="3"/>
        <v>58127727.689134337</v>
      </c>
      <c r="O52" s="194"/>
      <c r="P52" s="216">
        <f>WACC!$T$10</f>
        <v>7.4999999999999997E-2</v>
      </c>
      <c r="Q52" s="194"/>
      <c r="R52" s="195">
        <f t="shared" si="11"/>
        <v>363298.29805708956</v>
      </c>
      <c r="S52" s="194"/>
      <c r="T52" s="196">
        <v>0</v>
      </c>
      <c r="U52" s="194"/>
      <c r="V52" s="196">
        <f t="shared" si="4"/>
        <v>138238</v>
      </c>
      <c r="W52" s="196"/>
      <c r="X52" s="196">
        <f t="shared" si="12"/>
        <v>501536.29805708956</v>
      </c>
      <c r="Y52" s="194"/>
      <c r="Z52" s="217">
        <f>'Allocation Factor'!$C$19</f>
        <v>0.96306666666666663</v>
      </c>
      <c r="AA52" s="194"/>
      <c r="AB52" s="229">
        <f t="shared" si="13"/>
        <v>483012.89078218106</v>
      </c>
      <c r="AC52" s="229"/>
      <c r="AD52" s="229" t="s">
        <v>137</v>
      </c>
      <c r="AE52" s="194"/>
      <c r="AF52" s="16"/>
      <c r="AG52" s="16"/>
    </row>
    <row r="53" spans="2:35" x14ac:dyDescent="0.2">
      <c r="B53" s="228" t="s">
        <v>8</v>
      </c>
      <c r="C53" s="194">
        <v>2023</v>
      </c>
      <c r="D53" s="195">
        <f t="shared" si="14"/>
        <v>28308044.342800222</v>
      </c>
      <c r="E53" s="195"/>
      <c r="F53" s="212">
        <f>'Depreciation '!C13</f>
        <v>-829428</v>
      </c>
      <c r="G53" s="194"/>
      <c r="H53" s="212">
        <f>'ADFIT-CCR.ELG'!R39</f>
        <v>-97203</v>
      </c>
      <c r="I53" s="194"/>
      <c r="J53" s="212">
        <f>SUM('CWIP CCR.ELG'!$E$5:E51)-D53</f>
        <v>32681335.984150611</v>
      </c>
      <c r="K53" s="194"/>
      <c r="L53" s="212">
        <f>SUM('CWIP CCR.ELG'!$E$5:$E$8)</f>
        <v>822405.09</v>
      </c>
      <c r="M53" s="194"/>
      <c r="N53" s="195">
        <f t="shared" si="3"/>
        <v>59240344.23695083</v>
      </c>
      <c r="O53" s="194"/>
      <c r="P53" s="216">
        <f>WACC!$T$10</f>
        <v>7.4999999999999997E-2</v>
      </c>
      <c r="Q53" s="194"/>
      <c r="R53" s="195">
        <f t="shared" si="11"/>
        <v>370252.15148094267</v>
      </c>
      <c r="S53" s="194"/>
      <c r="T53" s="196">
        <v>0</v>
      </c>
      <c r="U53" s="194"/>
      <c r="V53" s="196">
        <f t="shared" si="4"/>
        <v>138238</v>
      </c>
      <c r="W53" s="196"/>
      <c r="X53" s="196">
        <f t="shared" si="12"/>
        <v>508490.15148094267</v>
      </c>
      <c r="Y53" s="194"/>
      <c r="Z53" s="217">
        <f>'Allocation Factor'!$C$19</f>
        <v>0.96306666666666663</v>
      </c>
      <c r="AA53" s="194"/>
      <c r="AB53" s="229">
        <f t="shared" si="13"/>
        <v>489709.91521957982</v>
      </c>
      <c r="AC53" s="229"/>
      <c r="AD53" s="229" t="s">
        <v>137</v>
      </c>
      <c r="AE53" s="194"/>
      <c r="AF53" s="16"/>
      <c r="AG53" s="16"/>
    </row>
    <row r="54" spans="2:35" x14ac:dyDescent="0.2">
      <c r="B54" s="228" t="s">
        <v>9</v>
      </c>
      <c r="C54" s="194">
        <v>2023</v>
      </c>
      <c r="D54" s="195">
        <f>'CWIP CCR.ELG'!B67+'CWIP CCR.ELG'!D67</f>
        <v>41353566.485926077</v>
      </c>
      <c r="E54" s="200"/>
      <c r="F54" s="212">
        <f>'Depreciation '!C14</f>
        <v>-1031371</v>
      </c>
      <c r="G54" s="194"/>
      <c r="H54" s="212">
        <f>'ADFIT-CCR.ELG'!T39</f>
        <v>-81933</v>
      </c>
      <c r="I54" s="194"/>
      <c r="J54" s="212">
        <f>SUM('CWIP CCR.ELG'!$E$5:E52)-D54</f>
        <v>21022451.510337755</v>
      </c>
      <c r="K54" s="194"/>
      <c r="L54" s="212">
        <f>SUM('CWIP CCR.ELG'!$E$5:$E$8)</f>
        <v>822405.09</v>
      </c>
      <c r="M54" s="194"/>
      <c r="N54" s="195">
        <f t="shared" si="3"/>
        <v>60440308.906263828</v>
      </c>
      <c r="O54" s="194"/>
      <c r="P54" s="216">
        <f>WACC!$T$10</f>
        <v>7.4999999999999997E-2</v>
      </c>
      <c r="Q54" s="194"/>
      <c r="R54" s="195">
        <f t="shared" si="11"/>
        <v>377751.93066414888</v>
      </c>
      <c r="S54" s="194"/>
      <c r="T54" s="196">
        <v>0</v>
      </c>
      <c r="U54" s="194"/>
      <c r="V54" s="196">
        <f t="shared" si="4"/>
        <v>201943</v>
      </c>
      <c r="W54" s="196"/>
      <c r="X54" s="196">
        <f t="shared" si="12"/>
        <v>579694.93066414888</v>
      </c>
      <c r="Y54" s="194"/>
      <c r="Z54" s="217">
        <f>'Allocation Factor'!$C$19</f>
        <v>0.96306666666666663</v>
      </c>
      <c r="AA54" s="194"/>
      <c r="AB54" s="229">
        <f t="shared" si="13"/>
        <v>558284.86455828627</v>
      </c>
      <c r="AC54" s="229"/>
      <c r="AD54" s="229" t="s">
        <v>138</v>
      </c>
      <c r="AE54" s="194" t="s">
        <v>144</v>
      </c>
      <c r="AF54" s="16"/>
      <c r="AG54" s="16"/>
    </row>
    <row r="55" spans="2:35" x14ac:dyDescent="0.2">
      <c r="B55" s="228" t="s">
        <v>10</v>
      </c>
      <c r="C55" s="194">
        <v>2023</v>
      </c>
      <c r="D55" s="195">
        <f t="shared" si="14"/>
        <v>41353566.485926077</v>
      </c>
      <c r="E55" s="195"/>
      <c r="F55" s="212">
        <f>'Depreciation '!C15</f>
        <v>-1233314</v>
      </c>
      <c r="G55" s="194"/>
      <c r="H55" s="212">
        <f>'ADFIT-CCR.ELG'!V39</f>
        <v>-66663</v>
      </c>
      <c r="I55" s="194"/>
      <c r="J55" s="212">
        <f>SUM('CWIP CCR.ELG'!$E$5:E53)-D55</f>
        <v>23914578.690584272</v>
      </c>
      <c r="K55" s="194"/>
      <c r="L55" s="212">
        <f>SUM('CWIP CCR.ELG'!$E$5:$E$8)</f>
        <v>822405.09</v>
      </c>
      <c r="M55" s="194"/>
      <c r="N55" s="195">
        <f t="shared" si="3"/>
        <v>63145763.086510345</v>
      </c>
      <c r="O55" s="194"/>
      <c r="P55" s="216">
        <f>WACC!$T$10</f>
        <v>7.4999999999999997E-2</v>
      </c>
      <c r="Q55" s="194"/>
      <c r="R55" s="195">
        <f t="shared" si="11"/>
        <v>394661.01929068961</v>
      </c>
      <c r="S55" s="194"/>
      <c r="T55" s="196">
        <v>0</v>
      </c>
      <c r="U55" s="194"/>
      <c r="V55" s="196">
        <f t="shared" si="4"/>
        <v>201943</v>
      </c>
      <c r="W55" s="196"/>
      <c r="X55" s="196">
        <f t="shared" si="12"/>
        <v>596604.01929068961</v>
      </c>
      <c r="Y55" s="194"/>
      <c r="Z55" s="217">
        <f>'Allocation Factor'!$C$19</f>
        <v>0.96306666666666663</v>
      </c>
      <c r="AA55" s="194"/>
      <c r="AB55" s="229">
        <f t="shared" si="13"/>
        <v>574569.44417822012</v>
      </c>
      <c r="AC55" s="229"/>
      <c r="AD55" s="229" t="s">
        <v>138</v>
      </c>
      <c r="AE55" s="194"/>
      <c r="AF55" s="16"/>
      <c r="AG55" s="16"/>
    </row>
    <row r="56" spans="2:35" x14ac:dyDescent="0.2">
      <c r="B56" s="228" t="s">
        <v>11</v>
      </c>
      <c r="C56" s="194">
        <v>2024</v>
      </c>
      <c r="D56" s="195">
        <f t="shared" si="14"/>
        <v>41353566.485926077</v>
      </c>
      <c r="E56" s="195"/>
      <c r="F56" s="212">
        <f>'Depreciation '!C16</f>
        <v>-1435257</v>
      </c>
      <c r="G56" s="194"/>
      <c r="H56" s="212">
        <f>'ADFIT-CCR.ELG'!X39</f>
        <v>-92515</v>
      </c>
      <c r="I56" s="194"/>
      <c r="J56" s="212">
        <f>SUM('CWIP CCR.ELG'!$E$5:E54)-D56</f>
        <v>23957870.912092604</v>
      </c>
      <c r="K56" s="194"/>
      <c r="L56" s="212">
        <f>SUM('CWIP CCR.ELG'!$E$5:$E$8)</f>
        <v>822405.09</v>
      </c>
      <c r="M56" s="194"/>
      <c r="N56" s="195">
        <f t="shared" si="3"/>
        <v>62961260.308018677</v>
      </c>
      <c r="O56" s="194"/>
      <c r="P56" s="216">
        <f>WACC!$T$10</f>
        <v>7.4999999999999997E-2</v>
      </c>
      <c r="Q56" s="194"/>
      <c r="R56" s="195">
        <f t="shared" si="11"/>
        <v>393507.8769251167</v>
      </c>
      <c r="S56" s="194"/>
      <c r="T56" s="196">
        <v>0</v>
      </c>
      <c r="U56" s="194"/>
      <c r="V56" s="196">
        <f t="shared" si="4"/>
        <v>201943</v>
      </c>
      <c r="W56" s="196"/>
      <c r="X56" s="196">
        <f t="shared" si="12"/>
        <v>595450.87692511664</v>
      </c>
      <c r="Y56" s="194"/>
      <c r="Z56" s="217">
        <f>'Allocation Factor'!$C$19</f>
        <v>0.96306666666666663</v>
      </c>
      <c r="AA56" s="194"/>
      <c r="AB56" s="229">
        <f t="shared" si="13"/>
        <v>573458.89120401558</v>
      </c>
      <c r="AC56" s="229"/>
      <c r="AD56" s="229" t="s">
        <v>138</v>
      </c>
      <c r="AE56" s="194"/>
      <c r="AF56" s="16"/>
      <c r="AG56" s="16"/>
    </row>
    <row r="57" spans="2:35" x14ac:dyDescent="0.2">
      <c r="B57" s="228" t="s">
        <v>12</v>
      </c>
      <c r="C57" s="194">
        <v>2024</v>
      </c>
      <c r="D57" s="195">
        <f t="shared" si="14"/>
        <v>41353566.485926077</v>
      </c>
      <c r="E57" s="195"/>
      <c r="F57" s="212">
        <f>'Depreciation '!C17</f>
        <v>-1637200</v>
      </c>
      <c r="G57" s="194"/>
      <c r="H57" s="212">
        <f>'ADFIT-CCR.ELG'!Z39</f>
        <v>-118366</v>
      </c>
      <c r="I57" s="194"/>
      <c r="J57" s="212">
        <f>SUM('CWIP CCR.ELG'!$E$5:E55)-D57</f>
        <v>24001163.133600935</v>
      </c>
      <c r="K57" s="194"/>
      <c r="L57" s="212">
        <f>SUM('CWIP CCR.ELG'!$E$5:$E$8)</f>
        <v>822405.09</v>
      </c>
      <c r="M57" s="194"/>
      <c r="N57" s="195">
        <f t="shared" si="3"/>
        <v>62776758.529527009</v>
      </c>
      <c r="O57" s="194"/>
      <c r="P57" s="216">
        <f>WACC!$T$10</f>
        <v>7.4999999999999997E-2</v>
      </c>
      <c r="Q57" s="194"/>
      <c r="R57" s="195">
        <f t="shared" si="11"/>
        <v>392354.74080954376</v>
      </c>
      <c r="S57" s="194"/>
      <c r="T57" s="196">
        <v>0</v>
      </c>
      <c r="U57" s="194"/>
      <c r="V57" s="196">
        <f t="shared" si="4"/>
        <v>201943</v>
      </c>
      <c r="W57" s="196"/>
      <c r="X57" s="196">
        <f t="shared" si="12"/>
        <v>594297.74080954376</v>
      </c>
      <c r="Y57" s="194"/>
      <c r="Z57" s="217">
        <f>'Allocation Factor'!$C$19</f>
        <v>0.96306666666666663</v>
      </c>
      <c r="AA57" s="194"/>
      <c r="AB57" s="229">
        <f t="shared" si="13"/>
        <v>572348.34424897796</v>
      </c>
      <c r="AC57" s="229"/>
      <c r="AD57" s="229" t="s">
        <v>138</v>
      </c>
      <c r="AE57" s="194"/>
      <c r="AF57" s="16"/>
      <c r="AG57" s="227"/>
    </row>
    <row r="58" spans="2:35" x14ac:dyDescent="0.2">
      <c r="B58" s="228" t="s">
        <v>13</v>
      </c>
      <c r="C58" s="194">
        <v>2024</v>
      </c>
      <c r="D58" s="195">
        <f t="shared" si="14"/>
        <v>41353566.485926077</v>
      </c>
      <c r="E58" s="195"/>
      <c r="F58" s="212">
        <f>'Depreciation '!C18</f>
        <v>-1839143</v>
      </c>
      <c r="G58" s="194"/>
      <c r="H58" s="212">
        <f>'ADFIT-CCR.ELG'!AB39</f>
        <v>-144217</v>
      </c>
      <c r="I58" s="194"/>
      <c r="J58" s="212">
        <f>SUM('CWIP CCR.ELG'!$E$5:E56)-D58</f>
        <v>24044455.355109267</v>
      </c>
      <c r="K58" s="194"/>
      <c r="L58" s="212">
        <f>SUM('CWIP CCR.ELG'!$E$5:$E$8)</f>
        <v>822405.09</v>
      </c>
      <c r="M58" s="194"/>
      <c r="N58" s="195">
        <f t="shared" si="3"/>
        <v>62592256.75103534</v>
      </c>
      <c r="O58" s="194"/>
      <c r="P58" s="216">
        <f>WACC!$T$10</f>
        <v>7.4999999999999997E-2</v>
      </c>
      <c r="Q58" s="194"/>
      <c r="R58" s="195">
        <f t="shared" si="11"/>
        <v>391201.60469397088</v>
      </c>
      <c r="S58" s="194"/>
      <c r="T58" s="196">
        <v>0</v>
      </c>
      <c r="U58" s="194"/>
      <c r="V58" s="196">
        <f t="shared" si="4"/>
        <v>201943</v>
      </c>
      <c r="W58" s="196"/>
      <c r="X58" s="196">
        <f t="shared" si="12"/>
        <v>593144.60469397088</v>
      </c>
      <c r="Y58" s="194"/>
      <c r="Z58" s="217">
        <f>'Allocation Factor'!$C$19</f>
        <v>0.96306666666666663</v>
      </c>
      <c r="AA58" s="194"/>
      <c r="AB58" s="229">
        <f t="shared" si="13"/>
        <v>571237.79729394021</v>
      </c>
      <c r="AC58" s="229"/>
      <c r="AD58" s="229" t="s">
        <v>138</v>
      </c>
      <c r="AE58" s="194"/>
      <c r="AF58" s="16"/>
      <c r="AG58" s="215"/>
      <c r="AH58" s="226"/>
      <c r="AI58" s="226"/>
    </row>
    <row r="59" spans="2:35" x14ac:dyDescent="0.2">
      <c r="B59" s="228" t="s">
        <v>14</v>
      </c>
      <c r="C59" s="194">
        <v>2024</v>
      </c>
      <c r="D59" s="195">
        <f>'CWIP CCR.ELG'!B67+'CWIP CCR.ELG'!C67+'CWIP CCR.ELG'!D67</f>
        <v>65759260.47031036</v>
      </c>
      <c r="E59" s="195"/>
      <c r="F59" s="212">
        <f>'Depreciation '!C19</f>
        <v>-2160267</v>
      </c>
      <c r="G59" s="194"/>
      <c r="H59" s="212">
        <f>'ADFIT-CCR.ELG'!AD39</f>
        <v>-145040</v>
      </c>
      <c r="I59" s="194"/>
      <c r="J59" s="212">
        <v>0</v>
      </c>
      <c r="K59" s="194"/>
      <c r="L59" s="212">
        <v>0</v>
      </c>
      <c r="M59" s="194"/>
      <c r="N59" s="195">
        <f t="shared" si="3"/>
        <v>63453953.47031036</v>
      </c>
      <c r="O59" s="194"/>
      <c r="P59" s="216">
        <f>WACC!$T$10</f>
        <v>7.4999999999999997E-2</v>
      </c>
      <c r="Q59" s="194"/>
      <c r="R59" s="195">
        <f t="shared" si="11"/>
        <v>396587.20918943972</v>
      </c>
      <c r="S59" s="194"/>
      <c r="T59" s="196">
        <v>0</v>
      </c>
      <c r="U59" s="194"/>
      <c r="V59" s="196">
        <f t="shared" si="4"/>
        <v>321124</v>
      </c>
      <c r="W59" s="196"/>
      <c r="X59" s="196">
        <f t="shared" si="12"/>
        <v>717711.20918943966</v>
      </c>
      <c r="Y59" s="194"/>
      <c r="Z59" s="217">
        <f>'Allocation Factor'!$C$19</f>
        <v>0.96306666666666663</v>
      </c>
      <c r="AA59" s="194"/>
      <c r="AB59" s="229">
        <f t="shared" si="13"/>
        <v>691203.74186337634</v>
      </c>
      <c r="AC59" s="229"/>
      <c r="AD59" s="229" t="s">
        <v>139</v>
      </c>
      <c r="AE59" s="194" t="s">
        <v>146</v>
      </c>
    </row>
    <row r="60" spans="2:35" x14ac:dyDescent="0.2">
      <c r="B60" s="228" t="s">
        <v>15</v>
      </c>
      <c r="C60" s="194">
        <v>2024</v>
      </c>
      <c r="D60" s="195">
        <f>D59</f>
        <v>65759260.47031036</v>
      </c>
      <c r="E60" s="195"/>
      <c r="F60" s="212">
        <f>'Depreciation '!C20</f>
        <v>-2481391</v>
      </c>
      <c r="G60" s="194"/>
      <c r="H60" s="212">
        <f>'ADFIT-CCR.ELG'!AF39</f>
        <v>-145863</v>
      </c>
      <c r="I60" s="194"/>
      <c r="J60" s="212">
        <v>0</v>
      </c>
      <c r="K60" s="194"/>
      <c r="L60" s="212">
        <v>0</v>
      </c>
      <c r="M60" s="194"/>
      <c r="N60" s="195">
        <f t="shared" si="3"/>
        <v>63132006.47031036</v>
      </c>
      <c r="O60" s="194"/>
      <c r="P60" s="216">
        <f>WACC!$T$10</f>
        <v>7.4999999999999997E-2</v>
      </c>
      <c r="Q60" s="194"/>
      <c r="R60" s="195">
        <f t="shared" si="11"/>
        <v>394575.0404394397</v>
      </c>
      <c r="S60" s="194"/>
      <c r="T60" s="196">
        <v>0</v>
      </c>
      <c r="U60" s="194"/>
      <c r="V60" s="196">
        <f t="shared" si="4"/>
        <v>321124</v>
      </c>
      <c r="W60" s="196"/>
      <c r="X60" s="196">
        <f t="shared" si="12"/>
        <v>715699.0404394397</v>
      </c>
      <c r="Y60" s="194"/>
      <c r="Z60" s="217">
        <f>'Allocation Factor'!$C$19</f>
        <v>0.96306666666666663</v>
      </c>
      <c r="AA60" s="194"/>
      <c r="AB60" s="229">
        <f t="shared" si="13"/>
        <v>689265.88921254303</v>
      </c>
      <c r="AC60" s="229"/>
      <c r="AD60" s="229" t="s">
        <v>139</v>
      </c>
      <c r="AE60" s="194"/>
    </row>
    <row r="61" spans="2:35" x14ac:dyDescent="0.2">
      <c r="B61" s="228" t="s">
        <v>16</v>
      </c>
      <c r="C61" s="194">
        <v>2024</v>
      </c>
      <c r="D61" s="195">
        <f t="shared" ref="D61:D79" si="15">D60</f>
        <v>65759260.47031036</v>
      </c>
      <c r="E61" s="195"/>
      <c r="F61" s="212">
        <f>'Depreciation '!C21</f>
        <v>-2802515</v>
      </c>
      <c r="G61" s="194"/>
      <c r="H61" s="212">
        <f>'ADFIT-CCR.ELG'!AH39</f>
        <v>-146687</v>
      </c>
      <c r="I61" s="194"/>
      <c r="J61" s="212">
        <v>0</v>
      </c>
      <c r="K61" s="194"/>
      <c r="L61" s="212">
        <v>0</v>
      </c>
      <c r="M61" s="194"/>
      <c r="N61" s="195">
        <f t="shared" si="3"/>
        <v>62810058.47031036</v>
      </c>
      <c r="O61" s="194"/>
      <c r="P61" s="216">
        <f>WACC!$T$10</f>
        <v>7.4999999999999997E-2</v>
      </c>
      <c r="Q61" s="194"/>
      <c r="R61" s="195">
        <f t="shared" si="11"/>
        <v>392562.86543943972</v>
      </c>
      <c r="S61" s="194"/>
      <c r="T61" s="196">
        <v>0</v>
      </c>
      <c r="U61" s="194"/>
      <c r="V61" s="196">
        <f t="shared" si="4"/>
        <v>321124</v>
      </c>
      <c r="W61" s="196"/>
      <c r="X61" s="196">
        <f t="shared" si="12"/>
        <v>713686.86543943966</v>
      </c>
      <c r="Y61" s="194"/>
      <c r="Z61" s="217">
        <f>'Allocation Factor'!$C$19</f>
        <v>0.96306666666666663</v>
      </c>
      <c r="AA61" s="194"/>
      <c r="AB61" s="229">
        <f t="shared" si="13"/>
        <v>687328.03054254304</v>
      </c>
      <c r="AC61" s="229"/>
      <c r="AD61" s="229" t="s">
        <v>139</v>
      </c>
      <c r="AE61" s="194"/>
    </row>
    <row r="62" spans="2:35" x14ac:dyDescent="0.2">
      <c r="B62" s="228" t="s">
        <v>17</v>
      </c>
      <c r="C62" s="194">
        <v>2024</v>
      </c>
      <c r="D62" s="195">
        <f t="shared" si="15"/>
        <v>65759260.47031036</v>
      </c>
      <c r="E62" s="195"/>
      <c r="F62" s="212">
        <f>'Depreciation '!C22</f>
        <v>-3123639</v>
      </c>
      <c r="G62" s="194"/>
      <c r="H62" s="212">
        <f>'ADFIT-CCR.ELG'!AJ39</f>
        <v>-147510</v>
      </c>
      <c r="I62" s="194"/>
      <c r="J62" s="212">
        <v>0</v>
      </c>
      <c r="K62" s="194"/>
      <c r="L62" s="212">
        <v>0</v>
      </c>
      <c r="M62" s="194"/>
      <c r="N62" s="195">
        <f t="shared" si="3"/>
        <v>62488111.47031036</v>
      </c>
      <c r="O62" s="194"/>
      <c r="P62" s="216">
        <f>WACC!$T$10</f>
        <v>7.4999999999999997E-2</v>
      </c>
      <c r="Q62" s="194"/>
      <c r="R62" s="195">
        <f t="shared" si="11"/>
        <v>390550.6966894397</v>
      </c>
      <c r="S62" s="194"/>
      <c r="T62" s="196">
        <v>0</v>
      </c>
      <c r="U62" s="194"/>
      <c r="V62" s="196">
        <f t="shared" si="4"/>
        <v>321124</v>
      </c>
      <c r="W62" s="196"/>
      <c r="X62" s="196">
        <f t="shared" si="12"/>
        <v>711674.6966894397</v>
      </c>
      <c r="Y62" s="194"/>
      <c r="Z62" s="217">
        <f>'Allocation Factor'!$C$19</f>
        <v>0.96306666666666663</v>
      </c>
      <c r="AA62" s="194"/>
      <c r="AB62" s="229">
        <f t="shared" si="13"/>
        <v>685390.17789170973</v>
      </c>
      <c r="AC62" s="229"/>
      <c r="AD62" s="229" t="s">
        <v>139</v>
      </c>
      <c r="AE62" s="194"/>
    </row>
    <row r="63" spans="2:35" x14ac:dyDescent="0.2">
      <c r="B63" s="228" t="s">
        <v>18</v>
      </c>
      <c r="C63" s="194">
        <v>2024</v>
      </c>
      <c r="D63" s="195">
        <f t="shared" si="15"/>
        <v>65759260.47031036</v>
      </c>
      <c r="E63" s="195"/>
      <c r="F63" s="212">
        <f>'Depreciation '!C23</f>
        <v>-3444763</v>
      </c>
      <c r="G63" s="194"/>
      <c r="H63" s="212">
        <f>'ADFIT-CCR.ELG'!AL39</f>
        <v>-148333</v>
      </c>
      <c r="I63" s="194"/>
      <c r="J63" s="212">
        <v>0</v>
      </c>
      <c r="K63" s="194"/>
      <c r="L63" s="212">
        <v>0</v>
      </c>
      <c r="M63" s="194"/>
      <c r="N63" s="195">
        <f t="shared" si="3"/>
        <v>62166164.47031036</v>
      </c>
      <c r="O63" s="194"/>
      <c r="P63" s="216">
        <f>WACC!$T$10</f>
        <v>7.4999999999999997E-2</v>
      </c>
      <c r="Q63" s="194"/>
      <c r="R63" s="195">
        <f t="shared" si="11"/>
        <v>388538.52793943975</v>
      </c>
      <c r="S63" s="194"/>
      <c r="T63" s="196">
        <v>0</v>
      </c>
      <c r="U63" s="194"/>
      <c r="V63" s="196">
        <f t="shared" si="4"/>
        <v>321124</v>
      </c>
      <c r="W63" s="196"/>
      <c r="X63" s="196">
        <f t="shared" si="12"/>
        <v>709662.52793943975</v>
      </c>
      <c r="Y63" s="194"/>
      <c r="Z63" s="217">
        <f>'Allocation Factor'!$C$19</f>
        <v>0.96306666666666663</v>
      </c>
      <c r="AA63" s="194"/>
      <c r="AB63" s="229">
        <f t="shared" si="13"/>
        <v>683452.32524087641</v>
      </c>
      <c r="AC63" s="229"/>
      <c r="AD63" s="229" t="s">
        <v>139</v>
      </c>
      <c r="AE63" s="194"/>
    </row>
    <row r="64" spans="2:35" x14ac:dyDescent="0.2">
      <c r="B64" s="228" t="s">
        <v>19</v>
      </c>
      <c r="C64" s="194">
        <v>2024</v>
      </c>
      <c r="D64" s="195">
        <f t="shared" si="15"/>
        <v>65759260.47031036</v>
      </c>
      <c r="E64" s="195"/>
      <c r="F64" s="212">
        <f>'Depreciation '!C24</f>
        <v>-3765887</v>
      </c>
      <c r="G64" s="194"/>
      <c r="H64" s="212">
        <f>'ADFIT-CCR.ELG'!AN39</f>
        <v>-149156</v>
      </c>
      <c r="I64" s="194"/>
      <c r="J64" s="212">
        <v>0</v>
      </c>
      <c r="K64" s="194"/>
      <c r="L64" s="212">
        <v>0</v>
      </c>
      <c r="M64" s="194"/>
      <c r="N64" s="195">
        <f t="shared" si="3"/>
        <v>61844217.47031036</v>
      </c>
      <c r="O64" s="194"/>
      <c r="P64" s="216">
        <f>WACC!$T$10</f>
        <v>7.4999999999999997E-2</v>
      </c>
      <c r="Q64" s="194"/>
      <c r="R64" s="195">
        <f t="shared" si="11"/>
        <v>386526.35918943974</v>
      </c>
      <c r="S64" s="194"/>
      <c r="T64" s="196">
        <v>0</v>
      </c>
      <c r="U64" s="194"/>
      <c r="V64" s="196">
        <f t="shared" si="4"/>
        <v>321124</v>
      </c>
      <c r="W64" s="196"/>
      <c r="X64" s="196">
        <f t="shared" si="12"/>
        <v>707650.3591894398</v>
      </c>
      <c r="Y64" s="194"/>
      <c r="Z64" s="217">
        <f>'Allocation Factor'!$C$19</f>
        <v>0.96306666666666663</v>
      </c>
      <c r="AA64" s="194"/>
      <c r="AB64" s="229">
        <f t="shared" si="13"/>
        <v>681514.47259004309</v>
      </c>
      <c r="AC64" s="229"/>
      <c r="AD64" s="229" t="s">
        <v>139</v>
      </c>
      <c r="AE64" s="194"/>
    </row>
    <row r="65" spans="2:31" x14ac:dyDescent="0.2">
      <c r="B65" s="228" t="s">
        <v>8</v>
      </c>
      <c r="C65" s="194">
        <v>2024</v>
      </c>
      <c r="D65" s="195">
        <f t="shared" si="15"/>
        <v>65759260.47031036</v>
      </c>
      <c r="E65" s="195"/>
      <c r="F65" s="212">
        <f>'Depreciation '!C25</f>
        <v>-4087011</v>
      </c>
      <c r="G65" s="194"/>
      <c r="H65" s="212">
        <f>'ADFIT-CCR.ELG'!AP39</f>
        <v>-149979</v>
      </c>
      <c r="I65" s="194"/>
      <c r="J65" s="212">
        <v>0</v>
      </c>
      <c r="K65" s="194"/>
      <c r="L65" s="212">
        <v>0</v>
      </c>
      <c r="M65" s="194"/>
      <c r="N65" s="195">
        <f t="shared" si="3"/>
        <v>61522270.47031036</v>
      </c>
      <c r="O65" s="194"/>
      <c r="P65" s="216">
        <f>WACC!$T$10</f>
        <v>7.4999999999999997E-2</v>
      </c>
      <c r="Q65" s="194"/>
      <c r="R65" s="195">
        <f t="shared" si="11"/>
        <v>384514.19043943979</v>
      </c>
      <c r="S65" s="194"/>
      <c r="T65" s="196">
        <v>0</v>
      </c>
      <c r="U65" s="194"/>
      <c r="V65" s="196">
        <f t="shared" si="4"/>
        <v>321124</v>
      </c>
      <c r="W65" s="196"/>
      <c r="X65" s="196">
        <f t="shared" si="12"/>
        <v>705638.19043943984</v>
      </c>
      <c r="Y65" s="194"/>
      <c r="Z65" s="217">
        <f>'Allocation Factor'!$C$19</f>
        <v>0.96306666666666663</v>
      </c>
      <c r="AA65" s="194"/>
      <c r="AB65" s="229">
        <f t="shared" si="13"/>
        <v>679576.61993920989</v>
      </c>
      <c r="AC65" s="229"/>
      <c r="AD65" s="229" t="s">
        <v>139</v>
      </c>
      <c r="AE65" s="194"/>
    </row>
    <row r="66" spans="2:31" x14ac:dyDescent="0.2">
      <c r="B66" s="228" t="s">
        <v>9</v>
      </c>
      <c r="C66" s="194">
        <v>2024</v>
      </c>
      <c r="D66" s="195">
        <f t="shared" si="15"/>
        <v>65759260.47031036</v>
      </c>
      <c r="E66" s="195"/>
      <c r="F66" s="212">
        <f>'Depreciation '!C26</f>
        <v>-4408135</v>
      </c>
      <c r="G66" s="194"/>
      <c r="H66" s="212">
        <f>'ADFIT-CCR.ELG'!AR39</f>
        <v>-150803</v>
      </c>
      <c r="I66" s="194"/>
      <c r="J66" s="212">
        <v>0</v>
      </c>
      <c r="K66" s="194"/>
      <c r="L66" s="212">
        <v>0</v>
      </c>
      <c r="M66" s="194"/>
      <c r="N66" s="195">
        <f t="shared" si="3"/>
        <v>61200322.47031036</v>
      </c>
      <c r="O66" s="194"/>
      <c r="P66" s="216">
        <f>WACC!$T$10</f>
        <v>7.4999999999999997E-2</v>
      </c>
      <c r="Q66" s="194"/>
      <c r="R66" s="195">
        <f t="shared" si="11"/>
        <v>382502.01543943974</v>
      </c>
      <c r="S66" s="194"/>
      <c r="T66" s="196">
        <v>0</v>
      </c>
      <c r="U66" s="194"/>
      <c r="V66" s="196">
        <f t="shared" si="4"/>
        <v>321124</v>
      </c>
      <c r="W66" s="196"/>
      <c r="X66" s="196">
        <f t="shared" si="12"/>
        <v>703626.0154394398</v>
      </c>
      <c r="Y66" s="194"/>
      <c r="Z66" s="217">
        <f>'Allocation Factor'!$C$19</f>
        <v>0.96306666666666663</v>
      </c>
      <c r="AA66" s="194"/>
      <c r="AB66" s="229">
        <f t="shared" si="13"/>
        <v>677638.76126920979</v>
      </c>
      <c r="AC66" s="229"/>
      <c r="AD66" s="229" t="s">
        <v>139</v>
      </c>
      <c r="AE66" s="194"/>
    </row>
    <row r="67" spans="2:31" x14ac:dyDescent="0.2">
      <c r="B67" s="228" t="s">
        <v>10</v>
      </c>
      <c r="C67" s="194">
        <v>2024</v>
      </c>
      <c r="D67" s="195">
        <f t="shared" si="15"/>
        <v>65759260.47031036</v>
      </c>
      <c r="E67" s="195"/>
      <c r="F67" s="212">
        <f>'Depreciation '!C27</f>
        <v>-4729259</v>
      </c>
      <c r="G67" s="194"/>
      <c r="H67" s="212">
        <f>'ADFIT-CCR.ELG'!AT39</f>
        <v>-151626</v>
      </c>
      <c r="I67" s="194"/>
      <c r="J67" s="212">
        <v>0</v>
      </c>
      <c r="K67" s="194"/>
      <c r="L67" s="212">
        <v>0</v>
      </c>
      <c r="M67" s="194"/>
      <c r="N67" s="195">
        <f t="shared" si="3"/>
        <v>60878375.47031036</v>
      </c>
      <c r="O67" s="194"/>
      <c r="P67" s="216">
        <f>WACC!$T$10</f>
        <v>7.4999999999999997E-2</v>
      </c>
      <c r="Q67" s="194"/>
      <c r="R67" s="195">
        <f t="shared" si="11"/>
        <v>380489.84668943979</v>
      </c>
      <c r="S67" s="194"/>
      <c r="T67" s="196">
        <v>0</v>
      </c>
      <c r="U67" s="194"/>
      <c r="V67" s="196">
        <f t="shared" si="4"/>
        <v>321124</v>
      </c>
      <c r="W67" s="196"/>
      <c r="X67" s="196">
        <f t="shared" si="12"/>
        <v>701613.84668943984</v>
      </c>
      <c r="Y67" s="194"/>
      <c r="Z67" s="217">
        <f>'Allocation Factor'!$C$19</f>
        <v>0.96306666666666663</v>
      </c>
      <c r="AA67" s="194"/>
      <c r="AB67" s="229">
        <f t="shared" si="13"/>
        <v>675700.90861837647</v>
      </c>
      <c r="AC67" s="229"/>
      <c r="AD67" s="229" t="s">
        <v>139</v>
      </c>
      <c r="AE67" s="194"/>
    </row>
    <row r="68" spans="2:31" x14ac:dyDescent="0.2">
      <c r="B68" s="228" t="s">
        <v>11</v>
      </c>
      <c r="C68" s="194">
        <v>2025</v>
      </c>
      <c r="D68" s="195">
        <f t="shared" si="15"/>
        <v>65759260.47031036</v>
      </c>
      <c r="E68" s="195"/>
      <c r="F68" s="212">
        <f>'Depreciation '!C28</f>
        <v>-5050383</v>
      </c>
      <c r="G68" s="194"/>
      <c r="H68" s="212">
        <f>'ADFIT-CCR.ELG'!AV39</f>
        <v>-163343</v>
      </c>
      <c r="I68" s="194"/>
      <c r="J68" s="212">
        <v>0</v>
      </c>
      <c r="K68" s="194"/>
      <c r="L68" s="212">
        <v>0</v>
      </c>
      <c r="M68" s="194"/>
      <c r="N68" s="195">
        <f t="shared" si="3"/>
        <v>60545534.47031036</v>
      </c>
      <c r="O68" s="194"/>
      <c r="P68" s="216">
        <f>WACC!$T$10</f>
        <v>7.4999999999999997E-2</v>
      </c>
      <c r="Q68" s="194"/>
      <c r="R68" s="195">
        <f t="shared" si="11"/>
        <v>378409.59043943975</v>
      </c>
      <c r="S68" s="194"/>
      <c r="T68" s="196">
        <v>0</v>
      </c>
      <c r="U68" s="194"/>
      <c r="V68" s="196">
        <f t="shared" si="4"/>
        <v>321124</v>
      </c>
      <c r="W68" s="196"/>
      <c r="X68" s="196">
        <f t="shared" si="12"/>
        <v>699533.59043943975</v>
      </c>
      <c r="Y68" s="194"/>
      <c r="Z68" s="217">
        <f>'Allocation Factor'!$C$19</f>
        <v>0.96306666666666663</v>
      </c>
      <c r="AA68" s="194"/>
      <c r="AB68" s="229">
        <f t="shared" si="13"/>
        <v>673697.48316587636</v>
      </c>
      <c r="AC68" s="229"/>
      <c r="AD68" s="229" t="s">
        <v>139</v>
      </c>
      <c r="AE68" s="194"/>
    </row>
    <row r="69" spans="2:31" x14ac:dyDescent="0.2">
      <c r="B69" s="228" t="s">
        <v>12</v>
      </c>
      <c r="C69" s="194">
        <v>2025</v>
      </c>
      <c r="D69" s="195">
        <f t="shared" si="15"/>
        <v>65759260.47031036</v>
      </c>
      <c r="E69" s="195"/>
      <c r="F69" s="212">
        <f>'Depreciation '!C29</f>
        <v>-5371507</v>
      </c>
      <c r="G69" s="194"/>
      <c r="H69" s="212">
        <f>'ADFIT-CCR.ELG'!AX39</f>
        <v>-175060</v>
      </c>
      <c r="I69" s="194"/>
      <c r="J69" s="212">
        <v>0</v>
      </c>
      <c r="K69" s="194"/>
      <c r="L69" s="212">
        <v>0</v>
      </c>
      <c r="M69" s="194"/>
      <c r="N69" s="195">
        <f t="shared" si="3"/>
        <v>60212693.47031036</v>
      </c>
      <c r="O69" s="194"/>
      <c r="P69" s="216">
        <f>WACC!$T$10</f>
        <v>7.4999999999999997E-2</v>
      </c>
      <c r="Q69" s="194"/>
      <c r="R69" s="195">
        <f t="shared" si="11"/>
        <v>376329.33418943972</v>
      </c>
      <c r="S69" s="194"/>
      <c r="T69" s="196">
        <v>0</v>
      </c>
      <c r="U69" s="194"/>
      <c r="V69" s="196">
        <f t="shared" si="4"/>
        <v>321124</v>
      </c>
      <c r="W69" s="196"/>
      <c r="X69" s="196">
        <f t="shared" si="12"/>
        <v>697453.33418943966</v>
      </c>
      <c r="Y69" s="194"/>
      <c r="Z69" s="217">
        <f>'Allocation Factor'!$C$19</f>
        <v>0.96306666666666663</v>
      </c>
      <c r="AA69" s="194"/>
      <c r="AB69" s="229">
        <f t="shared" si="13"/>
        <v>671694.05771337636</v>
      </c>
      <c r="AC69" s="229"/>
      <c r="AD69" s="229" t="s">
        <v>139</v>
      </c>
      <c r="AE69" s="194"/>
    </row>
    <row r="70" spans="2:31" x14ac:dyDescent="0.2">
      <c r="B70" s="228" t="s">
        <v>13</v>
      </c>
      <c r="C70" s="194">
        <v>2025</v>
      </c>
      <c r="D70" s="195">
        <f t="shared" si="15"/>
        <v>65759260.47031036</v>
      </c>
      <c r="E70" s="195"/>
      <c r="F70" s="212">
        <f>'Depreciation '!C30</f>
        <v>-5692631</v>
      </c>
      <c r="G70" s="194"/>
      <c r="H70" s="212">
        <f>'ADFIT-CCR.ELG'!AZ39</f>
        <v>-186776</v>
      </c>
      <c r="I70" s="194"/>
      <c r="J70" s="212">
        <v>0</v>
      </c>
      <c r="K70" s="194"/>
      <c r="L70" s="212">
        <v>0</v>
      </c>
      <c r="M70" s="194"/>
      <c r="N70" s="195">
        <f t="shared" si="3"/>
        <v>59879853.47031036</v>
      </c>
      <c r="O70" s="194"/>
      <c r="P70" s="216">
        <f>WACC!$T$10</f>
        <v>7.4999999999999997E-2</v>
      </c>
      <c r="Q70" s="194"/>
      <c r="R70" s="195">
        <f t="shared" si="11"/>
        <v>374249.08418943972</v>
      </c>
      <c r="S70" s="194"/>
      <c r="T70" s="196">
        <v>0</v>
      </c>
      <c r="U70" s="194"/>
      <c r="V70" s="196">
        <f t="shared" si="4"/>
        <v>321124</v>
      </c>
      <c r="W70" s="196"/>
      <c r="X70" s="196">
        <f t="shared" si="12"/>
        <v>695373.08418943966</v>
      </c>
      <c r="Y70" s="194"/>
      <c r="Z70" s="217">
        <f>'Allocation Factor'!$C$19</f>
        <v>0.96306666666666663</v>
      </c>
      <c r="AA70" s="194"/>
      <c r="AB70" s="229">
        <f t="shared" si="13"/>
        <v>669690.63828004303</v>
      </c>
      <c r="AC70" s="229"/>
      <c r="AD70" s="229" t="s">
        <v>139</v>
      </c>
      <c r="AE70" s="229"/>
    </row>
    <row r="71" spans="2:31" x14ac:dyDescent="0.2">
      <c r="B71" s="228" t="s">
        <v>14</v>
      </c>
      <c r="C71" s="194">
        <v>2025</v>
      </c>
      <c r="D71" s="195">
        <f t="shared" si="15"/>
        <v>65759260.47031036</v>
      </c>
      <c r="E71" s="195"/>
      <c r="F71" s="212">
        <f>'Depreciation '!C31</f>
        <v>-6013755</v>
      </c>
      <c r="G71" s="194"/>
      <c r="H71" s="212">
        <f>'ADFIT-CCR.ELG'!BB39</f>
        <v>-198493</v>
      </c>
      <c r="I71" s="194"/>
      <c r="J71" s="212">
        <v>0</v>
      </c>
      <c r="K71" s="194"/>
      <c r="L71" s="212">
        <v>0</v>
      </c>
      <c r="M71" s="194"/>
      <c r="N71" s="195">
        <f t="shared" ref="N71:N79" si="16">SUM(D71:J71)-L71</f>
        <v>59547012.47031036</v>
      </c>
      <c r="O71" s="194"/>
      <c r="P71" s="216">
        <f>WACC!$T$10</f>
        <v>7.4999999999999997E-2</v>
      </c>
      <c r="Q71" s="194"/>
      <c r="R71" s="195">
        <f t="shared" ref="R71:R79" si="17">N71*P71/12</f>
        <v>372168.82793943974</v>
      </c>
      <c r="S71" s="194"/>
      <c r="T71" s="196">
        <v>0</v>
      </c>
      <c r="U71" s="194"/>
      <c r="V71" s="196">
        <f t="shared" si="4"/>
        <v>321124</v>
      </c>
      <c r="W71" s="196"/>
      <c r="X71" s="196">
        <f t="shared" ref="X71:X79" si="18">V71+T71+R71</f>
        <v>693292.8279394398</v>
      </c>
      <c r="Y71" s="194"/>
      <c r="Z71" s="217">
        <f>'Allocation Factor'!$C$19</f>
        <v>0.96306666666666663</v>
      </c>
      <c r="AA71" s="194"/>
      <c r="AB71" s="229">
        <f t="shared" ref="AB71:AB79" si="19">X71*Z71</f>
        <v>667687.21282754315</v>
      </c>
      <c r="AC71" s="229"/>
      <c r="AD71" s="229"/>
      <c r="AE71" s="194"/>
    </row>
    <row r="72" spans="2:31" x14ac:dyDescent="0.2">
      <c r="B72" s="228" t="s">
        <v>15</v>
      </c>
      <c r="C72" s="194">
        <v>2025</v>
      </c>
      <c r="D72" s="195">
        <f t="shared" si="15"/>
        <v>65759260.47031036</v>
      </c>
      <c r="E72" s="195"/>
      <c r="F72" s="212">
        <f>'Depreciation '!C32</f>
        <v>-6334879</v>
      </c>
      <c r="G72" s="194"/>
      <c r="H72" s="212">
        <f>'ADFIT-CCR.ELG'!BD39</f>
        <v>-210210</v>
      </c>
      <c r="I72" s="194"/>
      <c r="J72" s="212">
        <v>0</v>
      </c>
      <c r="K72" s="194"/>
      <c r="L72" s="212">
        <v>0</v>
      </c>
      <c r="M72" s="194"/>
      <c r="N72" s="195">
        <f t="shared" si="16"/>
        <v>59214171.47031036</v>
      </c>
      <c r="O72" s="194"/>
      <c r="P72" s="216">
        <f>WACC!$T$10</f>
        <v>7.4999999999999997E-2</v>
      </c>
      <c r="Q72" s="194"/>
      <c r="R72" s="195">
        <f t="shared" si="17"/>
        <v>370088.5716894397</v>
      </c>
      <c r="S72" s="194"/>
      <c r="T72" s="196">
        <v>0</v>
      </c>
      <c r="U72" s="194"/>
      <c r="V72" s="196">
        <f t="shared" si="4"/>
        <v>321124</v>
      </c>
      <c r="W72" s="196"/>
      <c r="X72" s="196">
        <f t="shared" si="18"/>
        <v>691212.5716894397</v>
      </c>
      <c r="Y72" s="194"/>
      <c r="Z72" s="217">
        <f>'Allocation Factor'!$C$19</f>
        <v>0.96306666666666663</v>
      </c>
      <c r="AA72" s="194"/>
      <c r="AB72" s="229">
        <f t="shared" si="19"/>
        <v>665683.78737504303</v>
      </c>
      <c r="AC72" s="229"/>
      <c r="AD72" s="229"/>
      <c r="AE72" s="194"/>
    </row>
    <row r="73" spans="2:31" x14ac:dyDescent="0.2">
      <c r="B73" s="228" t="s">
        <v>16</v>
      </c>
      <c r="C73" s="194">
        <v>2025</v>
      </c>
      <c r="D73" s="195">
        <f t="shared" si="15"/>
        <v>65759260.47031036</v>
      </c>
      <c r="E73" s="195"/>
      <c r="F73" s="212">
        <f>'Depreciation '!C33</f>
        <v>-6656003</v>
      </c>
      <c r="G73" s="194"/>
      <c r="H73" s="212">
        <f>'ADFIT-CCR.ELG'!BF39</f>
        <v>-221927</v>
      </c>
      <c r="I73" s="194"/>
      <c r="J73" s="212">
        <v>0</v>
      </c>
      <c r="K73" s="194"/>
      <c r="L73" s="212">
        <v>0</v>
      </c>
      <c r="M73" s="194"/>
      <c r="N73" s="195">
        <f t="shared" si="16"/>
        <v>58881330.47031036</v>
      </c>
      <c r="O73" s="194"/>
      <c r="P73" s="216">
        <f>WACC!$T$10</f>
        <v>7.4999999999999997E-2</v>
      </c>
      <c r="Q73" s="194"/>
      <c r="R73" s="195">
        <f t="shared" si="17"/>
        <v>368008.31543943979</v>
      </c>
      <c r="S73" s="194"/>
      <c r="T73" s="196">
        <v>0</v>
      </c>
      <c r="U73" s="194"/>
      <c r="V73" s="196">
        <f t="shared" si="4"/>
        <v>321124</v>
      </c>
      <c r="W73" s="196"/>
      <c r="X73" s="196">
        <f t="shared" si="18"/>
        <v>689132.31543943984</v>
      </c>
      <c r="Y73" s="194"/>
      <c r="Z73" s="217">
        <f>'Allocation Factor'!$C$19</f>
        <v>0.96306666666666663</v>
      </c>
      <c r="AA73" s="194"/>
      <c r="AB73" s="229">
        <f t="shared" si="19"/>
        <v>663680.36192254315</v>
      </c>
      <c r="AC73" s="229"/>
      <c r="AD73" s="229"/>
      <c r="AE73" s="194"/>
    </row>
    <row r="74" spans="2:31" x14ac:dyDescent="0.2">
      <c r="B74" s="228" t="s">
        <v>17</v>
      </c>
      <c r="C74" s="194">
        <v>2025</v>
      </c>
      <c r="D74" s="195">
        <f t="shared" si="15"/>
        <v>65759260.47031036</v>
      </c>
      <c r="E74" s="195"/>
      <c r="F74" s="212">
        <f>'Depreciation '!C34</f>
        <v>-6977127</v>
      </c>
      <c r="G74" s="194"/>
      <c r="H74" s="212">
        <f>'ADFIT-CCR.ELG'!BH39</f>
        <v>-233644</v>
      </c>
      <c r="I74" s="194"/>
      <c r="J74" s="212">
        <v>0</v>
      </c>
      <c r="K74" s="194"/>
      <c r="L74" s="212">
        <v>0</v>
      </c>
      <c r="M74" s="194"/>
      <c r="N74" s="195">
        <f t="shared" si="16"/>
        <v>58548489.47031036</v>
      </c>
      <c r="O74" s="194"/>
      <c r="P74" s="216">
        <f>WACC!$T$10</f>
        <v>7.4999999999999997E-2</v>
      </c>
      <c r="Q74" s="194"/>
      <c r="R74" s="195">
        <f t="shared" si="17"/>
        <v>365928.05918943975</v>
      </c>
      <c r="S74" s="194"/>
      <c r="T74" s="196">
        <v>0</v>
      </c>
      <c r="U74" s="194"/>
      <c r="V74" s="196">
        <f t="shared" si="4"/>
        <v>321124</v>
      </c>
      <c r="W74" s="196"/>
      <c r="X74" s="196">
        <f t="shared" si="18"/>
        <v>687052.05918943975</v>
      </c>
      <c r="Y74" s="194"/>
      <c r="Z74" s="217">
        <f>'Allocation Factor'!$C$19</f>
        <v>0.96306666666666663</v>
      </c>
      <c r="AA74" s="194"/>
      <c r="AB74" s="229">
        <f t="shared" si="19"/>
        <v>661676.93647004303</v>
      </c>
      <c r="AC74" s="229"/>
      <c r="AD74" s="229"/>
      <c r="AE74" s="194"/>
    </row>
    <row r="75" spans="2:31" x14ac:dyDescent="0.2">
      <c r="B75" s="228" t="s">
        <v>18</v>
      </c>
      <c r="C75" s="194">
        <v>2025</v>
      </c>
      <c r="D75" s="195">
        <f t="shared" si="15"/>
        <v>65759260.47031036</v>
      </c>
      <c r="E75" s="195"/>
      <c r="F75" s="212">
        <f>'Depreciation '!C35</f>
        <v>-7298251</v>
      </c>
      <c r="G75" s="194"/>
      <c r="H75" s="212">
        <f>'ADFIT-CCR.ELG'!BJ39</f>
        <v>-245361</v>
      </c>
      <c r="I75" s="194"/>
      <c r="J75" s="212">
        <v>0</v>
      </c>
      <c r="K75" s="194"/>
      <c r="L75" s="212">
        <v>0</v>
      </c>
      <c r="M75" s="194"/>
      <c r="N75" s="195">
        <f t="shared" si="16"/>
        <v>58215648.47031036</v>
      </c>
      <c r="O75" s="194"/>
      <c r="P75" s="216">
        <f>WACC!$T$10</f>
        <v>7.4999999999999997E-2</v>
      </c>
      <c r="Q75" s="194"/>
      <c r="R75" s="195">
        <f t="shared" si="17"/>
        <v>363847.80293943972</v>
      </c>
      <c r="S75" s="194"/>
      <c r="T75" s="196">
        <v>0</v>
      </c>
      <c r="U75" s="194"/>
      <c r="V75" s="196">
        <f t="shared" si="4"/>
        <v>321124</v>
      </c>
      <c r="W75" s="196"/>
      <c r="X75" s="196">
        <f t="shared" si="18"/>
        <v>684971.80293943966</v>
      </c>
      <c r="Y75" s="194"/>
      <c r="Z75" s="217">
        <f>'Allocation Factor'!$C$19</f>
        <v>0.96306666666666663</v>
      </c>
      <c r="AA75" s="194"/>
      <c r="AB75" s="229">
        <f t="shared" si="19"/>
        <v>659673.51101754303</v>
      </c>
      <c r="AC75" s="229"/>
      <c r="AD75" s="229"/>
      <c r="AE75" s="194"/>
    </row>
    <row r="76" spans="2:31" x14ac:dyDescent="0.2">
      <c r="B76" s="228" t="s">
        <v>19</v>
      </c>
      <c r="C76" s="194">
        <v>2025</v>
      </c>
      <c r="D76" s="195">
        <f t="shared" si="15"/>
        <v>65759260.47031036</v>
      </c>
      <c r="E76" s="195"/>
      <c r="F76" s="212">
        <f>'Depreciation '!C36</f>
        <v>-7619375</v>
      </c>
      <c r="G76" s="194"/>
      <c r="H76" s="212">
        <f>'ADFIT-CCR.ELG'!BL39</f>
        <v>-257078</v>
      </c>
      <c r="I76" s="194"/>
      <c r="J76" s="212">
        <v>0</v>
      </c>
      <c r="K76" s="194"/>
      <c r="L76" s="212">
        <v>0</v>
      </c>
      <c r="M76" s="194"/>
      <c r="N76" s="195">
        <f t="shared" si="16"/>
        <v>57882807.47031036</v>
      </c>
      <c r="O76" s="194"/>
      <c r="P76" s="216">
        <f>WACC!$T$10</f>
        <v>7.4999999999999997E-2</v>
      </c>
      <c r="Q76" s="194"/>
      <c r="R76" s="195">
        <f t="shared" si="17"/>
        <v>361767.54668943974</v>
      </c>
      <c r="S76" s="194"/>
      <c r="T76" s="196">
        <v>0</v>
      </c>
      <c r="U76" s="194"/>
      <c r="V76" s="196">
        <f t="shared" ref="V76:V79" si="20">(ROUND(D76*0.0586/12,0))</f>
        <v>321124</v>
      </c>
      <c r="W76" s="196"/>
      <c r="X76" s="196">
        <f t="shared" si="18"/>
        <v>682891.5466894398</v>
      </c>
      <c r="Y76" s="194"/>
      <c r="Z76" s="217">
        <f>'Allocation Factor'!$C$19</f>
        <v>0.96306666666666663</v>
      </c>
      <c r="AA76" s="194"/>
      <c r="AB76" s="229">
        <f t="shared" si="19"/>
        <v>657670.08556504315</v>
      </c>
      <c r="AC76" s="229"/>
      <c r="AD76" s="229"/>
      <c r="AE76" s="194"/>
    </row>
    <row r="77" spans="2:31" x14ac:dyDescent="0.2">
      <c r="B77" s="228" t="s">
        <v>8</v>
      </c>
      <c r="C77" s="194">
        <v>2025</v>
      </c>
      <c r="D77" s="195">
        <f t="shared" si="15"/>
        <v>65759260.47031036</v>
      </c>
      <c r="E77" s="195"/>
      <c r="F77" s="212">
        <f>'Depreciation '!C37</f>
        <v>-7940499</v>
      </c>
      <c r="G77" s="194"/>
      <c r="H77" s="212">
        <f>'ADFIT-CCR.ELG'!BN39</f>
        <v>-268795</v>
      </c>
      <c r="I77" s="194"/>
      <c r="J77" s="212">
        <v>0</v>
      </c>
      <c r="K77" s="194"/>
      <c r="L77" s="212">
        <v>0</v>
      </c>
      <c r="M77" s="194"/>
      <c r="N77" s="195">
        <f t="shared" si="16"/>
        <v>57549966.47031036</v>
      </c>
      <c r="O77" s="194"/>
      <c r="P77" s="216">
        <f>WACC!$T$10</f>
        <v>7.4999999999999997E-2</v>
      </c>
      <c r="Q77" s="194"/>
      <c r="R77" s="195">
        <f t="shared" si="17"/>
        <v>359687.2904394397</v>
      </c>
      <c r="S77" s="194"/>
      <c r="T77" s="196">
        <v>0</v>
      </c>
      <c r="U77" s="194"/>
      <c r="V77" s="196">
        <f t="shared" si="20"/>
        <v>321124</v>
      </c>
      <c r="W77" s="196"/>
      <c r="X77" s="196">
        <f t="shared" si="18"/>
        <v>680811.2904394397</v>
      </c>
      <c r="Y77" s="194"/>
      <c r="Z77" s="217">
        <f>'Allocation Factor'!$C$19</f>
        <v>0.96306666666666663</v>
      </c>
      <c r="AA77" s="194"/>
      <c r="AB77" s="229">
        <f t="shared" si="19"/>
        <v>655666.66011254303</v>
      </c>
      <c r="AC77" s="229"/>
      <c r="AD77" s="229"/>
      <c r="AE77" s="194"/>
    </row>
    <row r="78" spans="2:31" x14ac:dyDescent="0.2">
      <c r="B78" s="228" t="s">
        <v>9</v>
      </c>
      <c r="C78" s="194">
        <v>2025</v>
      </c>
      <c r="D78" s="195">
        <f t="shared" si="15"/>
        <v>65759260.47031036</v>
      </c>
      <c r="E78" s="195"/>
      <c r="F78" s="212">
        <f>'Depreciation '!C38</f>
        <v>-8261623</v>
      </c>
      <c r="G78" s="194"/>
      <c r="H78" s="212">
        <f>'ADFIT-CCR.ELG'!BP39</f>
        <v>-280512</v>
      </c>
      <c r="I78" s="194"/>
      <c r="J78" s="212">
        <v>0</v>
      </c>
      <c r="K78" s="194"/>
      <c r="L78" s="212">
        <v>0</v>
      </c>
      <c r="M78" s="194"/>
      <c r="N78" s="195">
        <f t="shared" si="16"/>
        <v>57217125.47031036</v>
      </c>
      <c r="O78" s="194"/>
      <c r="P78" s="216">
        <f>WACC!$T$10</f>
        <v>7.4999999999999997E-2</v>
      </c>
      <c r="Q78" s="194"/>
      <c r="R78" s="195">
        <f t="shared" si="17"/>
        <v>357607.03418943979</v>
      </c>
      <c r="S78" s="194"/>
      <c r="T78" s="196">
        <v>0</v>
      </c>
      <c r="U78" s="194"/>
      <c r="V78" s="196">
        <f t="shared" si="20"/>
        <v>321124</v>
      </c>
      <c r="W78" s="196"/>
      <c r="X78" s="196">
        <f t="shared" si="18"/>
        <v>678731.03418943984</v>
      </c>
      <c r="Y78" s="194"/>
      <c r="Z78" s="217">
        <f>'Allocation Factor'!$C$19</f>
        <v>0.96306666666666663</v>
      </c>
      <c r="AA78" s="194"/>
      <c r="AB78" s="229">
        <f t="shared" si="19"/>
        <v>653663.23466004315</v>
      </c>
      <c r="AC78" s="229"/>
      <c r="AD78" s="229"/>
      <c r="AE78" s="194"/>
    </row>
    <row r="79" spans="2:31" x14ac:dyDescent="0.2">
      <c r="B79" s="228" t="s">
        <v>10</v>
      </c>
      <c r="C79" s="194">
        <v>2025</v>
      </c>
      <c r="D79" s="195">
        <f t="shared" si="15"/>
        <v>65759260.47031036</v>
      </c>
      <c r="E79" s="195"/>
      <c r="F79" s="212">
        <f>'Depreciation '!C39</f>
        <v>-8582747</v>
      </c>
      <c r="G79" s="194"/>
      <c r="H79" s="212">
        <f>'ADFIT-CCR.ELG'!BR39</f>
        <v>-292228</v>
      </c>
      <c r="I79" s="194"/>
      <c r="J79" s="212">
        <v>0</v>
      </c>
      <c r="K79" s="194"/>
      <c r="L79" s="212">
        <v>0</v>
      </c>
      <c r="M79" s="194"/>
      <c r="N79" s="195">
        <f t="shared" si="16"/>
        <v>56884285.47031036</v>
      </c>
      <c r="O79" s="194"/>
      <c r="P79" s="216">
        <f>WACC!$T$10</f>
        <v>7.4999999999999997E-2</v>
      </c>
      <c r="Q79" s="194"/>
      <c r="R79" s="195">
        <f t="shared" si="17"/>
        <v>355526.78418943979</v>
      </c>
      <c r="S79" s="194"/>
      <c r="T79" s="196">
        <v>0</v>
      </c>
      <c r="U79" s="194"/>
      <c r="V79" s="196">
        <f t="shared" si="20"/>
        <v>321124</v>
      </c>
      <c r="W79" s="196"/>
      <c r="X79" s="196">
        <f t="shared" si="18"/>
        <v>676650.78418943984</v>
      </c>
      <c r="Y79" s="194"/>
      <c r="Z79" s="217">
        <f>'Allocation Factor'!$C$19</f>
        <v>0.96306666666666663</v>
      </c>
      <c r="AA79" s="194"/>
      <c r="AB79" s="229">
        <f t="shared" si="19"/>
        <v>651659.81522670982</v>
      </c>
      <c r="AC79" s="229"/>
      <c r="AD79" s="229"/>
      <c r="AE79" s="194"/>
    </row>
    <row r="80" spans="2:31" x14ac:dyDescent="0.2">
      <c r="D80" s="24"/>
      <c r="F80" s="18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37"/>
      <c r="V80" s="19"/>
      <c r="W80" s="17"/>
      <c r="X80" s="39"/>
      <c r="Y80" s="39"/>
      <c r="Z80" s="39"/>
      <c r="AA80" s="40"/>
      <c r="AE80" s="16"/>
    </row>
    <row r="81" spans="2:24" x14ac:dyDescent="0.2">
      <c r="D81" s="24"/>
      <c r="F81" s="18"/>
      <c r="H81" s="15"/>
      <c r="P81" s="22"/>
      <c r="T81" s="17"/>
      <c r="V81" s="19"/>
      <c r="W81" s="17"/>
      <c r="X81" s="17"/>
    </row>
    <row r="82" spans="2:24" x14ac:dyDescent="0.2">
      <c r="B82" s="25" t="s">
        <v>123</v>
      </c>
      <c r="C82" s="25"/>
      <c r="D82" s="20"/>
      <c r="F82" s="18"/>
      <c r="H82" s="23"/>
      <c r="J82" s="23"/>
      <c r="L82" s="23"/>
      <c r="P82" s="22"/>
      <c r="T82" s="17"/>
      <c r="V82" s="19"/>
      <c r="W82" s="17"/>
      <c r="X82" s="17"/>
    </row>
  </sheetData>
  <mergeCells count="17">
    <mergeCell ref="AE4:AE6"/>
    <mergeCell ref="X4:X6"/>
    <mergeCell ref="AB4:AB6"/>
    <mergeCell ref="Z4:Z6"/>
    <mergeCell ref="AD9:AD24"/>
    <mergeCell ref="AD4:AD6"/>
    <mergeCell ref="V5:V6"/>
    <mergeCell ref="B1:AB2"/>
    <mergeCell ref="B5:B6"/>
    <mergeCell ref="D5:D6"/>
    <mergeCell ref="F5:F6"/>
    <mergeCell ref="H5:H6"/>
    <mergeCell ref="L5:L6"/>
    <mergeCell ref="N5:N6"/>
    <mergeCell ref="P5:P6"/>
    <mergeCell ref="R5:R6"/>
    <mergeCell ref="T5:T6"/>
  </mergeCells>
  <pageMargins left="0.7" right="0.7" top="0.75" bottom="0.75" header="0.3" footer="0.3"/>
  <pageSetup scale="44" orientation="landscape" r:id="rId1"/>
  <ignoredErrors>
    <ignoredError sqref="D54:D6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showGridLines="0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53" sqref="B53"/>
    </sheetView>
  </sheetViews>
  <sheetFormatPr defaultColWidth="8.85546875" defaultRowHeight="12.75" x14ac:dyDescent="0.2"/>
  <cols>
    <col min="1" max="1" width="1.7109375" style="9" customWidth="1"/>
    <col min="2" max="2" width="10.140625" style="9" customWidth="1"/>
    <col min="3" max="3" width="8.140625" style="9" customWidth="1"/>
    <col min="4" max="4" width="17.7109375" style="9" customWidth="1"/>
    <col min="5" max="5" width="2.5703125" style="9" customWidth="1"/>
    <col min="6" max="6" width="12.42578125" style="9" customWidth="1"/>
    <col min="7" max="7" width="2.5703125" style="9" customWidth="1"/>
    <col min="8" max="8" width="12.42578125" style="9" customWidth="1"/>
    <col min="9" max="9" width="2.5703125" style="9" customWidth="1"/>
    <col min="10" max="10" width="12.42578125" style="9" customWidth="1"/>
    <col min="11" max="11" width="2.5703125" style="9" customWidth="1"/>
    <col min="12" max="12" width="12.42578125" style="9" customWidth="1"/>
    <col min="13" max="13" width="2.5703125" style="9" customWidth="1"/>
    <col min="14" max="14" width="14.5703125" style="9" customWidth="1"/>
    <col min="15" max="15" width="2.5703125" style="9" customWidth="1"/>
    <col min="16" max="16" width="14.5703125" style="9" customWidth="1"/>
    <col min="17" max="17" width="2.5703125" style="9" customWidth="1"/>
    <col min="18" max="18" width="10.7109375" style="9" customWidth="1"/>
    <col min="19" max="19" width="2.5703125" style="9" customWidth="1"/>
    <col min="20" max="20" width="8.5703125" style="9" customWidth="1"/>
    <col min="21" max="21" width="2.5703125" style="9" customWidth="1"/>
    <col min="22" max="22" width="12" style="9" customWidth="1"/>
    <col min="23" max="23" width="2.5703125" style="9" customWidth="1"/>
    <col min="24" max="24" width="14.85546875" style="9" customWidth="1"/>
    <col min="25" max="25" width="2.5703125" style="9" customWidth="1"/>
    <col min="26" max="26" width="12.28515625" style="9" customWidth="1"/>
    <col min="27" max="27" width="2.140625" style="9" customWidth="1"/>
    <col min="28" max="28" width="12" style="9" customWidth="1"/>
    <col min="29" max="29" width="2.140625" style="9" customWidth="1"/>
    <col min="30" max="30" width="12" style="9" customWidth="1"/>
    <col min="31" max="31" width="2.140625" style="9" customWidth="1"/>
    <col min="32" max="32" width="44" style="9" customWidth="1"/>
    <col min="33" max="16384" width="8.85546875" style="9"/>
  </cols>
  <sheetData>
    <row r="1" spans="2:33" x14ac:dyDescent="0.2">
      <c r="B1" s="280" t="s">
        <v>124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</row>
    <row r="2" spans="2:33" x14ac:dyDescent="0.2"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</row>
    <row r="3" spans="2:33" ht="14.25" x14ac:dyDescent="0.2"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D3" s="237"/>
    </row>
    <row r="4" spans="2:33" x14ac:dyDescent="0.2">
      <c r="B4" s="9" t="s">
        <v>0</v>
      </c>
      <c r="X4" s="281" t="s">
        <v>122</v>
      </c>
      <c r="Z4" s="281" t="s">
        <v>53</v>
      </c>
      <c r="AB4" s="279" t="s">
        <v>157</v>
      </c>
      <c r="AD4" s="279" t="s">
        <v>142</v>
      </c>
      <c r="AF4" s="279" t="s">
        <v>126</v>
      </c>
      <c r="AG4" s="282"/>
    </row>
    <row r="5" spans="2:33" ht="12.75" customHeight="1" x14ac:dyDescent="0.2">
      <c r="B5" s="279" t="s">
        <v>43</v>
      </c>
      <c r="D5" s="279" t="s">
        <v>54</v>
      </c>
      <c r="E5" s="10"/>
      <c r="F5" s="279" t="s">
        <v>1</v>
      </c>
      <c r="H5" s="279" t="s">
        <v>2</v>
      </c>
      <c r="J5" s="197"/>
      <c r="L5" s="279" t="s">
        <v>86</v>
      </c>
      <c r="N5" s="279" t="s">
        <v>3</v>
      </c>
      <c r="P5" s="279" t="s">
        <v>52</v>
      </c>
      <c r="R5" s="279" t="s">
        <v>4</v>
      </c>
      <c r="T5" s="279" t="s">
        <v>5</v>
      </c>
      <c r="V5" s="279" t="s">
        <v>44</v>
      </c>
      <c r="W5" s="197"/>
      <c r="X5" s="281"/>
      <c r="Z5" s="281"/>
      <c r="AB5" s="279"/>
      <c r="AD5" s="279"/>
      <c r="AF5" s="279"/>
      <c r="AG5" s="282"/>
    </row>
    <row r="6" spans="2:33" ht="27.75" customHeight="1" x14ac:dyDescent="0.2">
      <c r="B6" s="279"/>
      <c r="C6" s="12" t="s">
        <v>7</v>
      </c>
      <c r="D6" s="279"/>
      <c r="E6" s="12"/>
      <c r="F6" s="279"/>
      <c r="G6" s="13"/>
      <c r="H6" s="279"/>
      <c r="I6" s="13"/>
      <c r="J6" s="197" t="s">
        <v>85</v>
      </c>
      <c r="K6" s="13"/>
      <c r="L6" s="279"/>
      <c r="M6" s="13"/>
      <c r="N6" s="279"/>
      <c r="O6" s="13"/>
      <c r="P6" s="279"/>
      <c r="Q6" s="13"/>
      <c r="R6" s="279"/>
      <c r="S6" s="13"/>
      <c r="T6" s="279"/>
      <c r="U6" s="13"/>
      <c r="V6" s="279"/>
      <c r="W6" s="197"/>
      <c r="X6" s="281"/>
      <c r="Y6" s="13"/>
      <c r="Z6" s="281"/>
      <c r="AA6" s="13"/>
      <c r="AB6" s="279"/>
      <c r="AD6" s="279"/>
      <c r="AF6" s="279"/>
      <c r="AG6" s="282"/>
    </row>
    <row r="7" spans="2:33" x14ac:dyDescent="0.2">
      <c r="B7" s="14">
        <v>-1</v>
      </c>
      <c r="C7" s="14">
        <f>B7-1</f>
        <v>-2</v>
      </c>
      <c r="D7" s="14">
        <f>C7-1</f>
        <v>-3</v>
      </c>
      <c r="E7" s="14" t="s">
        <v>0</v>
      </c>
      <c r="F7" s="14">
        <f>D7-1</f>
        <v>-4</v>
      </c>
      <c r="G7" s="14" t="s">
        <v>0</v>
      </c>
      <c r="H7" s="14">
        <f>F7-1</f>
        <v>-5</v>
      </c>
      <c r="I7" s="14" t="s">
        <v>0</v>
      </c>
      <c r="J7" s="14">
        <f>H7-1</f>
        <v>-6</v>
      </c>
      <c r="K7" s="14" t="s">
        <v>0</v>
      </c>
      <c r="L7" s="14">
        <f>J7-1</f>
        <v>-7</v>
      </c>
      <c r="M7" s="14" t="s">
        <v>0</v>
      </c>
      <c r="N7" s="14">
        <f>L7-1</f>
        <v>-8</v>
      </c>
      <c r="O7" s="14" t="s">
        <v>0</v>
      </c>
      <c r="P7" s="14">
        <f>N7-1</f>
        <v>-9</v>
      </c>
      <c r="Q7" s="14" t="s">
        <v>0</v>
      </c>
      <c r="R7" s="14">
        <f>P7-1</f>
        <v>-10</v>
      </c>
      <c r="S7" s="14" t="s">
        <v>0</v>
      </c>
      <c r="T7" s="14">
        <f>R7-1</f>
        <v>-11</v>
      </c>
      <c r="U7" s="14"/>
      <c r="V7" s="14">
        <f>T7-1</f>
        <v>-12</v>
      </c>
      <c r="W7" s="14" t="s">
        <v>0</v>
      </c>
      <c r="X7" s="172">
        <f>V7-1</f>
        <v>-13</v>
      </c>
      <c r="Y7" s="14" t="s">
        <v>0</v>
      </c>
      <c r="Z7" s="172">
        <f>X7-1</f>
        <v>-14</v>
      </c>
      <c r="AA7" s="14"/>
      <c r="AB7" s="14">
        <f>Z7-1</f>
        <v>-15</v>
      </c>
      <c r="AD7" s="14">
        <f>AB7-1</f>
        <v>-16</v>
      </c>
      <c r="AF7" s="14">
        <f>AD7-1</f>
        <v>-17</v>
      </c>
      <c r="AG7" s="242"/>
    </row>
    <row r="8" spans="2:33" x14ac:dyDescent="0.2">
      <c r="E8" s="10"/>
      <c r="N8" s="15"/>
      <c r="R8" s="15"/>
      <c r="X8" s="16"/>
      <c r="AF8" s="14"/>
      <c r="AG8" s="242"/>
    </row>
    <row r="9" spans="2:33" x14ac:dyDescent="0.2">
      <c r="B9" s="63" t="s">
        <v>18</v>
      </c>
      <c r="C9" s="16">
        <v>2020</v>
      </c>
      <c r="D9" s="28">
        <v>0</v>
      </c>
      <c r="E9" s="29"/>
      <c r="F9" s="42">
        <v>0</v>
      </c>
      <c r="G9" s="16"/>
      <c r="H9" s="42">
        <v>0</v>
      </c>
      <c r="I9" s="16"/>
      <c r="J9" s="42">
        <f>SUM('CWIP CCR Only'!$B$4:B11)</f>
        <v>108273.53419950703</v>
      </c>
      <c r="K9" s="16"/>
      <c r="L9" s="42">
        <f>SUM('CWIP CCR Only'!$B$4:$B$6)</f>
        <v>0</v>
      </c>
      <c r="M9" s="16"/>
      <c r="N9" s="28">
        <f>SUM(D9:J9)-L9</f>
        <v>108273.53419950703</v>
      </c>
      <c r="O9" s="16"/>
      <c r="P9" s="213">
        <f>WACC!$T$10</f>
        <v>7.4999999999999997E-2</v>
      </c>
      <c r="Q9" s="16"/>
      <c r="R9" s="28">
        <f t="shared" ref="R9:R61" si="0">N9*P9/12</f>
        <v>676.70958874691894</v>
      </c>
      <c r="S9" s="16"/>
      <c r="T9" s="30">
        <v>0</v>
      </c>
      <c r="U9" s="16"/>
      <c r="V9" s="30">
        <f>(ROUND(D9*0.2/12,0))</f>
        <v>0</v>
      </c>
      <c r="W9" s="30"/>
      <c r="X9" s="30">
        <f t="shared" ref="X9:X61" si="1">V9+T9+R9</f>
        <v>676.70958874691894</v>
      </c>
      <c r="Y9" s="16"/>
      <c r="Z9" s="214">
        <f>'Allocation Factor'!$C$19</f>
        <v>0.96306666666666663</v>
      </c>
      <c r="AA9" s="16"/>
      <c r="AB9" s="215">
        <f t="shared" ref="AB9:AB61" si="2">X9*Z9</f>
        <v>651.71644793586609</v>
      </c>
    </row>
    <row r="10" spans="2:33" x14ac:dyDescent="0.2">
      <c r="B10" s="63" t="s">
        <v>19</v>
      </c>
      <c r="C10" s="16">
        <v>2020</v>
      </c>
      <c r="D10" s="28">
        <v>0</v>
      </c>
      <c r="E10" s="29"/>
      <c r="F10" s="42">
        <v>0</v>
      </c>
      <c r="G10" s="16"/>
      <c r="H10" s="42">
        <v>0</v>
      </c>
      <c r="I10" s="16"/>
      <c r="J10" s="42">
        <f>SUM('CWIP CCR Only'!$B$4:B12)</f>
        <v>233054.47980506902</v>
      </c>
      <c r="K10" s="16"/>
      <c r="L10" s="42">
        <f>SUM('CWIP CCR Only'!$B$4:$B$6)</f>
        <v>0</v>
      </c>
      <c r="M10" s="16"/>
      <c r="N10" s="28">
        <f t="shared" ref="N10:N61" si="3">SUM(D10:J10)-L10</f>
        <v>233054.47980506902</v>
      </c>
      <c r="O10" s="16"/>
      <c r="P10" s="213">
        <f>WACC!$T$10</f>
        <v>7.4999999999999997E-2</v>
      </c>
      <c r="Q10" s="16"/>
      <c r="R10" s="28">
        <f t="shared" si="0"/>
        <v>1456.5904987816812</v>
      </c>
      <c r="S10" s="16"/>
      <c r="T10" s="30">
        <v>0</v>
      </c>
      <c r="U10" s="16"/>
      <c r="V10" s="30">
        <f t="shared" ref="V10:V49" si="4">(ROUND(D10*0.2/12,0))</f>
        <v>0</v>
      </c>
      <c r="W10" s="30"/>
      <c r="X10" s="30">
        <f t="shared" si="1"/>
        <v>1456.5904987816812</v>
      </c>
      <c r="Y10" s="16"/>
      <c r="Z10" s="214">
        <f>'Allocation Factor'!$C$19</f>
        <v>0.96306666666666663</v>
      </c>
      <c r="AA10" s="16"/>
      <c r="AB10" s="215">
        <f t="shared" si="2"/>
        <v>1402.793756360011</v>
      </c>
    </row>
    <row r="11" spans="2:33" x14ac:dyDescent="0.2">
      <c r="B11" s="63" t="s">
        <v>8</v>
      </c>
      <c r="C11" s="16">
        <v>2020</v>
      </c>
      <c r="D11" s="28">
        <v>0</v>
      </c>
      <c r="E11" s="29"/>
      <c r="F11" s="42">
        <v>0</v>
      </c>
      <c r="G11" s="16"/>
      <c r="H11" s="42">
        <v>0</v>
      </c>
      <c r="I11" s="16"/>
      <c r="J11" s="42">
        <f>SUM('CWIP CCR Only'!$B$4:B13)</f>
        <v>233671.05225182482</v>
      </c>
      <c r="K11" s="16"/>
      <c r="L11" s="42">
        <f>SUM('CWIP CCR Only'!$B$4:$B$6)</f>
        <v>0</v>
      </c>
      <c r="M11" s="16"/>
      <c r="N11" s="28">
        <f t="shared" si="3"/>
        <v>233671.05225182482</v>
      </c>
      <c r="O11" s="16"/>
      <c r="P11" s="213">
        <f>WACC!$T$10</f>
        <v>7.4999999999999997E-2</v>
      </c>
      <c r="Q11" s="16"/>
      <c r="R11" s="28">
        <f t="shared" si="0"/>
        <v>1460.4440765739052</v>
      </c>
      <c r="S11" s="16"/>
      <c r="T11" s="30">
        <v>0</v>
      </c>
      <c r="U11" s="16"/>
      <c r="V11" s="30">
        <f t="shared" si="4"/>
        <v>0</v>
      </c>
      <c r="W11" s="30"/>
      <c r="X11" s="30">
        <f t="shared" si="1"/>
        <v>1460.4440765739052</v>
      </c>
      <c r="Y11" s="16"/>
      <c r="Z11" s="214">
        <f>'Allocation Factor'!$C$19</f>
        <v>0.96306666666666663</v>
      </c>
      <c r="AA11" s="16"/>
      <c r="AB11" s="215">
        <f t="shared" si="2"/>
        <v>1406.5050086791089</v>
      </c>
    </row>
    <row r="12" spans="2:33" x14ac:dyDescent="0.2">
      <c r="B12" s="63" t="s">
        <v>9</v>
      </c>
      <c r="C12" s="16">
        <v>2020</v>
      </c>
      <c r="D12" s="28">
        <v>0</v>
      </c>
      <c r="E12" s="29"/>
      <c r="F12" s="42">
        <v>0</v>
      </c>
      <c r="G12" s="16"/>
      <c r="H12" s="42">
        <v>0</v>
      </c>
      <c r="I12" s="16"/>
      <c r="J12" s="42">
        <f>SUM('CWIP CCR Only'!$B$4:B14)</f>
        <v>713200.33138139732</v>
      </c>
      <c r="K12" s="16"/>
      <c r="L12" s="42">
        <f>SUM('CWIP CCR Only'!$B$4:$B$6)</f>
        <v>0</v>
      </c>
      <c r="M12" s="16"/>
      <c r="N12" s="28">
        <f t="shared" si="3"/>
        <v>713200.33138139732</v>
      </c>
      <c r="O12" s="16"/>
      <c r="P12" s="213">
        <f>WACC!$T$10</f>
        <v>7.4999999999999997E-2</v>
      </c>
      <c r="Q12" s="16"/>
      <c r="R12" s="28">
        <f t="shared" si="0"/>
        <v>4457.5020711337329</v>
      </c>
      <c r="S12" s="16"/>
      <c r="T12" s="30">
        <v>0</v>
      </c>
      <c r="U12" s="16"/>
      <c r="V12" s="30">
        <f t="shared" si="4"/>
        <v>0</v>
      </c>
      <c r="W12" s="30"/>
      <c r="X12" s="30">
        <f t="shared" si="1"/>
        <v>4457.5020711337329</v>
      </c>
      <c r="Y12" s="16"/>
      <c r="Z12" s="214">
        <f>'Allocation Factor'!$C$19</f>
        <v>0.96306666666666663</v>
      </c>
      <c r="AA12" s="16"/>
      <c r="AB12" s="215">
        <f t="shared" si="2"/>
        <v>4292.8716613065271</v>
      </c>
    </row>
    <row r="13" spans="2:33" x14ac:dyDescent="0.2">
      <c r="B13" s="63" t="s">
        <v>10</v>
      </c>
      <c r="C13" s="16">
        <v>2020</v>
      </c>
      <c r="D13" s="28">
        <v>0</v>
      </c>
      <c r="E13" s="29"/>
      <c r="F13" s="42">
        <v>0</v>
      </c>
      <c r="G13" s="16"/>
      <c r="H13" s="42">
        <v>0</v>
      </c>
      <c r="I13" s="16"/>
      <c r="J13" s="42">
        <f>SUM('CWIP CCR Only'!$B$4:B15)</f>
        <v>1260000</v>
      </c>
      <c r="K13" s="16"/>
      <c r="L13" s="42">
        <f>SUM('CWIP CCR Only'!$B$4:$B$6)</f>
        <v>0</v>
      </c>
      <c r="M13" s="16"/>
      <c r="N13" s="28">
        <f t="shared" si="3"/>
        <v>1260000</v>
      </c>
      <c r="O13" s="16"/>
      <c r="P13" s="213">
        <f>WACC!$T$10</f>
        <v>7.4999999999999997E-2</v>
      </c>
      <c r="Q13" s="16"/>
      <c r="R13" s="28">
        <f t="shared" si="0"/>
        <v>7875</v>
      </c>
      <c r="S13" s="16"/>
      <c r="T13" s="30">
        <v>0</v>
      </c>
      <c r="U13" s="16"/>
      <c r="V13" s="30">
        <f t="shared" si="4"/>
        <v>0</v>
      </c>
      <c r="W13" s="30"/>
      <c r="X13" s="30">
        <f t="shared" si="1"/>
        <v>7875</v>
      </c>
      <c r="Y13" s="16"/>
      <c r="Z13" s="214">
        <f>'Allocation Factor'!$C$19</f>
        <v>0.96306666666666663</v>
      </c>
      <c r="AA13" s="16"/>
      <c r="AB13" s="215">
        <f t="shared" si="2"/>
        <v>7584.15</v>
      </c>
    </row>
    <row r="14" spans="2:33" x14ac:dyDescent="0.2">
      <c r="B14" s="63" t="s">
        <v>11</v>
      </c>
      <c r="C14" s="16">
        <v>2021</v>
      </c>
      <c r="D14" s="28">
        <v>0</v>
      </c>
      <c r="E14" s="29"/>
      <c r="F14" s="42">
        <v>0</v>
      </c>
      <c r="G14" s="16"/>
      <c r="H14" s="42">
        <v>0</v>
      </c>
      <c r="I14" s="16"/>
      <c r="J14" s="42">
        <f>SUM('CWIP CCR Only'!$B$4:B16)</f>
        <v>1668130.558411869</v>
      </c>
      <c r="K14" s="16"/>
      <c r="L14" s="42">
        <f>SUM('CWIP CCR Only'!$B$4:$B$6)</f>
        <v>0</v>
      </c>
      <c r="M14" s="16"/>
      <c r="N14" s="28">
        <f t="shared" si="3"/>
        <v>1668130.558411869</v>
      </c>
      <c r="O14" s="16"/>
      <c r="P14" s="213">
        <f>WACC!$T$10</f>
        <v>7.4999999999999997E-2</v>
      </c>
      <c r="Q14" s="16"/>
      <c r="R14" s="28">
        <f t="shared" si="0"/>
        <v>10425.815990074181</v>
      </c>
      <c r="S14" s="16"/>
      <c r="T14" s="30">
        <v>0</v>
      </c>
      <c r="U14" s="16"/>
      <c r="V14" s="30">
        <f t="shared" si="4"/>
        <v>0</v>
      </c>
      <c r="W14" s="30"/>
      <c r="X14" s="30">
        <f t="shared" si="1"/>
        <v>10425.815990074181</v>
      </c>
      <c r="Y14" s="16"/>
      <c r="Z14" s="214">
        <f>'Allocation Factor'!$C$19</f>
        <v>0.96306666666666663</v>
      </c>
      <c r="AA14" s="16"/>
      <c r="AB14" s="215">
        <f t="shared" si="2"/>
        <v>10040.755852840774</v>
      </c>
    </row>
    <row r="15" spans="2:33" x14ac:dyDescent="0.2">
      <c r="B15" s="63" t="s">
        <v>12</v>
      </c>
      <c r="C15" s="16">
        <v>2021</v>
      </c>
      <c r="D15" s="28">
        <v>0</v>
      </c>
      <c r="E15" s="29"/>
      <c r="F15" s="42">
        <v>0</v>
      </c>
      <c r="G15" s="16"/>
      <c r="H15" s="42">
        <v>0</v>
      </c>
      <c r="I15" s="16"/>
      <c r="J15" s="42">
        <f>SUM('CWIP CCR Only'!$B$4:B17)</f>
        <v>1721100.6765632143</v>
      </c>
      <c r="K15" s="16"/>
      <c r="L15" s="42">
        <f>SUM('CWIP CCR Only'!$B$4:$B$6)</f>
        <v>0</v>
      </c>
      <c r="M15" s="16"/>
      <c r="N15" s="28">
        <f t="shared" si="3"/>
        <v>1721100.6765632143</v>
      </c>
      <c r="O15" s="16"/>
      <c r="P15" s="213">
        <f>WACC!$T$10</f>
        <v>7.4999999999999997E-2</v>
      </c>
      <c r="Q15" s="16"/>
      <c r="R15" s="28">
        <f t="shared" si="0"/>
        <v>10756.879228520089</v>
      </c>
      <c r="S15" s="16"/>
      <c r="T15" s="30">
        <v>0</v>
      </c>
      <c r="U15" s="16"/>
      <c r="V15" s="30">
        <f t="shared" si="4"/>
        <v>0</v>
      </c>
      <c r="W15" s="30"/>
      <c r="X15" s="30">
        <f t="shared" si="1"/>
        <v>10756.879228520089</v>
      </c>
      <c r="Y15" s="16"/>
      <c r="Z15" s="214">
        <f>'Allocation Factor'!$C$19</f>
        <v>0.96306666666666663</v>
      </c>
      <c r="AA15" s="16"/>
      <c r="AB15" s="215">
        <f t="shared" si="2"/>
        <v>10359.591822346747</v>
      </c>
    </row>
    <row r="16" spans="2:33" x14ac:dyDescent="0.2">
      <c r="B16" s="63" t="s">
        <v>13</v>
      </c>
      <c r="C16" s="16">
        <v>2021</v>
      </c>
      <c r="D16" s="28">
        <v>0</v>
      </c>
      <c r="E16" s="29"/>
      <c r="F16" s="42">
        <v>0</v>
      </c>
      <c r="G16" s="16"/>
      <c r="H16" s="42">
        <v>0</v>
      </c>
      <c r="I16" s="16"/>
      <c r="J16" s="42">
        <f>SUM('CWIP CCR Only'!$B$4:B18)</f>
        <v>1774070.7947145596</v>
      </c>
      <c r="K16" s="16"/>
      <c r="L16" s="42">
        <f>SUM('CWIP CCR Only'!$B$4:$B$6)</f>
        <v>0</v>
      </c>
      <c r="M16" s="16"/>
      <c r="N16" s="28">
        <f t="shared" si="3"/>
        <v>1774070.7947145596</v>
      </c>
      <c r="O16" s="16"/>
      <c r="P16" s="213">
        <f>WACC!$T$10</f>
        <v>7.4999999999999997E-2</v>
      </c>
      <c r="Q16" s="16"/>
      <c r="R16" s="28">
        <f t="shared" si="0"/>
        <v>11087.942466965998</v>
      </c>
      <c r="S16" s="16"/>
      <c r="T16" s="30">
        <v>0</v>
      </c>
      <c r="U16" s="16"/>
      <c r="V16" s="30">
        <f t="shared" si="4"/>
        <v>0</v>
      </c>
      <c r="W16" s="30"/>
      <c r="X16" s="30">
        <f t="shared" si="1"/>
        <v>11087.942466965998</v>
      </c>
      <c r="Y16" s="16"/>
      <c r="Z16" s="214">
        <f>'Allocation Factor'!$C$19</f>
        <v>0.96306666666666663</v>
      </c>
      <c r="AA16" s="16"/>
      <c r="AB16" s="215">
        <f t="shared" si="2"/>
        <v>10678.42779185272</v>
      </c>
    </row>
    <row r="17" spans="1:33" x14ac:dyDescent="0.2">
      <c r="B17" s="63" t="s">
        <v>14</v>
      </c>
      <c r="C17" s="16">
        <v>2021</v>
      </c>
      <c r="D17" s="28">
        <v>0</v>
      </c>
      <c r="E17" s="29"/>
      <c r="F17" s="42">
        <v>0</v>
      </c>
      <c r="G17" s="16"/>
      <c r="H17" s="42">
        <v>0</v>
      </c>
      <c r="I17" s="16"/>
      <c r="J17" s="42">
        <f>SUM('CWIP CCR Only'!$B$4:B19)</f>
        <v>1827040.9128659049</v>
      </c>
      <c r="K17" s="16"/>
      <c r="L17" s="42">
        <f>SUM('CWIP CCR Only'!$B$4:$B$6)</f>
        <v>0</v>
      </c>
      <c r="M17" s="16"/>
      <c r="N17" s="28">
        <f t="shared" si="3"/>
        <v>1827040.9128659049</v>
      </c>
      <c r="O17" s="16"/>
      <c r="P17" s="213">
        <f>WACC!$T$10</f>
        <v>7.4999999999999997E-2</v>
      </c>
      <c r="Q17" s="16"/>
      <c r="R17" s="28">
        <f t="shared" si="0"/>
        <v>11419.005705411904</v>
      </c>
      <c r="S17" s="16"/>
      <c r="T17" s="30">
        <v>0</v>
      </c>
      <c r="U17" s="16"/>
      <c r="V17" s="30">
        <f t="shared" si="4"/>
        <v>0</v>
      </c>
      <c r="W17" s="30"/>
      <c r="X17" s="30">
        <f t="shared" si="1"/>
        <v>11419.005705411904</v>
      </c>
      <c r="Y17" s="16"/>
      <c r="Z17" s="214">
        <f>'Allocation Factor'!$C$19</f>
        <v>0.96306666666666663</v>
      </c>
      <c r="AA17" s="16"/>
      <c r="AB17" s="215">
        <f t="shared" si="2"/>
        <v>10997.26376135869</v>
      </c>
    </row>
    <row r="18" spans="1:33" x14ac:dyDescent="0.2">
      <c r="B18" s="63" t="s">
        <v>15</v>
      </c>
      <c r="C18" s="16">
        <v>2021</v>
      </c>
      <c r="D18" s="28">
        <v>0</v>
      </c>
      <c r="E18" s="29"/>
      <c r="F18" s="42">
        <v>0</v>
      </c>
      <c r="G18" s="16"/>
      <c r="H18" s="42">
        <v>0</v>
      </c>
      <c r="I18" s="16"/>
      <c r="J18" s="42">
        <f>SUM('CWIP CCR Only'!$B$4:B20)</f>
        <v>1878658.2580611382</v>
      </c>
      <c r="K18" s="16"/>
      <c r="L18" s="42">
        <f>SUM('CWIP CCR Only'!$B$4:$B$6)</f>
        <v>0</v>
      </c>
      <c r="M18" s="16"/>
      <c r="N18" s="28">
        <f t="shared" si="3"/>
        <v>1878658.2580611382</v>
      </c>
      <c r="O18" s="16"/>
      <c r="P18" s="213">
        <f>WACC!$T$10</f>
        <v>7.4999999999999997E-2</v>
      </c>
      <c r="Q18" s="16"/>
      <c r="R18" s="28">
        <f t="shared" si="0"/>
        <v>11741.614112882113</v>
      </c>
      <c r="S18" s="16"/>
      <c r="T18" s="30">
        <v>0</v>
      </c>
      <c r="U18" s="16"/>
      <c r="V18" s="30">
        <f t="shared" si="4"/>
        <v>0</v>
      </c>
      <c r="W18" s="30"/>
      <c r="X18" s="30">
        <f t="shared" si="1"/>
        <v>11741.614112882113</v>
      </c>
      <c r="Y18" s="16"/>
      <c r="Z18" s="214">
        <f>'Allocation Factor'!$C$19</f>
        <v>0.96306666666666663</v>
      </c>
      <c r="AA18" s="16"/>
      <c r="AB18" s="215">
        <f t="shared" si="2"/>
        <v>11307.957164979667</v>
      </c>
    </row>
    <row r="19" spans="1:33" x14ac:dyDescent="0.2">
      <c r="B19" s="63" t="s">
        <v>16</v>
      </c>
      <c r="C19" s="16">
        <v>2021</v>
      </c>
      <c r="D19" s="28">
        <v>0</v>
      </c>
      <c r="E19" s="29"/>
      <c r="F19" s="42">
        <v>0</v>
      </c>
      <c r="G19" s="16"/>
      <c r="H19" s="42">
        <v>0</v>
      </c>
      <c r="I19" s="16"/>
      <c r="J19" s="42">
        <f>SUM('CWIP CCR Only'!$B$4:B21)</f>
        <v>1931628.3762124835</v>
      </c>
      <c r="K19" s="16"/>
      <c r="L19" s="42">
        <f>SUM('CWIP CCR Only'!$B$4:$B$6)</f>
        <v>0</v>
      </c>
      <c r="M19" s="16"/>
      <c r="N19" s="28">
        <f t="shared" si="3"/>
        <v>1931628.3762124835</v>
      </c>
      <c r="O19" s="16"/>
      <c r="P19" s="213">
        <f>WACC!$T$10</f>
        <v>7.4999999999999997E-2</v>
      </c>
      <c r="Q19" s="16"/>
      <c r="R19" s="28">
        <f t="shared" si="0"/>
        <v>12072.67735132802</v>
      </c>
      <c r="S19" s="16"/>
      <c r="T19" s="30">
        <v>0</v>
      </c>
      <c r="U19" s="16"/>
      <c r="V19" s="30">
        <f t="shared" si="4"/>
        <v>0</v>
      </c>
      <c r="W19" s="30"/>
      <c r="X19" s="30">
        <f t="shared" si="1"/>
        <v>12072.67735132802</v>
      </c>
      <c r="Y19" s="16"/>
      <c r="Z19" s="214">
        <f>'Allocation Factor'!$C$19</f>
        <v>0.96306666666666663</v>
      </c>
      <c r="AA19" s="16"/>
      <c r="AB19" s="215">
        <f t="shared" si="2"/>
        <v>11626.793134485639</v>
      </c>
    </row>
    <row r="20" spans="1:33" x14ac:dyDescent="0.2">
      <c r="B20" s="63" t="s">
        <v>17</v>
      </c>
      <c r="C20" s="16">
        <v>2021</v>
      </c>
      <c r="D20" s="28">
        <v>0</v>
      </c>
      <c r="E20" s="29"/>
      <c r="F20" s="42">
        <v>0</v>
      </c>
      <c r="G20" s="16"/>
      <c r="H20" s="42">
        <v>0</v>
      </c>
      <c r="I20" s="16"/>
      <c r="J20" s="42">
        <f>SUM('CWIP CCR Only'!$B$4:B22)</f>
        <v>2057914.5752579663</v>
      </c>
      <c r="K20" s="16"/>
      <c r="L20" s="42">
        <f>SUM('CWIP CCR Only'!$B$4:$B$6)</f>
        <v>0</v>
      </c>
      <c r="M20" s="16"/>
      <c r="N20" s="28">
        <f t="shared" si="3"/>
        <v>2057914.5752579663</v>
      </c>
      <c r="O20" s="16"/>
      <c r="P20" s="213">
        <f>WACC!$T$10</f>
        <v>7.4999999999999997E-2</v>
      </c>
      <c r="Q20" s="16"/>
      <c r="R20" s="28">
        <f t="shared" si="0"/>
        <v>12861.966095362288</v>
      </c>
      <c r="S20" s="16"/>
      <c r="T20" s="30">
        <v>0</v>
      </c>
      <c r="U20" s="16"/>
      <c r="V20" s="30">
        <f t="shared" si="4"/>
        <v>0</v>
      </c>
      <c r="W20" s="30"/>
      <c r="X20" s="30">
        <f t="shared" si="1"/>
        <v>12861.966095362288</v>
      </c>
      <c r="Y20" s="16"/>
      <c r="Z20" s="214">
        <f>'Allocation Factor'!$C$19</f>
        <v>0.96306666666666663</v>
      </c>
      <c r="AA20" s="16"/>
      <c r="AB20" s="215">
        <f t="shared" si="2"/>
        <v>12386.930814240241</v>
      </c>
    </row>
    <row r="21" spans="1:33" x14ac:dyDescent="0.2">
      <c r="B21" s="228" t="s">
        <v>147</v>
      </c>
      <c r="C21" s="16"/>
      <c r="D21" s="28"/>
      <c r="E21" s="29"/>
      <c r="F21" s="42"/>
      <c r="G21" s="16"/>
      <c r="H21" s="42"/>
      <c r="I21" s="16"/>
      <c r="J21" s="42"/>
      <c r="K21" s="16"/>
      <c r="L21" s="42"/>
      <c r="M21" s="16"/>
      <c r="N21" s="28"/>
      <c r="O21" s="16"/>
      <c r="P21" s="213"/>
      <c r="Q21" s="16"/>
      <c r="R21" s="28"/>
      <c r="S21" s="16"/>
      <c r="T21" s="30"/>
      <c r="U21" s="16"/>
      <c r="V21" s="30"/>
      <c r="W21" s="30"/>
      <c r="X21" s="30"/>
      <c r="Y21" s="16"/>
      <c r="Z21" s="214"/>
      <c r="AA21" s="16"/>
      <c r="AB21" s="276">
        <f>SUM(AB9:AB20)</f>
        <v>92735.757216385988</v>
      </c>
      <c r="AF21" s="241" t="s">
        <v>158</v>
      </c>
    </row>
    <row r="22" spans="1:33" ht="5.25" customHeight="1" x14ac:dyDescent="0.2">
      <c r="B22" s="244"/>
      <c r="C22" s="245"/>
      <c r="D22" s="246"/>
      <c r="E22" s="247"/>
      <c r="F22" s="248"/>
      <c r="G22" s="245"/>
      <c r="H22" s="248"/>
      <c r="I22" s="245"/>
      <c r="J22" s="248"/>
      <c r="K22" s="245"/>
      <c r="L22" s="248"/>
      <c r="M22" s="245"/>
      <c r="N22" s="246"/>
      <c r="O22" s="245"/>
      <c r="P22" s="249"/>
      <c r="Q22" s="245"/>
      <c r="R22" s="246"/>
      <c r="S22" s="245"/>
      <c r="T22" s="250"/>
      <c r="U22" s="245"/>
      <c r="V22" s="250"/>
      <c r="W22" s="250"/>
      <c r="X22" s="250"/>
      <c r="Y22" s="245"/>
      <c r="Z22" s="251"/>
      <c r="AA22" s="245"/>
      <c r="AB22" s="252"/>
      <c r="AC22" s="252"/>
      <c r="AD22" s="253"/>
      <c r="AE22" s="254"/>
      <c r="AF22" s="254"/>
      <c r="AG22" s="16"/>
    </row>
    <row r="23" spans="1:33" x14ac:dyDescent="0.2">
      <c r="A23" s="16"/>
      <c r="B23" s="63" t="s">
        <v>18</v>
      </c>
      <c r="C23" s="16">
        <v>2021</v>
      </c>
      <c r="D23" s="28">
        <v>0</v>
      </c>
      <c r="E23" s="29"/>
      <c r="F23" s="42">
        <v>0</v>
      </c>
      <c r="G23" s="16"/>
      <c r="H23" s="42">
        <v>0</v>
      </c>
      <c r="I23" s="16"/>
      <c r="J23" s="42">
        <f>SUM('CWIP CCR Only'!$B$4:B23)</f>
        <v>2102856.6974376254</v>
      </c>
      <c r="K23" s="16"/>
      <c r="L23" s="42">
        <f>SUM('CWIP CCR Only'!$B$4:$B$6)</f>
        <v>0</v>
      </c>
      <c r="M23" s="16"/>
      <c r="N23" s="28">
        <f t="shared" si="3"/>
        <v>2102856.6974376254</v>
      </c>
      <c r="O23" s="16"/>
      <c r="P23" s="213">
        <f>WACC!$T$10</f>
        <v>7.4999999999999997E-2</v>
      </c>
      <c r="Q23" s="16"/>
      <c r="R23" s="28">
        <f t="shared" si="0"/>
        <v>13142.85435898516</v>
      </c>
      <c r="S23" s="16"/>
      <c r="T23" s="30">
        <v>0</v>
      </c>
      <c r="U23" s="16"/>
      <c r="V23" s="30">
        <f t="shared" si="4"/>
        <v>0</v>
      </c>
      <c r="W23" s="30"/>
      <c r="X23" s="30">
        <f t="shared" si="1"/>
        <v>13142.85435898516</v>
      </c>
      <c r="Y23" s="16"/>
      <c r="Z23" s="214">
        <f>'Allocation Factor'!$C$19</f>
        <v>0.96306666666666663</v>
      </c>
      <c r="AA23" s="16"/>
      <c r="AB23" s="215">
        <f t="shared" si="2"/>
        <v>12657.444937993307</v>
      </c>
      <c r="AD23" s="9" t="s">
        <v>136</v>
      </c>
      <c r="AF23" s="229" t="s">
        <v>143</v>
      </c>
    </row>
    <row r="24" spans="1:33" x14ac:dyDescent="0.2">
      <c r="B24" s="63" t="s">
        <v>19</v>
      </c>
      <c r="C24" s="16">
        <v>2021</v>
      </c>
      <c r="D24" s="28">
        <v>0</v>
      </c>
      <c r="E24" s="29"/>
      <c r="F24" s="42">
        <v>0</v>
      </c>
      <c r="G24" s="16"/>
      <c r="H24" s="42">
        <v>0</v>
      </c>
      <c r="I24" s="16"/>
      <c r="J24" s="42">
        <f>SUM('CWIP CCR Only'!$B$4:B24)</f>
        <v>2442459.07204453</v>
      </c>
      <c r="K24" s="16"/>
      <c r="L24" s="42">
        <f>SUM('CWIP CCR Only'!$B$4:$B$6)</f>
        <v>0</v>
      </c>
      <c r="M24" s="16"/>
      <c r="N24" s="28">
        <f t="shared" si="3"/>
        <v>2442459.07204453</v>
      </c>
      <c r="O24" s="16"/>
      <c r="P24" s="213">
        <f>WACC!$T$10</f>
        <v>7.4999999999999997E-2</v>
      </c>
      <c r="Q24" s="16"/>
      <c r="R24" s="28">
        <f t="shared" si="0"/>
        <v>15265.369200278312</v>
      </c>
      <c r="S24" s="16"/>
      <c r="T24" s="30">
        <v>0</v>
      </c>
      <c r="U24" s="16"/>
      <c r="V24" s="30">
        <f t="shared" si="4"/>
        <v>0</v>
      </c>
      <c r="W24" s="30"/>
      <c r="X24" s="30">
        <f t="shared" si="1"/>
        <v>15265.369200278312</v>
      </c>
      <c r="Y24" s="16"/>
      <c r="Z24" s="214">
        <f>'Allocation Factor'!$C$19</f>
        <v>0.96306666666666663</v>
      </c>
      <c r="AA24" s="16"/>
      <c r="AB24" s="215">
        <f t="shared" si="2"/>
        <v>14701.568231148032</v>
      </c>
      <c r="AD24" s="9" t="s">
        <v>136</v>
      </c>
    </row>
    <row r="25" spans="1:33" x14ac:dyDescent="0.2">
      <c r="B25" s="63" t="s">
        <v>8</v>
      </c>
      <c r="C25" s="16">
        <v>2021</v>
      </c>
      <c r="D25" s="28">
        <v>0</v>
      </c>
      <c r="E25" s="29"/>
      <c r="F25" s="42">
        <v>0</v>
      </c>
      <c r="G25" s="16"/>
      <c r="H25" s="42">
        <v>0</v>
      </c>
      <c r="I25" s="16"/>
      <c r="J25" s="42">
        <f>SUM('CWIP CCR Only'!$B$4:B25)</f>
        <v>2778476.408594056</v>
      </c>
      <c r="K25" s="16"/>
      <c r="L25" s="42">
        <f>SUM('CWIP CCR Only'!$B$4:$B$6)</f>
        <v>0</v>
      </c>
      <c r="M25" s="16"/>
      <c r="N25" s="28">
        <f t="shared" si="3"/>
        <v>2778476.408594056</v>
      </c>
      <c r="O25" s="16"/>
      <c r="P25" s="213">
        <f>WACC!$T$10</f>
        <v>7.4999999999999997E-2</v>
      </c>
      <c r="Q25" s="16"/>
      <c r="R25" s="28">
        <f t="shared" si="0"/>
        <v>17365.477553712848</v>
      </c>
      <c r="S25" s="16"/>
      <c r="T25" s="30">
        <v>0</v>
      </c>
      <c r="U25" s="16"/>
      <c r="V25" s="30">
        <f t="shared" si="4"/>
        <v>0</v>
      </c>
      <c r="W25" s="30"/>
      <c r="X25" s="30">
        <f t="shared" si="1"/>
        <v>17365.477553712848</v>
      </c>
      <c r="Y25" s="16"/>
      <c r="Z25" s="214">
        <f>'Allocation Factor'!$C$19</f>
        <v>0.96306666666666663</v>
      </c>
      <c r="AA25" s="16"/>
      <c r="AB25" s="215">
        <f t="shared" si="2"/>
        <v>16724.112582729053</v>
      </c>
      <c r="AD25" s="9" t="s">
        <v>136</v>
      </c>
    </row>
    <row r="26" spans="1:33" x14ac:dyDescent="0.2">
      <c r="B26" s="63" t="s">
        <v>9</v>
      </c>
      <c r="C26" s="16">
        <v>2021</v>
      </c>
      <c r="D26" s="28">
        <v>0</v>
      </c>
      <c r="E26" s="29"/>
      <c r="F26" s="42">
        <v>0</v>
      </c>
      <c r="G26" s="16"/>
      <c r="H26" s="42">
        <v>0</v>
      </c>
      <c r="I26" s="16"/>
      <c r="J26" s="42">
        <f>SUM('CWIP CCR Only'!$B$4:B26)</f>
        <v>3100585.4134581313</v>
      </c>
      <c r="K26" s="16"/>
      <c r="L26" s="42">
        <f>SUM('CWIP CCR Only'!$B$4:$B$6)</f>
        <v>0</v>
      </c>
      <c r="M26" s="16"/>
      <c r="N26" s="28">
        <f t="shared" si="3"/>
        <v>3100585.4134581313</v>
      </c>
      <c r="O26" s="16"/>
      <c r="P26" s="213">
        <f>WACC!$T$10</f>
        <v>7.4999999999999997E-2</v>
      </c>
      <c r="Q26" s="16"/>
      <c r="R26" s="28">
        <f t="shared" si="0"/>
        <v>19378.658834113321</v>
      </c>
      <c r="S26" s="16"/>
      <c r="T26" s="30">
        <v>0</v>
      </c>
      <c r="U26" s="16"/>
      <c r="V26" s="30">
        <f t="shared" si="4"/>
        <v>0</v>
      </c>
      <c r="W26" s="30"/>
      <c r="X26" s="30">
        <f t="shared" si="1"/>
        <v>19378.658834113321</v>
      </c>
      <c r="Y26" s="16"/>
      <c r="Z26" s="214">
        <f>'Allocation Factor'!$C$19</f>
        <v>0.96306666666666663</v>
      </c>
      <c r="AA26" s="16"/>
      <c r="AB26" s="215">
        <f t="shared" si="2"/>
        <v>18662.940367840067</v>
      </c>
      <c r="AD26" s="9" t="s">
        <v>136</v>
      </c>
    </row>
    <row r="27" spans="1:33" x14ac:dyDescent="0.2">
      <c r="B27" s="63" t="s">
        <v>10</v>
      </c>
      <c r="C27" s="16">
        <v>2021</v>
      </c>
      <c r="D27" s="28">
        <v>0</v>
      </c>
      <c r="E27" s="29"/>
      <c r="F27" s="42">
        <v>0</v>
      </c>
      <c r="G27" s="16"/>
      <c r="H27" s="42">
        <v>0</v>
      </c>
      <c r="I27" s="16"/>
      <c r="J27" s="42">
        <f>SUM('CWIP CCR Only'!$B$4:B27)</f>
        <v>3780000</v>
      </c>
      <c r="K27" s="16"/>
      <c r="L27" s="42">
        <f>SUM('CWIP CCR Only'!$B$4:$B$6)</f>
        <v>0</v>
      </c>
      <c r="M27" s="16"/>
      <c r="N27" s="28">
        <f t="shared" si="3"/>
        <v>3780000</v>
      </c>
      <c r="O27" s="16"/>
      <c r="P27" s="213">
        <f>WACC!$T$10</f>
        <v>7.4999999999999997E-2</v>
      </c>
      <c r="Q27" s="16"/>
      <c r="R27" s="28">
        <f t="shared" si="0"/>
        <v>23625</v>
      </c>
      <c r="S27" s="16"/>
      <c r="T27" s="30">
        <v>0</v>
      </c>
      <c r="U27" s="16"/>
      <c r="V27" s="30">
        <f t="shared" si="4"/>
        <v>0</v>
      </c>
      <c r="W27" s="30"/>
      <c r="X27" s="30">
        <f t="shared" si="1"/>
        <v>23625</v>
      </c>
      <c r="Y27" s="16"/>
      <c r="Z27" s="214">
        <f>'Allocation Factor'!$C$19</f>
        <v>0.96306666666666663</v>
      </c>
      <c r="AA27" s="16"/>
      <c r="AB27" s="215">
        <f t="shared" si="2"/>
        <v>22752.45</v>
      </c>
      <c r="AD27" s="9" t="s">
        <v>136</v>
      </c>
    </row>
    <row r="28" spans="1:33" x14ac:dyDescent="0.2">
      <c r="B28" s="63" t="s">
        <v>11</v>
      </c>
      <c r="C28" s="16">
        <v>2022</v>
      </c>
      <c r="D28" s="28">
        <v>0</v>
      </c>
      <c r="E28" s="29"/>
      <c r="F28" s="42">
        <v>0</v>
      </c>
      <c r="G28" s="16"/>
      <c r="H28" s="42">
        <v>0</v>
      </c>
      <c r="I28" s="16"/>
      <c r="J28" s="42">
        <f>SUM('CWIP CCR Only'!$B$4:B28)</f>
        <v>4144452.6923475913</v>
      </c>
      <c r="K28" s="16"/>
      <c r="L28" s="42">
        <f>SUM('CWIP CCR Only'!$B$4:$B$6)</f>
        <v>0</v>
      </c>
      <c r="M28" s="16"/>
      <c r="N28" s="28">
        <f t="shared" si="3"/>
        <v>4144452.6923475913</v>
      </c>
      <c r="O28" s="16"/>
      <c r="P28" s="213">
        <f>WACC!$T$10</f>
        <v>7.4999999999999997E-2</v>
      </c>
      <c r="Q28" s="16"/>
      <c r="R28" s="28">
        <f t="shared" si="0"/>
        <v>25902.829327172443</v>
      </c>
      <c r="S28" s="16"/>
      <c r="T28" s="30">
        <v>0</v>
      </c>
      <c r="U28" s="16"/>
      <c r="V28" s="30">
        <f t="shared" si="4"/>
        <v>0</v>
      </c>
      <c r="W28" s="30"/>
      <c r="X28" s="30">
        <f t="shared" si="1"/>
        <v>25902.829327172443</v>
      </c>
      <c r="Y28" s="16"/>
      <c r="Z28" s="214">
        <f>'Allocation Factor'!$C$19</f>
        <v>0.96306666666666663</v>
      </c>
      <c r="AA28" s="16"/>
      <c r="AB28" s="215">
        <f t="shared" si="2"/>
        <v>24946.151497355539</v>
      </c>
      <c r="AD28" s="9" t="s">
        <v>136</v>
      </c>
    </row>
    <row r="29" spans="1:33" x14ac:dyDescent="0.2">
      <c r="B29" s="63" t="s">
        <v>12</v>
      </c>
      <c r="C29" s="16">
        <v>2022</v>
      </c>
      <c r="D29" s="28">
        <v>0</v>
      </c>
      <c r="E29" s="29"/>
      <c r="F29" s="42">
        <v>0</v>
      </c>
      <c r="G29" s="16"/>
      <c r="H29" s="42">
        <v>0</v>
      </c>
      <c r="I29" s="16"/>
      <c r="J29" s="42">
        <f>SUM('CWIP CCR Only'!$B$4:B29)</f>
        <v>4512382.515382411</v>
      </c>
      <c r="K29" s="16"/>
      <c r="L29" s="42">
        <f>SUM('CWIP CCR Only'!$B$4:$B$6)</f>
        <v>0</v>
      </c>
      <c r="M29" s="16"/>
      <c r="N29" s="28">
        <f t="shared" si="3"/>
        <v>4512382.515382411</v>
      </c>
      <c r="O29" s="16"/>
      <c r="P29" s="213">
        <f>WACC!$T$10</f>
        <v>7.4999999999999997E-2</v>
      </c>
      <c r="Q29" s="16"/>
      <c r="R29" s="28">
        <f t="shared" si="0"/>
        <v>28202.390721140066</v>
      </c>
      <c r="S29" s="16"/>
      <c r="T29" s="30">
        <v>0</v>
      </c>
      <c r="U29" s="16"/>
      <c r="V29" s="30">
        <f t="shared" si="4"/>
        <v>0</v>
      </c>
      <c r="W29" s="30"/>
      <c r="X29" s="30">
        <f t="shared" si="1"/>
        <v>28202.390721140066</v>
      </c>
      <c r="Y29" s="16"/>
      <c r="Z29" s="214">
        <f>'Allocation Factor'!$C$19</f>
        <v>0.96306666666666663</v>
      </c>
      <c r="AA29" s="16"/>
      <c r="AB29" s="215">
        <f t="shared" si="2"/>
        <v>27160.78242383929</v>
      </c>
      <c r="AD29" s="9" t="s">
        <v>136</v>
      </c>
    </row>
    <row r="30" spans="1:33" x14ac:dyDescent="0.2">
      <c r="B30" s="63" t="s">
        <v>13</v>
      </c>
      <c r="C30" s="16">
        <v>2022</v>
      </c>
      <c r="D30" s="28">
        <v>0</v>
      </c>
      <c r="E30" s="29"/>
      <c r="F30" s="42">
        <v>0</v>
      </c>
      <c r="G30" s="16"/>
      <c r="H30" s="42">
        <v>0</v>
      </c>
      <c r="I30" s="16"/>
      <c r="J30" s="42">
        <f>SUM('CWIP CCR Only'!$B$4:B30)</f>
        <v>4889968.2787477048</v>
      </c>
      <c r="K30" s="16"/>
      <c r="L30" s="42">
        <f>SUM('CWIP CCR Only'!$B$4:$B$6)</f>
        <v>0</v>
      </c>
      <c r="M30" s="16"/>
      <c r="N30" s="28">
        <f t="shared" si="3"/>
        <v>4889968.2787477048</v>
      </c>
      <c r="O30" s="16"/>
      <c r="P30" s="213">
        <f>WACC!$T$10</f>
        <v>7.4999999999999997E-2</v>
      </c>
      <c r="Q30" s="16"/>
      <c r="R30" s="28">
        <f t="shared" si="0"/>
        <v>30562.301742173153</v>
      </c>
      <c r="S30" s="16"/>
      <c r="T30" s="30">
        <v>0</v>
      </c>
      <c r="U30" s="16"/>
      <c r="V30" s="30">
        <f t="shared" si="4"/>
        <v>0</v>
      </c>
      <c r="W30" s="30"/>
      <c r="X30" s="30">
        <f t="shared" si="1"/>
        <v>30562.301742173153</v>
      </c>
      <c r="Y30" s="16"/>
      <c r="Z30" s="214">
        <f>'Allocation Factor'!$C$19</f>
        <v>0.96306666666666663</v>
      </c>
      <c r="AA30" s="16"/>
      <c r="AB30" s="215">
        <f t="shared" si="2"/>
        <v>29433.534064495558</v>
      </c>
      <c r="AD30" s="9" t="s">
        <v>136</v>
      </c>
    </row>
    <row r="31" spans="1:33" x14ac:dyDescent="0.2">
      <c r="B31" s="63" t="s">
        <v>14</v>
      </c>
      <c r="C31" s="16">
        <v>2022</v>
      </c>
      <c r="D31" s="28">
        <v>0</v>
      </c>
      <c r="E31" s="29"/>
      <c r="F31" s="42">
        <v>0</v>
      </c>
      <c r="G31" s="16"/>
      <c r="H31" s="42">
        <v>0</v>
      </c>
      <c r="I31" s="16"/>
      <c r="J31" s="42">
        <f>SUM('CWIP CCR Only'!$B$4:B31)</f>
        <v>5247030.3235612484</v>
      </c>
      <c r="K31" s="16"/>
      <c r="L31" s="42">
        <f>SUM('CWIP CCR Only'!$B$4:$B$6)</f>
        <v>0</v>
      </c>
      <c r="M31" s="16"/>
      <c r="N31" s="28">
        <f t="shared" si="3"/>
        <v>5247030.3235612484</v>
      </c>
      <c r="O31" s="16"/>
      <c r="P31" s="213">
        <f>WACC!$T$10</f>
        <v>7.4999999999999997E-2</v>
      </c>
      <c r="Q31" s="16"/>
      <c r="R31" s="28">
        <f t="shared" si="0"/>
        <v>32793.939522257802</v>
      </c>
      <c r="S31" s="16"/>
      <c r="T31" s="30">
        <v>0</v>
      </c>
      <c r="U31" s="16"/>
      <c r="V31" s="30">
        <f t="shared" si="4"/>
        <v>0</v>
      </c>
      <c r="W31" s="30"/>
      <c r="X31" s="30">
        <f t="shared" si="1"/>
        <v>32793.939522257802</v>
      </c>
      <c r="Y31" s="16"/>
      <c r="Z31" s="214">
        <f>'Allocation Factor'!$C$19</f>
        <v>0.96306666666666663</v>
      </c>
      <c r="AA31" s="16"/>
      <c r="AB31" s="215">
        <f t="shared" si="2"/>
        <v>31582.750022569078</v>
      </c>
      <c r="AD31" s="9" t="s">
        <v>136</v>
      </c>
    </row>
    <row r="32" spans="1:33" x14ac:dyDescent="0.2">
      <c r="B32" s="63" t="s">
        <v>15</v>
      </c>
      <c r="C32" s="16">
        <v>2022</v>
      </c>
      <c r="D32" s="28">
        <v>0</v>
      </c>
      <c r="E32" s="29"/>
      <c r="F32" s="42">
        <v>0</v>
      </c>
      <c r="G32" s="16"/>
      <c r="H32" s="42">
        <v>0</v>
      </c>
      <c r="I32" s="16"/>
      <c r="J32" s="42">
        <f>SUM('CWIP CCR Only'!$B$4:B32)</f>
        <v>5597038.0104982816</v>
      </c>
      <c r="K32" s="16"/>
      <c r="L32" s="42">
        <f>SUM('CWIP CCR Only'!$B$4:$B$6)</f>
        <v>0</v>
      </c>
      <c r="M32" s="16"/>
      <c r="N32" s="28">
        <f t="shared" si="3"/>
        <v>5597038.0104982816</v>
      </c>
      <c r="O32" s="16"/>
      <c r="P32" s="213">
        <f>WACC!$T$10</f>
        <v>7.4999999999999997E-2</v>
      </c>
      <c r="Q32" s="16"/>
      <c r="R32" s="28">
        <f t="shared" si="0"/>
        <v>34981.487565614261</v>
      </c>
      <c r="S32" s="16"/>
      <c r="T32" s="30">
        <v>0</v>
      </c>
      <c r="U32" s="16"/>
      <c r="V32" s="30">
        <f t="shared" si="4"/>
        <v>0</v>
      </c>
      <c r="W32" s="30"/>
      <c r="X32" s="30">
        <f t="shared" si="1"/>
        <v>34981.487565614261</v>
      </c>
      <c r="Y32" s="16"/>
      <c r="Z32" s="214">
        <f>'Allocation Factor'!$C$19</f>
        <v>0.96306666666666663</v>
      </c>
      <c r="AA32" s="16"/>
      <c r="AB32" s="215">
        <f t="shared" si="2"/>
        <v>33689.504624857575</v>
      </c>
      <c r="AD32" s="9" t="s">
        <v>136</v>
      </c>
    </row>
    <row r="33" spans="2:30" x14ac:dyDescent="0.2">
      <c r="B33" s="63" t="s">
        <v>16</v>
      </c>
      <c r="C33" s="16">
        <v>2022</v>
      </c>
      <c r="D33" s="28">
        <v>0</v>
      </c>
      <c r="E33" s="29"/>
      <c r="F33" s="42">
        <v>0</v>
      </c>
      <c r="G33" s="16"/>
      <c r="H33" s="42">
        <v>0</v>
      </c>
      <c r="I33" s="16"/>
      <c r="J33" s="42">
        <f>SUM('CWIP CCR Only'!$B$4:B33)</f>
        <v>6289466.6763498159</v>
      </c>
      <c r="K33" s="16"/>
      <c r="L33" s="42">
        <f>SUM('CWIP CCR Only'!$B$4:$B$6)</f>
        <v>0</v>
      </c>
      <c r="M33" s="16"/>
      <c r="N33" s="28">
        <f t="shared" si="3"/>
        <v>6289466.6763498159</v>
      </c>
      <c r="O33" s="16"/>
      <c r="P33" s="213">
        <f>WACC!$T$10</f>
        <v>7.4999999999999997E-2</v>
      </c>
      <c r="Q33" s="16"/>
      <c r="R33" s="28">
        <f t="shared" si="0"/>
        <v>39309.166727186348</v>
      </c>
      <c r="S33" s="16"/>
      <c r="T33" s="30">
        <v>0</v>
      </c>
      <c r="U33" s="16"/>
      <c r="V33" s="30">
        <f t="shared" si="4"/>
        <v>0</v>
      </c>
      <c r="W33" s="30"/>
      <c r="X33" s="30">
        <f t="shared" si="1"/>
        <v>39309.166727186348</v>
      </c>
      <c r="Y33" s="16"/>
      <c r="Z33" s="214">
        <f>'Allocation Factor'!$C$19</f>
        <v>0.96306666666666663</v>
      </c>
      <c r="AA33" s="16"/>
      <c r="AB33" s="215">
        <f t="shared" si="2"/>
        <v>37857.348169395598</v>
      </c>
      <c r="AD33" s="9" t="s">
        <v>136</v>
      </c>
    </row>
    <row r="34" spans="2:30" x14ac:dyDescent="0.2">
      <c r="B34" s="63" t="s">
        <v>17</v>
      </c>
      <c r="C34" s="16">
        <v>2022</v>
      </c>
      <c r="D34" s="28">
        <v>0</v>
      </c>
      <c r="E34" s="29"/>
      <c r="F34" s="42">
        <v>0</v>
      </c>
      <c r="G34" s="16"/>
      <c r="H34" s="42">
        <v>0</v>
      </c>
      <c r="I34" s="16"/>
      <c r="J34" s="42">
        <f>SUM('CWIP CCR Only'!$B$4:B34)</f>
        <v>6646528.7211633595</v>
      </c>
      <c r="K34" s="16"/>
      <c r="L34" s="42">
        <f>SUM('CWIP CCR Only'!$B$4:$B$6)</f>
        <v>0</v>
      </c>
      <c r="M34" s="16"/>
      <c r="N34" s="28">
        <f t="shared" si="3"/>
        <v>6646528.7211633595</v>
      </c>
      <c r="O34" s="16"/>
      <c r="P34" s="213">
        <f>WACC!$T$10</f>
        <v>7.4999999999999997E-2</v>
      </c>
      <c r="Q34" s="16"/>
      <c r="R34" s="28">
        <f t="shared" si="0"/>
        <v>41540.804507270994</v>
      </c>
      <c r="S34" s="16"/>
      <c r="T34" s="30">
        <v>0</v>
      </c>
      <c r="U34" s="16"/>
      <c r="V34" s="30">
        <f t="shared" si="4"/>
        <v>0</v>
      </c>
      <c r="W34" s="30"/>
      <c r="X34" s="30">
        <f t="shared" si="1"/>
        <v>41540.804507270994</v>
      </c>
      <c r="Y34" s="16"/>
      <c r="Z34" s="214">
        <f>'Allocation Factor'!$C$19</f>
        <v>0.96306666666666663</v>
      </c>
      <c r="AA34" s="16"/>
      <c r="AB34" s="215">
        <f t="shared" si="2"/>
        <v>40006.564127469115</v>
      </c>
      <c r="AD34" s="9" t="s">
        <v>136</v>
      </c>
    </row>
    <row r="35" spans="2:30" x14ac:dyDescent="0.2">
      <c r="B35" s="63" t="s">
        <v>18</v>
      </c>
      <c r="C35" s="16">
        <v>2022</v>
      </c>
      <c r="D35" s="28">
        <v>0</v>
      </c>
      <c r="E35" s="29"/>
      <c r="F35" s="42">
        <v>0</v>
      </c>
      <c r="G35" s="16"/>
      <c r="H35" s="42">
        <v>0</v>
      </c>
      <c r="I35" s="16"/>
      <c r="J35" s="42">
        <f>SUM('CWIP CCR Only'!$B$4:B35)</f>
        <v>7024114.4845286533</v>
      </c>
      <c r="K35" s="16"/>
      <c r="L35" s="42">
        <f>SUM('CWIP CCR Only'!$B$4:$B$6)</f>
        <v>0</v>
      </c>
      <c r="M35" s="16"/>
      <c r="N35" s="28">
        <f t="shared" si="3"/>
        <v>7024114.4845286533</v>
      </c>
      <c r="O35" s="16"/>
      <c r="P35" s="213">
        <f>WACC!$T$10</f>
        <v>7.4999999999999997E-2</v>
      </c>
      <c r="Q35" s="16"/>
      <c r="R35" s="28">
        <f t="shared" si="0"/>
        <v>43900.715528304077</v>
      </c>
      <c r="S35" s="16"/>
      <c r="T35" s="30">
        <v>0</v>
      </c>
      <c r="U35" s="16"/>
      <c r="V35" s="30">
        <f t="shared" si="4"/>
        <v>0</v>
      </c>
      <c r="W35" s="30"/>
      <c r="X35" s="30">
        <f t="shared" si="1"/>
        <v>43900.715528304077</v>
      </c>
      <c r="Y35" s="16"/>
      <c r="Z35" s="214">
        <f>'Allocation Factor'!$C$19</f>
        <v>0.96306666666666663</v>
      </c>
      <c r="AA35" s="16"/>
      <c r="AB35" s="215">
        <f t="shared" si="2"/>
        <v>42279.31576812538</v>
      </c>
      <c r="AD35" s="9" t="s">
        <v>136</v>
      </c>
    </row>
    <row r="36" spans="2:30" x14ac:dyDescent="0.2">
      <c r="B36" s="63" t="s">
        <v>19</v>
      </c>
      <c r="C36" s="16">
        <v>2022</v>
      </c>
      <c r="D36" s="28">
        <v>0</v>
      </c>
      <c r="E36" s="29"/>
      <c r="F36" s="42">
        <v>0</v>
      </c>
      <c r="G36" s="16"/>
      <c r="H36" s="42">
        <v>0</v>
      </c>
      <c r="I36" s="16"/>
      <c r="J36" s="42">
        <f>SUM('CWIP CCR Only'!$B$4:B36)</f>
        <v>7401700.2478939472</v>
      </c>
      <c r="K36" s="16"/>
      <c r="L36" s="42">
        <f>SUM('CWIP CCR Only'!$B$4:$B$6)</f>
        <v>0</v>
      </c>
      <c r="M36" s="16"/>
      <c r="N36" s="28">
        <f t="shared" si="3"/>
        <v>7401700.2478939472</v>
      </c>
      <c r="O36" s="16"/>
      <c r="P36" s="213">
        <f>WACC!$T$10</f>
        <v>7.4999999999999997E-2</v>
      </c>
      <c r="Q36" s="16"/>
      <c r="R36" s="28">
        <f t="shared" si="0"/>
        <v>46260.626549337168</v>
      </c>
      <c r="S36" s="16"/>
      <c r="T36" s="30">
        <v>0</v>
      </c>
      <c r="U36" s="16"/>
      <c r="V36" s="30">
        <f t="shared" si="4"/>
        <v>0</v>
      </c>
      <c r="W36" s="30"/>
      <c r="X36" s="30">
        <f t="shared" si="1"/>
        <v>46260.626549337168</v>
      </c>
      <c r="Y36" s="16"/>
      <c r="Z36" s="214">
        <f>'Allocation Factor'!$C$19</f>
        <v>0.96306666666666663</v>
      </c>
      <c r="AA36" s="16"/>
      <c r="AB36" s="215">
        <f t="shared" si="2"/>
        <v>44552.067408781644</v>
      </c>
      <c r="AD36" s="9" t="s">
        <v>136</v>
      </c>
    </row>
    <row r="37" spans="2:30" x14ac:dyDescent="0.2">
      <c r="B37" s="63" t="s">
        <v>8</v>
      </c>
      <c r="C37" s="16">
        <v>2022</v>
      </c>
      <c r="D37" s="28">
        <v>0</v>
      </c>
      <c r="E37" s="29"/>
      <c r="F37" s="42">
        <v>0</v>
      </c>
      <c r="G37" s="16"/>
      <c r="H37" s="42">
        <v>0</v>
      </c>
      <c r="I37" s="16"/>
      <c r="J37" s="42">
        <f>SUM('CWIP CCR Only'!$B$4:B37)</f>
        <v>7761299.705067276</v>
      </c>
      <c r="K37" s="16"/>
      <c r="L37" s="42">
        <f>SUM('CWIP CCR Only'!$B$4:$B$6)</f>
        <v>0</v>
      </c>
      <c r="M37" s="16"/>
      <c r="N37" s="28">
        <f t="shared" si="3"/>
        <v>7761299.705067276</v>
      </c>
      <c r="O37" s="16"/>
      <c r="P37" s="213">
        <f>WACC!$T$10</f>
        <v>7.4999999999999997E-2</v>
      </c>
      <c r="Q37" s="16"/>
      <c r="R37" s="28">
        <f t="shared" si="0"/>
        <v>48508.123156670474</v>
      </c>
      <c r="S37" s="16"/>
      <c r="T37" s="30">
        <v>0</v>
      </c>
      <c r="U37" s="16"/>
      <c r="V37" s="30">
        <f t="shared" si="4"/>
        <v>0</v>
      </c>
      <c r="W37" s="30"/>
      <c r="X37" s="30">
        <f t="shared" si="1"/>
        <v>48508.123156670474</v>
      </c>
      <c r="Y37" s="16"/>
      <c r="Z37" s="214">
        <f>'Allocation Factor'!$C$19</f>
        <v>0.96306666666666663</v>
      </c>
      <c r="AA37" s="16"/>
      <c r="AB37" s="215">
        <f t="shared" si="2"/>
        <v>46716.556474750774</v>
      </c>
      <c r="AD37" s="9" t="s">
        <v>136</v>
      </c>
    </row>
    <row r="38" spans="2:30" x14ac:dyDescent="0.2">
      <c r="B38" s="63" t="s">
        <v>9</v>
      </c>
      <c r="C38" s="16">
        <v>2022</v>
      </c>
      <c r="D38" s="28">
        <v>0</v>
      </c>
      <c r="E38" s="29"/>
      <c r="F38" s="42">
        <v>0</v>
      </c>
      <c r="G38" s="16"/>
      <c r="H38" s="42">
        <v>0</v>
      </c>
      <c r="I38" s="16"/>
      <c r="J38" s="42">
        <f>SUM('CWIP CCR Only'!$B$4:B38)</f>
        <v>8125199.5897151288</v>
      </c>
      <c r="K38" s="16"/>
      <c r="L38" s="42">
        <f>SUM('CWIP CCR Only'!$B$4:$B$6)</f>
        <v>0</v>
      </c>
      <c r="M38" s="16"/>
      <c r="N38" s="28">
        <f t="shared" si="3"/>
        <v>8125199.5897151288</v>
      </c>
      <c r="O38" s="16"/>
      <c r="P38" s="213">
        <f>WACC!$T$10</f>
        <v>7.4999999999999997E-2</v>
      </c>
      <c r="Q38" s="16"/>
      <c r="R38" s="28">
        <f t="shared" si="0"/>
        <v>50782.497435719553</v>
      </c>
      <c r="S38" s="16"/>
      <c r="T38" s="30">
        <v>0</v>
      </c>
      <c r="U38" s="16"/>
      <c r="V38" s="30">
        <f t="shared" si="4"/>
        <v>0</v>
      </c>
      <c r="W38" s="30"/>
      <c r="X38" s="30">
        <f t="shared" si="1"/>
        <v>50782.497435719553</v>
      </c>
      <c r="Y38" s="16"/>
      <c r="Z38" s="214">
        <f>'Allocation Factor'!$C$19</f>
        <v>0.96306666666666663</v>
      </c>
      <c r="AA38" s="16"/>
      <c r="AB38" s="215">
        <f t="shared" si="2"/>
        <v>48906.930530426973</v>
      </c>
      <c r="AD38" s="9" t="s">
        <v>136</v>
      </c>
    </row>
    <row r="39" spans="2:30" x14ac:dyDescent="0.2">
      <c r="B39" s="63" t="s">
        <v>10</v>
      </c>
      <c r="C39" s="16">
        <v>2022</v>
      </c>
      <c r="D39" s="28">
        <v>0</v>
      </c>
      <c r="E39" s="29"/>
      <c r="F39" s="42">
        <v>0</v>
      </c>
      <c r="G39" s="16"/>
      <c r="H39" s="42">
        <v>0</v>
      </c>
      <c r="I39" s="16"/>
      <c r="J39" s="42">
        <f>SUM('CWIP CCR Only'!$B$4:B39)</f>
        <v>8819999.9999999981</v>
      </c>
      <c r="K39" s="16"/>
      <c r="L39" s="42">
        <f>SUM('CWIP CCR Only'!$B$4:$B$6)</f>
        <v>0</v>
      </c>
      <c r="M39" s="16"/>
      <c r="N39" s="28">
        <f t="shared" si="3"/>
        <v>8819999.9999999981</v>
      </c>
      <c r="O39" s="16"/>
      <c r="P39" s="213">
        <f>WACC!$T$10</f>
        <v>7.4999999999999997E-2</v>
      </c>
      <c r="Q39" s="16"/>
      <c r="R39" s="28">
        <f t="shared" si="0"/>
        <v>55124.999999999993</v>
      </c>
      <c r="S39" s="16"/>
      <c r="T39" s="30">
        <v>0</v>
      </c>
      <c r="U39" s="16"/>
      <c r="V39" s="30">
        <f t="shared" si="4"/>
        <v>0</v>
      </c>
      <c r="W39" s="30"/>
      <c r="X39" s="30">
        <f t="shared" si="1"/>
        <v>55124.999999999993</v>
      </c>
      <c r="Y39" s="16"/>
      <c r="Z39" s="214">
        <f>'Allocation Factor'!$C$19</f>
        <v>0.96306666666666663</v>
      </c>
      <c r="AA39" s="16"/>
      <c r="AB39" s="215">
        <f t="shared" si="2"/>
        <v>53089.049999999988</v>
      </c>
      <c r="AD39" s="9" t="s">
        <v>136</v>
      </c>
    </row>
    <row r="40" spans="2:30" x14ac:dyDescent="0.2">
      <c r="B40" s="63" t="s">
        <v>11</v>
      </c>
      <c r="C40" s="16">
        <v>2023</v>
      </c>
      <c r="D40" s="28">
        <v>0</v>
      </c>
      <c r="E40" s="29"/>
      <c r="F40" s="42">
        <v>0</v>
      </c>
      <c r="G40" s="16"/>
      <c r="H40" s="42">
        <v>0</v>
      </c>
      <c r="I40" s="16"/>
      <c r="J40" s="42">
        <f>SUM('CWIP CCR Only'!$B$4:B40)</f>
        <v>9074782.1064508539</v>
      </c>
      <c r="K40" s="16"/>
      <c r="L40" s="42">
        <f>SUM('CWIP CCR Only'!$B$4:$B$6)</f>
        <v>0</v>
      </c>
      <c r="M40" s="16"/>
      <c r="N40" s="28">
        <f t="shared" si="3"/>
        <v>9074782.1064508539</v>
      </c>
      <c r="O40" s="16"/>
      <c r="P40" s="213">
        <f>WACC!$T$10</f>
        <v>7.4999999999999997E-2</v>
      </c>
      <c r="Q40" s="16"/>
      <c r="R40" s="28">
        <f t="shared" si="0"/>
        <v>56717.388165317832</v>
      </c>
      <c r="S40" s="16"/>
      <c r="T40" s="30">
        <v>0</v>
      </c>
      <c r="U40" s="16"/>
      <c r="V40" s="30">
        <f t="shared" si="4"/>
        <v>0</v>
      </c>
      <c r="W40" s="30"/>
      <c r="X40" s="30">
        <f t="shared" si="1"/>
        <v>56717.388165317832</v>
      </c>
      <c r="Y40" s="16"/>
      <c r="Z40" s="214">
        <f>'Allocation Factor'!$C$19</f>
        <v>0.96306666666666663</v>
      </c>
      <c r="AA40" s="16"/>
      <c r="AB40" s="215">
        <f t="shared" si="2"/>
        <v>54622.625962412094</v>
      </c>
      <c r="AD40" s="9" t="s">
        <v>136</v>
      </c>
    </row>
    <row r="41" spans="2:30" x14ac:dyDescent="0.2">
      <c r="B41" s="63" t="s">
        <v>12</v>
      </c>
      <c r="C41" s="16">
        <v>2023</v>
      </c>
      <c r="D41" s="28">
        <v>0</v>
      </c>
      <c r="E41" s="29"/>
      <c r="F41" s="42">
        <v>0</v>
      </c>
      <c r="G41" s="16"/>
      <c r="H41" s="42">
        <v>0</v>
      </c>
      <c r="I41" s="16"/>
      <c r="J41" s="42">
        <f>SUM('CWIP CCR Only'!$B$4:B41)</f>
        <v>9329564.2129017096</v>
      </c>
      <c r="K41" s="16"/>
      <c r="L41" s="42">
        <f>SUM('CWIP CCR Only'!$B$4:$B$6)</f>
        <v>0</v>
      </c>
      <c r="M41" s="16"/>
      <c r="N41" s="28">
        <f t="shared" si="3"/>
        <v>9329564.2129017096</v>
      </c>
      <c r="O41" s="16"/>
      <c r="P41" s="213">
        <f>WACC!$T$10</f>
        <v>7.4999999999999997E-2</v>
      </c>
      <c r="Q41" s="16"/>
      <c r="R41" s="28">
        <f t="shared" si="0"/>
        <v>58309.776330635679</v>
      </c>
      <c r="S41" s="16"/>
      <c r="T41" s="30">
        <v>0</v>
      </c>
      <c r="U41" s="16"/>
      <c r="V41" s="30">
        <f t="shared" si="4"/>
        <v>0</v>
      </c>
      <c r="W41" s="30"/>
      <c r="X41" s="30">
        <f t="shared" si="1"/>
        <v>58309.776330635679</v>
      </c>
      <c r="Y41" s="16"/>
      <c r="Z41" s="214">
        <f>'Allocation Factor'!$C$19</f>
        <v>0.96306666666666663</v>
      </c>
      <c r="AA41" s="16"/>
      <c r="AB41" s="215">
        <f t="shared" si="2"/>
        <v>56156.2019248242</v>
      </c>
      <c r="AD41" s="9" t="s">
        <v>136</v>
      </c>
    </row>
    <row r="42" spans="2:30" x14ac:dyDescent="0.2">
      <c r="B42" s="63" t="s">
        <v>13</v>
      </c>
      <c r="C42" s="16">
        <v>2023</v>
      </c>
      <c r="D42" s="28">
        <v>0</v>
      </c>
      <c r="E42" s="29"/>
      <c r="F42" s="42">
        <v>0</v>
      </c>
      <c r="G42" s="16"/>
      <c r="H42" s="42">
        <v>0</v>
      </c>
      <c r="I42" s="16"/>
      <c r="J42" s="42">
        <f>SUM('CWIP CCR Only'!$B$4:B42)</f>
        <v>9584346.3193525653</v>
      </c>
      <c r="K42" s="16"/>
      <c r="L42" s="42">
        <f>SUM('CWIP CCR Only'!$B$4:$B$6)</f>
        <v>0</v>
      </c>
      <c r="M42" s="16"/>
      <c r="N42" s="28">
        <f t="shared" si="3"/>
        <v>9584346.3193525653</v>
      </c>
      <c r="O42" s="16"/>
      <c r="P42" s="213">
        <f>WACC!$T$10</f>
        <v>7.4999999999999997E-2</v>
      </c>
      <c r="Q42" s="16"/>
      <c r="R42" s="28">
        <f t="shared" si="0"/>
        <v>59902.164495953533</v>
      </c>
      <c r="S42" s="16"/>
      <c r="T42" s="30">
        <v>0</v>
      </c>
      <c r="U42" s="16"/>
      <c r="V42" s="30">
        <f t="shared" si="4"/>
        <v>0</v>
      </c>
      <c r="W42" s="30"/>
      <c r="X42" s="30">
        <f t="shared" si="1"/>
        <v>59902.164495953533</v>
      </c>
      <c r="Y42" s="16"/>
      <c r="Z42" s="214">
        <f>'Allocation Factor'!$C$19</f>
        <v>0.96306666666666663</v>
      </c>
      <c r="AA42" s="16"/>
      <c r="AB42" s="215">
        <f t="shared" si="2"/>
        <v>57689.777887236312</v>
      </c>
      <c r="AD42" s="9" t="s">
        <v>136</v>
      </c>
    </row>
    <row r="43" spans="2:30" x14ac:dyDescent="0.2">
      <c r="B43" s="63" t="s">
        <v>14</v>
      </c>
      <c r="C43" s="16">
        <v>2023</v>
      </c>
      <c r="D43" s="28">
        <v>0</v>
      </c>
      <c r="E43" s="29"/>
      <c r="F43" s="42">
        <v>0</v>
      </c>
      <c r="G43" s="16"/>
      <c r="H43" s="42">
        <v>0</v>
      </c>
      <c r="I43" s="16"/>
      <c r="J43" s="42">
        <f>SUM('CWIP CCR Only'!$B$4:B43)</f>
        <v>9838475.7691620309</v>
      </c>
      <c r="K43" s="16"/>
      <c r="L43" s="42">
        <f>SUM('CWIP CCR Only'!$B$4:$B$6)</f>
        <v>0</v>
      </c>
      <c r="M43" s="16"/>
      <c r="N43" s="28">
        <f t="shared" si="3"/>
        <v>9838475.7691620309</v>
      </c>
      <c r="O43" s="16"/>
      <c r="P43" s="213">
        <f>WACC!$T$10</f>
        <v>7.4999999999999997E-2</v>
      </c>
      <c r="Q43" s="16"/>
      <c r="R43" s="28">
        <f t="shared" si="0"/>
        <v>61490.473557262689</v>
      </c>
      <c r="S43" s="16"/>
      <c r="T43" s="30">
        <v>0</v>
      </c>
      <c r="U43" s="16"/>
      <c r="V43" s="30">
        <f t="shared" si="4"/>
        <v>0</v>
      </c>
      <c r="W43" s="30"/>
      <c r="X43" s="30">
        <f t="shared" si="1"/>
        <v>61490.473557262689</v>
      </c>
      <c r="Y43" s="16"/>
      <c r="Z43" s="214">
        <f>'Allocation Factor'!$C$19</f>
        <v>0.96306666666666663</v>
      </c>
      <c r="AA43" s="16"/>
      <c r="AB43" s="215">
        <f t="shared" si="2"/>
        <v>59219.425400547785</v>
      </c>
      <c r="AD43" s="9" t="s">
        <v>136</v>
      </c>
    </row>
    <row r="44" spans="2:30" x14ac:dyDescent="0.2">
      <c r="B44" s="63" t="s">
        <v>15</v>
      </c>
      <c r="C44" s="16">
        <v>2023</v>
      </c>
      <c r="D44" s="28">
        <v>0</v>
      </c>
      <c r="E44" s="29"/>
      <c r="F44" s="42">
        <v>0</v>
      </c>
      <c r="G44" s="16"/>
      <c r="H44" s="42">
        <v>0</v>
      </c>
      <c r="I44" s="16"/>
      <c r="J44" s="42">
        <f>SUM('CWIP CCR Only'!$B$4:B44)</f>
        <v>10093257.875612887</v>
      </c>
      <c r="K44" s="16"/>
      <c r="L44" s="42">
        <f>SUM('CWIP CCR Only'!$B$4:$B$6)</f>
        <v>0</v>
      </c>
      <c r="M44" s="16"/>
      <c r="N44" s="28">
        <f t="shared" si="3"/>
        <v>10093257.875612887</v>
      </c>
      <c r="O44" s="16"/>
      <c r="P44" s="213">
        <f>WACC!$T$10</f>
        <v>7.4999999999999997E-2</v>
      </c>
      <c r="Q44" s="16"/>
      <c r="R44" s="28">
        <f t="shared" si="0"/>
        <v>63082.861722580536</v>
      </c>
      <c r="S44" s="16"/>
      <c r="T44" s="30">
        <v>0</v>
      </c>
      <c r="U44" s="16"/>
      <c r="V44" s="30">
        <f t="shared" si="4"/>
        <v>0</v>
      </c>
      <c r="W44" s="30"/>
      <c r="X44" s="30">
        <f t="shared" si="1"/>
        <v>63082.861722580536</v>
      </c>
      <c r="Y44" s="16"/>
      <c r="Z44" s="214">
        <f>'Allocation Factor'!$C$19</f>
        <v>0.96306666666666663</v>
      </c>
      <c r="AA44" s="16"/>
      <c r="AB44" s="215">
        <f t="shared" si="2"/>
        <v>60753.001362959891</v>
      </c>
      <c r="AD44" s="9" t="s">
        <v>136</v>
      </c>
    </row>
    <row r="45" spans="2:30" x14ac:dyDescent="0.2">
      <c r="B45" s="63" t="s">
        <v>16</v>
      </c>
      <c r="C45" s="16">
        <v>2023</v>
      </c>
      <c r="D45" s="28">
        <v>0</v>
      </c>
      <c r="E45" s="29"/>
      <c r="F45" s="42">
        <v>0</v>
      </c>
      <c r="G45" s="16"/>
      <c r="H45" s="42">
        <v>0</v>
      </c>
      <c r="I45" s="16"/>
      <c r="J45" s="42">
        <f>SUM('CWIP CCR Only'!$B$4:B45)</f>
        <v>10638909.20273733</v>
      </c>
      <c r="K45" s="16"/>
      <c r="L45" s="42">
        <f>SUM('CWIP CCR Only'!$B$4:$B$6)</f>
        <v>0</v>
      </c>
      <c r="M45" s="16"/>
      <c r="N45" s="28">
        <f t="shared" si="3"/>
        <v>10638909.20273733</v>
      </c>
      <c r="O45" s="16"/>
      <c r="P45" s="213">
        <f>WACC!$T$10</f>
        <v>7.4999999999999997E-2</v>
      </c>
      <c r="Q45" s="16"/>
      <c r="R45" s="28">
        <f t="shared" si="0"/>
        <v>66493.182517108304</v>
      </c>
      <c r="S45" s="16"/>
      <c r="T45" s="30">
        <v>0</v>
      </c>
      <c r="U45" s="16"/>
      <c r="V45" s="30">
        <f t="shared" si="4"/>
        <v>0</v>
      </c>
      <c r="W45" s="30"/>
      <c r="X45" s="30">
        <f t="shared" si="1"/>
        <v>66493.182517108304</v>
      </c>
      <c r="Y45" s="16"/>
      <c r="Z45" s="214">
        <f>'Allocation Factor'!$C$19</f>
        <v>0.96306666666666663</v>
      </c>
      <c r="AA45" s="16"/>
      <c r="AB45" s="215">
        <f t="shared" si="2"/>
        <v>64037.367642809768</v>
      </c>
      <c r="AD45" s="9" t="s">
        <v>136</v>
      </c>
    </row>
    <row r="46" spans="2:30" x14ac:dyDescent="0.2">
      <c r="B46" s="63" t="s">
        <v>17</v>
      </c>
      <c r="C46" s="16">
        <v>2023</v>
      </c>
      <c r="D46" s="28">
        <v>0</v>
      </c>
      <c r="E46" s="29"/>
      <c r="F46" s="42">
        <v>0</v>
      </c>
      <c r="G46" s="16"/>
      <c r="H46" s="42">
        <v>0</v>
      </c>
      <c r="I46" s="16"/>
      <c r="J46" s="42">
        <f>SUM('CWIP CCR Only'!$B$4:B46)</f>
        <v>10893639.694105558</v>
      </c>
      <c r="K46" s="16"/>
      <c r="L46" s="42">
        <f>SUM('CWIP CCR Only'!$B$4:$B$6)</f>
        <v>0</v>
      </c>
      <c r="M46" s="16"/>
      <c r="N46" s="28">
        <f t="shared" si="3"/>
        <v>10893639.694105558</v>
      </c>
      <c r="O46" s="16"/>
      <c r="P46" s="213">
        <f>WACC!$T$10</f>
        <v>7.4999999999999997E-2</v>
      </c>
      <c r="Q46" s="16"/>
      <c r="R46" s="28">
        <f t="shared" si="0"/>
        <v>68085.248088159729</v>
      </c>
      <c r="S46" s="16"/>
      <c r="T46" s="30">
        <v>0</v>
      </c>
      <c r="U46" s="16"/>
      <c r="V46" s="30">
        <f t="shared" si="4"/>
        <v>0</v>
      </c>
      <c r="W46" s="30"/>
      <c r="X46" s="30">
        <f t="shared" si="1"/>
        <v>68085.248088159729</v>
      </c>
      <c r="Y46" s="16"/>
      <c r="Z46" s="214">
        <f>'Allocation Factor'!$C$19</f>
        <v>0.96306666666666663</v>
      </c>
      <c r="AA46" s="16"/>
      <c r="AB46" s="215">
        <f t="shared" si="2"/>
        <v>65570.632925437021</v>
      </c>
      <c r="AD46" s="9" t="s">
        <v>136</v>
      </c>
    </row>
    <row r="47" spans="2:30" x14ac:dyDescent="0.2">
      <c r="B47" s="63" t="s">
        <v>18</v>
      </c>
      <c r="C47" s="16">
        <v>2023</v>
      </c>
      <c r="D47" s="28">
        <v>0</v>
      </c>
      <c r="E47" s="29"/>
      <c r="F47" s="42">
        <v>0</v>
      </c>
      <c r="G47" s="16"/>
      <c r="H47" s="42">
        <v>0</v>
      </c>
      <c r="I47" s="16"/>
      <c r="J47" s="42">
        <f>SUM('CWIP CCR Only'!$B$4:B47)</f>
        <v>11146792.094398888</v>
      </c>
      <c r="K47" s="16"/>
      <c r="L47" s="42">
        <f>SUM('CWIP CCR Only'!$B$4:$B$6)</f>
        <v>0</v>
      </c>
      <c r="M47" s="16"/>
      <c r="N47" s="28">
        <f t="shared" si="3"/>
        <v>11146792.094398888</v>
      </c>
      <c r="O47" s="16"/>
      <c r="P47" s="213">
        <f>WACC!$T$10</f>
        <v>7.4999999999999997E-2</v>
      </c>
      <c r="Q47" s="16"/>
      <c r="R47" s="28">
        <f t="shared" si="0"/>
        <v>69667.450589993052</v>
      </c>
      <c r="S47" s="16"/>
      <c r="T47" s="30">
        <v>0</v>
      </c>
      <c r="U47" s="16"/>
      <c r="V47" s="30">
        <f t="shared" si="4"/>
        <v>0</v>
      </c>
      <c r="W47" s="30"/>
      <c r="X47" s="30">
        <f t="shared" si="1"/>
        <v>69667.450589993052</v>
      </c>
      <c r="Y47" s="16"/>
      <c r="Z47" s="214">
        <f>'Allocation Factor'!$C$19</f>
        <v>0.96306666666666663</v>
      </c>
      <c r="AA47" s="16"/>
      <c r="AB47" s="215">
        <f t="shared" si="2"/>
        <v>67094.399414869302</v>
      </c>
      <c r="AD47" s="9" t="s">
        <v>136</v>
      </c>
    </row>
    <row r="48" spans="2:30" x14ac:dyDescent="0.2">
      <c r="B48" s="63" t="s">
        <v>19</v>
      </c>
      <c r="C48" s="16">
        <v>2023</v>
      </c>
      <c r="D48" s="28">
        <v>0</v>
      </c>
      <c r="E48" s="29"/>
      <c r="F48" s="42">
        <v>0</v>
      </c>
      <c r="G48" s="16"/>
      <c r="H48" s="42">
        <v>0</v>
      </c>
      <c r="I48" s="16"/>
      <c r="J48" s="42">
        <f>SUM('CWIP CCR Only'!$B$4:B48)</f>
        <v>11400568.06545075</v>
      </c>
      <c r="K48" s="16"/>
      <c r="L48" s="42">
        <f>SUM('CWIP CCR Only'!$B$4:$B$6)</f>
        <v>0</v>
      </c>
      <c r="M48" s="16"/>
      <c r="N48" s="28">
        <f t="shared" si="3"/>
        <v>11400568.06545075</v>
      </c>
      <c r="O48" s="16"/>
      <c r="P48" s="213">
        <f>WACC!$T$10</f>
        <v>7.4999999999999997E-2</v>
      </c>
      <c r="Q48" s="16"/>
      <c r="R48" s="28">
        <f t="shared" si="0"/>
        <v>71253.550409067189</v>
      </c>
      <c r="S48" s="16"/>
      <c r="T48" s="30">
        <v>0</v>
      </c>
      <c r="U48" s="16"/>
      <c r="V48" s="30">
        <f t="shared" si="4"/>
        <v>0</v>
      </c>
      <c r="W48" s="30"/>
      <c r="X48" s="30">
        <f t="shared" si="1"/>
        <v>71253.550409067189</v>
      </c>
      <c r="Y48" s="16"/>
      <c r="Z48" s="214">
        <f>'Allocation Factor'!$C$19</f>
        <v>0.96306666666666663</v>
      </c>
      <c r="AA48" s="16"/>
      <c r="AB48" s="215">
        <f t="shared" si="2"/>
        <v>68621.919280625632</v>
      </c>
      <c r="AD48" s="9" t="s">
        <v>136</v>
      </c>
    </row>
    <row r="49" spans="2:32" x14ac:dyDescent="0.2">
      <c r="B49" s="63" t="s">
        <v>8</v>
      </c>
      <c r="C49" s="16">
        <v>2023</v>
      </c>
      <c r="D49" s="28">
        <v>0</v>
      </c>
      <c r="E49" s="29"/>
      <c r="F49" s="42">
        <v>0</v>
      </c>
      <c r="G49" s="16"/>
      <c r="H49" s="42">
        <v>0</v>
      </c>
      <c r="I49" s="16"/>
      <c r="J49" s="42">
        <f>SUM('CWIP CCR Only'!$B$4:B49)</f>
        <v>11654088.123624323</v>
      </c>
      <c r="K49" s="16"/>
      <c r="L49" s="42">
        <f>SUM('CWIP CCR Only'!$B$4:$B$6)</f>
        <v>0</v>
      </c>
      <c r="M49" s="16"/>
      <c r="N49" s="28">
        <f t="shared" si="3"/>
        <v>11654088.123624323</v>
      </c>
      <c r="O49" s="16"/>
      <c r="P49" s="213">
        <f>WACC!$T$10</f>
        <v>7.4999999999999997E-2</v>
      </c>
      <c r="Q49" s="16"/>
      <c r="R49" s="28">
        <f t="shared" si="0"/>
        <v>72838.050772652015</v>
      </c>
      <c r="S49" s="16"/>
      <c r="T49" s="30">
        <v>0</v>
      </c>
      <c r="U49" s="16"/>
      <c r="V49" s="30">
        <f t="shared" si="4"/>
        <v>0</v>
      </c>
      <c r="W49" s="30"/>
      <c r="X49" s="30">
        <f t="shared" si="1"/>
        <v>72838.050772652015</v>
      </c>
      <c r="Y49" s="16"/>
      <c r="Z49" s="214">
        <f>'Allocation Factor'!$C$19</f>
        <v>0.96306666666666663</v>
      </c>
      <c r="AA49" s="16"/>
      <c r="AB49" s="215">
        <f t="shared" si="2"/>
        <v>70147.898764115394</v>
      </c>
      <c r="AD49" s="9" t="s">
        <v>136</v>
      </c>
    </row>
    <row r="50" spans="2:32" x14ac:dyDescent="0.2">
      <c r="B50" s="228" t="s">
        <v>9</v>
      </c>
      <c r="C50" s="194">
        <v>2023</v>
      </c>
      <c r="D50" s="195">
        <f>'CWIP CCR Only'!B65</f>
        <v>12600000.000000002</v>
      </c>
      <c r="E50" s="199"/>
      <c r="F50" s="212">
        <f>'Depreciation '!G8</f>
        <v>-210000</v>
      </c>
      <c r="G50" s="194"/>
      <c r="H50" s="212">
        <f>'ADFIT-CCR only'!H39</f>
        <v>-46856</v>
      </c>
      <c r="I50" s="194"/>
      <c r="J50" s="212">
        <v>0</v>
      </c>
      <c r="K50" s="194"/>
      <c r="L50" s="212">
        <v>0</v>
      </c>
      <c r="M50" s="194"/>
      <c r="N50" s="28">
        <f t="shared" si="3"/>
        <v>12343144.000000002</v>
      </c>
      <c r="O50" s="194"/>
      <c r="P50" s="216">
        <f>WACC!$T$10</f>
        <v>7.4999999999999997E-2</v>
      </c>
      <c r="Q50" s="194"/>
      <c r="R50" s="195">
        <f t="shared" si="0"/>
        <v>77144.650000000009</v>
      </c>
      <c r="S50" s="194"/>
      <c r="T50" s="196">
        <v>0</v>
      </c>
      <c r="U50" s="194"/>
      <c r="V50" s="196">
        <f>(ROUND(D50*0.2/12,0))</f>
        <v>210000</v>
      </c>
      <c r="W50" s="196"/>
      <c r="X50" s="196">
        <f t="shared" si="1"/>
        <v>287144.65000000002</v>
      </c>
      <c r="Y50" s="194"/>
      <c r="Z50" s="217">
        <f>'Allocation Factor'!$C$19</f>
        <v>0.96306666666666663</v>
      </c>
      <c r="AA50" s="194"/>
      <c r="AB50" s="229">
        <f t="shared" si="2"/>
        <v>276539.44092666666</v>
      </c>
      <c r="AD50" s="9" t="s">
        <v>137</v>
      </c>
      <c r="AF50" s="194" t="s">
        <v>144</v>
      </c>
    </row>
    <row r="51" spans="2:32" x14ac:dyDescent="0.2">
      <c r="B51" s="228" t="s">
        <v>10</v>
      </c>
      <c r="C51" s="194">
        <v>2023</v>
      </c>
      <c r="D51" s="195">
        <f t="shared" ref="D51:D61" si="5">D50</f>
        <v>12600000.000000002</v>
      </c>
      <c r="E51" s="199"/>
      <c r="F51" s="212">
        <f>'Depreciation '!G9</f>
        <v>-420000</v>
      </c>
      <c r="G51" s="194"/>
      <c r="H51" s="212">
        <f>'ADFIT-CCR only'!J39</f>
        <v>-11025</v>
      </c>
      <c r="I51" s="194"/>
      <c r="J51" s="212">
        <v>0</v>
      </c>
      <c r="K51" s="194"/>
      <c r="L51" s="212">
        <v>0</v>
      </c>
      <c r="M51" s="194"/>
      <c r="N51" s="28">
        <f t="shared" si="3"/>
        <v>12168975.000000002</v>
      </c>
      <c r="O51" s="194"/>
      <c r="P51" s="216">
        <f>P50</f>
        <v>7.4999999999999997E-2</v>
      </c>
      <c r="Q51" s="194"/>
      <c r="R51" s="195">
        <f t="shared" si="0"/>
        <v>76056.093750000015</v>
      </c>
      <c r="S51" s="194"/>
      <c r="T51" s="196">
        <f>T50</f>
        <v>0</v>
      </c>
      <c r="U51" s="194"/>
      <c r="V51" s="196">
        <f t="shared" ref="V51:V61" si="6">V50</f>
        <v>210000</v>
      </c>
      <c r="W51" s="196"/>
      <c r="X51" s="196">
        <f t="shared" si="1"/>
        <v>286056.09375</v>
      </c>
      <c r="Y51" s="194"/>
      <c r="Z51" s="217">
        <f>'Allocation Factor'!$C$19</f>
        <v>0.96306666666666663</v>
      </c>
      <c r="AA51" s="194"/>
      <c r="AB51" s="229">
        <f t="shared" si="2"/>
        <v>275491.08868749999</v>
      </c>
      <c r="AD51" s="9" t="s">
        <v>137</v>
      </c>
    </row>
    <row r="52" spans="2:32" x14ac:dyDescent="0.2">
      <c r="B52" s="228" t="s">
        <v>11</v>
      </c>
      <c r="C52" s="194">
        <v>2024</v>
      </c>
      <c r="D52" s="195">
        <f t="shared" si="5"/>
        <v>12600000.000000002</v>
      </c>
      <c r="E52" s="199"/>
      <c r="F52" s="212">
        <f>'Depreciation '!G10</f>
        <v>-630000</v>
      </c>
      <c r="G52" s="194"/>
      <c r="H52" s="212">
        <f>'ADFIT-CCR only'!L39</f>
        <v>17157</v>
      </c>
      <c r="I52" s="194"/>
      <c r="J52" s="212">
        <v>0</v>
      </c>
      <c r="K52" s="194"/>
      <c r="L52" s="212">
        <v>0</v>
      </c>
      <c r="M52" s="194"/>
      <c r="N52" s="28">
        <f t="shared" si="3"/>
        <v>11987157.000000002</v>
      </c>
      <c r="O52" s="194"/>
      <c r="P52" s="216">
        <f t="shared" ref="P52:P61" si="7">P51</f>
        <v>7.4999999999999997E-2</v>
      </c>
      <c r="Q52" s="194"/>
      <c r="R52" s="195">
        <f t="shared" si="0"/>
        <v>74919.731250000012</v>
      </c>
      <c r="S52" s="194"/>
      <c r="T52" s="196">
        <f t="shared" ref="T52:T61" si="8">T51</f>
        <v>0</v>
      </c>
      <c r="U52" s="194"/>
      <c r="V52" s="196">
        <f t="shared" si="6"/>
        <v>210000</v>
      </c>
      <c r="W52" s="196"/>
      <c r="X52" s="196">
        <f t="shared" si="1"/>
        <v>284919.73125000001</v>
      </c>
      <c r="Y52" s="194"/>
      <c r="Z52" s="217">
        <f>'Allocation Factor'!$C$19</f>
        <v>0.96306666666666663</v>
      </c>
      <c r="AA52" s="194"/>
      <c r="AB52" s="229">
        <f t="shared" si="2"/>
        <v>274396.69584250002</v>
      </c>
      <c r="AD52" s="9" t="s">
        <v>137</v>
      </c>
    </row>
    <row r="53" spans="2:32" x14ac:dyDescent="0.2">
      <c r="B53" s="228" t="s">
        <v>12</v>
      </c>
      <c r="C53" s="194">
        <v>2024</v>
      </c>
      <c r="D53" s="195">
        <f t="shared" si="5"/>
        <v>12600000.000000002</v>
      </c>
      <c r="E53" s="195"/>
      <c r="F53" s="212">
        <f>'Depreciation '!G11</f>
        <v>-840000</v>
      </c>
      <c r="G53" s="194"/>
      <c r="H53" s="212">
        <f>'ADFIT-CCR only'!N39</f>
        <v>45339</v>
      </c>
      <c r="I53" s="194"/>
      <c r="J53" s="212">
        <v>0</v>
      </c>
      <c r="K53" s="194"/>
      <c r="L53" s="212">
        <v>0</v>
      </c>
      <c r="M53" s="194"/>
      <c r="N53" s="28">
        <f t="shared" si="3"/>
        <v>11805339.000000002</v>
      </c>
      <c r="O53" s="194"/>
      <c r="P53" s="216">
        <f t="shared" si="7"/>
        <v>7.4999999999999997E-2</v>
      </c>
      <c r="Q53" s="194"/>
      <c r="R53" s="195">
        <f t="shared" si="0"/>
        <v>73783.368750000009</v>
      </c>
      <c r="S53" s="194"/>
      <c r="T53" s="196">
        <f t="shared" si="8"/>
        <v>0</v>
      </c>
      <c r="U53" s="194"/>
      <c r="V53" s="196">
        <f t="shared" si="6"/>
        <v>210000</v>
      </c>
      <c r="W53" s="196"/>
      <c r="X53" s="196">
        <f t="shared" si="1"/>
        <v>283783.36875000002</v>
      </c>
      <c r="Y53" s="194"/>
      <c r="Z53" s="217">
        <f>'Allocation Factor'!$C$19</f>
        <v>0.96306666666666663</v>
      </c>
      <c r="AA53" s="194"/>
      <c r="AB53" s="229">
        <f t="shared" si="2"/>
        <v>273302.3029975</v>
      </c>
      <c r="AD53" s="9" t="s">
        <v>137</v>
      </c>
    </row>
    <row r="54" spans="2:32" x14ac:dyDescent="0.2">
      <c r="B54" s="228" t="s">
        <v>13</v>
      </c>
      <c r="C54" s="194">
        <v>2024</v>
      </c>
      <c r="D54" s="195">
        <f t="shared" si="5"/>
        <v>12600000.000000002</v>
      </c>
      <c r="E54" s="195"/>
      <c r="F54" s="212">
        <f>'Depreciation '!G12</f>
        <v>-1050000</v>
      </c>
      <c r="G54" s="194"/>
      <c r="H54" s="212">
        <f>'ADFIT-CCR only'!P39</f>
        <v>73521</v>
      </c>
      <c r="I54" s="194"/>
      <c r="J54" s="212">
        <v>0</v>
      </c>
      <c r="K54" s="194"/>
      <c r="L54" s="212">
        <v>0</v>
      </c>
      <c r="M54" s="194"/>
      <c r="N54" s="28">
        <f t="shared" si="3"/>
        <v>11623521.000000002</v>
      </c>
      <c r="O54" s="194"/>
      <c r="P54" s="216">
        <f t="shared" si="7"/>
        <v>7.4999999999999997E-2</v>
      </c>
      <c r="Q54" s="194"/>
      <c r="R54" s="195">
        <f t="shared" si="0"/>
        <v>72647.006250000006</v>
      </c>
      <c r="S54" s="194"/>
      <c r="T54" s="196">
        <f t="shared" si="8"/>
        <v>0</v>
      </c>
      <c r="U54" s="194"/>
      <c r="V54" s="196">
        <f t="shared" si="6"/>
        <v>210000</v>
      </c>
      <c r="W54" s="196"/>
      <c r="X54" s="196">
        <f t="shared" si="1"/>
        <v>282647.00624999998</v>
      </c>
      <c r="Y54" s="194"/>
      <c r="Z54" s="217">
        <f>'Allocation Factor'!$C$19</f>
        <v>0.96306666666666663</v>
      </c>
      <c r="AA54" s="194"/>
      <c r="AB54" s="229">
        <f t="shared" si="2"/>
        <v>272207.91015249997</v>
      </c>
      <c r="AD54" s="9" t="s">
        <v>137</v>
      </c>
    </row>
    <row r="55" spans="2:32" x14ac:dyDescent="0.2">
      <c r="B55" s="228" t="s">
        <v>14</v>
      </c>
      <c r="C55" s="194">
        <v>2024</v>
      </c>
      <c r="D55" s="195">
        <f t="shared" si="5"/>
        <v>12600000.000000002</v>
      </c>
      <c r="E55" s="195"/>
      <c r="F55" s="212">
        <f>'Depreciation '!G13</f>
        <v>-1260000</v>
      </c>
      <c r="G55" s="194"/>
      <c r="H55" s="212">
        <f>'ADFIT-CCR only'!R39</f>
        <v>101703</v>
      </c>
      <c r="I55" s="194"/>
      <c r="J55" s="212">
        <v>0</v>
      </c>
      <c r="K55" s="194"/>
      <c r="L55" s="212">
        <v>0</v>
      </c>
      <c r="M55" s="194"/>
      <c r="N55" s="28">
        <f t="shared" si="3"/>
        <v>11441703.000000002</v>
      </c>
      <c r="O55" s="194"/>
      <c r="P55" s="216">
        <f t="shared" si="7"/>
        <v>7.4999999999999997E-2</v>
      </c>
      <c r="Q55" s="194"/>
      <c r="R55" s="195">
        <f t="shared" si="0"/>
        <v>71510.643750000003</v>
      </c>
      <c r="S55" s="194"/>
      <c r="T55" s="196">
        <f t="shared" si="8"/>
        <v>0</v>
      </c>
      <c r="U55" s="194"/>
      <c r="V55" s="196">
        <f t="shared" si="6"/>
        <v>210000</v>
      </c>
      <c r="W55" s="196"/>
      <c r="X55" s="196">
        <f t="shared" si="1"/>
        <v>281510.64374999999</v>
      </c>
      <c r="Y55" s="194"/>
      <c r="Z55" s="217">
        <f>'Allocation Factor'!$C$19</f>
        <v>0.96306666666666663</v>
      </c>
      <c r="AA55" s="194"/>
      <c r="AB55" s="229">
        <f t="shared" si="2"/>
        <v>271113.51730750001</v>
      </c>
      <c r="AD55" s="9" t="s">
        <v>137</v>
      </c>
    </row>
    <row r="56" spans="2:32" x14ac:dyDescent="0.2">
      <c r="B56" s="228" t="s">
        <v>15</v>
      </c>
      <c r="C56" s="194">
        <v>2024</v>
      </c>
      <c r="D56" s="195">
        <f t="shared" si="5"/>
        <v>12600000.000000002</v>
      </c>
      <c r="E56" s="200"/>
      <c r="F56" s="212">
        <f>'Depreciation '!G14</f>
        <v>-1470000</v>
      </c>
      <c r="G56" s="194"/>
      <c r="H56" s="212">
        <f>'ADFIT-CCR only'!T39</f>
        <v>129886</v>
      </c>
      <c r="I56" s="194"/>
      <c r="J56" s="212">
        <v>0</v>
      </c>
      <c r="K56" s="194"/>
      <c r="L56" s="212">
        <v>0</v>
      </c>
      <c r="M56" s="194"/>
      <c r="N56" s="28">
        <f t="shared" si="3"/>
        <v>11259886.000000002</v>
      </c>
      <c r="O56" s="194"/>
      <c r="P56" s="216">
        <f t="shared" si="7"/>
        <v>7.4999999999999997E-2</v>
      </c>
      <c r="Q56" s="194"/>
      <c r="R56" s="195">
        <f t="shared" si="0"/>
        <v>70374.287500000006</v>
      </c>
      <c r="S56" s="194"/>
      <c r="T56" s="196">
        <f t="shared" si="8"/>
        <v>0</v>
      </c>
      <c r="U56" s="194"/>
      <c r="V56" s="196">
        <f t="shared" si="6"/>
        <v>210000</v>
      </c>
      <c r="W56" s="196"/>
      <c r="X56" s="196">
        <f t="shared" si="1"/>
        <v>280374.28749999998</v>
      </c>
      <c r="Y56" s="194"/>
      <c r="Z56" s="217">
        <f>'Allocation Factor'!$C$19</f>
        <v>0.96306666666666663</v>
      </c>
      <c r="AA56" s="194"/>
      <c r="AB56" s="229">
        <f t="shared" si="2"/>
        <v>270019.13048166665</v>
      </c>
      <c r="AD56" s="9" t="s">
        <v>137</v>
      </c>
    </row>
    <row r="57" spans="2:32" x14ac:dyDescent="0.2">
      <c r="B57" s="228" t="s">
        <v>16</v>
      </c>
      <c r="C57" s="194">
        <v>2024</v>
      </c>
      <c r="D57" s="195">
        <f t="shared" si="5"/>
        <v>12600000.000000002</v>
      </c>
      <c r="E57" s="195"/>
      <c r="F57" s="212">
        <f>'Depreciation '!G15</f>
        <v>-1680000</v>
      </c>
      <c r="G57" s="194"/>
      <c r="H57" s="212">
        <f>'ADFIT-CCR only'!V39</f>
        <v>158068</v>
      </c>
      <c r="I57" s="194"/>
      <c r="J57" s="212">
        <v>0</v>
      </c>
      <c r="K57" s="194"/>
      <c r="L57" s="212">
        <v>0</v>
      </c>
      <c r="M57" s="194"/>
      <c r="N57" s="28">
        <f t="shared" si="3"/>
        <v>11078068.000000002</v>
      </c>
      <c r="O57" s="194"/>
      <c r="P57" s="216">
        <f t="shared" si="7"/>
        <v>7.4999999999999997E-2</v>
      </c>
      <c r="Q57" s="194"/>
      <c r="R57" s="195">
        <f t="shared" si="0"/>
        <v>69237.925000000003</v>
      </c>
      <c r="S57" s="194"/>
      <c r="T57" s="196">
        <f t="shared" si="8"/>
        <v>0</v>
      </c>
      <c r="U57" s="194"/>
      <c r="V57" s="196">
        <f t="shared" si="6"/>
        <v>210000</v>
      </c>
      <c r="W57" s="196"/>
      <c r="X57" s="196">
        <f t="shared" si="1"/>
        <v>279237.92499999999</v>
      </c>
      <c r="Y57" s="194"/>
      <c r="Z57" s="217">
        <f>'Allocation Factor'!$C$19</f>
        <v>0.96306666666666663</v>
      </c>
      <c r="AA57" s="194"/>
      <c r="AB57" s="229">
        <f t="shared" si="2"/>
        <v>268924.73763666663</v>
      </c>
      <c r="AD57" s="9" t="s">
        <v>137</v>
      </c>
    </row>
    <row r="58" spans="2:32" x14ac:dyDescent="0.2">
      <c r="B58" s="228" t="s">
        <v>17</v>
      </c>
      <c r="C58" s="194">
        <v>2024</v>
      </c>
      <c r="D58" s="195">
        <f t="shared" si="5"/>
        <v>12600000.000000002</v>
      </c>
      <c r="E58" s="195"/>
      <c r="F58" s="212">
        <f>'Depreciation '!G16</f>
        <v>-1890000</v>
      </c>
      <c r="G58" s="194"/>
      <c r="H58" s="212">
        <f>'ADFIT-CCR only'!X39</f>
        <v>186250</v>
      </c>
      <c r="I58" s="194"/>
      <c r="J58" s="212">
        <v>0</v>
      </c>
      <c r="K58" s="194"/>
      <c r="L58" s="212">
        <v>0</v>
      </c>
      <c r="M58" s="194"/>
      <c r="N58" s="28">
        <f t="shared" si="3"/>
        <v>10896250.000000002</v>
      </c>
      <c r="O58" s="194"/>
      <c r="P58" s="216">
        <f t="shared" si="7"/>
        <v>7.4999999999999997E-2</v>
      </c>
      <c r="Q58" s="194"/>
      <c r="R58" s="195">
        <f t="shared" si="0"/>
        <v>68101.562500000015</v>
      </c>
      <c r="S58" s="194"/>
      <c r="T58" s="196">
        <f t="shared" si="8"/>
        <v>0</v>
      </c>
      <c r="U58" s="194"/>
      <c r="V58" s="196">
        <f t="shared" si="6"/>
        <v>210000</v>
      </c>
      <c r="W58" s="196"/>
      <c r="X58" s="196">
        <f t="shared" si="1"/>
        <v>278101.5625</v>
      </c>
      <c r="Y58" s="194"/>
      <c r="Z58" s="217">
        <f>'Allocation Factor'!$C$19</f>
        <v>0.96306666666666663</v>
      </c>
      <c r="AA58" s="194"/>
      <c r="AB58" s="229">
        <f t="shared" si="2"/>
        <v>267830.34479166666</v>
      </c>
      <c r="AD58" s="9" t="s">
        <v>137</v>
      </c>
    </row>
    <row r="59" spans="2:32" x14ac:dyDescent="0.2">
      <c r="B59" s="228" t="s">
        <v>18</v>
      </c>
      <c r="C59" s="194">
        <v>2024</v>
      </c>
      <c r="D59" s="195">
        <f t="shared" si="5"/>
        <v>12600000.000000002</v>
      </c>
      <c r="E59" s="195"/>
      <c r="F59" s="212">
        <f>'Depreciation '!G17</f>
        <v>-2100000</v>
      </c>
      <c r="G59" s="194"/>
      <c r="H59" s="212">
        <f>'ADFIT-CCR only'!Z39</f>
        <v>214432</v>
      </c>
      <c r="I59" s="194"/>
      <c r="J59" s="212">
        <v>0</v>
      </c>
      <c r="K59" s="194"/>
      <c r="L59" s="212">
        <v>0</v>
      </c>
      <c r="M59" s="194"/>
      <c r="N59" s="28">
        <f t="shared" si="3"/>
        <v>10714432.000000002</v>
      </c>
      <c r="O59" s="194"/>
      <c r="P59" s="216">
        <f t="shared" si="7"/>
        <v>7.4999999999999997E-2</v>
      </c>
      <c r="Q59" s="194"/>
      <c r="R59" s="195">
        <f t="shared" si="0"/>
        <v>66965.200000000012</v>
      </c>
      <c r="S59" s="194"/>
      <c r="T59" s="196">
        <f t="shared" si="8"/>
        <v>0</v>
      </c>
      <c r="U59" s="194"/>
      <c r="V59" s="196">
        <f t="shared" si="6"/>
        <v>210000</v>
      </c>
      <c r="W59" s="196"/>
      <c r="X59" s="196">
        <f t="shared" si="1"/>
        <v>276965.2</v>
      </c>
      <c r="Y59" s="194"/>
      <c r="Z59" s="217">
        <f>'Allocation Factor'!$C$19</f>
        <v>0.96306666666666663</v>
      </c>
      <c r="AA59" s="194"/>
      <c r="AB59" s="229">
        <f t="shared" si="2"/>
        <v>266735.95194666664</v>
      </c>
      <c r="AD59" s="9" t="s">
        <v>137</v>
      </c>
    </row>
    <row r="60" spans="2:32" x14ac:dyDescent="0.2">
      <c r="B60" s="228" t="s">
        <v>19</v>
      </c>
      <c r="C60" s="194">
        <v>2024</v>
      </c>
      <c r="D60" s="195">
        <f t="shared" si="5"/>
        <v>12600000.000000002</v>
      </c>
      <c r="E60" s="195"/>
      <c r="F60" s="212">
        <f>'Depreciation '!G18</f>
        <v>-2310000</v>
      </c>
      <c r="G60" s="194"/>
      <c r="H60" s="212">
        <f>'ADFIT-CCR only'!AB39</f>
        <v>242614</v>
      </c>
      <c r="I60" s="194"/>
      <c r="J60" s="212">
        <v>0</v>
      </c>
      <c r="K60" s="194"/>
      <c r="L60" s="212">
        <v>0</v>
      </c>
      <c r="M60" s="194"/>
      <c r="N60" s="28">
        <f t="shared" si="3"/>
        <v>10532614.000000002</v>
      </c>
      <c r="O60" s="194"/>
      <c r="P60" s="216">
        <f t="shared" si="7"/>
        <v>7.4999999999999997E-2</v>
      </c>
      <c r="Q60" s="194"/>
      <c r="R60" s="195">
        <f t="shared" si="0"/>
        <v>65828.837500000009</v>
      </c>
      <c r="S60" s="194"/>
      <c r="T60" s="196">
        <f t="shared" si="8"/>
        <v>0</v>
      </c>
      <c r="U60" s="194"/>
      <c r="V60" s="196">
        <f t="shared" si="6"/>
        <v>210000</v>
      </c>
      <c r="W60" s="196"/>
      <c r="X60" s="196">
        <f t="shared" si="1"/>
        <v>275828.83750000002</v>
      </c>
      <c r="Y60" s="194"/>
      <c r="Z60" s="217">
        <f>'Allocation Factor'!$C$19</f>
        <v>0.96306666666666663</v>
      </c>
      <c r="AA60" s="194"/>
      <c r="AB60" s="229">
        <f t="shared" si="2"/>
        <v>265641.55910166667</v>
      </c>
      <c r="AD60" s="9" t="s">
        <v>137</v>
      </c>
    </row>
    <row r="61" spans="2:32" x14ac:dyDescent="0.2">
      <c r="B61" s="228" t="s">
        <v>8</v>
      </c>
      <c r="C61" s="194">
        <v>2024</v>
      </c>
      <c r="D61" s="195">
        <f t="shared" si="5"/>
        <v>12600000.000000002</v>
      </c>
      <c r="E61" s="195"/>
      <c r="F61" s="212">
        <f>'Depreciation '!G19</f>
        <v>-2520000</v>
      </c>
      <c r="G61" s="194"/>
      <c r="H61" s="212">
        <f>'ADFIT-CCR only'!AD39</f>
        <v>270796</v>
      </c>
      <c r="I61" s="194"/>
      <c r="J61" s="212">
        <v>0</v>
      </c>
      <c r="K61" s="194"/>
      <c r="L61" s="212">
        <v>0</v>
      </c>
      <c r="M61" s="194"/>
      <c r="N61" s="28">
        <f t="shared" si="3"/>
        <v>10350796.000000002</v>
      </c>
      <c r="O61" s="194"/>
      <c r="P61" s="216">
        <f t="shared" si="7"/>
        <v>7.4999999999999997E-2</v>
      </c>
      <c r="Q61" s="194"/>
      <c r="R61" s="195">
        <f t="shared" si="0"/>
        <v>64692.475000000006</v>
      </c>
      <c r="S61" s="194"/>
      <c r="T61" s="196">
        <f t="shared" si="8"/>
        <v>0</v>
      </c>
      <c r="U61" s="194"/>
      <c r="V61" s="196">
        <f t="shared" si="6"/>
        <v>210000</v>
      </c>
      <c r="W61" s="196"/>
      <c r="X61" s="196">
        <f t="shared" si="1"/>
        <v>274692.47499999998</v>
      </c>
      <c r="Y61" s="194"/>
      <c r="Z61" s="217">
        <f>'Allocation Factor'!$C$19</f>
        <v>0.96306666666666663</v>
      </c>
      <c r="AA61" s="194"/>
      <c r="AB61" s="229">
        <f t="shared" si="2"/>
        <v>264547.16625666665</v>
      </c>
      <c r="AD61" s="9" t="s">
        <v>137</v>
      </c>
    </row>
    <row r="62" spans="2:32" x14ac:dyDescent="0.2">
      <c r="B62" s="64"/>
      <c r="C62" s="64"/>
      <c r="D62" s="201"/>
      <c r="E62" s="13"/>
      <c r="F62" s="218"/>
      <c r="G62" s="64"/>
      <c r="H62" s="218"/>
      <c r="I62" s="64"/>
      <c r="J62" s="218"/>
      <c r="K62" s="64"/>
      <c r="L62" s="218"/>
      <c r="M62" s="64"/>
      <c r="N62" s="218"/>
      <c r="O62" s="64"/>
      <c r="P62" s="218"/>
      <c r="Q62" s="64"/>
      <c r="R62" s="64"/>
      <c r="S62" s="64"/>
      <c r="T62" s="218"/>
      <c r="U62" s="64"/>
      <c r="V62" s="219"/>
      <c r="W62" s="219"/>
      <c r="X62" s="219"/>
      <c r="Y62" s="64"/>
      <c r="Z62" s="218"/>
      <c r="AA62" s="64"/>
      <c r="AB62" s="220"/>
    </row>
    <row r="65" spans="2:2" x14ac:dyDescent="0.2">
      <c r="B65" s="25" t="s">
        <v>125</v>
      </c>
    </row>
  </sheetData>
  <mergeCells count="17">
    <mergeCell ref="T5:T6"/>
    <mergeCell ref="AF4:AF6"/>
    <mergeCell ref="AG4:AG6"/>
    <mergeCell ref="AD4:AD6"/>
    <mergeCell ref="V5:V6"/>
    <mergeCell ref="B1:AB2"/>
    <mergeCell ref="X4:X6"/>
    <mergeCell ref="Z4:Z6"/>
    <mergeCell ref="AB4:AB6"/>
    <mergeCell ref="B5:B6"/>
    <mergeCell ref="D5:D6"/>
    <mergeCell ref="F5:F6"/>
    <mergeCell ref="H5:H6"/>
    <mergeCell ref="L5:L6"/>
    <mergeCell ref="N5:N6"/>
    <mergeCell ref="P5:P6"/>
    <mergeCell ref="R5:R6"/>
  </mergeCells>
  <pageMargins left="0.7" right="0.7" top="0.75" bottom="0.75" header="0.3" footer="0.3"/>
  <pageSetup scale="49" orientation="landscape" r:id="rId1"/>
  <ignoredErrors>
    <ignoredError sqref="J23:J49 J9:J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4"/>
  <sheetViews>
    <sheetView workbookViewId="0">
      <selection activeCell="G17" sqref="G17"/>
    </sheetView>
  </sheetViews>
  <sheetFormatPr defaultRowHeight="12.75" x14ac:dyDescent="0.2"/>
  <cols>
    <col min="1" max="3" width="12.42578125" style="26" customWidth="1"/>
    <col min="4" max="4" width="11.5703125" style="26" bestFit="1" customWidth="1"/>
    <col min="5" max="7" width="11.42578125" style="26" customWidth="1"/>
    <col min="8" max="16384" width="9.140625" style="26"/>
  </cols>
  <sheetData>
    <row r="1" spans="1:7" s="44" customFormat="1" x14ac:dyDescent="0.2">
      <c r="A1" s="43" t="s">
        <v>55</v>
      </c>
      <c r="E1" s="43" t="s">
        <v>56</v>
      </c>
    </row>
    <row r="2" spans="1:7" s="44" customFormat="1" ht="25.5" x14ac:dyDescent="0.2">
      <c r="A2" s="44" t="s">
        <v>42</v>
      </c>
      <c r="B2" s="44" t="s">
        <v>6</v>
      </c>
      <c r="C2" s="45" t="s">
        <v>1</v>
      </c>
      <c r="E2" s="44" t="s">
        <v>42</v>
      </c>
      <c r="F2" s="44" t="s">
        <v>6</v>
      </c>
      <c r="G2" s="45" t="s">
        <v>1</v>
      </c>
    </row>
    <row r="3" spans="1:7" x14ac:dyDescent="0.2">
      <c r="B3" s="31"/>
      <c r="F3" s="31"/>
    </row>
    <row r="4" spans="1:7" x14ac:dyDescent="0.2">
      <c r="B4" s="31"/>
      <c r="C4" s="32"/>
      <c r="F4" s="31"/>
      <c r="G4" s="32"/>
    </row>
    <row r="5" spans="1:7" x14ac:dyDescent="0.2">
      <c r="B5" s="31"/>
      <c r="C5" s="32"/>
      <c r="F5" s="31"/>
      <c r="G5" s="32"/>
    </row>
    <row r="6" spans="1:7" x14ac:dyDescent="0.2">
      <c r="B6" s="31"/>
      <c r="C6" s="32"/>
      <c r="F6" s="31"/>
      <c r="G6" s="32"/>
    </row>
    <row r="7" spans="1:7" x14ac:dyDescent="0.2">
      <c r="B7" s="31"/>
      <c r="C7" s="32"/>
      <c r="F7" s="31"/>
      <c r="G7" s="32"/>
    </row>
    <row r="8" spans="1:7" x14ac:dyDescent="0.2">
      <c r="A8" s="221">
        <v>5</v>
      </c>
      <c r="B8" s="41">
        <v>45077</v>
      </c>
      <c r="C8" s="42">
        <f t="shared" ref="C8:C13" si="0">-(ROUND(28308044*0.0586/12,0)-C7)</f>
        <v>-138238</v>
      </c>
      <c r="D8" s="42"/>
      <c r="E8" s="221">
        <v>11</v>
      </c>
      <c r="F8" s="41">
        <v>45260</v>
      </c>
      <c r="G8" s="42">
        <f>-(ROUND(12600000*0.2/12,0)-G7)</f>
        <v>-210000</v>
      </c>
    </row>
    <row r="9" spans="1:7" x14ac:dyDescent="0.2">
      <c r="A9" s="221">
        <v>6</v>
      </c>
      <c r="B9" s="41">
        <v>45107</v>
      </c>
      <c r="C9" s="42">
        <f t="shared" si="0"/>
        <v>-276476</v>
      </c>
      <c r="D9" s="42"/>
      <c r="E9" s="221">
        <v>12</v>
      </c>
      <c r="F9" s="41">
        <v>45291</v>
      </c>
      <c r="G9" s="42">
        <f t="shared" ref="G9:G19" si="1">-(ROUND(12600000*0.2/12,0)-G8)</f>
        <v>-420000</v>
      </c>
    </row>
    <row r="10" spans="1:7" x14ac:dyDescent="0.2">
      <c r="A10" s="221">
        <v>7</v>
      </c>
      <c r="B10" s="41">
        <v>45138</v>
      </c>
      <c r="C10" s="42">
        <f t="shared" si="0"/>
        <v>-414714</v>
      </c>
      <c r="D10" s="42"/>
      <c r="E10" s="221">
        <v>1</v>
      </c>
      <c r="F10" s="41">
        <v>45322</v>
      </c>
      <c r="G10" s="42">
        <f t="shared" si="1"/>
        <v>-630000</v>
      </c>
    </row>
    <row r="11" spans="1:7" x14ac:dyDescent="0.2">
      <c r="A11" s="221">
        <v>8</v>
      </c>
      <c r="B11" s="41">
        <v>45169</v>
      </c>
      <c r="C11" s="42">
        <f t="shared" si="0"/>
        <v>-552952</v>
      </c>
      <c r="D11" s="42"/>
      <c r="E11" s="221">
        <v>2</v>
      </c>
      <c r="F11" s="41">
        <v>45350</v>
      </c>
      <c r="G11" s="42">
        <f t="shared" si="1"/>
        <v>-840000</v>
      </c>
    </row>
    <row r="12" spans="1:7" x14ac:dyDescent="0.2">
      <c r="A12" s="221">
        <v>9</v>
      </c>
      <c r="B12" s="41">
        <v>45199</v>
      </c>
      <c r="C12" s="42">
        <f t="shared" si="0"/>
        <v>-691190</v>
      </c>
      <c r="D12" s="42"/>
      <c r="E12" s="221">
        <v>3</v>
      </c>
      <c r="F12" s="41">
        <v>45382</v>
      </c>
      <c r="G12" s="42">
        <f t="shared" si="1"/>
        <v>-1050000</v>
      </c>
    </row>
    <row r="13" spans="1:7" x14ac:dyDescent="0.2">
      <c r="A13" s="221">
        <v>10</v>
      </c>
      <c r="B13" s="41">
        <v>45230</v>
      </c>
      <c r="C13" s="42">
        <f t="shared" si="0"/>
        <v>-829428</v>
      </c>
      <c r="D13" s="42"/>
      <c r="E13" s="221">
        <v>4</v>
      </c>
      <c r="F13" s="41">
        <v>45412</v>
      </c>
      <c r="G13" s="42">
        <f t="shared" si="1"/>
        <v>-1260000</v>
      </c>
    </row>
    <row r="14" spans="1:7" x14ac:dyDescent="0.2">
      <c r="A14" s="221">
        <v>11</v>
      </c>
      <c r="B14" s="41">
        <v>45260</v>
      </c>
      <c r="C14" s="42">
        <f>-(ROUND((28308044+13045522)*0.0586/12,0)-C13)</f>
        <v>-1031371</v>
      </c>
      <c r="D14" s="42"/>
      <c r="E14" s="221">
        <v>5</v>
      </c>
      <c r="F14" s="41">
        <v>45443</v>
      </c>
      <c r="G14" s="42">
        <f t="shared" si="1"/>
        <v>-1470000</v>
      </c>
    </row>
    <row r="15" spans="1:7" x14ac:dyDescent="0.2">
      <c r="A15" s="221">
        <v>12</v>
      </c>
      <c r="B15" s="41">
        <v>45291</v>
      </c>
      <c r="C15" s="42">
        <f t="shared" ref="C15:C18" si="2">-(ROUND((28308044+13045522)*0.0586/12,0)-C14)</f>
        <v>-1233314</v>
      </c>
      <c r="E15" s="221">
        <v>6</v>
      </c>
      <c r="F15" s="41">
        <v>45473</v>
      </c>
      <c r="G15" s="42">
        <f t="shared" si="1"/>
        <v>-1680000</v>
      </c>
    </row>
    <row r="16" spans="1:7" x14ac:dyDescent="0.2">
      <c r="A16" s="221">
        <v>1</v>
      </c>
      <c r="B16" s="41">
        <v>45322</v>
      </c>
      <c r="C16" s="42">
        <f t="shared" si="2"/>
        <v>-1435257</v>
      </c>
      <c r="E16" s="221">
        <v>7</v>
      </c>
      <c r="F16" s="41">
        <v>45504</v>
      </c>
      <c r="G16" s="42">
        <f t="shared" si="1"/>
        <v>-1890000</v>
      </c>
    </row>
    <row r="17" spans="1:7" x14ac:dyDescent="0.2">
      <c r="A17" s="221">
        <v>2</v>
      </c>
      <c r="B17" s="41">
        <v>45350</v>
      </c>
      <c r="C17" s="42">
        <f t="shared" si="2"/>
        <v>-1637200</v>
      </c>
      <c r="E17" s="221">
        <v>8</v>
      </c>
      <c r="F17" s="41">
        <v>45535</v>
      </c>
      <c r="G17" s="42">
        <f t="shared" si="1"/>
        <v>-2100000</v>
      </c>
    </row>
    <row r="18" spans="1:7" x14ac:dyDescent="0.2">
      <c r="A18" s="221">
        <v>3</v>
      </c>
      <c r="B18" s="41">
        <v>45382</v>
      </c>
      <c r="C18" s="42">
        <f t="shared" si="2"/>
        <v>-1839143</v>
      </c>
      <c r="E18" s="221">
        <v>9</v>
      </c>
      <c r="F18" s="41">
        <v>45565</v>
      </c>
      <c r="G18" s="42">
        <f t="shared" si="1"/>
        <v>-2310000</v>
      </c>
    </row>
    <row r="19" spans="1:7" x14ac:dyDescent="0.2">
      <c r="A19" s="221">
        <v>4</v>
      </c>
      <c r="B19" s="41">
        <v>45412</v>
      </c>
      <c r="C19" s="42">
        <f>-(ROUND((28308044+24405694+13045522)*0.0586/12,0)-C18)</f>
        <v>-2160267</v>
      </c>
      <c r="E19" s="221">
        <v>10</v>
      </c>
      <c r="F19" s="41">
        <v>45596</v>
      </c>
      <c r="G19" s="42">
        <f t="shared" si="1"/>
        <v>-2520000</v>
      </c>
    </row>
    <row r="20" spans="1:7" x14ac:dyDescent="0.2">
      <c r="A20" s="221">
        <v>5</v>
      </c>
      <c r="B20" s="41">
        <v>45443</v>
      </c>
      <c r="C20" s="42">
        <f t="shared" ref="C20:C39" si="3">-(ROUND((28308044+24405694+13045522)*0.0586/12,0)-C19)</f>
        <v>-2481391</v>
      </c>
      <c r="D20" s="60"/>
      <c r="F20" s="33"/>
      <c r="G20" s="42"/>
    </row>
    <row r="21" spans="1:7" x14ac:dyDescent="0.2">
      <c r="A21" s="221">
        <v>6</v>
      </c>
      <c r="B21" s="41">
        <v>45473</v>
      </c>
      <c r="C21" s="42">
        <f t="shared" si="3"/>
        <v>-2802515</v>
      </c>
      <c r="D21" s="60"/>
      <c r="G21" s="32"/>
    </row>
    <row r="22" spans="1:7" x14ac:dyDescent="0.2">
      <c r="A22" s="221">
        <v>7</v>
      </c>
      <c r="B22" s="41">
        <v>45504</v>
      </c>
      <c r="C22" s="42">
        <f t="shared" si="3"/>
        <v>-3123639</v>
      </c>
      <c r="D22" s="60"/>
      <c r="G22" s="32"/>
    </row>
    <row r="23" spans="1:7" x14ac:dyDescent="0.2">
      <c r="A23" s="221">
        <v>8</v>
      </c>
      <c r="B23" s="41">
        <v>45535</v>
      </c>
      <c r="C23" s="42">
        <f t="shared" si="3"/>
        <v>-3444763</v>
      </c>
      <c r="D23" s="60"/>
      <c r="G23" s="32"/>
    </row>
    <row r="24" spans="1:7" x14ac:dyDescent="0.2">
      <c r="A24" s="221">
        <v>9</v>
      </c>
      <c r="B24" s="41">
        <v>45565</v>
      </c>
      <c r="C24" s="42">
        <f t="shared" si="3"/>
        <v>-3765887</v>
      </c>
      <c r="D24" s="60"/>
      <c r="F24" s="31"/>
      <c r="G24" s="32"/>
    </row>
    <row r="25" spans="1:7" x14ac:dyDescent="0.2">
      <c r="A25" s="221">
        <v>10</v>
      </c>
      <c r="B25" s="41">
        <v>45596</v>
      </c>
      <c r="C25" s="42">
        <f t="shared" si="3"/>
        <v>-4087011</v>
      </c>
      <c r="D25" s="60"/>
      <c r="F25" s="31"/>
      <c r="G25" s="32"/>
    </row>
    <row r="26" spans="1:7" x14ac:dyDescent="0.2">
      <c r="A26" s="221">
        <v>11</v>
      </c>
      <c r="B26" s="41">
        <v>45626</v>
      </c>
      <c r="C26" s="42">
        <f t="shared" si="3"/>
        <v>-4408135</v>
      </c>
      <c r="D26" s="60"/>
      <c r="F26" s="31"/>
      <c r="G26" s="32"/>
    </row>
    <row r="27" spans="1:7" x14ac:dyDescent="0.2">
      <c r="A27" s="221">
        <v>12</v>
      </c>
      <c r="B27" s="41">
        <v>45657</v>
      </c>
      <c r="C27" s="42">
        <f t="shared" si="3"/>
        <v>-4729259</v>
      </c>
      <c r="D27" s="60"/>
      <c r="F27" s="31"/>
      <c r="G27" s="32"/>
    </row>
    <row r="28" spans="1:7" x14ac:dyDescent="0.2">
      <c r="A28" s="221">
        <v>1</v>
      </c>
      <c r="B28" s="41">
        <v>45688</v>
      </c>
      <c r="C28" s="42">
        <f t="shared" si="3"/>
        <v>-5050383</v>
      </c>
      <c r="D28" s="60"/>
      <c r="F28" s="31"/>
      <c r="G28" s="32"/>
    </row>
    <row r="29" spans="1:7" x14ac:dyDescent="0.2">
      <c r="A29" s="221">
        <v>2</v>
      </c>
      <c r="B29" s="41">
        <v>45716</v>
      </c>
      <c r="C29" s="42">
        <f t="shared" si="3"/>
        <v>-5371507</v>
      </c>
      <c r="D29" s="60"/>
      <c r="F29" s="31"/>
      <c r="G29" s="32"/>
    </row>
    <row r="30" spans="1:7" x14ac:dyDescent="0.2">
      <c r="A30" s="221">
        <v>3</v>
      </c>
      <c r="B30" s="41">
        <v>45747</v>
      </c>
      <c r="C30" s="42">
        <f t="shared" si="3"/>
        <v>-5692631</v>
      </c>
      <c r="D30" s="60"/>
      <c r="G30" s="32"/>
    </row>
    <row r="31" spans="1:7" x14ac:dyDescent="0.2">
      <c r="A31" s="221">
        <v>4</v>
      </c>
      <c r="B31" s="41">
        <v>45777</v>
      </c>
      <c r="C31" s="42">
        <f t="shared" si="3"/>
        <v>-6013755</v>
      </c>
      <c r="D31" s="60"/>
      <c r="G31" s="32"/>
    </row>
    <row r="32" spans="1:7" x14ac:dyDescent="0.2">
      <c r="A32" s="221">
        <v>5</v>
      </c>
      <c r="B32" s="265">
        <v>45808</v>
      </c>
      <c r="C32" s="42">
        <f t="shared" si="3"/>
        <v>-6334879</v>
      </c>
      <c r="G32" s="32"/>
    </row>
    <row r="33" spans="1:7" x14ac:dyDescent="0.2">
      <c r="A33" s="221">
        <v>6</v>
      </c>
      <c r="B33" s="265">
        <v>45838</v>
      </c>
      <c r="C33" s="42">
        <f t="shared" si="3"/>
        <v>-6656003</v>
      </c>
      <c r="G33" s="32"/>
    </row>
    <row r="34" spans="1:7" x14ac:dyDescent="0.2">
      <c r="A34" s="221">
        <v>7</v>
      </c>
      <c r="B34" s="265">
        <v>45869</v>
      </c>
      <c r="C34" s="42">
        <f t="shared" si="3"/>
        <v>-6977127</v>
      </c>
      <c r="G34" s="32"/>
    </row>
    <row r="35" spans="1:7" x14ac:dyDescent="0.2">
      <c r="A35" s="221">
        <v>8</v>
      </c>
      <c r="B35" s="265">
        <v>45900</v>
      </c>
      <c r="C35" s="42">
        <f t="shared" si="3"/>
        <v>-7298251</v>
      </c>
      <c r="G35" s="32"/>
    </row>
    <row r="36" spans="1:7" x14ac:dyDescent="0.2">
      <c r="A36" s="221">
        <v>9</v>
      </c>
      <c r="B36" s="265">
        <v>45930</v>
      </c>
      <c r="C36" s="42">
        <f t="shared" si="3"/>
        <v>-7619375</v>
      </c>
      <c r="G36" s="32"/>
    </row>
    <row r="37" spans="1:7" x14ac:dyDescent="0.2">
      <c r="A37" s="221">
        <v>10</v>
      </c>
      <c r="B37" s="265">
        <v>45961</v>
      </c>
      <c r="C37" s="42">
        <f t="shared" si="3"/>
        <v>-7940499</v>
      </c>
      <c r="G37" s="32"/>
    </row>
    <row r="38" spans="1:7" x14ac:dyDescent="0.2">
      <c r="A38" s="221">
        <v>11</v>
      </c>
      <c r="B38" s="265">
        <v>45991</v>
      </c>
      <c r="C38" s="42">
        <f t="shared" si="3"/>
        <v>-8261623</v>
      </c>
      <c r="G38" s="32"/>
    </row>
    <row r="39" spans="1:7" x14ac:dyDescent="0.2">
      <c r="A39" s="221">
        <v>12</v>
      </c>
      <c r="B39" s="265">
        <v>46022</v>
      </c>
      <c r="C39" s="42">
        <f t="shared" si="3"/>
        <v>-8582747</v>
      </c>
      <c r="G39" s="32"/>
    </row>
    <row r="40" spans="1:7" x14ac:dyDescent="0.2">
      <c r="C40" s="32"/>
      <c r="G40" s="32"/>
    </row>
    <row r="41" spans="1:7" x14ac:dyDescent="0.2">
      <c r="C41" s="32"/>
      <c r="G41" s="32"/>
    </row>
    <row r="42" spans="1:7" x14ac:dyDescent="0.2">
      <c r="C42" s="32"/>
      <c r="G42" s="32"/>
    </row>
    <row r="43" spans="1:7" x14ac:dyDescent="0.2">
      <c r="C43" s="32"/>
      <c r="G43" s="32"/>
    </row>
    <row r="44" spans="1:7" x14ac:dyDescent="0.2">
      <c r="C44" s="32"/>
      <c r="G44" s="32"/>
    </row>
    <row r="45" spans="1:7" x14ac:dyDescent="0.2">
      <c r="C45" s="32"/>
      <c r="G45" s="32"/>
    </row>
    <row r="46" spans="1:7" x14ac:dyDescent="0.2">
      <c r="C46" s="32"/>
      <c r="G46" s="32"/>
    </row>
    <row r="47" spans="1:7" x14ac:dyDescent="0.2">
      <c r="C47" s="32"/>
      <c r="G47" s="32"/>
    </row>
    <row r="48" spans="1:7" x14ac:dyDescent="0.2">
      <c r="C48" s="32"/>
      <c r="G48" s="32"/>
    </row>
    <row r="49" spans="3:7" x14ac:dyDescent="0.2">
      <c r="C49" s="32"/>
      <c r="G49" s="32"/>
    </row>
    <row r="50" spans="3:7" x14ac:dyDescent="0.2">
      <c r="C50" s="32"/>
      <c r="G50" s="32"/>
    </row>
    <row r="51" spans="3:7" x14ac:dyDescent="0.2">
      <c r="C51" s="32"/>
      <c r="G51" s="32"/>
    </row>
    <row r="52" spans="3:7" x14ac:dyDescent="0.2">
      <c r="C52" s="32"/>
      <c r="G52" s="32"/>
    </row>
    <row r="53" spans="3:7" x14ac:dyDescent="0.2">
      <c r="C53" s="32"/>
      <c r="G53" s="32"/>
    </row>
    <row r="54" spans="3:7" x14ac:dyDescent="0.2">
      <c r="C54" s="32"/>
      <c r="G54" s="3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6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V30" sqref="V30"/>
    </sheetView>
  </sheetViews>
  <sheetFormatPr defaultRowHeight="15" x14ac:dyDescent="0.25"/>
  <cols>
    <col min="1" max="1" width="2.28515625" style="35" customWidth="1"/>
    <col min="2" max="2" width="39.5703125" style="35" customWidth="1"/>
    <col min="3" max="3" width="1.5703125" style="35" customWidth="1"/>
    <col min="4" max="4" width="0.7109375" style="35" customWidth="1"/>
    <col min="5" max="5" width="2.7109375" style="35" bestFit="1" customWidth="1"/>
    <col min="6" max="7" width="0.7109375" style="35" customWidth="1"/>
    <col min="8" max="8" width="16.5703125" style="35" customWidth="1"/>
    <col min="9" max="9" width="0.7109375" style="35" customWidth="1"/>
    <col min="10" max="10" width="15" style="35" customWidth="1"/>
    <col min="11" max="11" width="0.7109375" style="35" customWidth="1"/>
    <col min="12" max="12" width="16.5703125" style="35" customWidth="1"/>
    <col min="13" max="13" width="0.7109375" style="35" customWidth="1"/>
    <col min="14" max="14" width="16.5703125" style="35" customWidth="1"/>
    <col min="15" max="15" width="0.7109375" style="35" customWidth="1"/>
    <col min="16" max="16" width="16.5703125" style="35" customWidth="1"/>
    <col min="17" max="17" width="0.7109375" style="35" customWidth="1"/>
    <col min="18" max="18" width="16.5703125" style="35" customWidth="1"/>
    <col min="19" max="19" width="0.7109375" style="35" customWidth="1"/>
    <col min="20" max="20" width="16.5703125" style="35" customWidth="1"/>
    <col min="21" max="21" width="0.7109375" style="35" customWidth="1"/>
    <col min="22" max="22" width="16.5703125" style="35" customWidth="1"/>
    <col min="23" max="23" width="0.7109375" style="35" customWidth="1"/>
    <col min="24" max="24" width="16.5703125" style="35" customWidth="1"/>
    <col min="25" max="25" width="0.7109375" style="35" customWidth="1"/>
    <col min="26" max="26" width="16.5703125" style="35" customWidth="1"/>
    <col min="27" max="27" width="0.7109375" style="35" customWidth="1"/>
    <col min="28" max="28" width="16.5703125" style="35" customWidth="1"/>
    <col min="29" max="29" width="0.7109375" style="35" customWidth="1"/>
    <col min="30" max="30" width="16.5703125" style="35" customWidth="1"/>
    <col min="31" max="31" width="0.7109375" style="35" customWidth="1"/>
    <col min="32" max="32" width="16.5703125" style="35" customWidth="1"/>
    <col min="33" max="33" width="0.7109375" style="35" customWidth="1"/>
    <col min="34" max="34" width="16.5703125" style="35" customWidth="1"/>
    <col min="35" max="35" width="0.7109375" style="35" customWidth="1"/>
    <col min="36" max="36" width="16.5703125" style="35" customWidth="1"/>
    <col min="37" max="37" width="0.7109375" style="35" customWidth="1"/>
    <col min="38" max="38" width="16.5703125" style="35" customWidth="1"/>
    <col min="39" max="39" width="0.7109375" style="35" customWidth="1"/>
    <col min="40" max="40" width="16.5703125" style="35" customWidth="1"/>
    <col min="41" max="41" width="0.7109375" style="35" customWidth="1"/>
    <col min="42" max="42" width="16.5703125" style="35" customWidth="1"/>
    <col min="43" max="43" width="0.7109375" style="35" customWidth="1"/>
    <col min="44" max="44" width="16.5703125" style="35" customWidth="1"/>
    <col min="45" max="45" width="0.7109375" style="35" customWidth="1"/>
    <col min="46" max="46" width="16.5703125" style="35" customWidth="1"/>
    <col min="47" max="47" width="0.7109375" style="35" customWidth="1"/>
    <col min="48" max="48" width="16.5703125" style="35" customWidth="1"/>
    <col min="49" max="49" width="0.7109375" style="35" customWidth="1"/>
    <col min="50" max="50" width="16.5703125" style="35" customWidth="1"/>
    <col min="51" max="51" width="0.7109375" style="35" customWidth="1"/>
    <col min="52" max="52" width="16.5703125" style="35" customWidth="1"/>
    <col min="53" max="53" width="0.7109375" style="35" customWidth="1"/>
    <col min="54" max="54" width="16.5703125" style="35" customWidth="1"/>
    <col min="55" max="55" width="0.7109375" style="35" customWidth="1"/>
    <col min="56" max="56" width="16.5703125" style="35" customWidth="1"/>
    <col min="57" max="57" width="0.7109375" style="35" customWidth="1"/>
    <col min="58" max="58" width="16.5703125" style="35" customWidth="1"/>
    <col min="59" max="59" width="0.7109375" style="35" customWidth="1"/>
    <col min="60" max="60" width="16.5703125" style="35" customWidth="1"/>
    <col min="61" max="61" width="0.7109375" style="35" customWidth="1"/>
    <col min="62" max="62" width="16.5703125" style="35" customWidth="1"/>
    <col min="63" max="63" width="0.7109375" style="35" customWidth="1"/>
    <col min="64" max="64" width="16.5703125" style="35" customWidth="1"/>
    <col min="65" max="65" width="0.7109375" style="35" customWidth="1"/>
    <col min="66" max="66" width="16.5703125" style="35" customWidth="1"/>
    <col min="67" max="67" width="0.7109375" style="35" customWidth="1"/>
    <col min="68" max="68" width="16.5703125" style="35" customWidth="1"/>
    <col min="69" max="69" width="0.7109375" style="35" customWidth="1"/>
    <col min="70" max="70" width="16.5703125" style="35" customWidth="1"/>
    <col min="71" max="16384" width="9.140625" style="35"/>
  </cols>
  <sheetData>
    <row r="1" spans="1:70" s="175" customFormat="1" ht="18.75" x14ac:dyDescent="0.3">
      <c r="A1" s="1" t="s">
        <v>0</v>
      </c>
      <c r="B1" s="46" t="s">
        <v>20</v>
      </c>
      <c r="C1" s="7"/>
      <c r="D1" s="7"/>
      <c r="E1" s="7"/>
      <c r="F1" s="7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s="175" customFormat="1" ht="12.75" x14ac:dyDescent="0.2">
      <c r="A2" s="1"/>
      <c r="B2" s="47" t="s">
        <v>77</v>
      </c>
      <c r="C2" s="7"/>
      <c r="D2" s="7"/>
      <c r="E2" s="7"/>
      <c r="F2" s="7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s="175" customFormat="1" ht="13.5" thickBot="1" x14ac:dyDescent="0.25">
      <c r="A3" s="1"/>
      <c r="B3" s="6"/>
      <c r="C3" s="7"/>
      <c r="D3" s="7"/>
      <c r="E3" s="7"/>
      <c r="F3" s="7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s="175" customFormat="1" ht="13.5" thickBot="1" x14ac:dyDescent="0.25">
      <c r="A4" s="1"/>
      <c r="B4" s="176" t="s">
        <v>76</v>
      </c>
      <c r="C4" s="7"/>
      <c r="D4" s="7"/>
      <c r="E4" s="7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s="175" customFormat="1" ht="12.75" x14ac:dyDescent="0.2">
      <c r="A5" s="1"/>
      <c r="B5" s="7"/>
      <c r="C5" s="7"/>
      <c r="D5" s="7"/>
      <c r="E5" s="7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s="175" customFormat="1" ht="12.75" x14ac:dyDescent="0.2">
      <c r="A6" s="1"/>
      <c r="B6" s="7"/>
      <c r="C6" s="7"/>
      <c r="D6" s="7"/>
      <c r="E6" s="7"/>
      <c r="F6" s="7"/>
      <c r="G6" s="6"/>
      <c r="H6" s="177" t="s">
        <v>57</v>
      </c>
      <c r="I6" s="6"/>
      <c r="J6" s="177" t="s">
        <v>58</v>
      </c>
      <c r="K6" s="6"/>
      <c r="L6" s="177" t="s">
        <v>59</v>
      </c>
      <c r="M6" s="6"/>
      <c r="N6" s="177" t="s">
        <v>60</v>
      </c>
      <c r="O6" s="6"/>
      <c r="P6" s="177" t="s">
        <v>61</v>
      </c>
      <c r="Q6" s="6"/>
      <c r="R6" s="177" t="s">
        <v>62</v>
      </c>
      <c r="S6" s="6"/>
      <c r="T6" s="177" t="s">
        <v>63</v>
      </c>
      <c r="U6" s="6"/>
      <c r="V6" s="177" t="s">
        <v>64</v>
      </c>
      <c r="W6" s="6"/>
      <c r="X6" s="177" t="s">
        <v>65</v>
      </c>
      <c r="Y6" s="6"/>
      <c r="Z6" s="177" t="s">
        <v>66</v>
      </c>
      <c r="AA6" s="6"/>
      <c r="AB6" s="177" t="s">
        <v>67</v>
      </c>
      <c r="AC6" s="6"/>
      <c r="AD6" s="177" t="s">
        <v>68</v>
      </c>
      <c r="AE6" s="6"/>
      <c r="AF6" s="177" t="s">
        <v>69</v>
      </c>
      <c r="AG6" s="6"/>
      <c r="AH6" s="177" t="s">
        <v>70</v>
      </c>
      <c r="AI6" s="6"/>
      <c r="AJ6" s="177" t="s">
        <v>71</v>
      </c>
      <c r="AK6" s="6"/>
      <c r="AL6" s="177" t="s">
        <v>72</v>
      </c>
      <c r="AM6" s="6"/>
      <c r="AN6" s="177" t="s">
        <v>73</v>
      </c>
      <c r="AO6" s="6"/>
      <c r="AP6" s="177" t="s">
        <v>74</v>
      </c>
      <c r="AQ6" s="6"/>
      <c r="AR6" s="177" t="s">
        <v>78</v>
      </c>
      <c r="AS6" s="6"/>
      <c r="AT6" s="177" t="s">
        <v>79</v>
      </c>
      <c r="AU6" s="6"/>
      <c r="AV6" s="177" t="s">
        <v>80</v>
      </c>
      <c r="AW6" s="6"/>
      <c r="AX6" s="177" t="s">
        <v>81</v>
      </c>
      <c r="AY6" s="6"/>
      <c r="AZ6" s="177" t="s">
        <v>82</v>
      </c>
      <c r="BA6" s="6"/>
      <c r="BB6" s="177" t="s">
        <v>83</v>
      </c>
      <c r="BC6" s="6"/>
      <c r="BD6" s="234">
        <v>45808</v>
      </c>
      <c r="BE6" s="6"/>
      <c r="BF6" s="234">
        <v>45838</v>
      </c>
      <c r="BG6" s="6"/>
      <c r="BH6" s="234">
        <v>45869</v>
      </c>
      <c r="BI6" s="6"/>
      <c r="BJ6" s="234">
        <v>45900</v>
      </c>
      <c r="BK6" s="6"/>
      <c r="BL6" s="234">
        <v>45930</v>
      </c>
      <c r="BM6" s="6"/>
      <c r="BN6" s="234">
        <v>45961</v>
      </c>
      <c r="BO6" s="6"/>
      <c r="BP6" s="234">
        <v>45991</v>
      </c>
      <c r="BQ6" s="6"/>
      <c r="BR6" s="234">
        <v>46022</v>
      </c>
    </row>
    <row r="7" spans="1:70" s="175" customFormat="1" ht="12.75" x14ac:dyDescent="0.2">
      <c r="A7" s="1"/>
      <c r="B7" s="7"/>
      <c r="C7" s="7"/>
      <c r="D7" s="7"/>
      <c r="E7" s="7"/>
      <c r="F7" s="7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</row>
    <row r="8" spans="1:70" s="175" customFormat="1" ht="12.75" x14ac:dyDescent="0.2">
      <c r="A8" s="1"/>
      <c r="B8" s="7"/>
      <c r="C8" s="7"/>
      <c r="D8" s="8"/>
      <c r="E8" s="7"/>
      <c r="F8" s="7"/>
      <c r="G8" s="6"/>
      <c r="H8" s="178">
        <v>5</v>
      </c>
      <c r="I8" s="6"/>
      <c r="J8" s="178">
        <v>6</v>
      </c>
      <c r="K8" s="6"/>
      <c r="L8" s="178">
        <v>7</v>
      </c>
      <c r="M8" s="6"/>
      <c r="N8" s="178">
        <v>8</v>
      </c>
      <c r="O8" s="6"/>
      <c r="P8" s="178">
        <v>9</v>
      </c>
      <c r="Q8" s="6"/>
      <c r="R8" s="178">
        <v>10</v>
      </c>
      <c r="S8" s="6"/>
      <c r="T8" s="178">
        <v>11</v>
      </c>
      <c r="U8" s="6"/>
      <c r="V8" s="178">
        <v>12</v>
      </c>
      <c r="W8" s="6"/>
      <c r="X8" s="178">
        <v>1</v>
      </c>
      <c r="Y8" s="6"/>
      <c r="Z8" s="178">
        <v>2</v>
      </c>
      <c r="AA8" s="6"/>
      <c r="AB8" s="178">
        <v>3</v>
      </c>
      <c r="AC8" s="6"/>
      <c r="AD8" s="178">
        <v>4</v>
      </c>
      <c r="AE8" s="6"/>
      <c r="AF8" s="178">
        <v>5</v>
      </c>
      <c r="AG8" s="6"/>
      <c r="AH8" s="178">
        <v>6</v>
      </c>
      <c r="AI8" s="6"/>
      <c r="AJ8" s="178">
        <v>7</v>
      </c>
      <c r="AK8" s="6"/>
      <c r="AL8" s="178">
        <v>8</v>
      </c>
      <c r="AM8" s="6"/>
      <c r="AN8" s="178">
        <v>9</v>
      </c>
      <c r="AO8" s="6"/>
      <c r="AP8" s="178">
        <v>10</v>
      </c>
      <c r="AQ8" s="6"/>
      <c r="AR8" s="178">
        <v>11</v>
      </c>
      <c r="AS8" s="6"/>
      <c r="AT8" s="178">
        <v>12</v>
      </c>
      <c r="AU8" s="6"/>
      <c r="AV8" s="178">
        <v>1</v>
      </c>
      <c r="AW8" s="6"/>
      <c r="AX8" s="178">
        <v>2</v>
      </c>
      <c r="AY8" s="6"/>
      <c r="AZ8" s="178">
        <v>3</v>
      </c>
      <c r="BA8" s="6"/>
      <c r="BB8" s="178">
        <v>4</v>
      </c>
      <c r="BC8" s="6"/>
      <c r="BD8" s="178">
        <v>5</v>
      </c>
      <c r="BE8" s="6"/>
      <c r="BF8" s="178">
        <v>6</v>
      </c>
      <c r="BG8" s="6"/>
      <c r="BH8" s="178">
        <v>7</v>
      </c>
      <c r="BI8" s="6"/>
      <c r="BJ8" s="178">
        <v>8</v>
      </c>
      <c r="BK8" s="6"/>
      <c r="BL8" s="178">
        <v>9</v>
      </c>
      <c r="BM8" s="6"/>
      <c r="BN8" s="178">
        <v>10</v>
      </c>
      <c r="BO8" s="6"/>
      <c r="BP8" s="178">
        <v>11</v>
      </c>
      <c r="BQ8" s="6"/>
      <c r="BR8" s="178">
        <v>12</v>
      </c>
    </row>
    <row r="9" spans="1:70" s="175" customFormat="1" ht="12.75" x14ac:dyDescent="0.2">
      <c r="A9" s="1"/>
      <c r="B9" s="179" t="s">
        <v>21</v>
      </c>
      <c r="C9" s="7"/>
      <c r="D9" s="8"/>
      <c r="E9" s="7"/>
      <c r="F9" s="7"/>
      <c r="G9" s="6"/>
      <c r="H9" s="48">
        <v>2023</v>
      </c>
      <c r="I9" s="6"/>
      <c r="J9" s="48">
        <v>2023</v>
      </c>
      <c r="K9" s="6"/>
      <c r="L9" s="48">
        <v>2023</v>
      </c>
      <c r="M9" s="6"/>
      <c r="N9" s="48">
        <v>2023</v>
      </c>
      <c r="O9" s="6"/>
      <c r="P9" s="48">
        <v>2023</v>
      </c>
      <c r="Q9" s="6"/>
      <c r="R9" s="48">
        <v>2023</v>
      </c>
      <c r="S9" s="6"/>
      <c r="T9" s="48">
        <v>2023</v>
      </c>
      <c r="U9" s="6"/>
      <c r="V9" s="48">
        <v>2023</v>
      </c>
      <c r="W9" s="6"/>
      <c r="X9" s="48">
        <v>2024</v>
      </c>
      <c r="Y9" s="6"/>
      <c r="Z9" s="48">
        <v>2024</v>
      </c>
      <c r="AA9" s="6"/>
      <c r="AB9" s="48">
        <v>2024</v>
      </c>
      <c r="AC9" s="6"/>
      <c r="AD9" s="48">
        <v>2024</v>
      </c>
      <c r="AE9" s="6"/>
      <c r="AF9" s="48">
        <v>2024</v>
      </c>
      <c r="AG9" s="6"/>
      <c r="AH9" s="48">
        <v>2024</v>
      </c>
      <c r="AI9" s="6"/>
      <c r="AJ9" s="48">
        <v>2024</v>
      </c>
      <c r="AK9" s="6"/>
      <c r="AL9" s="48">
        <v>2024</v>
      </c>
      <c r="AM9" s="6"/>
      <c r="AN9" s="48">
        <v>2024</v>
      </c>
      <c r="AO9" s="6"/>
      <c r="AP9" s="48">
        <v>2024</v>
      </c>
      <c r="AQ9" s="6"/>
      <c r="AR9" s="48">
        <v>2024</v>
      </c>
      <c r="AS9" s="6"/>
      <c r="AT9" s="48">
        <v>2024</v>
      </c>
      <c r="AU9" s="6"/>
      <c r="AV9" s="48">
        <v>2025</v>
      </c>
      <c r="AW9" s="6"/>
      <c r="AX9" s="48">
        <v>2025</v>
      </c>
      <c r="AY9" s="6"/>
      <c r="AZ9" s="48">
        <v>2025</v>
      </c>
      <c r="BA9" s="6"/>
      <c r="BB9" s="48">
        <v>2025</v>
      </c>
      <c r="BC9" s="6"/>
      <c r="BD9" s="48">
        <v>2025</v>
      </c>
      <c r="BE9" s="6"/>
      <c r="BF9" s="48">
        <v>2025</v>
      </c>
      <c r="BG9" s="6"/>
      <c r="BH9" s="48">
        <v>2025</v>
      </c>
      <c r="BI9" s="6"/>
      <c r="BJ9" s="48">
        <v>2025</v>
      </c>
      <c r="BK9" s="6"/>
      <c r="BL9" s="48">
        <v>2025</v>
      </c>
      <c r="BM9" s="6"/>
      <c r="BN9" s="48">
        <v>2025</v>
      </c>
      <c r="BO9" s="6"/>
      <c r="BP9" s="48">
        <v>2025</v>
      </c>
      <c r="BQ9" s="6"/>
      <c r="BR9" s="48">
        <v>2025</v>
      </c>
    </row>
    <row r="10" spans="1:70" s="175" customFormat="1" ht="12.75" x14ac:dyDescent="0.2">
      <c r="A10" s="1"/>
      <c r="B10" s="8"/>
      <c r="C10" s="7"/>
      <c r="D10" s="8"/>
      <c r="E10" s="7"/>
      <c r="F10" s="7"/>
      <c r="G10" s="6"/>
      <c r="H10" s="49" t="s">
        <v>22</v>
      </c>
      <c r="I10" s="6"/>
      <c r="J10" s="49" t="s">
        <v>22</v>
      </c>
      <c r="K10" s="6"/>
      <c r="L10" s="49" t="s">
        <v>22</v>
      </c>
      <c r="M10" s="6"/>
      <c r="N10" s="49" t="s">
        <v>22</v>
      </c>
      <c r="O10" s="6"/>
      <c r="P10" s="49" t="s">
        <v>22</v>
      </c>
      <c r="Q10" s="6"/>
      <c r="R10" s="49" t="s">
        <v>22</v>
      </c>
      <c r="S10" s="6"/>
      <c r="T10" s="49" t="s">
        <v>22</v>
      </c>
      <c r="U10" s="6"/>
      <c r="V10" s="49" t="s">
        <v>22</v>
      </c>
      <c r="W10" s="6"/>
      <c r="X10" s="49" t="s">
        <v>22</v>
      </c>
      <c r="Y10" s="6"/>
      <c r="Z10" s="49" t="s">
        <v>22</v>
      </c>
      <c r="AA10" s="6"/>
      <c r="AB10" s="49" t="s">
        <v>22</v>
      </c>
      <c r="AC10" s="6"/>
      <c r="AD10" s="49" t="s">
        <v>22</v>
      </c>
      <c r="AE10" s="6"/>
      <c r="AF10" s="49" t="s">
        <v>22</v>
      </c>
      <c r="AG10" s="6"/>
      <c r="AH10" s="49" t="s">
        <v>22</v>
      </c>
      <c r="AI10" s="6"/>
      <c r="AJ10" s="49" t="s">
        <v>22</v>
      </c>
      <c r="AK10" s="6"/>
      <c r="AL10" s="49" t="s">
        <v>22</v>
      </c>
      <c r="AM10" s="6"/>
      <c r="AN10" s="49" t="s">
        <v>22</v>
      </c>
      <c r="AO10" s="6"/>
      <c r="AP10" s="49" t="s">
        <v>22</v>
      </c>
      <c r="AQ10" s="6"/>
      <c r="AR10" s="49" t="s">
        <v>22</v>
      </c>
      <c r="AS10" s="6"/>
      <c r="AT10" s="49" t="s">
        <v>22</v>
      </c>
      <c r="AU10" s="6"/>
      <c r="AV10" s="49" t="s">
        <v>22</v>
      </c>
      <c r="AW10" s="6"/>
      <c r="AX10" s="49" t="s">
        <v>22</v>
      </c>
      <c r="AY10" s="6"/>
      <c r="AZ10" s="49" t="s">
        <v>22</v>
      </c>
      <c r="BA10" s="6"/>
      <c r="BB10" s="49" t="s">
        <v>22</v>
      </c>
      <c r="BC10" s="6"/>
      <c r="BD10" s="49" t="s">
        <v>22</v>
      </c>
      <c r="BE10" s="6"/>
      <c r="BF10" s="49" t="s">
        <v>22</v>
      </c>
      <c r="BG10" s="6"/>
      <c r="BH10" s="49" t="s">
        <v>22</v>
      </c>
      <c r="BI10" s="6"/>
      <c r="BJ10" s="49" t="s">
        <v>22</v>
      </c>
      <c r="BK10" s="6"/>
      <c r="BL10" s="49" t="s">
        <v>22</v>
      </c>
      <c r="BM10" s="6"/>
      <c r="BN10" s="49" t="s">
        <v>22</v>
      </c>
      <c r="BO10" s="6"/>
      <c r="BP10" s="49" t="s">
        <v>22</v>
      </c>
      <c r="BQ10" s="6"/>
      <c r="BR10" s="49" t="s">
        <v>22</v>
      </c>
    </row>
    <row r="11" spans="1:70" s="175" customFormat="1" ht="12.75" x14ac:dyDescent="0.2">
      <c r="A11" s="1"/>
      <c r="B11" s="7"/>
      <c r="C11" s="7"/>
      <c r="D11" s="7"/>
      <c r="E11" s="7"/>
      <c r="F11" s="7"/>
      <c r="G11" s="6"/>
      <c r="H11" s="50"/>
      <c r="I11" s="6"/>
      <c r="J11" s="50"/>
      <c r="K11" s="6"/>
      <c r="L11" s="50"/>
      <c r="M11" s="6"/>
      <c r="N11" s="50"/>
      <c r="O11" s="6"/>
      <c r="P11" s="50"/>
      <c r="Q11" s="6"/>
      <c r="R11" s="50"/>
      <c r="S11" s="6"/>
      <c r="T11" s="50"/>
      <c r="U11" s="6"/>
      <c r="V11" s="50"/>
      <c r="W11" s="6"/>
      <c r="X11" s="50"/>
      <c r="Y11" s="6"/>
      <c r="Z11" s="50"/>
      <c r="AA11" s="6"/>
      <c r="AB11" s="50"/>
      <c r="AC11" s="6"/>
      <c r="AD11" s="50"/>
      <c r="AE11" s="6"/>
      <c r="AF11" s="50"/>
      <c r="AG11" s="6"/>
      <c r="AH11" s="50"/>
      <c r="AI11" s="6"/>
      <c r="AJ11" s="50"/>
      <c r="AK11" s="6"/>
      <c r="AL11" s="50"/>
      <c r="AM11" s="6"/>
      <c r="AN11" s="50"/>
      <c r="AO11" s="6"/>
      <c r="AP11" s="50"/>
      <c r="AQ11" s="6"/>
      <c r="AR11" s="50"/>
      <c r="AS11" s="6"/>
      <c r="AT11" s="50"/>
      <c r="AU11" s="6"/>
      <c r="AV11" s="50"/>
      <c r="AW11" s="6"/>
      <c r="AX11" s="50"/>
      <c r="AY11" s="6"/>
      <c r="AZ11" s="50"/>
      <c r="BA11" s="6"/>
      <c r="BB11" s="50"/>
      <c r="BC11" s="6"/>
      <c r="BD11" s="50"/>
      <c r="BE11" s="6"/>
      <c r="BF11" s="50"/>
      <c r="BG11" s="6"/>
      <c r="BH11" s="50"/>
      <c r="BI11" s="6"/>
      <c r="BJ11" s="50"/>
      <c r="BK11" s="6"/>
      <c r="BL11" s="50"/>
      <c r="BM11" s="6"/>
      <c r="BN11" s="50"/>
      <c r="BO11" s="6"/>
      <c r="BP11" s="50"/>
      <c r="BQ11" s="6"/>
      <c r="BR11" s="50"/>
    </row>
    <row r="12" spans="1:70" s="175" customFormat="1" ht="12.75" x14ac:dyDescent="0.2">
      <c r="A12" s="1"/>
      <c r="B12" s="51" t="s">
        <v>23</v>
      </c>
      <c r="C12" s="7"/>
      <c r="D12" s="2"/>
      <c r="E12" s="7"/>
      <c r="F12" s="52"/>
      <c r="G12" s="6"/>
      <c r="H12" s="52">
        <v>45077</v>
      </c>
      <c r="I12" s="6"/>
      <c r="J12" s="52">
        <f>H12</f>
        <v>45077</v>
      </c>
      <c r="K12" s="6"/>
      <c r="L12" s="52">
        <f>J12</f>
        <v>45077</v>
      </c>
      <c r="M12" s="6"/>
      <c r="N12" s="52">
        <f>L12</f>
        <v>45077</v>
      </c>
      <c r="O12" s="6"/>
      <c r="P12" s="52">
        <f>N12</f>
        <v>45077</v>
      </c>
      <c r="Q12" s="6"/>
      <c r="R12" s="52">
        <f>P12</f>
        <v>45077</v>
      </c>
      <c r="S12" s="6"/>
      <c r="T12" s="52">
        <f>R12</f>
        <v>45077</v>
      </c>
      <c r="U12" s="6"/>
      <c r="V12" s="52">
        <f>T12</f>
        <v>45077</v>
      </c>
      <c r="W12" s="6"/>
      <c r="X12" s="52">
        <f>V12</f>
        <v>45077</v>
      </c>
      <c r="Y12" s="6"/>
      <c r="Z12" s="52">
        <f>X12</f>
        <v>45077</v>
      </c>
      <c r="AA12" s="6"/>
      <c r="AB12" s="52">
        <f>Z12</f>
        <v>45077</v>
      </c>
      <c r="AC12" s="6"/>
      <c r="AD12" s="52">
        <f t="shared" ref="AD12" si="0">AB12</f>
        <v>45077</v>
      </c>
      <c r="AE12" s="6"/>
      <c r="AF12" s="52">
        <f t="shared" ref="AF12" si="1">AD12</f>
        <v>45077</v>
      </c>
      <c r="AG12" s="6"/>
      <c r="AH12" s="52">
        <f t="shared" ref="AH12" si="2">AF12</f>
        <v>45077</v>
      </c>
      <c r="AI12" s="6"/>
      <c r="AJ12" s="52">
        <f t="shared" ref="AJ12" si="3">AH12</f>
        <v>45077</v>
      </c>
      <c r="AK12" s="6"/>
      <c r="AL12" s="52">
        <f t="shared" ref="AL12" si="4">AJ12</f>
        <v>45077</v>
      </c>
      <c r="AM12" s="6"/>
      <c r="AN12" s="52">
        <f t="shared" ref="AN12" si="5">AL12</f>
        <v>45077</v>
      </c>
      <c r="AO12" s="6"/>
      <c r="AP12" s="52">
        <f t="shared" ref="AP12" si="6">AN12</f>
        <v>45077</v>
      </c>
      <c r="AQ12" s="6"/>
      <c r="AR12" s="52">
        <f t="shared" ref="AR12" si="7">AP12</f>
        <v>45077</v>
      </c>
      <c r="AS12" s="6"/>
      <c r="AT12" s="52">
        <f t="shared" ref="AT12" si="8">AR12</f>
        <v>45077</v>
      </c>
      <c r="AU12" s="6"/>
      <c r="AV12" s="52">
        <f t="shared" ref="AV12" si="9">AT12</f>
        <v>45077</v>
      </c>
      <c r="AW12" s="6"/>
      <c r="AX12" s="52">
        <f t="shared" ref="AX12" si="10">AV12</f>
        <v>45077</v>
      </c>
      <c r="AY12" s="6"/>
      <c r="AZ12" s="52">
        <f t="shared" ref="AZ12" si="11">AX12</f>
        <v>45077</v>
      </c>
      <c r="BA12" s="6"/>
      <c r="BB12" s="52">
        <f t="shared" ref="BB12:BF12" si="12">AZ12</f>
        <v>45077</v>
      </c>
      <c r="BC12" s="6"/>
      <c r="BD12" s="52">
        <f t="shared" si="12"/>
        <v>45077</v>
      </c>
      <c r="BE12" s="6"/>
      <c r="BF12" s="52">
        <f t="shared" si="12"/>
        <v>45077</v>
      </c>
      <c r="BG12" s="6"/>
      <c r="BH12" s="52">
        <f t="shared" ref="BH12" si="13">BF12</f>
        <v>45077</v>
      </c>
      <c r="BI12" s="6"/>
      <c r="BJ12" s="52">
        <f t="shared" ref="BJ12" si="14">BH12</f>
        <v>45077</v>
      </c>
      <c r="BK12" s="6"/>
      <c r="BL12" s="52">
        <f t="shared" ref="BL12" si="15">BJ12</f>
        <v>45077</v>
      </c>
      <c r="BM12" s="6"/>
      <c r="BN12" s="52">
        <f t="shared" ref="BN12" si="16">BL12</f>
        <v>45077</v>
      </c>
      <c r="BO12" s="6"/>
      <c r="BP12" s="52">
        <f t="shared" ref="BP12" si="17">BN12</f>
        <v>45077</v>
      </c>
      <c r="BQ12" s="6"/>
      <c r="BR12" s="52">
        <f t="shared" ref="BR12" si="18">BP12</f>
        <v>45077</v>
      </c>
    </row>
    <row r="13" spans="1:70" s="175" customFormat="1" ht="12.75" x14ac:dyDescent="0.2">
      <c r="A13" s="1"/>
      <c r="B13" s="51" t="s">
        <v>24</v>
      </c>
      <c r="C13" s="7"/>
      <c r="D13" s="2"/>
      <c r="E13" s="7"/>
      <c r="F13" s="7"/>
      <c r="G13" s="6"/>
      <c r="H13" s="180">
        <v>0</v>
      </c>
      <c r="I13" s="6"/>
      <c r="J13" s="180">
        <f>H13</f>
        <v>0</v>
      </c>
      <c r="K13" s="6"/>
      <c r="L13" s="180">
        <v>0</v>
      </c>
      <c r="M13" s="6"/>
      <c r="N13" s="180">
        <v>0</v>
      </c>
      <c r="O13" s="6"/>
      <c r="P13" s="180">
        <v>0</v>
      </c>
      <c r="Q13" s="6"/>
      <c r="R13" s="180">
        <v>0</v>
      </c>
      <c r="S13" s="6"/>
      <c r="T13" s="180">
        <v>0</v>
      </c>
      <c r="U13" s="6"/>
      <c r="V13" s="180">
        <v>0</v>
      </c>
      <c r="W13" s="6"/>
      <c r="X13" s="180">
        <v>0</v>
      </c>
      <c r="Y13" s="6"/>
      <c r="Z13" s="180">
        <v>0</v>
      </c>
      <c r="AA13" s="6"/>
      <c r="AB13" s="180">
        <v>0</v>
      </c>
      <c r="AC13" s="6"/>
      <c r="AD13" s="180">
        <v>0</v>
      </c>
      <c r="AE13" s="6"/>
      <c r="AF13" s="180">
        <v>0</v>
      </c>
      <c r="AG13" s="6"/>
      <c r="AH13" s="180">
        <v>0</v>
      </c>
      <c r="AI13" s="6"/>
      <c r="AJ13" s="180">
        <v>0</v>
      </c>
      <c r="AK13" s="6"/>
      <c r="AL13" s="180">
        <v>0</v>
      </c>
      <c r="AM13" s="6"/>
      <c r="AN13" s="180">
        <v>0</v>
      </c>
      <c r="AO13" s="6"/>
      <c r="AP13" s="180">
        <v>0</v>
      </c>
      <c r="AQ13" s="6"/>
      <c r="AR13" s="180">
        <v>0</v>
      </c>
      <c r="AS13" s="6"/>
      <c r="AT13" s="180">
        <v>0</v>
      </c>
      <c r="AU13" s="6"/>
      <c r="AV13" s="180">
        <v>0</v>
      </c>
      <c r="AW13" s="6"/>
      <c r="AX13" s="180">
        <v>0</v>
      </c>
      <c r="AY13" s="6"/>
      <c r="AZ13" s="180">
        <v>0</v>
      </c>
      <c r="BA13" s="6"/>
      <c r="BB13" s="180">
        <v>0</v>
      </c>
      <c r="BC13" s="6"/>
      <c r="BD13" s="180">
        <v>0</v>
      </c>
      <c r="BE13" s="6"/>
      <c r="BF13" s="180">
        <v>0</v>
      </c>
      <c r="BG13" s="6"/>
      <c r="BH13" s="180">
        <v>0</v>
      </c>
      <c r="BI13" s="6"/>
      <c r="BJ13" s="180">
        <v>0</v>
      </c>
      <c r="BK13" s="6"/>
      <c r="BL13" s="180">
        <v>0</v>
      </c>
      <c r="BM13" s="6"/>
      <c r="BN13" s="180">
        <v>0</v>
      </c>
      <c r="BO13" s="6"/>
      <c r="BP13" s="180">
        <v>0</v>
      </c>
      <c r="BQ13" s="6"/>
      <c r="BR13" s="180">
        <v>0</v>
      </c>
    </row>
    <row r="14" spans="1:70" s="175" customFormat="1" ht="12.75" x14ac:dyDescent="0.2">
      <c r="A14" s="1"/>
      <c r="B14" s="51" t="s">
        <v>25</v>
      </c>
      <c r="C14" s="7"/>
      <c r="D14" s="2"/>
      <c r="E14" s="7"/>
      <c r="F14" s="7"/>
      <c r="G14" s="6"/>
      <c r="H14" s="181" t="s">
        <v>26</v>
      </c>
      <c r="I14" s="6"/>
      <c r="J14" s="181" t="s">
        <v>26</v>
      </c>
      <c r="K14" s="6"/>
      <c r="L14" s="181" t="s">
        <v>26</v>
      </c>
      <c r="M14" s="6"/>
      <c r="N14" s="181" t="s">
        <v>26</v>
      </c>
      <c r="O14" s="6"/>
      <c r="P14" s="181" t="s">
        <v>26</v>
      </c>
      <c r="Q14" s="6"/>
      <c r="R14" s="181" t="s">
        <v>26</v>
      </c>
      <c r="S14" s="6"/>
      <c r="T14" s="181" t="s">
        <v>26</v>
      </c>
      <c r="U14" s="6"/>
      <c r="V14" s="181" t="s">
        <v>26</v>
      </c>
      <c r="W14" s="6"/>
      <c r="X14" s="181" t="s">
        <v>26</v>
      </c>
      <c r="Y14" s="6"/>
      <c r="Z14" s="181" t="s">
        <v>26</v>
      </c>
      <c r="AA14" s="6"/>
      <c r="AB14" s="181" t="s">
        <v>26</v>
      </c>
      <c r="AC14" s="6"/>
      <c r="AD14" s="181" t="s">
        <v>26</v>
      </c>
      <c r="AE14" s="6"/>
      <c r="AF14" s="181" t="s">
        <v>26</v>
      </c>
      <c r="AG14" s="6"/>
      <c r="AH14" s="181" t="s">
        <v>26</v>
      </c>
      <c r="AI14" s="6"/>
      <c r="AJ14" s="181" t="s">
        <v>26</v>
      </c>
      <c r="AK14" s="6"/>
      <c r="AL14" s="181" t="s">
        <v>26</v>
      </c>
      <c r="AM14" s="6"/>
      <c r="AN14" s="181" t="s">
        <v>26</v>
      </c>
      <c r="AO14" s="6"/>
      <c r="AP14" s="181" t="s">
        <v>26</v>
      </c>
      <c r="AQ14" s="6"/>
      <c r="AR14" s="181" t="s">
        <v>26</v>
      </c>
      <c r="AS14" s="6"/>
      <c r="AT14" s="181" t="s">
        <v>26</v>
      </c>
      <c r="AU14" s="6"/>
      <c r="AV14" s="181" t="s">
        <v>26</v>
      </c>
      <c r="AW14" s="6"/>
      <c r="AX14" s="181" t="s">
        <v>26</v>
      </c>
      <c r="AY14" s="6"/>
      <c r="AZ14" s="181" t="s">
        <v>26</v>
      </c>
      <c r="BA14" s="6"/>
      <c r="BB14" s="181" t="s">
        <v>26</v>
      </c>
      <c r="BC14" s="6"/>
      <c r="BD14" s="181" t="s">
        <v>26</v>
      </c>
      <c r="BE14" s="6"/>
      <c r="BF14" s="181" t="s">
        <v>26</v>
      </c>
      <c r="BG14" s="6"/>
      <c r="BH14" s="181" t="s">
        <v>26</v>
      </c>
      <c r="BI14" s="6"/>
      <c r="BJ14" s="181" t="s">
        <v>26</v>
      </c>
      <c r="BK14" s="6"/>
      <c r="BL14" s="181" t="s">
        <v>26</v>
      </c>
      <c r="BM14" s="6"/>
      <c r="BN14" s="181" t="s">
        <v>26</v>
      </c>
      <c r="BO14" s="6"/>
      <c r="BP14" s="181" t="s">
        <v>26</v>
      </c>
      <c r="BQ14" s="6"/>
      <c r="BR14" s="181" t="s">
        <v>26</v>
      </c>
    </row>
    <row r="15" spans="1:70" s="175" customFormat="1" ht="12.75" x14ac:dyDescent="0.2">
      <c r="A15" s="1"/>
      <c r="B15" s="7"/>
      <c r="C15" s="7"/>
      <c r="D15" s="7"/>
      <c r="E15" s="7"/>
      <c r="F15" s="7"/>
      <c r="G15" s="6"/>
      <c r="H15" s="7"/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6"/>
      <c r="BJ15" s="7"/>
      <c r="BK15" s="6"/>
      <c r="BL15" s="7"/>
      <c r="BM15" s="6"/>
      <c r="BN15" s="7"/>
      <c r="BO15" s="6"/>
      <c r="BP15" s="7"/>
      <c r="BQ15" s="6"/>
      <c r="BR15" s="7"/>
    </row>
    <row r="16" spans="1:70" s="175" customFormat="1" ht="12.75" x14ac:dyDescent="0.2">
      <c r="A16" s="1"/>
      <c r="B16" s="7"/>
      <c r="C16" s="7"/>
      <c r="D16" s="7"/>
      <c r="E16" s="7"/>
      <c r="F16" s="7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</row>
    <row r="17" spans="1:70" s="175" customFormat="1" ht="12.75" x14ac:dyDescent="0.2">
      <c r="A17" s="1"/>
      <c r="B17" s="51" t="s">
        <v>27</v>
      </c>
      <c r="C17" s="7"/>
      <c r="D17" s="53"/>
      <c r="E17" s="7"/>
      <c r="F17" s="7"/>
      <c r="G17" s="53"/>
      <c r="H17" s="53">
        <f>'Est Revenue Req CCR.ELG'!D48</f>
        <v>28308044.342800222</v>
      </c>
      <c r="I17" s="53"/>
      <c r="J17" s="53">
        <f>H17</f>
        <v>28308044.342800222</v>
      </c>
      <c r="K17" s="53"/>
      <c r="L17" s="53">
        <f>J17</f>
        <v>28308044.342800222</v>
      </c>
      <c r="M17" s="53"/>
      <c r="N17" s="53">
        <f>L17</f>
        <v>28308044.342800222</v>
      </c>
      <c r="O17" s="53"/>
      <c r="P17" s="53">
        <f>N17</f>
        <v>28308044.342800222</v>
      </c>
      <c r="Q17" s="53"/>
      <c r="R17" s="53">
        <f>P17</f>
        <v>28308044.342800222</v>
      </c>
      <c r="S17" s="53"/>
      <c r="T17" s="53">
        <f>'Est Revenue Req CCR.ELG'!D54</f>
        <v>41353566.485926077</v>
      </c>
      <c r="U17" s="53"/>
      <c r="V17" s="53">
        <f>T17</f>
        <v>41353566.485926077</v>
      </c>
      <c r="W17" s="53"/>
      <c r="X17" s="53">
        <f>V17</f>
        <v>41353566.485926077</v>
      </c>
      <c r="Y17" s="53"/>
      <c r="Z17" s="53">
        <f>X17</f>
        <v>41353566.485926077</v>
      </c>
      <c r="AA17" s="53"/>
      <c r="AB17" s="53">
        <f>Z17</f>
        <v>41353566.485926077</v>
      </c>
      <c r="AC17" s="53"/>
      <c r="AD17" s="53">
        <f>'Est Revenue Req CCR.ELG'!D59</f>
        <v>65759260.47031036</v>
      </c>
      <c r="AE17" s="53"/>
      <c r="AF17" s="53">
        <f>AD17</f>
        <v>65759260.47031036</v>
      </c>
      <c r="AG17" s="53"/>
      <c r="AH17" s="53">
        <f>AF17</f>
        <v>65759260.47031036</v>
      </c>
      <c r="AI17" s="53"/>
      <c r="AJ17" s="53">
        <f>AH17</f>
        <v>65759260.47031036</v>
      </c>
      <c r="AK17" s="53"/>
      <c r="AL17" s="53">
        <f>AJ17</f>
        <v>65759260.47031036</v>
      </c>
      <c r="AM17" s="53"/>
      <c r="AN17" s="53">
        <f>AL17</f>
        <v>65759260.47031036</v>
      </c>
      <c r="AO17" s="53"/>
      <c r="AP17" s="53">
        <f>AN17</f>
        <v>65759260.47031036</v>
      </c>
      <c r="AQ17" s="53"/>
      <c r="AR17" s="53">
        <f>AP17</f>
        <v>65759260.47031036</v>
      </c>
      <c r="AS17" s="53"/>
      <c r="AT17" s="53">
        <f>AR17</f>
        <v>65759260.47031036</v>
      </c>
      <c r="AU17" s="53"/>
      <c r="AV17" s="53">
        <f>AT17</f>
        <v>65759260.47031036</v>
      </c>
      <c r="AW17" s="53"/>
      <c r="AX17" s="53">
        <f>AV17</f>
        <v>65759260.47031036</v>
      </c>
      <c r="AY17" s="53"/>
      <c r="AZ17" s="53">
        <f>AX17</f>
        <v>65759260.47031036</v>
      </c>
      <c r="BA17" s="53"/>
      <c r="BB17" s="53">
        <f>AZ17</f>
        <v>65759260.47031036</v>
      </c>
      <c r="BC17" s="53"/>
      <c r="BD17" s="53">
        <f>BB17</f>
        <v>65759260.47031036</v>
      </c>
      <c r="BE17" s="53"/>
      <c r="BF17" s="53">
        <f>BD17</f>
        <v>65759260.47031036</v>
      </c>
      <c r="BG17" s="53"/>
      <c r="BH17" s="53">
        <f>BF17</f>
        <v>65759260.47031036</v>
      </c>
      <c r="BI17" s="53"/>
      <c r="BJ17" s="53">
        <f>BH17</f>
        <v>65759260.47031036</v>
      </c>
      <c r="BK17" s="53"/>
      <c r="BL17" s="53">
        <f>BJ17</f>
        <v>65759260.47031036</v>
      </c>
      <c r="BM17" s="53"/>
      <c r="BN17" s="53">
        <f>BL17</f>
        <v>65759260.47031036</v>
      </c>
      <c r="BO17" s="53"/>
      <c r="BP17" s="53">
        <f>BN17</f>
        <v>65759260.47031036</v>
      </c>
      <c r="BQ17" s="53"/>
      <c r="BR17" s="53">
        <f>BP17</f>
        <v>65759260.47031036</v>
      </c>
    </row>
    <row r="18" spans="1:70" s="175" customFormat="1" ht="12.75" x14ac:dyDescent="0.2">
      <c r="A18" s="1"/>
      <c r="B18" s="51" t="s">
        <v>28</v>
      </c>
      <c r="C18" s="7"/>
      <c r="D18" s="53"/>
      <c r="E18" s="7"/>
      <c r="F18" s="53"/>
      <c r="G18" s="53"/>
      <c r="H18" s="61">
        <f>VLOOKUP($H$8:$AD$8,'Depreciation '!$A$3:$C$20,3,FALSE)</f>
        <v>-138238</v>
      </c>
      <c r="I18" s="61">
        <v>0</v>
      </c>
      <c r="J18" s="61">
        <f>VLOOKUP($H$8:$AD$8,'Depreciation '!$A$3:$C$20,3,FALSE)</f>
        <v>-276476</v>
      </c>
      <c r="K18" s="61">
        <v>0</v>
      </c>
      <c r="L18" s="61">
        <f>VLOOKUP($H$8:$AD$8,'Depreciation '!$A$3:$C$20,3,FALSE)</f>
        <v>-414714</v>
      </c>
      <c r="M18" s="61">
        <v>0</v>
      </c>
      <c r="N18" s="61">
        <f>VLOOKUP($H$8:$AD$8,'Depreciation '!$A$3:$C$20,3,FALSE)</f>
        <v>-552952</v>
      </c>
      <c r="O18" s="61">
        <v>0</v>
      </c>
      <c r="P18" s="61">
        <f>VLOOKUP($H$8:$AD$8,'Depreciation '!$A$3:$C$20,3,FALSE)</f>
        <v>-691190</v>
      </c>
      <c r="Q18" s="61">
        <v>0</v>
      </c>
      <c r="R18" s="61">
        <f>VLOOKUP($H$8:$AD$8,'Depreciation '!$A$3:$C$20,3,FALSE)</f>
        <v>-829428</v>
      </c>
      <c r="S18" s="61">
        <v>0</v>
      </c>
      <c r="T18" s="61">
        <f>VLOOKUP($H$8:$AD$8,'Depreciation '!$A$3:$C$20,3,FALSE)</f>
        <v>-1031371</v>
      </c>
      <c r="U18" s="61">
        <v>0</v>
      </c>
      <c r="V18" s="61">
        <f>VLOOKUP($H$8:$AD$8,'Depreciation '!$A$3:$C$20,3,FALSE)</f>
        <v>-1233314</v>
      </c>
      <c r="W18" s="61">
        <v>0</v>
      </c>
      <c r="X18" s="61">
        <f>VLOOKUP($H$8:$AD$8,'Depreciation '!$A$3:$C$20,3,FALSE)</f>
        <v>-1435257</v>
      </c>
      <c r="Y18" s="61">
        <v>0</v>
      </c>
      <c r="Z18" s="61">
        <f>VLOOKUP($H$8:$AD$8,'Depreciation '!$A$3:$C$20,3,FALSE)</f>
        <v>-1637200</v>
      </c>
      <c r="AA18" s="61">
        <v>0</v>
      </c>
      <c r="AB18" s="61">
        <f>VLOOKUP($H$8:$AD$8,'Depreciation '!$A$3:$C$20,3,FALSE)</f>
        <v>-1839143</v>
      </c>
      <c r="AC18" s="61">
        <v>0</v>
      </c>
      <c r="AD18" s="61">
        <f>VLOOKUP($H$8:$AD$8,'Depreciation '!$A$3:$C$20,3,FALSE)</f>
        <v>-2160267</v>
      </c>
      <c r="AE18" s="61">
        <v>0</v>
      </c>
      <c r="AF18" s="61">
        <f>'Depreciation '!C20</f>
        <v>-2481391</v>
      </c>
      <c r="AG18" s="61">
        <v>0</v>
      </c>
      <c r="AH18" s="61">
        <f>'Depreciation '!C21</f>
        <v>-2802515</v>
      </c>
      <c r="AI18" s="61">
        <v>0</v>
      </c>
      <c r="AJ18" s="61">
        <f>'Depreciation '!C22</f>
        <v>-3123639</v>
      </c>
      <c r="AK18" s="61">
        <v>0</v>
      </c>
      <c r="AL18" s="61">
        <f>'Depreciation '!C23</f>
        <v>-3444763</v>
      </c>
      <c r="AM18" s="61">
        <v>0</v>
      </c>
      <c r="AN18" s="61">
        <f>'Depreciation '!C24</f>
        <v>-3765887</v>
      </c>
      <c r="AO18" s="61">
        <v>0</v>
      </c>
      <c r="AP18" s="61">
        <f>'Depreciation '!C25</f>
        <v>-4087011</v>
      </c>
      <c r="AQ18" s="61">
        <v>0</v>
      </c>
      <c r="AR18" s="61">
        <f>'Depreciation '!C26</f>
        <v>-4408135</v>
      </c>
      <c r="AS18" s="61">
        <v>0</v>
      </c>
      <c r="AT18" s="61">
        <f>'Depreciation '!C27</f>
        <v>-4729259</v>
      </c>
      <c r="AU18" s="61">
        <v>0</v>
      </c>
      <c r="AV18" s="61">
        <f>'Depreciation '!C28</f>
        <v>-5050383</v>
      </c>
      <c r="AW18" s="61">
        <v>0</v>
      </c>
      <c r="AX18" s="61">
        <f>'Depreciation '!C29</f>
        <v>-5371507</v>
      </c>
      <c r="AY18" s="61">
        <v>0</v>
      </c>
      <c r="AZ18" s="61">
        <f>'Depreciation '!C30</f>
        <v>-5692631</v>
      </c>
      <c r="BA18" s="61">
        <v>0</v>
      </c>
      <c r="BB18" s="61">
        <f>'Depreciation '!C31</f>
        <v>-6013755</v>
      </c>
      <c r="BC18" s="61">
        <v>0</v>
      </c>
      <c r="BD18" s="61">
        <f>'Depreciation '!C32</f>
        <v>-6334879</v>
      </c>
      <c r="BE18" s="61">
        <v>0</v>
      </c>
      <c r="BF18" s="61">
        <f>'Depreciation '!C33</f>
        <v>-6656003</v>
      </c>
      <c r="BG18" s="61">
        <v>0</v>
      </c>
      <c r="BH18" s="61">
        <f>'Depreciation '!C34</f>
        <v>-6977127</v>
      </c>
      <c r="BI18" s="61">
        <v>0</v>
      </c>
      <c r="BJ18" s="61">
        <f>'Depreciation '!C35</f>
        <v>-7298251</v>
      </c>
      <c r="BK18" s="61">
        <v>0</v>
      </c>
      <c r="BL18" s="61">
        <f>'Depreciation '!C36</f>
        <v>-7619375</v>
      </c>
      <c r="BM18" s="61">
        <v>0</v>
      </c>
      <c r="BN18" s="61">
        <f>'Depreciation '!C37</f>
        <v>-7940499</v>
      </c>
      <c r="BO18" s="61">
        <v>0</v>
      </c>
      <c r="BP18" s="61">
        <f>'Depreciation '!C38</f>
        <v>-8261623</v>
      </c>
      <c r="BQ18" s="61">
        <v>0</v>
      </c>
      <c r="BR18" s="61">
        <f>'Depreciation '!C39</f>
        <v>-8582747</v>
      </c>
    </row>
    <row r="19" spans="1:70" s="175" customFormat="1" ht="12.75" x14ac:dyDescent="0.2">
      <c r="A19" s="1"/>
      <c r="B19" s="7"/>
      <c r="C19" s="7"/>
      <c r="D19" s="53"/>
      <c r="E19" s="7"/>
      <c r="F19" s="7"/>
      <c r="G19" s="6"/>
      <c r="H19" s="54"/>
      <c r="I19" s="6"/>
      <c r="J19" s="54"/>
      <c r="K19" s="6"/>
      <c r="L19" s="54"/>
      <c r="M19" s="6"/>
      <c r="N19" s="54"/>
      <c r="O19" s="6"/>
      <c r="P19" s="54"/>
      <c r="Q19" s="6"/>
      <c r="R19" s="54"/>
      <c r="S19" s="6"/>
      <c r="T19" s="54"/>
      <c r="U19" s="6"/>
      <c r="V19" s="54"/>
      <c r="W19" s="6"/>
      <c r="X19" s="54"/>
      <c r="Y19" s="6"/>
      <c r="Z19" s="54"/>
      <c r="AA19" s="6"/>
      <c r="AB19" s="54"/>
      <c r="AC19" s="6"/>
      <c r="AD19" s="54"/>
      <c r="AE19" s="6"/>
      <c r="AF19" s="54"/>
      <c r="AG19" s="6"/>
      <c r="AH19" s="54"/>
      <c r="AI19" s="6"/>
      <c r="AJ19" s="54"/>
      <c r="AK19" s="6"/>
      <c r="AL19" s="54"/>
      <c r="AM19" s="6"/>
      <c r="AN19" s="54"/>
      <c r="AO19" s="6"/>
      <c r="AP19" s="54"/>
      <c r="AQ19" s="6"/>
      <c r="AR19" s="54"/>
      <c r="AS19" s="6"/>
      <c r="AT19" s="54"/>
      <c r="AU19" s="6"/>
      <c r="AV19" s="54"/>
      <c r="AW19" s="6"/>
      <c r="AX19" s="54"/>
      <c r="AY19" s="6"/>
      <c r="AZ19" s="54"/>
      <c r="BA19" s="6"/>
      <c r="BB19" s="54"/>
      <c r="BC19" s="6"/>
      <c r="BD19" s="54"/>
      <c r="BE19" s="6"/>
      <c r="BF19" s="54"/>
      <c r="BG19" s="6"/>
      <c r="BH19" s="54"/>
      <c r="BI19" s="6"/>
      <c r="BJ19" s="54"/>
      <c r="BK19" s="6"/>
      <c r="BL19" s="54"/>
      <c r="BM19" s="6"/>
      <c r="BN19" s="54"/>
      <c r="BO19" s="6"/>
      <c r="BP19" s="54"/>
      <c r="BQ19" s="6"/>
      <c r="BR19" s="54"/>
    </row>
    <row r="20" spans="1:70" s="175" customFormat="1" ht="13.5" thickBot="1" x14ac:dyDescent="0.25">
      <c r="A20" s="1"/>
      <c r="B20" s="55" t="s">
        <v>39</v>
      </c>
      <c r="C20" s="6"/>
      <c r="D20" s="6"/>
      <c r="E20" s="56"/>
      <c r="F20" s="7"/>
      <c r="G20" s="6"/>
      <c r="H20" s="57">
        <f>+H17+H18</f>
        <v>28169806.342800222</v>
      </c>
      <c r="I20" s="6"/>
      <c r="J20" s="57">
        <f>+J17+J18</f>
        <v>28031568.342800222</v>
      </c>
      <c r="K20" s="6"/>
      <c r="L20" s="57">
        <f>+L17+L18</f>
        <v>27893330.342800222</v>
      </c>
      <c r="M20" s="6"/>
      <c r="N20" s="57">
        <f>+N17+N18</f>
        <v>27755092.342800222</v>
      </c>
      <c r="O20" s="6"/>
      <c r="P20" s="57">
        <f>+P17+P18</f>
        <v>27616854.342800222</v>
      </c>
      <c r="Q20" s="6"/>
      <c r="R20" s="57">
        <f>+R17+R18</f>
        <v>27478616.342800222</v>
      </c>
      <c r="S20" s="6"/>
      <c r="T20" s="57">
        <f>+T17+T18</f>
        <v>40322195.485926077</v>
      </c>
      <c r="U20" s="6"/>
      <c r="V20" s="57">
        <f>+V17+V18</f>
        <v>40120252.485926077</v>
      </c>
      <c r="W20" s="6"/>
      <c r="X20" s="57">
        <f>+X17+X18</f>
        <v>39918309.485926077</v>
      </c>
      <c r="Y20" s="6"/>
      <c r="Z20" s="57">
        <f>+Z17+Z18</f>
        <v>39716366.485926077</v>
      </c>
      <c r="AA20" s="6"/>
      <c r="AB20" s="57">
        <f>+AB17+AB18</f>
        <v>39514423.485926077</v>
      </c>
      <c r="AC20" s="6"/>
      <c r="AD20" s="57">
        <f>+AD17+AD18</f>
        <v>63598993.47031036</v>
      </c>
      <c r="AE20" s="6"/>
      <c r="AF20" s="57">
        <f>+AF17+AF18</f>
        <v>63277869.47031036</v>
      </c>
      <c r="AG20" s="6"/>
      <c r="AH20" s="57">
        <f>+AH17+AH18</f>
        <v>62956745.47031036</v>
      </c>
      <c r="AI20" s="6"/>
      <c r="AJ20" s="57">
        <f>+AJ17+AJ18</f>
        <v>62635621.47031036</v>
      </c>
      <c r="AK20" s="6"/>
      <c r="AL20" s="57">
        <f>+AL17+AL18</f>
        <v>62314497.47031036</v>
      </c>
      <c r="AM20" s="6"/>
      <c r="AN20" s="57">
        <f>+AN17+AN18</f>
        <v>61993373.47031036</v>
      </c>
      <c r="AO20" s="6"/>
      <c r="AP20" s="57">
        <f>+AP17+AP18</f>
        <v>61672249.47031036</v>
      </c>
      <c r="AQ20" s="6"/>
      <c r="AR20" s="57">
        <f>+AR17+AR18</f>
        <v>61351125.47031036</v>
      </c>
      <c r="AS20" s="6"/>
      <c r="AT20" s="57">
        <f>+AT17+AT18</f>
        <v>61030001.47031036</v>
      </c>
      <c r="AU20" s="6"/>
      <c r="AV20" s="57">
        <f>+AV17+AV18</f>
        <v>60708877.47031036</v>
      </c>
      <c r="AW20" s="6"/>
      <c r="AX20" s="57">
        <f>+AX17+AX18</f>
        <v>60387753.47031036</v>
      </c>
      <c r="AY20" s="6"/>
      <c r="AZ20" s="57">
        <f>+AZ17+AZ18</f>
        <v>60066629.47031036</v>
      </c>
      <c r="BA20" s="6"/>
      <c r="BB20" s="57">
        <f>+BB17+BB18</f>
        <v>59745505.47031036</v>
      </c>
      <c r="BC20" s="6"/>
      <c r="BD20" s="57">
        <f>+BD17+BD18</f>
        <v>59424381.47031036</v>
      </c>
      <c r="BE20" s="6"/>
      <c r="BF20" s="57">
        <f>+BF17+BF18</f>
        <v>59103257.47031036</v>
      </c>
      <c r="BG20" s="6"/>
      <c r="BH20" s="57">
        <f>+BH17+BH18</f>
        <v>58782133.47031036</v>
      </c>
      <c r="BI20" s="6"/>
      <c r="BJ20" s="57">
        <f>+BJ17+BJ18</f>
        <v>58461009.47031036</v>
      </c>
      <c r="BK20" s="6"/>
      <c r="BL20" s="57">
        <f>+BL17+BL18</f>
        <v>58139885.47031036</v>
      </c>
      <c r="BM20" s="6"/>
      <c r="BN20" s="57">
        <f>+BN17+BN18</f>
        <v>57818761.47031036</v>
      </c>
      <c r="BO20" s="6"/>
      <c r="BP20" s="57">
        <f>+BP17+BP18</f>
        <v>57497637.47031036</v>
      </c>
      <c r="BQ20" s="6"/>
      <c r="BR20" s="57">
        <f>+BR17+BR18</f>
        <v>57176513.47031036</v>
      </c>
    </row>
    <row r="21" spans="1:70" ht="15.75" thickTop="1" x14ac:dyDescent="0.25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</row>
    <row r="22" spans="1:70" x14ac:dyDescent="0.25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182"/>
      <c r="U22" s="62"/>
      <c r="V22" s="182"/>
      <c r="W22" s="62"/>
      <c r="X22" s="182"/>
      <c r="Y22" s="62"/>
      <c r="Z22" s="182"/>
      <c r="AA22" s="62"/>
      <c r="AB22" s="182"/>
      <c r="AC22" s="62"/>
      <c r="AD22" s="182"/>
      <c r="AE22" s="62"/>
      <c r="AF22" s="182"/>
      <c r="AG22" s="62"/>
      <c r="AH22" s="182"/>
      <c r="AI22" s="62"/>
      <c r="AJ22" s="182"/>
      <c r="AK22" s="62"/>
      <c r="AL22" s="182"/>
      <c r="AM22" s="62"/>
      <c r="AN22" s="182"/>
      <c r="AO22" s="62"/>
      <c r="AP22" s="182"/>
      <c r="AQ22" s="62"/>
      <c r="AR22" s="182"/>
      <c r="AS22" s="62"/>
      <c r="AT22" s="182"/>
      <c r="AU22" s="62"/>
      <c r="AV22" s="182"/>
      <c r="AW22" s="62"/>
      <c r="AX22" s="182"/>
      <c r="AY22" s="62"/>
      <c r="AZ22" s="182"/>
      <c r="BA22" s="62"/>
      <c r="BB22" s="182"/>
      <c r="BC22" s="62"/>
      <c r="BD22" s="182"/>
      <c r="BE22" s="62"/>
      <c r="BF22" s="182"/>
      <c r="BG22" s="62"/>
      <c r="BH22" s="182"/>
      <c r="BI22" s="62"/>
      <c r="BJ22" s="182"/>
      <c r="BK22" s="62"/>
      <c r="BL22" s="182"/>
      <c r="BM22" s="62"/>
      <c r="BN22" s="182"/>
      <c r="BO22" s="62"/>
      <c r="BP22" s="182"/>
      <c r="BQ22" s="62"/>
      <c r="BR22" s="182"/>
    </row>
    <row r="23" spans="1:70" x14ac:dyDescent="0.25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</row>
    <row r="24" spans="1:70" x14ac:dyDescent="0.25"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</row>
    <row r="25" spans="1:70" x14ac:dyDescent="0.25">
      <c r="B25" s="51" t="s">
        <v>29</v>
      </c>
      <c r="C25" s="62"/>
      <c r="D25" s="62"/>
      <c r="E25" s="62"/>
      <c r="F25" s="62"/>
      <c r="G25" s="62"/>
      <c r="H25" s="53">
        <f>H17</f>
        <v>28308044.342800222</v>
      </c>
      <c r="I25" s="62"/>
      <c r="J25" s="53">
        <f>J17</f>
        <v>28308044.342800222</v>
      </c>
      <c r="K25" s="62"/>
      <c r="L25" s="53">
        <f>L17</f>
        <v>28308044.342800222</v>
      </c>
      <c r="M25" s="62"/>
      <c r="N25" s="53">
        <f>N17</f>
        <v>28308044.342800222</v>
      </c>
      <c r="O25" s="62"/>
      <c r="P25" s="53">
        <f>P17</f>
        <v>28308044.342800222</v>
      </c>
      <c r="Q25" s="62"/>
      <c r="R25" s="53">
        <f>R17</f>
        <v>28308044.342800222</v>
      </c>
      <c r="S25" s="62"/>
      <c r="T25" s="53">
        <f>T17</f>
        <v>41353566.485926077</v>
      </c>
      <c r="U25" s="62"/>
      <c r="V25" s="53">
        <f>V17</f>
        <v>41353566.485926077</v>
      </c>
      <c r="W25" s="62"/>
      <c r="X25" s="53">
        <f>X17</f>
        <v>41353566.485926077</v>
      </c>
      <c r="Y25" s="62"/>
      <c r="Z25" s="53">
        <f>Z17</f>
        <v>41353566.485926077</v>
      </c>
      <c r="AA25" s="62"/>
      <c r="AB25" s="53">
        <f>AB17</f>
        <v>41353566.485926077</v>
      </c>
      <c r="AC25" s="62"/>
      <c r="AD25" s="53">
        <f>AD17</f>
        <v>65759260.47031036</v>
      </c>
      <c r="AE25" s="62"/>
      <c r="AF25" s="53">
        <f>AF17</f>
        <v>65759260.47031036</v>
      </c>
      <c r="AG25" s="62"/>
      <c r="AH25" s="53">
        <f>AH17</f>
        <v>65759260.47031036</v>
      </c>
      <c r="AI25" s="62"/>
      <c r="AJ25" s="53">
        <f>AJ17</f>
        <v>65759260.47031036</v>
      </c>
      <c r="AK25" s="62"/>
      <c r="AL25" s="53">
        <f>AL17</f>
        <v>65759260.47031036</v>
      </c>
      <c r="AM25" s="62"/>
      <c r="AN25" s="53">
        <f>AN17</f>
        <v>65759260.47031036</v>
      </c>
      <c r="AO25" s="62"/>
      <c r="AP25" s="53">
        <f>AP17</f>
        <v>65759260.47031036</v>
      </c>
      <c r="AQ25" s="62"/>
      <c r="AR25" s="53">
        <f>AR17</f>
        <v>65759260.47031036</v>
      </c>
      <c r="AS25" s="62"/>
      <c r="AT25" s="53">
        <f>AT17</f>
        <v>65759260.47031036</v>
      </c>
      <c r="AU25" s="62"/>
      <c r="AV25" s="53">
        <f>AV17</f>
        <v>65759260.47031036</v>
      </c>
      <c r="AW25" s="62"/>
      <c r="AX25" s="53">
        <f>AX17</f>
        <v>65759260.47031036</v>
      </c>
      <c r="AY25" s="62"/>
      <c r="AZ25" s="53">
        <f>AZ17</f>
        <v>65759260.47031036</v>
      </c>
      <c r="BA25" s="62"/>
      <c r="BB25" s="53">
        <f>BB17</f>
        <v>65759260.47031036</v>
      </c>
      <c r="BC25" s="62"/>
      <c r="BD25" s="53">
        <f>BD17</f>
        <v>65759260.47031036</v>
      </c>
      <c r="BE25" s="62"/>
      <c r="BF25" s="53">
        <f>BF17</f>
        <v>65759260.47031036</v>
      </c>
      <c r="BG25" s="62"/>
      <c r="BH25" s="53">
        <f>BH17</f>
        <v>65759260.47031036</v>
      </c>
      <c r="BI25" s="62"/>
      <c r="BJ25" s="53">
        <f>BJ17</f>
        <v>65759260.47031036</v>
      </c>
      <c r="BK25" s="62"/>
      <c r="BL25" s="53">
        <f>BL17</f>
        <v>65759260.47031036</v>
      </c>
      <c r="BM25" s="62"/>
      <c r="BN25" s="53">
        <f>BN17</f>
        <v>65759260.47031036</v>
      </c>
      <c r="BO25" s="62"/>
      <c r="BP25" s="53">
        <f>BP17</f>
        <v>65759260.47031036</v>
      </c>
      <c r="BQ25" s="62"/>
      <c r="BR25" s="53">
        <f>BR17</f>
        <v>65759260.47031036</v>
      </c>
    </row>
    <row r="26" spans="1:70" x14ac:dyDescent="0.25">
      <c r="B26" s="51" t="s">
        <v>30</v>
      </c>
      <c r="C26" s="62"/>
      <c r="D26" s="62"/>
      <c r="E26" s="62"/>
      <c r="F26" s="62"/>
      <c r="G26" s="62"/>
      <c r="H26" s="53">
        <f>-$V52/12*H8</f>
        <v>-646149.47634259495</v>
      </c>
      <c r="I26" s="62"/>
      <c r="J26" s="53">
        <f>-$V52/12+H26</f>
        <v>-775379.37161111389</v>
      </c>
      <c r="K26" s="62"/>
      <c r="L26" s="53">
        <f>-$V52/12+J26</f>
        <v>-904609.26687963284</v>
      </c>
      <c r="M26" s="62"/>
      <c r="N26" s="53">
        <f>-$V52/12+L26</f>
        <v>-1033839.1621481518</v>
      </c>
      <c r="O26" s="62"/>
      <c r="P26" s="53">
        <f>-$V52/12+N26</f>
        <v>-1163069.0574166707</v>
      </c>
      <c r="Q26" s="62"/>
      <c r="R26" s="53">
        <f>-$V52/12+P26</f>
        <v>-1292298.9526851897</v>
      </c>
      <c r="S26" s="62"/>
      <c r="T26" s="53">
        <f>-$V52/12+R26</f>
        <v>-1421528.8479537086</v>
      </c>
      <c r="U26" s="62"/>
      <c r="V26" s="53">
        <f>-$V52/12+T26</f>
        <v>-1550758.7432222276</v>
      </c>
      <c r="W26" s="62"/>
      <c r="X26" s="53">
        <f>(-$AT52-$AT60)/12+V26</f>
        <v>-1875802.7006416786</v>
      </c>
      <c r="Y26" s="62"/>
      <c r="Z26" s="53">
        <f>(-$AT52-$AT60)/12+X26</f>
        <v>-2200846.65806113</v>
      </c>
      <c r="AA26" s="62"/>
      <c r="AB26" s="53">
        <f>(-$AT52-$AT60)/12+Z26</f>
        <v>-2525890.6154805813</v>
      </c>
      <c r="AC26" s="62"/>
      <c r="AD26" s="53">
        <f>(-$AT52-$AT60)/12+AB26</f>
        <v>-2850934.5729000326</v>
      </c>
      <c r="AE26" s="62"/>
      <c r="AF26" s="53">
        <f>(-$AT52-$AT60)/12+AD26</f>
        <v>-3175978.530319484</v>
      </c>
      <c r="AG26" s="62"/>
      <c r="AH26" s="53">
        <f>(-$AT52-$AT60)/12+AF26</f>
        <v>-3501022.4877389353</v>
      </c>
      <c r="AI26" s="62"/>
      <c r="AJ26" s="53">
        <f>(-$AT52-$AT60)/12+AH26</f>
        <v>-3826066.4451583866</v>
      </c>
      <c r="AK26" s="62"/>
      <c r="AL26" s="53">
        <f>(-$AT52-$AT60)/12+AJ26</f>
        <v>-4151110.4025778379</v>
      </c>
      <c r="AM26" s="62"/>
      <c r="AN26" s="53">
        <f>(-$AT52-$AT60)/12+AL26</f>
        <v>-4476154.3599972893</v>
      </c>
      <c r="AO26" s="62"/>
      <c r="AP26" s="53">
        <f>(-$AT52-$AT60)/12+AN26</f>
        <v>-4801198.3174167406</v>
      </c>
      <c r="AQ26" s="62"/>
      <c r="AR26" s="53">
        <f>(-$AT52-$AT60)/12+AP26</f>
        <v>-5126242.2748361919</v>
      </c>
      <c r="AS26" s="62"/>
      <c r="AT26" s="53">
        <f>(-$AT52-$AT60)/12+AR26</f>
        <v>-5451286.2322556432</v>
      </c>
      <c r="AU26" s="62"/>
      <c r="AV26" s="53">
        <f>(-$BR52-$BR60)/12+AT26</f>
        <v>-5828204.9558388088</v>
      </c>
      <c r="AW26" s="62"/>
      <c r="AX26" s="53">
        <f>(-$BR52-$BR60)/12+AV26</f>
        <v>-6205123.6794219743</v>
      </c>
      <c r="AY26" s="62"/>
      <c r="AZ26" s="53">
        <f>(-$BR52-$BR60)/12+AX26</f>
        <v>-6582042.4030051399</v>
      </c>
      <c r="BA26" s="62"/>
      <c r="BB26" s="53">
        <f>(-$BR52-$BR60)/12+AZ26</f>
        <v>-6958961.1265883055</v>
      </c>
      <c r="BC26" s="62"/>
      <c r="BD26" s="53">
        <f>(-$BR52-$BR60)/12+BB26</f>
        <v>-7335879.850171471</v>
      </c>
      <c r="BE26" s="62"/>
      <c r="BF26" s="53">
        <f>(-$BR52-$BR60)/12+BD26</f>
        <v>-7712798.5737546366</v>
      </c>
      <c r="BG26" s="62"/>
      <c r="BH26" s="53">
        <f>(-$BR52-$BR60)/12+BF26</f>
        <v>-8089717.2973378021</v>
      </c>
      <c r="BI26" s="62"/>
      <c r="BJ26" s="53">
        <f>(-$BR52-$BR60)/12+BH26</f>
        <v>-8466636.0209209677</v>
      </c>
      <c r="BK26" s="62"/>
      <c r="BL26" s="53">
        <f>(-$BR52-$BR60)/12+BJ26</f>
        <v>-8843554.7445041332</v>
      </c>
      <c r="BM26" s="62"/>
      <c r="BN26" s="53">
        <f>(-$BR52-$BR60)/12+BL26</f>
        <v>-9220473.4680872988</v>
      </c>
      <c r="BO26" s="62"/>
      <c r="BP26" s="53">
        <f>(-$BR52-$BR60)/12+BN26</f>
        <v>-9597392.1916704644</v>
      </c>
      <c r="BQ26" s="62"/>
      <c r="BR26" s="53">
        <f>(-$BR52-$BR60)/12+BP26</f>
        <v>-9974310.9152536299</v>
      </c>
    </row>
    <row r="27" spans="1:70" x14ac:dyDescent="0.25">
      <c r="B27" s="7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</row>
    <row r="28" spans="1:70" ht="15.75" thickBot="1" x14ac:dyDescent="0.3">
      <c r="B28" s="55" t="s">
        <v>40</v>
      </c>
      <c r="C28" s="62"/>
      <c r="D28" s="62"/>
      <c r="E28" s="62"/>
      <c r="F28" s="62"/>
      <c r="G28" s="62"/>
      <c r="H28" s="57">
        <f>+H25+H26</f>
        <v>27661894.866457626</v>
      </c>
      <c r="I28" s="62"/>
      <c r="J28" s="57">
        <f>+J25+J26</f>
        <v>27532664.971189108</v>
      </c>
      <c r="K28" s="62"/>
      <c r="L28" s="57">
        <f>+L25+L26</f>
        <v>27403435.075920589</v>
      </c>
      <c r="M28" s="62"/>
      <c r="N28" s="57">
        <f>+N25+N26</f>
        <v>27274205.180652071</v>
      </c>
      <c r="O28" s="62"/>
      <c r="P28" s="57">
        <f>+P25+P26</f>
        <v>27144975.285383552</v>
      </c>
      <c r="Q28" s="62"/>
      <c r="R28" s="57">
        <f>+R25+R26</f>
        <v>27015745.390115034</v>
      </c>
      <c r="S28" s="62"/>
      <c r="T28" s="57">
        <f>+T25+T26</f>
        <v>39932037.63797237</v>
      </c>
      <c r="U28" s="62"/>
      <c r="V28" s="57">
        <f>+V25+V26</f>
        <v>39802807.742703848</v>
      </c>
      <c r="W28" s="62"/>
      <c r="X28" s="57">
        <f>+X25+X26</f>
        <v>39477763.7852844</v>
      </c>
      <c r="Y28" s="62"/>
      <c r="Z28" s="57">
        <f>+Z25+Z26</f>
        <v>39152719.827864945</v>
      </c>
      <c r="AA28" s="62"/>
      <c r="AB28" s="57">
        <f>+AB25+AB26</f>
        <v>38827675.870445497</v>
      </c>
      <c r="AC28" s="62"/>
      <c r="AD28" s="57">
        <f>+AD25+AD26</f>
        <v>62908325.897410326</v>
      </c>
      <c r="AE28" s="62"/>
      <c r="AF28" s="57">
        <f>+AF25+AF26</f>
        <v>62583281.939990878</v>
      </c>
      <c r="AG28" s="62"/>
      <c r="AH28" s="57">
        <f>+AH25+AH26</f>
        <v>62258237.982571423</v>
      </c>
      <c r="AI28" s="62"/>
      <c r="AJ28" s="57">
        <f>+AJ25+AJ26</f>
        <v>61933194.025151975</v>
      </c>
      <c r="AK28" s="62"/>
      <c r="AL28" s="57">
        <f>+AL25+AL26</f>
        <v>61608150.06773252</v>
      </c>
      <c r="AM28" s="62"/>
      <c r="AN28" s="57">
        <f>+AN25+AN26</f>
        <v>61283106.110313073</v>
      </c>
      <c r="AO28" s="62"/>
      <c r="AP28" s="57">
        <f>+AP25+AP26</f>
        <v>60958062.152893618</v>
      </c>
      <c r="AQ28" s="62"/>
      <c r="AR28" s="57">
        <f>+AR25+AR26</f>
        <v>60633018.19547417</v>
      </c>
      <c r="AS28" s="62"/>
      <c r="AT28" s="57">
        <f>+AT25+AT26</f>
        <v>60307974.238054715</v>
      </c>
      <c r="AU28" s="62"/>
      <c r="AV28" s="57">
        <f>+AV25+AV26</f>
        <v>59931055.514471553</v>
      </c>
      <c r="AW28" s="62"/>
      <c r="AX28" s="57">
        <f>+AX25+AX26</f>
        <v>59554136.790888384</v>
      </c>
      <c r="AY28" s="62"/>
      <c r="AZ28" s="57">
        <f>+AZ25+AZ26</f>
        <v>59177218.067305222</v>
      </c>
      <c r="BA28" s="62"/>
      <c r="BB28" s="57">
        <f>+BB25+BB26</f>
        <v>58800299.343722053</v>
      </c>
      <c r="BC28" s="62"/>
      <c r="BD28" s="57">
        <f>+BD25+BD26</f>
        <v>58423380.620138891</v>
      </c>
      <c r="BE28" s="62"/>
      <c r="BF28" s="57">
        <f>+BF25+BF26</f>
        <v>58046461.896555722</v>
      </c>
      <c r="BG28" s="62"/>
      <c r="BH28" s="57">
        <f>+BH25+BH26</f>
        <v>57669543.17297256</v>
      </c>
      <c r="BI28" s="62"/>
      <c r="BJ28" s="57">
        <f>+BJ25+BJ26</f>
        <v>57292624.449389391</v>
      </c>
      <c r="BK28" s="62"/>
      <c r="BL28" s="57">
        <f>+BL25+BL26</f>
        <v>56915705.725806229</v>
      </c>
      <c r="BM28" s="62"/>
      <c r="BN28" s="57">
        <f>+BN25+BN26</f>
        <v>56538787.00222306</v>
      </c>
      <c r="BO28" s="62"/>
      <c r="BP28" s="57">
        <f>+BP25+BP26</f>
        <v>56161868.278639898</v>
      </c>
      <c r="BQ28" s="62"/>
      <c r="BR28" s="57">
        <f>+BR25+BR26</f>
        <v>55784949.555056728</v>
      </c>
    </row>
    <row r="29" spans="1:70" ht="15.75" thickTop="1" x14ac:dyDescent="0.25">
      <c r="B29" s="7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</row>
    <row r="30" spans="1:70" s="175" customFormat="1" ht="12.75" x14ac:dyDescent="0.2">
      <c r="A30" s="1"/>
      <c r="B30" s="2" t="s">
        <v>31</v>
      </c>
      <c r="C30" s="7"/>
      <c r="D30" s="6"/>
      <c r="E30" s="7"/>
      <c r="F30" s="6"/>
      <c r="G30" s="6"/>
      <c r="H30" s="3">
        <f>1-H28/H25</f>
        <v>2.2825648727900716E-2</v>
      </c>
      <c r="I30" s="6"/>
      <c r="J30" s="3">
        <f>1-J28/J25</f>
        <v>2.7390778473480926E-2</v>
      </c>
      <c r="K30" s="6"/>
      <c r="L30" s="3">
        <f>1-L28/L25</f>
        <v>3.1955908219061024E-2</v>
      </c>
      <c r="M30" s="6"/>
      <c r="N30" s="3">
        <f>1-N28/N25</f>
        <v>3.6521037964641123E-2</v>
      </c>
      <c r="O30" s="6"/>
      <c r="P30" s="3">
        <f>1-P28/P25</f>
        <v>4.1086167710221222E-2</v>
      </c>
      <c r="Q30" s="6"/>
      <c r="R30" s="3">
        <f>1-R28/R25</f>
        <v>4.5651297455801432E-2</v>
      </c>
      <c r="S30" s="6"/>
      <c r="T30" s="3">
        <f>1-T28/T25</f>
        <v>3.4374999999999933E-2</v>
      </c>
      <c r="U30" s="6"/>
      <c r="V30" s="3">
        <f>1-V28/V25</f>
        <v>3.7499999999999978E-2</v>
      </c>
      <c r="W30" s="6"/>
      <c r="X30" s="3">
        <f>1-X28/X25</f>
        <v>4.536011909106008E-2</v>
      </c>
      <c r="Y30" s="6"/>
      <c r="Z30" s="3">
        <f>1-Z28/Z25</f>
        <v>5.3220238182120294E-2</v>
      </c>
      <c r="AA30" s="6"/>
      <c r="AB30" s="3">
        <f>1-AB28/AB25</f>
        <v>6.1080357273180286E-2</v>
      </c>
      <c r="AC30" s="6"/>
      <c r="AD30" s="3">
        <f>1-AD28/AD25</f>
        <v>4.3354115488984268E-2</v>
      </c>
      <c r="AE30" s="6"/>
      <c r="AF30" s="3">
        <f>1-AF28/AF25</f>
        <v>4.8297053640884657E-2</v>
      </c>
      <c r="AG30" s="6"/>
      <c r="AH30" s="3">
        <f>1-AH28/AH25</f>
        <v>5.3239991792785046E-2</v>
      </c>
      <c r="AI30" s="6"/>
      <c r="AJ30" s="3">
        <f>1-AJ28/AJ25</f>
        <v>5.8182929944685324E-2</v>
      </c>
      <c r="AK30" s="6"/>
      <c r="AL30" s="3">
        <f>1-AL28/AL25</f>
        <v>6.3125868096585824E-2</v>
      </c>
      <c r="AM30" s="6"/>
      <c r="AN30" s="3">
        <f>1-AN28/AN25</f>
        <v>6.8068806248486102E-2</v>
      </c>
      <c r="AO30" s="6"/>
      <c r="AP30" s="3">
        <f>1-AP28/AP25</f>
        <v>7.3011744400386491E-2</v>
      </c>
      <c r="AQ30" s="6"/>
      <c r="AR30" s="3">
        <f>1-AR28/AR25</f>
        <v>7.795468255228688E-2</v>
      </c>
      <c r="AS30" s="6"/>
      <c r="AT30" s="3">
        <f>1-AT28/AT25</f>
        <v>8.2897620704187269E-2</v>
      </c>
      <c r="AU30" s="6"/>
      <c r="AV30" s="3">
        <f>1-AV28/AV25</f>
        <v>8.8629417577926972E-2</v>
      </c>
      <c r="AW30" s="6"/>
      <c r="AX30" s="3">
        <f>1-AX28/AX25</f>
        <v>9.4361214451666897E-2</v>
      </c>
      <c r="AY30" s="6"/>
      <c r="AZ30" s="3">
        <f>1-AZ28/AZ25</f>
        <v>0.1000930113254066</v>
      </c>
      <c r="BA30" s="6"/>
      <c r="BB30" s="3">
        <f>1-BB28/BB25</f>
        <v>0.10582480819914641</v>
      </c>
      <c r="BC30" s="6"/>
      <c r="BD30" s="3">
        <f>1-BD28/BD25</f>
        <v>0.11155660507288623</v>
      </c>
      <c r="BE30" s="6"/>
      <c r="BF30" s="3">
        <f>1-BF28/BF25</f>
        <v>0.11728840194662604</v>
      </c>
      <c r="BG30" s="6"/>
      <c r="BH30" s="3">
        <f>1-BH28/BH25</f>
        <v>0.12302019882036574</v>
      </c>
      <c r="BI30" s="6"/>
      <c r="BJ30" s="3">
        <f>1-BJ28/BJ25</f>
        <v>0.12875199569410567</v>
      </c>
      <c r="BK30" s="6"/>
      <c r="BL30" s="3">
        <f>1-BL28/BL25</f>
        <v>0.13448379256784537</v>
      </c>
      <c r="BM30" s="6"/>
      <c r="BN30" s="3">
        <f>1-BN28/BN25</f>
        <v>0.14021558944158519</v>
      </c>
      <c r="BO30" s="6"/>
      <c r="BP30" s="3">
        <f>1-BP28/BP25</f>
        <v>0.14594738631532489</v>
      </c>
      <c r="BQ30" s="6"/>
      <c r="BR30" s="3">
        <f>1-BR28/BR25</f>
        <v>0.15167918318906481</v>
      </c>
    </row>
    <row r="31" spans="1:70" x14ac:dyDescent="0.25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182"/>
      <c r="AE31" s="62"/>
      <c r="AF31" s="182"/>
      <c r="AG31" s="62"/>
      <c r="AH31" s="182"/>
      <c r="AI31" s="62"/>
      <c r="AJ31" s="182"/>
      <c r="AK31" s="62"/>
      <c r="AL31" s="182"/>
      <c r="AM31" s="62"/>
      <c r="AN31" s="182"/>
      <c r="AO31" s="62"/>
      <c r="AP31" s="182"/>
      <c r="AQ31" s="62"/>
      <c r="AR31" s="182"/>
      <c r="AS31" s="62"/>
      <c r="AT31" s="182"/>
      <c r="AU31" s="62"/>
      <c r="AV31" s="182"/>
      <c r="AW31" s="62"/>
      <c r="AX31" s="182"/>
      <c r="AY31" s="62"/>
      <c r="AZ31" s="182"/>
      <c r="BA31" s="62"/>
      <c r="BB31" s="182"/>
      <c r="BC31" s="62"/>
      <c r="BD31" s="182"/>
      <c r="BE31" s="62"/>
      <c r="BF31" s="182"/>
      <c r="BG31" s="62"/>
      <c r="BH31" s="182"/>
      <c r="BI31" s="62"/>
      <c r="BJ31" s="182"/>
      <c r="BK31" s="62"/>
      <c r="BL31" s="182"/>
      <c r="BM31" s="62"/>
      <c r="BN31" s="182"/>
      <c r="BO31" s="62"/>
      <c r="BP31" s="182"/>
      <c r="BQ31" s="62"/>
      <c r="BR31" s="182"/>
    </row>
    <row r="32" spans="1:70" x14ac:dyDescent="0.25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182"/>
      <c r="AE32" s="62"/>
      <c r="AF32" s="182"/>
      <c r="AG32" s="62"/>
      <c r="AH32" s="182"/>
      <c r="AI32" s="62"/>
      <c r="AJ32" s="182"/>
      <c r="AK32" s="62"/>
      <c r="AL32" s="182"/>
      <c r="AM32" s="62"/>
      <c r="AN32" s="182"/>
      <c r="AO32" s="62"/>
      <c r="AP32" s="182"/>
      <c r="AQ32" s="62"/>
      <c r="AR32" s="182"/>
      <c r="AS32" s="62"/>
      <c r="AT32" s="182"/>
      <c r="AU32" s="62"/>
      <c r="AV32" s="182"/>
      <c r="AW32" s="62"/>
      <c r="AX32" s="182"/>
      <c r="AY32" s="62"/>
      <c r="AZ32" s="182"/>
      <c r="BA32" s="62"/>
      <c r="BB32" s="182"/>
      <c r="BC32" s="62"/>
      <c r="BD32" s="182"/>
      <c r="BE32" s="62"/>
      <c r="BF32" s="182"/>
      <c r="BG32" s="62"/>
      <c r="BH32" s="182"/>
      <c r="BI32" s="62"/>
      <c r="BJ32" s="182"/>
      <c r="BK32" s="62"/>
      <c r="BL32" s="182"/>
      <c r="BM32" s="62"/>
      <c r="BN32" s="182"/>
      <c r="BO32" s="62"/>
      <c r="BP32" s="182"/>
      <c r="BQ32" s="62"/>
      <c r="BR32" s="182"/>
    </row>
    <row r="33" spans="2:70" x14ac:dyDescent="0.25"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182"/>
      <c r="AE33" s="62"/>
      <c r="AF33" s="182"/>
      <c r="AG33" s="62"/>
      <c r="AH33" s="182"/>
      <c r="AI33" s="62"/>
      <c r="AJ33" s="182"/>
      <c r="AK33" s="62"/>
      <c r="AL33" s="182"/>
      <c r="AM33" s="62"/>
      <c r="AN33" s="182"/>
      <c r="AO33" s="62"/>
      <c r="AP33" s="182"/>
      <c r="AQ33" s="62"/>
      <c r="AR33" s="182"/>
      <c r="AS33" s="62"/>
      <c r="AT33" s="182"/>
      <c r="AU33" s="62"/>
      <c r="AV33" s="182"/>
      <c r="AW33" s="62"/>
      <c r="AX33" s="182"/>
      <c r="AY33" s="62"/>
      <c r="AZ33" s="182"/>
      <c r="BA33" s="62"/>
      <c r="BB33" s="182"/>
      <c r="BC33" s="62"/>
      <c r="BD33" s="182"/>
      <c r="BE33" s="62"/>
      <c r="BF33" s="182"/>
      <c r="BG33" s="62"/>
      <c r="BH33" s="182"/>
      <c r="BI33" s="62"/>
      <c r="BJ33" s="182"/>
      <c r="BK33" s="62"/>
      <c r="BL33" s="182"/>
      <c r="BM33" s="62"/>
      <c r="BN33" s="182"/>
      <c r="BO33" s="62"/>
      <c r="BP33" s="182"/>
      <c r="BQ33" s="62"/>
      <c r="BR33" s="182"/>
    </row>
    <row r="34" spans="2:70" x14ac:dyDescent="0.25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182"/>
      <c r="AE34" s="62"/>
      <c r="AF34" s="182"/>
      <c r="AG34" s="62"/>
      <c r="AH34" s="182"/>
      <c r="AI34" s="62"/>
      <c r="AJ34" s="182"/>
      <c r="AK34" s="62"/>
      <c r="AL34" s="182"/>
      <c r="AM34" s="62"/>
      <c r="AN34" s="182"/>
      <c r="AO34" s="62"/>
      <c r="AP34" s="182"/>
      <c r="AQ34" s="62"/>
      <c r="AR34" s="182"/>
      <c r="AS34" s="62"/>
      <c r="AT34" s="182"/>
      <c r="AU34" s="62"/>
      <c r="AV34" s="182"/>
      <c r="AW34" s="62"/>
      <c r="AX34" s="182"/>
      <c r="AY34" s="62"/>
      <c r="AZ34" s="182"/>
      <c r="BA34" s="62"/>
      <c r="BB34" s="182"/>
      <c r="BC34" s="62"/>
      <c r="BD34" s="182"/>
      <c r="BE34" s="62"/>
      <c r="BF34" s="182"/>
      <c r="BG34" s="62"/>
      <c r="BH34" s="182"/>
      <c r="BI34" s="62"/>
      <c r="BJ34" s="182"/>
      <c r="BK34" s="62"/>
      <c r="BL34" s="182"/>
      <c r="BM34" s="62"/>
      <c r="BN34" s="182"/>
      <c r="BO34" s="62"/>
      <c r="BP34" s="182"/>
      <c r="BQ34" s="62"/>
      <c r="BR34" s="182"/>
    </row>
    <row r="35" spans="2:70" x14ac:dyDescent="0.25">
      <c r="B35" s="51" t="s">
        <v>32</v>
      </c>
      <c r="C35" s="62"/>
      <c r="D35" s="62"/>
      <c r="E35" s="62"/>
      <c r="F35" s="62"/>
      <c r="G35" s="62"/>
      <c r="H35" s="53">
        <f>+H28-H20</f>
        <v>-507911.47634259611</v>
      </c>
      <c r="I35" s="62"/>
      <c r="J35" s="53">
        <f>+J28-J20</f>
        <v>-498903.37161111459</v>
      </c>
      <c r="K35" s="62"/>
      <c r="L35" s="53">
        <f>+L28-L20</f>
        <v>-489895.26687963307</v>
      </c>
      <c r="M35" s="62"/>
      <c r="N35" s="53">
        <f>+N28-N20</f>
        <v>-480887.16214815155</v>
      </c>
      <c r="O35" s="62"/>
      <c r="P35" s="53">
        <f>+P28-P20</f>
        <v>-471879.05741667002</v>
      </c>
      <c r="Q35" s="62"/>
      <c r="R35" s="53">
        <f>+R28-R20</f>
        <v>-462870.9526851885</v>
      </c>
      <c r="S35" s="62"/>
      <c r="T35" s="53">
        <f>+T28-T20</f>
        <v>-390157.84795370698</v>
      </c>
      <c r="U35" s="62"/>
      <c r="V35" s="53">
        <f>+V28-V20</f>
        <v>-317444.74322222918</v>
      </c>
      <c r="W35" s="62"/>
      <c r="X35" s="53">
        <f>+X28-X20</f>
        <v>-440545.70064167678</v>
      </c>
      <c r="Y35" s="62"/>
      <c r="Z35" s="53">
        <f>+Z28-Z20</f>
        <v>-563646.65806113183</v>
      </c>
      <c r="AA35" s="62"/>
      <c r="AB35" s="53">
        <f>+AB28-AB20</f>
        <v>-686747.61548057944</v>
      </c>
      <c r="AC35" s="62"/>
      <c r="AD35" s="53">
        <f>+AD28-AD20</f>
        <v>-690667.57290003449</v>
      </c>
      <c r="AE35" s="62"/>
      <c r="AF35" s="53">
        <f>+AF28-AF20</f>
        <v>-694587.53031948209</v>
      </c>
      <c r="AG35" s="62"/>
      <c r="AH35" s="53">
        <f>+AH28-AH20</f>
        <v>-698507.48773893714</v>
      </c>
      <c r="AI35" s="62"/>
      <c r="AJ35" s="53">
        <f>+AJ28-AJ20</f>
        <v>-702427.44515838474</v>
      </c>
      <c r="AK35" s="62"/>
      <c r="AL35" s="53">
        <f>+AL28-AL20</f>
        <v>-706347.40257783979</v>
      </c>
      <c r="AM35" s="62"/>
      <c r="AN35" s="53">
        <f>+AN28-AN20</f>
        <v>-710267.35999728739</v>
      </c>
      <c r="AO35" s="62"/>
      <c r="AP35" s="53">
        <f>+AP28-AP20</f>
        <v>-714187.31741674244</v>
      </c>
      <c r="AQ35" s="62"/>
      <c r="AR35" s="53">
        <f>+AR28-AR20</f>
        <v>-718107.27483619004</v>
      </c>
      <c r="AS35" s="62"/>
      <c r="AT35" s="53">
        <f>+AT28-AT20</f>
        <v>-722027.2322556451</v>
      </c>
      <c r="AU35" s="62"/>
      <c r="AV35" s="53">
        <f>+AV28-AV20</f>
        <v>-777821.95583880693</v>
      </c>
      <c r="AW35" s="62"/>
      <c r="AX35" s="53">
        <f>+AX28-AX20</f>
        <v>-833616.67942197621</v>
      </c>
      <c r="AY35" s="62"/>
      <c r="AZ35" s="53">
        <f>+AZ28-AZ20</f>
        <v>-889411.40300513804</v>
      </c>
      <c r="BA35" s="62"/>
      <c r="BB35" s="53">
        <f>+BB28-BB20</f>
        <v>-945206.12658830732</v>
      </c>
      <c r="BC35" s="62"/>
      <c r="BD35" s="53">
        <f>+BD28-BD20</f>
        <v>-1001000.8501714692</v>
      </c>
      <c r="BE35" s="62"/>
      <c r="BF35" s="53">
        <f>+BF28-BF20</f>
        <v>-1056795.5737546384</v>
      </c>
      <c r="BG35" s="62"/>
      <c r="BH35" s="53">
        <f>+BH28-BH20</f>
        <v>-1112590.2973378003</v>
      </c>
      <c r="BI35" s="62"/>
      <c r="BJ35" s="53">
        <f>+BJ28-BJ20</f>
        <v>-1168385.0209209695</v>
      </c>
      <c r="BK35" s="62"/>
      <c r="BL35" s="53">
        <f>+BL28-BL20</f>
        <v>-1224179.7445041314</v>
      </c>
      <c r="BM35" s="62"/>
      <c r="BN35" s="53">
        <f>+BN28-BN20</f>
        <v>-1279974.4680873007</v>
      </c>
      <c r="BO35" s="62"/>
      <c r="BP35" s="53">
        <f>+BP28-BP20</f>
        <v>-1335769.1916704625</v>
      </c>
      <c r="BQ35" s="62"/>
      <c r="BR35" s="53">
        <f>+BR28-BR20</f>
        <v>-1391563.9152536318</v>
      </c>
    </row>
    <row r="36" spans="2:70" x14ac:dyDescent="0.25">
      <c r="B36" s="7"/>
      <c r="C36" s="62"/>
      <c r="D36" s="62"/>
      <c r="E36" s="62"/>
      <c r="F36" s="62"/>
      <c r="G36" s="62"/>
      <c r="H36" s="53"/>
      <c r="I36" s="62"/>
      <c r="J36" s="53"/>
      <c r="K36" s="62"/>
      <c r="L36" s="53"/>
      <c r="M36" s="62"/>
      <c r="N36" s="53"/>
      <c r="O36" s="62"/>
      <c r="P36" s="53"/>
      <c r="Q36" s="62"/>
      <c r="R36" s="53"/>
      <c r="S36" s="62"/>
      <c r="T36" s="53"/>
      <c r="U36" s="62"/>
      <c r="V36" s="53"/>
      <c r="W36" s="62"/>
      <c r="X36" s="53"/>
      <c r="Y36" s="62"/>
      <c r="Z36" s="53"/>
      <c r="AA36" s="62"/>
      <c r="AB36" s="53"/>
      <c r="AC36" s="62"/>
      <c r="AD36" s="53"/>
      <c r="AE36" s="62"/>
      <c r="AF36" s="53"/>
      <c r="AG36" s="62"/>
      <c r="AH36" s="53"/>
      <c r="AI36" s="62"/>
      <c r="AJ36" s="53"/>
      <c r="AK36" s="62"/>
      <c r="AL36" s="53"/>
      <c r="AM36" s="62"/>
      <c r="AN36" s="53"/>
      <c r="AO36" s="62"/>
      <c r="AP36" s="53"/>
      <c r="AQ36" s="62"/>
      <c r="AR36" s="53"/>
      <c r="AS36" s="62"/>
      <c r="AT36" s="53"/>
      <c r="AU36" s="62"/>
      <c r="AV36" s="53"/>
      <c r="AW36" s="62"/>
      <c r="AX36" s="53"/>
      <c r="AY36" s="62"/>
      <c r="AZ36" s="53"/>
      <c r="BA36" s="62"/>
      <c r="BB36" s="53"/>
      <c r="BC36" s="62"/>
      <c r="BD36" s="53"/>
      <c r="BE36" s="62"/>
      <c r="BF36" s="53"/>
      <c r="BG36" s="62"/>
      <c r="BH36" s="53"/>
      <c r="BI36" s="62"/>
      <c r="BJ36" s="53"/>
      <c r="BK36" s="62"/>
      <c r="BL36" s="53"/>
      <c r="BM36" s="62"/>
      <c r="BN36" s="53"/>
      <c r="BO36" s="62"/>
      <c r="BP36" s="53"/>
      <c r="BQ36" s="62"/>
      <c r="BR36" s="53"/>
    </row>
    <row r="37" spans="2:70" x14ac:dyDescent="0.25">
      <c r="B37" s="51" t="s">
        <v>33</v>
      </c>
      <c r="C37" s="62"/>
      <c r="D37" s="62"/>
      <c r="E37" s="62"/>
      <c r="F37" s="62"/>
      <c r="G37" s="62"/>
      <c r="H37" s="183">
        <v>0.21</v>
      </c>
      <c r="I37" s="62"/>
      <c r="J37" s="183">
        <v>0.21</v>
      </c>
      <c r="K37" s="62"/>
      <c r="L37" s="183">
        <v>0.21</v>
      </c>
      <c r="M37" s="62"/>
      <c r="N37" s="183">
        <v>0.21</v>
      </c>
      <c r="O37" s="62"/>
      <c r="P37" s="183">
        <v>0.21</v>
      </c>
      <c r="Q37" s="62"/>
      <c r="R37" s="183">
        <v>0.21</v>
      </c>
      <c r="S37" s="62"/>
      <c r="T37" s="183">
        <v>0.21</v>
      </c>
      <c r="U37" s="62"/>
      <c r="V37" s="183">
        <v>0.21</v>
      </c>
      <c r="W37" s="62"/>
      <c r="X37" s="183">
        <v>0.21</v>
      </c>
      <c r="Y37" s="62"/>
      <c r="Z37" s="183">
        <v>0.21</v>
      </c>
      <c r="AA37" s="62"/>
      <c r="AB37" s="183">
        <v>0.21</v>
      </c>
      <c r="AC37" s="62"/>
      <c r="AD37" s="183">
        <v>0.21</v>
      </c>
      <c r="AE37" s="62"/>
      <c r="AF37" s="183">
        <v>0.21</v>
      </c>
      <c r="AG37" s="62"/>
      <c r="AH37" s="183">
        <v>0.21</v>
      </c>
      <c r="AI37" s="62"/>
      <c r="AJ37" s="183">
        <v>0.21</v>
      </c>
      <c r="AK37" s="62"/>
      <c r="AL37" s="183">
        <v>0.21</v>
      </c>
      <c r="AM37" s="62"/>
      <c r="AN37" s="183">
        <v>0.21</v>
      </c>
      <c r="AO37" s="62"/>
      <c r="AP37" s="183">
        <v>0.21</v>
      </c>
      <c r="AQ37" s="62"/>
      <c r="AR37" s="183">
        <v>0.21</v>
      </c>
      <c r="AS37" s="62"/>
      <c r="AT37" s="183">
        <v>0.21</v>
      </c>
      <c r="AU37" s="62"/>
      <c r="AV37" s="183">
        <v>0.21</v>
      </c>
      <c r="AW37" s="62"/>
      <c r="AX37" s="183">
        <v>0.21</v>
      </c>
      <c r="AY37" s="62"/>
      <c r="AZ37" s="183">
        <v>0.21</v>
      </c>
      <c r="BA37" s="62"/>
      <c r="BB37" s="183">
        <v>0.21</v>
      </c>
      <c r="BC37" s="62"/>
      <c r="BD37" s="183">
        <v>0.21</v>
      </c>
      <c r="BE37" s="62"/>
      <c r="BF37" s="183">
        <v>0.21</v>
      </c>
      <c r="BG37" s="62"/>
      <c r="BH37" s="183">
        <v>0.21</v>
      </c>
      <c r="BI37" s="62"/>
      <c r="BJ37" s="183">
        <v>0.21</v>
      </c>
      <c r="BK37" s="62"/>
      <c r="BL37" s="183">
        <v>0.21</v>
      </c>
      <c r="BM37" s="62"/>
      <c r="BN37" s="183">
        <v>0.21</v>
      </c>
      <c r="BO37" s="62"/>
      <c r="BP37" s="183">
        <v>0.21</v>
      </c>
      <c r="BQ37" s="62"/>
      <c r="BR37" s="183">
        <v>0.21</v>
      </c>
    </row>
    <row r="38" spans="2:70" x14ac:dyDescent="0.25">
      <c r="B38" s="7"/>
      <c r="C38" s="62"/>
      <c r="D38" s="62"/>
      <c r="E38" s="62"/>
      <c r="F38" s="62"/>
      <c r="G38" s="62"/>
      <c r="H38" s="54"/>
      <c r="I38" s="62"/>
      <c r="J38" s="54"/>
      <c r="K38" s="62"/>
      <c r="L38" s="54"/>
      <c r="M38" s="62"/>
      <c r="N38" s="54"/>
      <c r="O38" s="62"/>
      <c r="P38" s="54"/>
      <c r="Q38" s="62"/>
      <c r="R38" s="54"/>
      <c r="S38" s="62"/>
      <c r="T38" s="54"/>
      <c r="U38" s="62"/>
      <c r="V38" s="54"/>
      <c r="W38" s="62"/>
      <c r="X38" s="54"/>
      <c r="Y38" s="62"/>
      <c r="Z38" s="54"/>
      <c r="AA38" s="62"/>
      <c r="AB38" s="54"/>
      <c r="AC38" s="62"/>
      <c r="AD38" s="54"/>
      <c r="AE38" s="62"/>
      <c r="AF38" s="54"/>
      <c r="AG38" s="62"/>
      <c r="AH38" s="54"/>
      <c r="AI38" s="62"/>
      <c r="AJ38" s="54"/>
      <c r="AK38" s="62"/>
      <c r="AL38" s="54"/>
      <c r="AM38" s="62"/>
      <c r="AN38" s="54"/>
      <c r="AO38" s="62"/>
      <c r="AP38" s="54"/>
      <c r="AQ38" s="62"/>
      <c r="AR38" s="54"/>
      <c r="AS38" s="62"/>
      <c r="AT38" s="54"/>
      <c r="AU38" s="62"/>
      <c r="AV38" s="54"/>
      <c r="AW38" s="62"/>
      <c r="AX38" s="54"/>
      <c r="AY38" s="62"/>
      <c r="AZ38" s="54"/>
      <c r="BA38" s="62"/>
      <c r="BB38" s="54"/>
      <c r="BC38" s="62"/>
      <c r="BD38" s="54"/>
      <c r="BE38" s="62"/>
      <c r="BF38" s="54"/>
      <c r="BG38" s="62"/>
      <c r="BH38" s="54"/>
      <c r="BI38" s="62"/>
      <c r="BJ38" s="54"/>
      <c r="BK38" s="62"/>
      <c r="BL38" s="54"/>
      <c r="BM38" s="62"/>
      <c r="BN38" s="54"/>
      <c r="BO38" s="62"/>
      <c r="BP38" s="54"/>
      <c r="BQ38" s="62"/>
      <c r="BR38" s="54"/>
    </row>
    <row r="39" spans="2:70" ht="15.75" thickBot="1" x14ac:dyDescent="0.3">
      <c r="B39" s="51" t="s">
        <v>41</v>
      </c>
      <c r="C39" s="62"/>
      <c r="D39" s="62"/>
      <c r="E39" s="62"/>
      <c r="F39" s="62"/>
      <c r="G39" s="62"/>
      <c r="H39" s="58">
        <f>ROUND(H35*H37,0)</f>
        <v>-106661</v>
      </c>
      <c r="I39" s="62"/>
      <c r="J39" s="58">
        <f>ROUND(J35*J37,0)</f>
        <v>-104770</v>
      </c>
      <c r="K39" s="62"/>
      <c r="L39" s="58">
        <f>ROUND(L35*L37,0)</f>
        <v>-102878</v>
      </c>
      <c r="M39" s="62"/>
      <c r="N39" s="58">
        <f>ROUND(N35*N37,0)</f>
        <v>-100986</v>
      </c>
      <c r="O39" s="62"/>
      <c r="P39" s="58">
        <f>ROUND(P35*P37,0)</f>
        <v>-99095</v>
      </c>
      <c r="Q39" s="62"/>
      <c r="R39" s="58">
        <f>ROUND(R35*R37,0)</f>
        <v>-97203</v>
      </c>
      <c r="S39" s="62"/>
      <c r="T39" s="58">
        <f>ROUND(T35*T37,0)</f>
        <v>-81933</v>
      </c>
      <c r="U39" s="62"/>
      <c r="V39" s="58">
        <f>ROUND(V35*V37,0)</f>
        <v>-66663</v>
      </c>
      <c r="W39" s="62"/>
      <c r="X39" s="58">
        <f>ROUND(X35*X37,0)</f>
        <v>-92515</v>
      </c>
      <c r="Y39" s="62"/>
      <c r="Z39" s="58">
        <f>ROUND(Z35*Z37,0)</f>
        <v>-118366</v>
      </c>
      <c r="AA39" s="62"/>
      <c r="AB39" s="58">
        <f>ROUND(AB35*AB37,0)</f>
        <v>-144217</v>
      </c>
      <c r="AC39" s="62"/>
      <c r="AD39" s="58">
        <f>ROUND(AD35*AD37,0)</f>
        <v>-145040</v>
      </c>
      <c r="AE39" s="62"/>
      <c r="AF39" s="58">
        <f>ROUND(AF35*AF37,0)</f>
        <v>-145863</v>
      </c>
      <c r="AG39" s="62"/>
      <c r="AH39" s="58">
        <f>ROUND(AH35*AH37,0)</f>
        <v>-146687</v>
      </c>
      <c r="AI39" s="62"/>
      <c r="AJ39" s="58">
        <f>ROUND(AJ35*AJ37,0)</f>
        <v>-147510</v>
      </c>
      <c r="AK39" s="62"/>
      <c r="AL39" s="58">
        <f>ROUND(AL35*AL37,0)</f>
        <v>-148333</v>
      </c>
      <c r="AM39" s="62"/>
      <c r="AN39" s="58">
        <f>ROUND(AN35*AN37,0)</f>
        <v>-149156</v>
      </c>
      <c r="AO39" s="62"/>
      <c r="AP39" s="58">
        <f>ROUND(AP35*AP37,0)</f>
        <v>-149979</v>
      </c>
      <c r="AQ39" s="62"/>
      <c r="AR39" s="58">
        <f>ROUND(AR35*AR37,0)</f>
        <v>-150803</v>
      </c>
      <c r="AS39" s="62"/>
      <c r="AT39" s="58">
        <f>ROUND(AT35*AT37,0)</f>
        <v>-151626</v>
      </c>
      <c r="AU39" s="62"/>
      <c r="AV39" s="58">
        <f>ROUND(AV35*AV37,0)</f>
        <v>-163343</v>
      </c>
      <c r="AW39" s="62"/>
      <c r="AX39" s="58">
        <f>ROUND(AX35*AX37,0)</f>
        <v>-175060</v>
      </c>
      <c r="AY39" s="62"/>
      <c r="AZ39" s="58">
        <f>ROUND(AZ35*AZ37,0)</f>
        <v>-186776</v>
      </c>
      <c r="BA39" s="62"/>
      <c r="BB39" s="58">
        <f>ROUND(BB35*BB37,0)</f>
        <v>-198493</v>
      </c>
      <c r="BC39" s="62"/>
      <c r="BD39" s="58">
        <f>ROUND(BD35*BD37,0)</f>
        <v>-210210</v>
      </c>
      <c r="BE39" s="62"/>
      <c r="BF39" s="58">
        <f>ROUND(BF35*BF37,0)</f>
        <v>-221927</v>
      </c>
      <c r="BG39" s="62"/>
      <c r="BH39" s="58">
        <f>ROUND(BH35*BH37,0)</f>
        <v>-233644</v>
      </c>
      <c r="BI39" s="62"/>
      <c r="BJ39" s="58">
        <f>ROUND(BJ35*BJ37,0)</f>
        <v>-245361</v>
      </c>
      <c r="BK39" s="62"/>
      <c r="BL39" s="58">
        <f>ROUND(BL35*BL37,0)</f>
        <v>-257078</v>
      </c>
      <c r="BM39" s="62"/>
      <c r="BN39" s="58">
        <f>ROUND(BN35*BN37,0)</f>
        <v>-268795</v>
      </c>
      <c r="BO39" s="62"/>
      <c r="BP39" s="58">
        <f>ROUND(BP35*BP37,0)</f>
        <v>-280512</v>
      </c>
      <c r="BQ39" s="62"/>
      <c r="BR39" s="58">
        <f>ROUND(BR35*BR37,0)</f>
        <v>-292228</v>
      </c>
    </row>
    <row r="40" spans="2:70" ht="15.75" thickTop="1" x14ac:dyDescent="0.25">
      <c r="B40" s="5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</row>
    <row r="41" spans="2:70" x14ac:dyDescent="0.25">
      <c r="B41" s="5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</row>
    <row r="42" spans="2:70" x14ac:dyDescent="0.25">
      <c r="B42" s="5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</row>
    <row r="43" spans="2:70" x14ac:dyDescent="0.25">
      <c r="B43" s="5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</row>
    <row r="44" spans="2:70" x14ac:dyDescent="0.25">
      <c r="B44" s="51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</row>
    <row r="45" spans="2:70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</row>
    <row r="46" spans="2:70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</row>
    <row r="47" spans="2:70" x14ac:dyDescent="0.25">
      <c r="B47" s="51" t="s">
        <v>131</v>
      </c>
      <c r="C47" s="62"/>
      <c r="D47" s="62"/>
      <c r="E47" s="62"/>
      <c r="F47" s="62"/>
      <c r="G47" s="62"/>
      <c r="H47" s="184"/>
      <c r="I47" s="62"/>
      <c r="J47" s="62"/>
      <c r="K47" s="62"/>
      <c r="L47" s="184"/>
      <c r="M47" s="62"/>
      <c r="N47" s="184"/>
      <c r="O47" s="62"/>
      <c r="P47" s="184"/>
      <c r="Q47" s="62"/>
      <c r="R47" s="184"/>
      <c r="S47" s="62"/>
      <c r="T47" s="184"/>
      <c r="U47" s="62"/>
      <c r="V47" s="185">
        <v>2023</v>
      </c>
      <c r="W47" s="62"/>
      <c r="X47" s="184"/>
      <c r="Y47" s="62"/>
      <c r="Z47" s="184"/>
      <c r="AA47" s="62"/>
      <c r="AB47" s="184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185">
        <f>$V$47</f>
        <v>2023</v>
      </c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185">
        <f>$V$47</f>
        <v>2023</v>
      </c>
    </row>
    <row r="48" spans="2:70" x14ac:dyDescent="0.25">
      <c r="B48" s="51" t="s">
        <v>29</v>
      </c>
      <c r="C48" s="62"/>
      <c r="D48" s="62"/>
      <c r="E48" s="62"/>
      <c r="F48" s="62"/>
      <c r="G48" s="62"/>
      <c r="H48" s="182"/>
      <c r="I48" s="62"/>
      <c r="J48" s="62"/>
      <c r="K48" s="62"/>
      <c r="L48" s="186"/>
      <c r="M48" s="62"/>
      <c r="N48" s="187"/>
      <c r="O48" s="62"/>
      <c r="P48" s="187"/>
      <c r="Q48" s="62"/>
      <c r="R48" s="187"/>
      <c r="S48" s="62"/>
      <c r="T48" s="187"/>
      <c r="U48" s="62"/>
      <c r="V48" s="186">
        <f>V25</f>
        <v>41353566.485926077</v>
      </c>
      <c r="W48" s="62"/>
      <c r="X48" s="187"/>
      <c r="Y48" s="62"/>
      <c r="Z48" s="187"/>
      <c r="AA48" s="62"/>
      <c r="AB48" s="187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186">
        <f>V48</f>
        <v>41353566.485926077</v>
      </c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186">
        <f>AT48</f>
        <v>41353566.485926077</v>
      </c>
    </row>
    <row r="49" spans="2:70" x14ac:dyDescent="0.25">
      <c r="B49" s="51" t="s">
        <v>34</v>
      </c>
      <c r="C49" s="62"/>
      <c r="D49" s="62"/>
      <c r="E49" s="62"/>
      <c r="F49" s="62"/>
      <c r="G49" s="62"/>
      <c r="H49" s="182"/>
      <c r="I49" s="62"/>
      <c r="J49" s="62"/>
      <c r="K49" s="62"/>
      <c r="L49" s="186"/>
      <c r="M49" s="62"/>
      <c r="N49" s="187"/>
      <c r="O49" s="62"/>
      <c r="P49" s="187"/>
      <c r="Q49" s="62"/>
      <c r="R49" s="187"/>
      <c r="S49" s="62"/>
      <c r="T49" s="187"/>
      <c r="U49" s="62"/>
      <c r="V49" s="186">
        <f>V48*V13</f>
        <v>0</v>
      </c>
      <c r="W49" s="62"/>
      <c r="X49" s="187"/>
      <c r="Y49" s="62"/>
      <c r="Z49" s="187"/>
      <c r="AA49" s="62"/>
      <c r="AB49" s="187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186">
        <f>AT48*AT13</f>
        <v>0</v>
      </c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186">
        <f>BR48*BR13</f>
        <v>0</v>
      </c>
    </row>
    <row r="50" spans="2:70" x14ac:dyDescent="0.25">
      <c r="B50" s="51" t="s">
        <v>35</v>
      </c>
      <c r="C50" s="62"/>
      <c r="D50" s="62"/>
      <c r="E50" s="62"/>
      <c r="F50" s="62"/>
      <c r="G50" s="62"/>
      <c r="H50" s="182"/>
      <c r="I50" s="62"/>
      <c r="J50" s="62"/>
      <c r="K50" s="62"/>
      <c r="L50" s="186"/>
      <c r="M50" s="62"/>
      <c r="N50" s="187"/>
      <c r="O50" s="62"/>
      <c r="P50" s="187"/>
      <c r="Q50" s="62"/>
      <c r="R50" s="187"/>
      <c r="S50" s="62"/>
      <c r="T50" s="187"/>
      <c r="U50" s="62"/>
      <c r="V50" s="188">
        <f>V48-V49</f>
        <v>41353566.485926077</v>
      </c>
      <c r="W50" s="62"/>
      <c r="X50" s="187"/>
      <c r="Y50" s="62"/>
      <c r="Z50" s="187"/>
      <c r="AA50" s="62"/>
      <c r="AB50" s="187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188">
        <f>AT48-AT49</f>
        <v>41353566.485926077</v>
      </c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188">
        <f>BR48-BR49</f>
        <v>41353566.485926077</v>
      </c>
    </row>
    <row r="51" spans="2:70" x14ac:dyDescent="0.25">
      <c r="B51" s="59" t="s">
        <v>36</v>
      </c>
      <c r="C51" s="62"/>
      <c r="D51" s="62"/>
      <c r="E51" s="62"/>
      <c r="F51" s="62"/>
      <c r="G51" s="62"/>
      <c r="H51" s="189"/>
      <c r="I51" s="62"/>
      <c r="J51" s="62"/>
      <c r="K51" s="62"/>
      <c r="L51" s="190"/>
      <c r="M51" s="62"/>
      <c r="N51" s="190"/>
      <c r="O51" s="62"/>
      <c r="P51" s="190"/>
      <c r="Q51" s="62"/>
      <c r="R51" s="190"/>
      <c r="S51" s="62"/>
      <c r="T51" s="190"/>
      <c r="U51" s="62"/>
      <c r="V51" s="190">
        <f>VLOOKUP(V9-(V47-1),$E$65:$H$86,4)</f>
        <v>3.7499999999999999E-2</v>
      </c>
      <c r="W51" s="62"/>
      <c r="X51" s="190"/>
      <c r="Y51" s="62"/>
      <c r="Z51" s="190"/>
      <c r="AA51" s="62"/>
      <c r="AB51" s="190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190">
        <f>VLOOKUP(AT9-(AT47-1),$E$65:$H$86,4)</f>
        <v>7.2190000000000004E-2</v>
      </c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190">
        <f>VLOOKUP(BR9-(BR47-1),$E$65:$H$86,4)</f>
        <v>6.6769999999999996E-2</v>
      </c>
    </row>
    <row r="52" spans="2:70" ht="15.75" thickBot="1" x14ac:dyDescent="0.3">
      <c r="B52" s="51" t="s">
        <v>84</v>
      </c>
      <c r="C52" s="62"/>
      <c r="D52" s="62"/>
      <c r="E52" s="62"/>
      <c r="F52" s="62"/>
      <c r="G52" s="62"/>
      <c r="H52" s="62"/>
      <c r="I52" s="62"/>
      <c r="J52" s="62"/>
      <c r="K52" s="62"/>
      <c r="L52" s="187"/>
      <c r="M52" s="62"/>
      <c r="N52" s="187"/>
      <c r="O52" s="62"/>
      <c r="P52" s="187"/>
      <c r="Q52" s="62"/>
      <c r="R52" s="187"/>
      <c r="S52" s="62"/>
      <c r="T52" s="187"/>
      <c r="U52" s="62"/>
      <c r="V52" s="191">
        <f>V48*V51</f>
        <v>1550758.7432222278</v>
      </c>
      <c r="W52" s="62"/>
      <c r="X52" s="187"/>
      <c r="Y52" s="62"/>
      <c r="Z52" s="187"/>
      <c r="AA52" s="62"/>
      <c r="AB52" s="187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191">
        <f>AT48*AT51</f>
        <v>2985313.9646190037</v>
      </c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191">
        <f>BR48*BR51</f>
        <v>2761177.6342652841</v>
      </c>
    </row>
    <row r="53" spans="2:70" ht="15.75" thickTop="1" x14ac:dyDescent="0.25">
      <c r="AV53" s="62"/>
      <c r="AX53" s="62"/>
      <c r="AZ53" s="62"/>
      <c r="BB53" s="62"/>
      <c r="BD53" s="62"/>
      <c r="BF53" s="62"/>
      <c r="BH53" s="62"/>
      <c r="BJ53" s="62"/>
      <c r="BL53" s="62"/>
      <c r="BN53" s="62"/>
      <c r="BP53" s="62"/>
    </row>
    <row r="54" spans="2:70" x14ac:dyDescent="0.25">
      <c r="BB54" s="62"/>
    </row>
    <row r="55" spans="2:70" x14ac:dyDescent="0.25">
      <c r="B55" s="51" t="s">
        <v>132</v>
      </c>
      <c r="C55" s="62"/>
      <c r="D55" s="62"/>
      <c r="E55" s="62"/>
      <c r="F55" s="62"/>
      <c r="G55" s="62"/>
      <c r="H55" s="184"/>
      <c r="I55" s="62"/>
      <c r="J55" s="62"/>
      <c r="K55" s="62"/>
      <c r="L55" s="184"/>
      <c r="M55" s="62"/>
      <c r="N55" s="184"/>
      <c r="O55" s="62"/>
      <c r="P55" s="184"/>
      <c r="Q55" s="62"/>
      <c r="R55" s="184"/>
      <c r="S55" s="62"/>
      <c r="T55" s="184"/>
      <c r="U55" s="62"/>
      <c r="W55" s="62"/>
      <c r="X55" s="184"/>
      <c r="Y55" s="62"/>
      <c r="Z55" s="184"/>
      <c r="AA55" s="62"/>
      <c r="AB55" s="184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185">
        <v>2024</v>
      </c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185">
        <f>$AT$55</f>
        <v>2024</v>
      </c>
    </row>
    <row r="56" spans="2:70" x14ac:dyDescent="0.25">
      <c r="B56" s="51" t="s">
        <v>29</v>
      </c>
      <c r="C56" s="62"/>
      <c r="D56" s="62"/>
      <c r="E56" s="62"/>
      <c r="F56" s="62"/>
      <c r="G56" s="62"/>
      <c r="H56" s="182"/>
      <c r="I56" s="62"/>
      <c r="J56" s="62"/>
      <c r="K56" s="62"/>
      <c r="L56" s="186"/>
      <c r="M56" s="62"/>
      <c r="N56" s="187"/>
      <c r="O56" s="62"/>
      <c r="P56" s="187"/>
      <c r="Q56" s="62"/>
      <c r="R56" s="187"/>
      <c r="S56" s="62"/>
      <c r="T56" s="187"/>
      <c r="U56" s="62"/>
      <c r="W56" s="62"/>
      <c r="X56" s="187"/>
      <c r="Y56" s="62"/>
      <c r="Z56" s="187"/>
      <c r="AA56" s="62"/>
      <c r="AB56" s="187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186">
        <f>AT25-AT48</f>
        <v>24405693.984384283</v>
      </c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186">
        <f>BR25-BR48</f>
        <v>24405693.984384283</v>
      </c>
    </row>
    <row r="57" spans="2:70" x14ac:dyDescent="0.25">
      <c r="B57" s="51" t="s">
        <v>34</v>
      </c>
      <c r="C57" s="62"/>
      <c r="D57" s="62"/>
      <c r="E57" s="62"/>
      <c r="F57" s="62"/>
      <c r="G57" s="62"/>
      <c r="H57" s="182"/>
      <c r="I57" s="62"/>
      <c r="J57" s="62"/>
      <c r="K57" s="62"/>
      <c r="L57" s="186"/>
      <c r="M57" s="62"/>
      <c r="N57" s="187"/>
      <c r="O57" s="62"/>
      <c r="P57" s="187"/>
      <c r="Q57" s="62"/>
      <c r="R57" s="187"/>
      <c r="S57" s="62"/>
      <c r="T57" s="187"/>
      <c r="U57" s="62"/>
      <c r="W57" s="62"/>
      <c r="X57" s="187"/>
      <c r="Y57" s="62"/>
      <c r="Z57" s="187"/>
      <c r="AA57" s="62"/>
      <c r="AB57" s="187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186">
        <f>AT56*AT13</f>
        <v>0</v>
      </c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186">
        <f>BR56*BR13</f>
        <v>0</v>
      </c>
    </row>
    <row r="58" spans="2:70" x14ac:dyDescent="0.25">
      <c r="B58" s="51" t="s">
        <v>35</v>
      </c>
      <c r="C58" s="62"/>
      <c r="D58" s="62"/>
      <c r="E58" s="62"/>
      <c r="F58" s="62"/>
      <c r="G58" s="62"/>
      <c r="H58" s="182"/>
      <c r="I58" s="62"/>
      <c r="J58" s="62"/>
      <c r="K58" s="62"/>
      <c r="L58" s="186"/>
      <c r="M58" s="62"/>
      <c r="N58" s="187"/>
      <c r="O58" s="62"/>
      <c r="P58" s="187"/>
      <c r="Q58" s="62"/>
      <c r="R58" s="187"/>
      <c r="S58" s="62"/>
      <c r="T58" s="187"/>
      <c r="U58" s="62"/>
      <c r="W58" s="62"/>
      <c r="X58" s="187"/>
      <c r="Y58" s="62"/>
      <c r="Z58" s="187"/>
      <c r="AA58" s="62"/>
      <c r="AB58" s="187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188">
        <f>AT56-AT57</f>
        <v>24405693.984384283</v>
      </c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188">
        <f>BR56-BR57</f>
        <v>24405693.984384283</v>
      </c>
    </row>
    <row r="59" spans="2:70" x14ac:dyDescent="0.25">
      <c r="B59" s="59" t="s">
        <v>36</v>
      </c>
      <c r="C59" s="62"/>
      <c r="D59" s="62"/>
      <c r="E59" s="62"/>
      <c r="F59" s="62"/>
      <c r="G59" s="62"/>
      <c r="H59" s="189"/>
      <c r="I59" s="62"/>
      <c r="J59" s="62"/>
      <c r="K59" s="62"/>
      <c r="L59" s="190"/>
      <c r="M59" s="62"/>
      <c r="N59" s="190"/>
      <c r="O59" s="62"/>
      <c r="P59" s="190"/>
      <c r="Q59" s="62"/>
      <c r="R59" s="190"/>
      <c r="S59" s="62"/>
      <c r="T59" s="190"/>
      <c r="U59" s="62"/>
      <c r="W59" s="62"/>
      <c r="X59" s="190"/>
      <c r="Y59" s="62"/>
      <c r="Z59" s="190"/>
      <c r="AA59" s="62"/>
      <c r="AB59" s="190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190">
        <f>VLOOKUP(AT9-(AT55-1),$E$65:$H$86,4)</f>
        <v>3.7499999999999999E-2</v>
      </c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190">
        <f>VLOOKUP(BR9-(BR55-1),$E$65:$H$86,4)</f>
        <v>7.2190000000000004E-2</v>
      </c>
    </row>
    <row r="60" spans="2:70" ht="15.75" thickBot="1" x14ac:dyDescent="0.3">
      <c r="B60" s="51" t="s">
        <v>84</v>
      </c>
      <c r="C60" s="62"/>
      <c r="D60" s="62"/>
      <c r="E60" s="62"/>
      <c r="F60" s="62"/>
      <c r="G60" s="62"/>
      <c r="H60" s="62"/>
      <c r="I60" s="62"/>
      <c r="J60" s="62"/>
      <c r="K60" s="62"/>
      <c r="L60" s="187"/>
      <c r="M60" s="62"/>
      <c r="N60" s="187"/>
      <c r="O60" s="62"/>
      <c r="P60" s="187"/>
      <c r="Q60" s="62"/>
      <c r="R60" s="187"/>
      <c r="S60" s="62"/>
      <c r="T60" s="187"/>
      <c r="U60" s="62"/>
      <c r="W60" s="62"/>
      <c r="X60" s="187"/>
      <c r="Y60" s="62"/>
      <c r="Z60" s="187"/>
      <c r="AA60" s="62"/>
      <c r="AB60" s="187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191">
        <f>AT56*AT59</f>
        <v>915213.52441441058</v>
      </c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191">
        <f>BR56*BR59</f>
        <v>1761847.0487327015</v>
      </c>
    </row>
    <row r="61" spans="2:70" ht="15.75" thickTop="1" x14ac:dyDescent="0.25">
      <c r="AV61" s="62"/>
      <c r="AX61" s="62"/>
      <c r="AZ61" s="62"/>
      <c r="BB61" s="62"/>
      <c r="BD61" s="62"/>
      <c r="BF61" s="62"/>
      <c r="BH61" s="62"/>
      <c r="BJ61" s="62"/>
      <c r="BL61" s="62"/>
      <c r="BN61" s="62"/>
      <c r="BP61" s="62"/>
      <c r="BR61" s="62"/>
    </row>
    <row r="65" spans="2:8" x14ac:dyDescent="0.25">
      <c r="B65" s="4" t="s">
        <v>38</v>
      </c>
      <c r="E65" s="5">
        <v>1</v>
      </c>
      <c r="F65" s="6"/>
      <c r="H65" s="192">
        <v>3.7499999999999999E-2</v>
      </c>
    </row>
    <row r="66" spans="2:8" x14ac:dyDescent="0.25">
      <c r="B66" s="6"/>
      <c r="E66" s="5">
        <v>2</v>
      </c>
      <c r="F66" s="6"/>
      <c r="H66" s="192">
        <v>7.2190000000000004E-2</v>
      </c>
    </row>
    <row r="67" spans="2:8" x14ac:dyDescent="0.25">
      <c r="B67" s="7"/>
      <c r="E67" s="8">
        <v>3</v>
      </c>
      <c r="F67" s="7"/>
      <c r="H67" s="192">
        <v>6.6769999999999996E-2</v>
      </c>
    </row>
    <row r="68" spans="2:8" x14ac:dyDescent="0.25">
      <c r="B68" s="7"/>
      <c r="E68" s="8">
        <v>4</v>
      </c>
      <c r="F68" s="7"/>
      <c r="H68" s="192">
        <v>6.1769999999999999E-2</v>
      </c>
    </row>
    <row r="69" spans="2:8" x14ac:dyDescent="0.25">
      <c r="B69" s="7"/>
      <c r="E69" s="8">
        <v>5</v>
      </c>
      <c r="F69" s="7"/>
      <c r="H69" s="192">
        <v>5.713E-2</v>
      </c>
    </row>
    <row r="70" spans="2:8" x14ac:dyDescent="0.25">
      <c r="B70" s="7"/>
      <c r="E70" s="8">
        <v>6</v>
      </c>
      <c r="F70" s="7"/>
      <c r="H70" s="192">
        <v>5.2850000000000001E-2</v>
      </c>
    </row>
    <row r="71" spans="2:8" x14ac:dyDescent="0.25">
      <c r="B71" s="7"/>
      <c r="E71" s="8">
        <v>7</v>
      </c>
      <c r="F71" s="7"/>
      <c r="H71" s="192">
        <v>4.888E-2</v>
      </c>
    </row>
    <row r="72" spans="2:8" x14ac:dyDescent="0.25">
      <c r="B72" s="7"/>
      <c r="E72" s="8">
        <v>8</v>
      </c>
      <c r="F72" s="7"/>
      <c r="H72" s="192">
        <v>4.5220000000000003E-2</v>
      </c>
    </row>
    <row r="73" spans="2:8" x14ac:dyDescent="0.25">
      <c r="B73" s="7"/>
      <c r="E73" s="8">
        <v>9</v>
      </c>
      <c r="F73" s="7"/>
      <c r="H73" s="192">
        <v>4.462E-2</v>
      </c>
    </row>
    <row r="74" spans="2:8" x14ac:dyDescent="0.25">
      <c r="B74" s="7"/>
      <c r="E74" s="8">
        <v>10</v>
      </c>
      <c r="F74" s="7"/>
      <c r="H74" s="192">
        <v>4.4609999999999997E-2</v>
      </c>
    </row>
    <row r="75" spans="2:8" x14ac:dyDescent="0.25">
      <c r="B75" s="7"/>
      <c r="E75" s="8">
        <v>11</v>
      </c>
      <c r="F75" s="7"/>
      <c r="H75" s="192">
        <v>4.462E-2</v>
      </c>
    </row>
    <row r="76" spans="2:8" x14ac:dyDescent="0.25">
      <c r="B76" s="7"/>
      <c r="E76" s="8">
        <v>12</v>
      </c>
      <c r="F76" s="7"/>
      <c r="H76" s="192">
        <v>4.4609999999999997E-2</v>
      </c>
    </row>
    <row r="77" spans="2:8" x14ac:dyDescent="0.25">
      <c r="B77" s="7"/>
      <c r="E77" s="8">
        <v>13</v>
      </c>
      <c r="F77" s="7"/>
      <c r="H77" s="192">
        <v>4.462E-2</v>
      </c>
    </row>
    <row r="78" spans="2:8" x14ac:dyDescent="0.25">
      <c r="B78" s="7"/>
      <c r="E78" s="8">
        <v>14</v>
      </c>
      <c r="F78" s="7"/>
      <c r="H78" s="192">
        <v>4.4609999999999997E-2</v>
      </c>
    </row>
    <row r="79" spans="2:8" x14ac:dyDescent="0.25">
      <c r="B79" s="7"/>
      <c r="E79" s="8">
        <v>15</v>
      </c>
      <c r="F79" s="7"/>
      <c r="H79" s="192">
        <v>4.462E-2</v>
      </c>
    </row>
    <row r="80" spans="2:8" x14ac:dyDescent="0.25">
      <c r="B80" s="7"/>
      <c r="E80" s="8">
        <v>16</v>
      </c>
      <c r="F80" s="7"/>
      <c r="H80" s="192">
        <v>4.4609999999999997E-2</v>
      </c>
    </row>
    <row r="81" spans="2:8" x14ac:dyDescent="0.25">
      <c r="B81" s="7"/>
      <c r="E81" s="8">
        <v>17</v>
      </c>
      <c r="F81" s="7"/>
      <c r="H81" s="192">
        <v>4.462E-2</v>
      </c>
    </row>
    <row r="82" spans="2:8" x14ac:dyDescent="0.25">
      <c r="B82" s="7"/>
      <c r="E82" s="8">
        <v>18</v>
      </c>
      <c r="F82" s="7"/>
      <c r="H82" s="192">
        <v>4.4609999999999997E-2</v>
      </c>
    </row>
    <row r="83" spans="2:8" x14ac:dyDescent="0.25">
      <c r="B83" s="7"/>
      <c r="E83" s="8">
        <v>19</v>
      </c>
      <c r="F83" s="7"/>
      <c r="H83" s="192">
        <v>4.462E-2</v>
      </c>
    </row>
    <row r="84" spans="2:8" x14ac:dyDescent="0.25">
      <c r="B84" s="7"/>
      <c r="E84" s="8">
        <v>20</v>
      </c>
      <c r="F84" s="7"/>
      <c r="H84" s="192">
        <v>4.4609999999999997E-2</v>
      </c>
    </row>
    <row r="85" spans="2:8" x14ac:dyDescent="0.25">
      <c r="B85" s="7"/>
      <c r="E85" s="8">
        <v>21</v>
      </c>
      <c r="F85" s="7"/>
      <c r="H85" s="192">
        <v>2.231E-2</v>
      </c>
    </row>
    <row r="86" spans="2:8" x14ac:dyDescent="0.25">
      <c r="B86" s="7"/>
      <c r="E86" s="8">
        <v>22</v>
      </c>
      <c r="F86" s="7"/>
      <c r="H86" s="192">
        <v>0</v>
      </c>
    </row>
  </sheetData>
  <pageMargins left="0.7" right="0.7" top="0.75" bottom="0.75" header="0.3" footer="0.3"/>
  <pageSetup scale="39" fitToWidth="2" fitToHeight="0" orientation="landscape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8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D18" sqref="AD18"/>
    </sheetView>
  </sheetViews>
  <sheetFormatPr defaultRowHeight="15" x14ac:dyDescent="0.25"/>
  <cols>
    <col min="1" max="1" width="2.28515625" style="35" customWidth="1"/>
    <col min="2" max="2" width="39.5703125" style="35" customWidth="1"/>
    <col min="3" max="3" width="1.5703125" style="35" customWidth="1"/>
    <col min="4" max="4" width="0.7109375" style="35" customWidth="1"/>
    <col min="5" max="5" width="2.7109375" style="35" bestFit="1" customWidth="1"/>
    <col min="6" max="7" width="0.7109375" style="35" customWidth="1"/>
    <col min="8" max="8" width="16.5703125" style="35" customWidth="1"/>
    <col min="9" max="9" width="0.7109375" style="35" customWidth="1"/>
    <col min="10" max="10" width="15" style="35" customWidth="1"/>
    <col min="11" max="11" width="0.7109375" style="35" customWidth="1"/>
    <col min="12" max="12" width="16.5703125" style="35" customWidth="1"/>
    <col min="13" max="13" width="0.7109375" style="35" customWidth="1"/>
    <col min="14" max="14" width="16.5703125" style="35" customWidth="1"/>
    <col min="15" max="15" width="0.7109375" style="35" customWidth="1"/>
    <col min="16" max="16" width="16.5703125" style="35" customWidth="1"/>
    <col min="17" max="17" width="0.7109375" style="35" customWidth="1"/>
    <col min="18" max="18" width="16.5703125" style="35" customWidth="1"/>
    <col min="19" max="19" width="0.7109375" style="35" customWidth="1"/>
    <col min="20" max="20" width="16.5703125" style="35" customWidth="1"/>
    <col min="21" max="21" width="0.7109375" style="35" customWidth="1"/>
    <col min="22" max="22" width="16.5703125" style="35" customWidth="1"/>
    <col min="23" max="23" width="0.7109375" style="35" customWidth="1"/>
    <col min="24" max="24" width="16.5703125" style="35" customWidth="1"/>
    <col min="25" max="25" width="0.7109375" style="35" customWidth="1"/>
    <col min="26" max="26" width="16.5703125" style="35" customWidth="1"/>
    <col min="27" max="27" width="0.7109375" style="35" customWidth="1"/>
    <col min="28" max="28" width="16.5703125" style="35" customWidth="1"/>
    <col min="29" max="29" width="0.7109375" style="35" customWidth="1"/>
    <col min="30" max="30" width="16.5703125" style="35" customWidth="1"/>
    <col min="31" max="16384" width="9.140625" style="35"/>
  </cols>
  <sheetData>
    <row r="1" spans="1:30" s="175" customFormat="1" ht="18.75" x14ac:dyDescent="0.3">
      <c r="A1" s="1" t="s">
        <v>0</v>
      </c>
      <c r="B1" s="46" t="s">
        <v>20</v>
      </c>
      <c r="C1" s="7"/>
      <c r="D1" s="7"/>
      <c r="E1" s="7"/>
      <c r="F1" s="7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s="175" customFormat="1" ht="12.75" x14ac:dyDescent="0.2">
      <c r="A2" s="1"/>
      <c r="B2" s="47" t="s">
        <v>77</v>
      </c>
      <c r="C2" s="7"/>
      <c r="D2" s="7"/>
      <c r="E2" s="7"/>
      <c r="F2" s="7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s="175" customFormat="1" ht="13.5" thickBot="1" x14ac:dyDescent="0.25">
      <c r="A3" s="1"/>
      <c r="B3" s="6"/>
      <c r="C3" s="7"/>
      <c r="D3" s="7"/>
      <c r="E3" s="7"/>
      <c r="F3" s="7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s="175" customFormat="1" ht="13.5" thickBot="1" x14ac:dyDescent="0.25">
      <c r="A4" s="1"/>
      <c r="B4" s="176" t="s">
        <v>76</v>
      </c>
      <c r="C4" s="7"/>
      <c r="D4" s="7"/>
      <c r="E4" s="7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s="175" customFormat="1" ht="12.75" x14ac:dyDescent="0.2">
      <c r="A5" s="1"/>
      <c r="B5" s="7"/>
      <c r="C5" s="7"/>
      <c r="D5" s="7"/>
      <c r="E5" s="7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s="175" customFormat="1" ht="12.75" x14ac:dyDescent="0.2">
      <c r="A6" s="1"/>
      <c r="B6" s="7"/>
      <c r="C6" s="7"/>
      <c r="D6" s="7"/>
      <c r="E6" s="7"/>
      <c r="F6" s="7"/>
      <c r="G6" s="6"/>
      <c r="H6" s="177" t="s">
        <v>63</v>
      </c>
      <c r="I6" s="6"/>
      <c r="J6" s="177" t="s">
        <v>64</v>
      </c>
      <c r="K6" s="6"/>
      <c r="L6" s="177" t="s">
        <v>65</v>
      </c>
      <c r="M6" s="6"/>
      <c r="N6" s="177" t="s">
        <v>66</v>
      </c>
      <c r="O6" s="6"/>
      <c r="P6" s="177" t="s">
        <v>67</v>
      </c>
      <c r="Q6" s="6"/>
      <c r="R6" s="177" t="s">
        <v>68</v>
      </c>
      <c r="S6" s="6"/>
      <c r="T6" s="177" t="s">
        <v>69</v>
      </c>
      <c r="U6" s="6"/>
      <c r="V6" s="177" t="s">
        <v>70</v>
      </c>
      <c r="W6" s="6"/>
      <c r="X6" s="177" t="s">
        <v>71</v>
      </c>
      <c r="Y6" s="6"/>
      <c r="Z6" s="177" t="s">
        <v>72</v>
      </c>
      <c r="AA6" s="6"/>
      <c r="AB6" s="177" t="s">
        <v>73</v>
      </c>
      <c r="AC6" s="6"/>
      <c r="AD6" s="177" t="s">
        <v>74</v>
      </c>
    </row>
    <row r="7" spans="1:30" s="175" customFormat="1" ht="12.75" x14ac:dyDescent="0.2">
      <c r="A7" s="1"/>
      <c r="B7" s="7"/>
      <c r="C7" s="7"/>
      <c r="D7" s="7"/>
      <c r="E7" s="7"/>
      <c r="F7" s="7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s="175" customFormat="1" ht="12.75" x14ac:dyDescent="0.2">
      <c r="A8" s="1"/>
      <c r="B8" s="7"/>
      <c r="C8" s="7"/>
      <c r="D8" s="8"/>
      <c r="E8" s="7"/>
      <c r="F8" s="7"/>
      <c r="G8" s="6"/>
      <c r="H8" s="178">
        <v>11</v>
      </c>
      <c r="I8" s="6"/>
      <c r="J8" s="178">
        <v>12</v>
      </c>
      <c r="K8" s="6"/>
      <c r="L8" s="178">
        <v>1</v>
      </c>
      <c r="M8" s="6"/>
      <c r="N8" s="178">
        <v>2</v>
      </c>
      <c r="O8" s="6"/>
      <c r="P8" s="178">
        <v>3</v>
      </c>
      <c r="Q8" s="6"/>
      <c r="R8" s="178">
        <v>4</v>
      </c>
      <c r="S8" s="6"/>
      <c r="T8" s="178">
        <v>5</v>
      </c>
      <c r="U8" s="6"/>
      <c r="V8" s="178">
        <v>6</v>
      </c>
      <c r="W8" s="6"/>
      <c r="X8" s="178">
        <v>7</v>
      </c>
      <c r="Y8" s="6"/>
      <c r="Z8" s="178">
        <v>8</v>
      </c>
      <c r="AA8" s="6"/>
      <c r="AB8" s="178">
        <v>9</v>
      </c>
      <c r="AC8" s="6"/>
      <c r="AD8" s="178">
        <v>10</v>
      </c>
    </row>
    <row r="9" spans="1:30" s="175" customFormat="1" ht="12.75" x14ac:dyDescent="0.2">
      <c r="A9" s="1"/>
      <c r="B9" s="179" t="s">
        <v>21</v>
      </c>
      <c r="C9" s="7"/>
      <c r="D9" s="8"/>
      <c r="E9" s="7"/>
      <c r="F9" s="7"/>
      <c r="G9" s="6"/>
      <c r="H9" s="48">
        <v>2023</v>
      </c>
      <c r="I9" s="6"/>
      <c r="J9" s="48">
        <v>2023</v>
      </c>
      <c r="K9" s="6"/>
      <c r="L9" s="48">
        <v>2024</v>
      </c>
      <c r="M9" s="6"/>
      <c r="N9" s="48">
        <v>2024</v>
      </c>
      <c r="O9" s="6"/>
      <c r="P9" s="48">
        <v>2024</v>
      </c>
      <c r="Q9" s="6"/>
      <c r="R9" s="48">
        <v>2024</v>
      </c>
      <c r="S9" s="6"/>
      <c r="T9" s="48">
        <v>2024</v>
      </c>
      <c r="U9" s="6"/>
      <c r="V9" s="48">
        <v>2024</v>
      </c>
      <c r="W9" s="6"/>
      <c r="X9" s="48">
        <v>2024</v>
      </c>
      <c r="Y9" s="6"/>
      <c r="Z9" s="48">
        <v>2024</v>
      </c>
      <c r="AA9" s="6"/>
      <c r="AB9" s="48">
        <v>2024</v>
      </c>
      <c r="AC9" s="6"/>
      <c r="AD9" s="48">
        <v>2024</v>
      </c>
    </row>
    <row r="10" spans="1:30" s="175" customFormat="1" ht="12.75" x14ac:dyDescent="0.2">
      <c r="A10" s="1"/>
      <c r="B10" s="8"/>
      <c r="C10" s="7"/>
      <c r="D10" s="8"/>
      <c r="E10" s="7"/>
      <c r="F10" s="7"/>
      <c r="G10" s="6"/>
      <c r="H10" s="49" t="s">
        <v>22</v>
      </c>
      <c r="I10" s="6"/>
      <c r="J10" s="49" t="s">
        <v>22</v>
      </c>
      <c r="K10" s="6"/>
      <c r="L10" s="49" t="s">
        <v>22</v>
      </c>
      <c r="M10" s="6"/>
      <c r="N10" s="49" t="s">
        <v>22</v>
      </c>
      <c r="O10" s="6"/>
      <c r="P10" s="49" t="s">
        <v>22</v>
      </c>
      <c r="Q10" s="6"/>
      <c r="R10" s="49" t="s">
        <v>22</v>
      </c>
      <c r="S10" s="6"/>
      <c r="T10" s="49" t="s">
        <v>22</v>
      </c>
      <c r="U10" s="6"/>
      <c r="V10" s="49" t="s">
        <v>22</v>
      </c>
      <c r="W10" s="6"/>
      <c r="X10" s="49" t="s">
        <v>22</v>
      </c>
      <c r="Y10" s="6"/>
      <c r="Z10" s="49" t="s">
        <v>22</v>
      </c>
      <c r="AA10" s="6"/>
      <c r="AB10" s="49" t="s">
        <v>22</v>
      </c>
      <c r="AC10" s="6"/>
      <c r="AD10" s="49" t="s">
        <v>22</v>
      </c>
    </row>
    <row r="11" spans="1:30" s="175" customFormat="1" ht="12.75" x14ac:dyDescent="0.2">
      <c r="A11" s="1"/>
      <c r="B11" s="7"/>
      <c r="C11" s="7"/>
      <c r="D11" s="7"/>
      <c r="E11" s="7"/>
      <c r="F11" s="7"/>
      <c r="G11" s="6"/>
      <c r="H11" s="50"/>
      <c r="I11" s="6"/>
      <c r="J11" s="50"/>
      <c r="K11" s="6"/>
      <c r="L11" s="50"/>
      <c r="M11" s="6"/>
      <c r="N11" s="50"/>
      <c r="O11" s="6"/>
      <c r="P11" s="50"/>
      <c r="Q11" s="6"/>
      <c r="R11" s="50"/>
      <c r="S11" s="6"/>
      <c r="T11" s="50"/>
      <c r="U11" s="6"/>
      <c r="V11" s="50"/>
      <c r="W11" s="6"/>
      <c r="X11" s="50"/>
      <c r="Y11" s="6"/>
      <c r="Z11" s="50"/>
      <c r="AA11" s="6"/>
      <c r="AB11" s="50"/>
      <c r="AC11" s="6"/>
      <c r="AD11" s="50"/>
    </row>
    <row r="12" spans="1:30" s="175" customFormat="1" ht="12.75" x14ac:dyDescent="0.2">
      <c r="A12" s="1"/>
      <c r="B12" s="51" t="s">
        <v>23</v>
      </c>
      <c r="C12" s="7"/>
      <c r="D12" s="2"/>
      <c r="E12" s="7"/>
      <c r="F12" s="52"/>
      <c r="G12" s="6"/>
      <c r="H12" s="52">
        <v>45260</v>
      </c>
      <c r="I12" s="6"/>
      <c r="J12" s="52">
        <f>H12</f>
        <v>45260</v>
      </c>
      <c r="K12" s="6"/>
      <c r="L12" s="52">
        <f>J12</f>
        <v>45260</v>
      </c>
      <c r="M12" s="6"/>
      <c r="N12" s="52">
        <f>L12</f>
        <v>45260</v>
      </c>
      <c r="O12" s="6"/>
      <c r="P12" s="52">
        <f>N12</f>
        <v>45260</v>
      </c>
      <c r="Q12" s="6"/>
      <c r="R12" s="52">
        <f>P12</f>
        <v>45260</v>
      </c>
      <c r="S12" s="6"/>
      <c r="T12" s="52">
        <f>R12</f>
        <v>45260</v>
      </c>
      <c r="U12" s="6"/>
      <c r="V12" s="52">
        <f>T12</f>
        <v>45260</v>
      </c>
      <c r="W12" s="6"/>
      <c r="X12" s="52">
        <f>V12</f>
        <v>45260</v>
      </c>
      <c r="Y12" s="6"/>
      <c r="Z12" s="52">
        <f>X12</f>
        <v>45260</v>
      </c>
      <c r="AA12" s="6"/>
      <c r="AB12" s="52">
        <f>Z12</f>
        <v>45260</v>
      </c>
      <c r="AC12" s="6"/>
      <c r="AD12" s="52">
        <f t="shared" ref="AD12" si="0">AB12</f>
        <v>45260</v>
      </c>
    </row>
    <row r="13" spans="1:30" s="175" customFormat="1" ht="12.75" x14ac:dyDescent="0.2">
      <c r="A13" s="1"/>
      <c r="B13" s="51" t="s">
        <v>24</v>
      </c>
      <c r="C13" s="7"/>
      <c r="D13" s="2"/>
      <c r="E13" s="7"/>
      <c r="F13" s="7"/>
      <c r="G13" s="6"/>
      <c r="H13" s="180">
        <v>0</v>
      </c>
      <c r="I13" s="6"/>
      <c r="J13" s="180">
        <f>H13</f>
        <v>0</v>
      </c>
      <c r="K13" s="6"/>
      <c r="L13" s="180">
        <v>0</v>
      </c>
      <c r="M13" s="6"/>
      <c r="N13" s="180">
        <v>0</v>
      </c>
      <c r="O13" s="6"/>
      <c r="P13" s="180">
        <v>0</v>
      </c>
      <c r="Q13" s="6"/>
      <c r="R13" s="180">
        <v>0</v>
      </c>
      <c r="S13" s="6"/>
      <c r="T13" s="180">
        <v>0</v>
      </c>
      <c r="U13" s="6"/>
      <c r="V13" s="180">
        <v>0</v>
      </c>
      <c r="W13" s="6"/>
      <c r="X13" s="180">
        <v>0</v>
      </c>
      <c r="Y13" s="6"/>
      <c r="Z13" s="180">
        <v>0</v>
      </c>
      <c r="AA13" s="6"/>
      <c r="AB13" s="180">
        <v>0</v>
      </c>
      <c r="AC13" s="6"/>
      <c r="AD13" s="180">
        <v>0</v>
      </c>
    </row>
    <row r="14" spans="1:30" s="175" customFormat="1" ht="12.75" x14ac:dyDescent="0.2">
      <c r="A14" s="1"/>
      <c r="B14" s="51" t="s">
        <v>25</v>
      </c>
      <c r="C14" s="7"/>
      <c r="D14" s="2"/>
      <c r="E14" s="7"/>
      <c r="F14" s="7"/>
      <c r="G14" s="6"/>
      <c r="H14" s="181" t="s">
        <v>26</v>
      </c>
      <c r="I14" s="6"/>
      <c r="J14" s="181" t="s">
        <v>26</v>
      </c>
      <c r="K14" s="6"/>
      <c r="L14" s="181" t="s">
        <v>26</v>
      </c>
      <c r="M14" s="6"/>
      <c r="N14" s="181" t="s">
        <v>26</v>
      </c>
      <c r="O14" s="6"/>
      <c r="P14" s="181" t="s">
        <v>26</v>
      </c>
      <c r="Q14" s="6"/>
      <c r="R14" s="181" t="s">
        <v>26</v>
      </c>
      <c r="S14" s="6"/>
      <c r="T14" s="181" t="s">
        <v>26</v>
      </c>
      <c r="U14" s="6"/>
      <c r="V14" s="181" t="s">
        <v>26</v>
      </c>
      <c r="W14" s="6"/>
      <c r="X14" s="181" t="s">
        <v>26</v>
      </c>
      <c r="Y14" s="6"/>
      <c r="Z14" s="181" t="s">
        <v>26</v>
      </c>
      <c r="AA14" s="6"/>
      <c r="AB14" s="181" t="s">
        <v>26</v>
      </c>
      <c r="AC14" s="6"/>
      <c r="AD14" s="181" t="s">
        <v>26</v>
      </c>
    </row>
    <row r="15" spans="1:30" s="175" customFormat="1" ht="12.75" x14ac:dyDescent="0.2">
      <c r="A15" s="1"/>
      <c r="B15" s="7"/>
      <c r="C15" s="7"/>
      <c r="D15" s="7"/>
      <c r="E15" s="7"/>
      <c r="F15" s="7"/>
      <c r="G15" s="6"/>
      <c r="H15" s="7"/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</row>
    <row r="16" spans="1:30" s="175" customFormat="1" ht="12.75" x14ac:dyDescent="0.2">
      <c r="A16" s="1"/>
      <c r="B16" s="7"/>
      <c r="C16" s="7"/>
      <c r="D16" s="7"/>
      <c r="E16" s="7"/>
      <c r="F16" s="7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</row>
    <row r="17" spans="1:30" s="175" customFormat="1" ht="12.75" x14ac:dyDescent="0.2">
      <c r="A17" s="1"/>
      <c r="B17" s="51" t="s">
        <v>27</v>
      </c>
      <c r="C17" s="7"/>
      <c r="D17" s="53"/>
      <c r="E17" s="7"/>
      <c r="F17" s="7"/>
      <c r="G17" s="53"/>
      <c r="H17" s="53">
        <f>'Est Revenue Req CCR Only'!D50</f>
        <v>12600000.000000002</v>
      </c>
      <c r="I17" s="53"/>
      <c r="J17" s="53">
        <f>H17</f>
        <v>12600000.000000002</v>
      </c>
      <c r="K17" s="53"/>
      <c r="L17" s="53">
        <f>J17</f>
        <v>12600000.000000002</v>
      </c>
      <c r="M17" s="53"/>
      <c r="N17" s="53">
        <f>L17</f>
        <v>12600000.000000002</v>
      </c>
      <c r="O17" s="53"/>
      <c r="P17" s="53">
        <f>N17</f>
        <v>12600000.000000002</v>
      </c>
      <c r="Q17" s="53"/>
      <c r="R17" s="53">
        <f>P17</f>
        <v>12600000.000000002</v>
      </c>
      <c r="S17" s="53"/>
      <c r="T17" s="53">
        <f>R17</f>
        <v>12600000.000000002</v>
      </c>
      <c r="U17" s="53"/>
      <c r="V17" s="53">
        <f>T17</f>
        <v>12600000.000000002</v>
      </c>
      <c r="W17" s="53"/>
      <c r="X17" s="53">
        <f>V17</f>
        <v>12600000.000000002</v>
      </c>
      <c r="Y17" s="53"/>
      <c r="Z17" s="53">
        <f>X17</f>
        <v>12600000.000000002</v>
      </c>
      <c r="AA17" s="53"/>
      <c r="AB17" s="53">
        <f>Z17</f>
        <v>12600000.000000002</v>
      </c>
      <c r="AC17" s="53"/>
      <c r="AD17" s="53">
        <f>AB17</f>
        <v>12600000.000000002</v>
      </c>
    </row>
    <row r="18" spans="1:30" s="175" customFormat="1" ht="12.75" x14ac:dyDescent="0.2">
      <c r="A18" s="1"/>
      <c r="B18" s="51" t="s">
        <v>28</v>
      </c>
      <c r="C18" s="7"/>
      <c r="D18" s="53"/>
      <c r="E18" s="7"/>
      <c r="F18" s="53"/>
      <c r="G18" s="53"/>
      <c r="H18" s="61">
        <f>VLOOKUP($H$8:$AD$8,'Depreciation '!$E$3:$G$20,3,FALSE)</f>
        <v>-210000</v>
      </c>
      <c r="I18" s="61">
        <v>0</v>
      </c>
      <c r="J18" s="61">
        <f>VLOOKUP($H$8:$AD$8,'Depreciation '!$E$3:$G$20,3,FALSE)</f>
        <v>-420000</v>
      </c>
      <c r="K18" s="61">
        <v>0</v>
      </c>
      <c r="L18" s="61">
        <f>VLOOKUP($H$8:$AD$8,'Depreciation '!$E$3:$G$20,3,FALSE)</f>
        <v>-630000</v>
      </c>
      <c r="M18" s="61">
        <v>0</v>
      </c>
      <c r="N18" s="61">
        <f>VLOOKUP($H$8:$AD$8,'Depreciation '!$E$3:$G$20,3,FALSE)</f>
        <v>-840000</v>
      </c>
      <c r="O18" s="61">
        <v>0</v>
      </c>
      <c r="P18" s="61">
        <f>VLOOKUP($H$8:$AD$8,'Depreciation '!$E$3:$G$20,3,FALSE)</f>
        <v>-1050000</v>
      </c>
      <c r="Q18" s="61">
        <v>0</v>
      </c>
      <c r="R18" s="61">
        <f>VLOOKUP($H$8:$AD$8,'Depreciation '!$E$3:$G$20,3,FALSE)</f>
        <v>-1260000</v>
      </c>
      <c r="S18" s="61">
        <v>0</v>
      </c>
      <c r="T18" s="61">
        <f>VLOOKUP($H$8:$AD$8,'Depreciation '!$E$3:$G$20,3,FALSE)</f>
        <v>-1470000</v>
      </c>
      <c r="U18" s="61">
        <v>0</v>
      </c>
      <c r="V18" s="61">
        <f>VLOOKUP($H$8:$AD$8,'Depreciation '!$E$3:$G$20,3,FALSE)</f>
        <v>-1680000</v>
      </c>
      <c r="W18" s="61">
        <v>0</v>
      </c>
      <c r="X18" s="61">
        <f>VLOOKUP($H$8:$AD$8,'Depreciation '!$E$3:$G$20,3,FALSE)</f>
        <v>-1890000</v>
      </c>
      <c r="Y18" s="61">
        <v>0</v>
      </c>
      <c r="Z18" s="61">
        <f>VLOOKUP($H$8:$AD$8,'Depreciation '!$E$3:$G$20,3,FALSE)</f>
        <v>-2100000</v>
      </c>
      <c r="AA18" s="61">
        <v>0</v>
      </c>
      <c r="AB18" s="61">
        <f>VLOOKUP($H$8:$AD$8,'Depreciation '!$E$3:$G$20,3,FALSE)</f>
        <v>-2310000</v>
      </c>
      <c r="AC18" s="61">
        <v>0</v>
      </c>
      <c r="AD18" s="61">
        <f>VLOOKUP($H$8:$AD$8,'Depreciation '!$E$3:$G$20,3,FALSE)</f>
        <v>-2520000</v>
      </c>
    </row>
    <row r="19" spans="1:30" s="175" customFormat="1" ht="12.75" x14ac:dyDescent="0.2">
      <c r="A19" s="1"/>
      <c r="B19" s="7"/>
      <c r="C19" s="7"/>
      <c r="D19" s="53"/>
      <c r="E19" s="7"/>
      <c r="F19" s="7"/>
      <c r="G19" s="6"/>
      <c r="H19" s="54"/>
      <c r="I19" s="6"/>
      <c r="J19" s="54"/>
      <c r="K19" s="6"/>
      <c r="L19" s="54"/>
      <c r="M19" s="6"/>
      <c r="N19" s="54"/>
      <c r="O19" s="6"/>
      <c r="P19" s="54"/>
      <c r="Q19" s="6"/>
      <c r="R19" s="54"/>
      <c r="S19" s="6"/>
      <c r="T19" s="54"/>
      <c r="U19" s="61" t="s">
        <v>0</v>
      </c>
      <c r="V19" s="54"/>
      <c r="W19" s="6"/>
      <c r="X19" s="54"/>
      <c r="Y19" s="6"/>
      <c r="Z19" s="54"/>
      <c r="AA19" s="6"/>
      <c r="AB19" s="54"/>
      <c r="AC19" s="6"/>
      <c r="AD19" s="54"/>
    </row>
    <row r="20" spans="1:30" s="175" customFormat="1" ht="13.5" thickBot="1" x14ac:dyDescent="0.25">
      <c r="A20" s="1"/>
      <c r="B20" s="55" t="s">
        <v>39</v>
      </c>
      <c r="C20" s="6"/>
      <c r="D20" s="6"/>
      <c r="E20" s="56"/>
      <c r="F20" s="7"/>
      <c r="G20" s="6"/>
      <c r="H20" s="57">
        <f>+H17+H18</f>
        <v>12390000.000000002</v>
      </c>
      <c r="I20" s="6"/>
      <c r="J20" s="57">
        <f>+J17+J18</f>
        <v>12180000.000000002</v>
      </c>
      <c r="K20" s="6"/>
      <c r="L20" s="57">
        <f>+L17+L18</f>
        <v>11970000.000000002</v>
      </c>
      <c r="M20" s="6"/>
      <c r="N20" s="57">
        <f>+N17+N18</f>
        <v>11760000.000000002</v>
      </c>
      <c r="O20" s="6"/>
      <c r="P20" s="57">
        <f>+P17+P18</f>
        <v>11550000.000000002</v>
      </c>
      <c r="Q20" s="6"/>
      <c r="R20" s="57">
        <f>+R17+R18</f>
        <v>11340000.000000002</v>
      </c>
      <c r="S20" s="6"/>
      <c r="T20" s="57">
        <f>+T17+T18</f>
        <v>11130000.000000002</v>
      </c>
      <c r="U20" s="6"/>
      <c r="V20" s="57">
        <f>+V17+V18</f>
        <v>10920000.000000002</v>
      </c>
      <c r="W20" s="6"/>
      <c r="X20" s="57">
        <f>+X17+X18</f>
        <v>10710000.000000002</v>
      </c>
      <c r="Y20" s="6"/>
      <c r="Z20" s="57">
        <f>+Z17+Z18</f>
        <v>10500000.000000002</v>
      </c>
      <c r="AA20" s="6"/>
      <c r="AB20" s="57">
        <f>+AB17+AB18</f>
        <v>10290000.000000002</v>
      </c>
      <c r="AC20" s="6"/>
      <c r="AD20" s="57">
        <f>+AD17+AD18</f>
        <v>10080000.000000002</v>
      </c>
    </row>
    <row r="21" spans="1:30" ht="15.75" thickTop="1" x14ac:dyDescent="0.25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</row>
    <row r="22" spans="1:30" x14ac:dyDescent="0.25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</row>
    <row r="23" spans="1:30" x14ac:dyDescent="0.25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</row>
    <row r="24" spans="1:30" x14ac:dyDescent="0.25"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</row>
    <row r="25" spans="1:30" x14ac:dyDescent="0.25">
      <c r="B25" s="51" t="s">
        <v>29</v>
      </c>
      <c r="C25" s="62"/>
      <c r="D25" s="62"/>
      <c r="E25" s="62"/>
      <c r="F25" s="62"/>
      <c r="G25" s="62"/>
      <c r="H25" s="53">
        <f>H17</f>
        <v>12600000.000000002</v>
      </c>
      <c r="I25" s="62"/>
      <c r="J25" s="53">
        <f>J17</f>
        <v>12600000.000000002</v>
      </c>
      <c r="K25" s="62"/>
      <c r="L25" s="53">
        <f>L17</f>
        <v>12600000.000000002</v>
      </c>
      <c r="M25" s="62"/>
      <c r="N25" s="53">
        <f>N17</f>
        <v>12600000.000000002</v>
      </c>
      <c r="O25" s="62"/>
      <c r="P25" s="53">
        <f>P17</f>
        <v>12600000.000000002</v>
      </c>
      <c r="Q25" s="62"/>
      <c r="R25" s="53">
        <f>R17</f>
        <v>12600000.000000002</v>
      </c>
      <c r="S25" s="62"/>
      <c r="T25" s="53">
        <f>T17</f>
        <v>12600000.000000002</v>
      </c>
      <c r="U25" s="62"/>
      <c r="V25" s="53">
        <f>V17</f>
        <v>12600000.000000002</v>
      </c>
      <c r="W25" s="62"/>
      <c r="X25" s="53">
        <f>X17</f>
        <v>12600000.000000002</v>
      </c>
      <c r="Y25" s="62"/>
      <c r="Z25" s="53">
        <f>Z17</f>
        <v>12600000.000000002</v>
      </c>
      <c r="AA25" s="62"/>
      <c r="AB25" s="53">
        <f>AB17</f>
        <v>12600000.000000002</v>
      </c>
      <c r="AC25" s="62"/>
      <c r="AD25" s="53">
        <f>AD17</f>
        <v>12600000.000000002</v>
      </c>
    </row>
    <row r="26" spans="1:30" x14ac:dyDescent="0.25">
      <c r="B26" s="51" t="s">
        <v>30</v>
      </c>
      <c r="C26" s="62"/>
      <c r="D26" s="62"/>
      <c r="E26" s="62"/>
      <c r="F26" s="62"/>
      <c r="G26" s="62"/>
      <c r="H26" s="53">
        <f>-$J52/12*H8</f>
        <v>-433125.00000000006</v>
      </c>
      <c r="I26" s="62"/>
      <c r="J26" s="53">
        <f>-$J52</f>
        <v>-472500.00000000006</v>
      </c>
      <c r="K26" s="62"/>
      <c r="L26" s="53">
        <f>-$AD52/12+J26</f>
        <v>-548299.50000000012</v>
      </c>
      <c r="M26" s="62"/>
      <c r="N26" s="53">
        <f>-$AD52/12+L26</f>
        <v>-624099.00000000012</v>
      </c>
      <c r="O26" s="62"/>
      <c r="P26" s="53">
        <f>-$AD52/12+N26</f>
        <v>-699898.50000000012</v>
      </c>
      <c r="Q26" s="62"/>
      <c r="R26" s="53">
        <f>-$AD52/12+P26</f>
        <v>-775698.00000000012</v>
      </c>
      <c r="S26" s="62"/>
      <c r="T26" s="53">
        <f>-$AD52/12+R26</f>
        <v>-851497.50000000012</v>
      </c>
      <c r="U26" s="62"/>
      <c r="V26" s="53">
        <f>-$AD52/12+T26</f>
        <v>-927297.00000000012</v>
      </c>
      <c r="W26" s="62"/>
      <c r="X26" s="53">
        <f>-$AD52/12+V26</f>
        <v>-1003096.5000000001</v>
      </c>
      <c r="Y26" s="62"/>
      <c r="Z26" s="53">
        <f>-$AD52/12+X26</f>
        <v>-1078896.0000000002</v>
      </c>
      <c r="AA26" s="62"/>
      <c r="AB26" s="53">
        <f>-$AD52/12+Z26</f>
        <v>-1154695.5000000002</v>
      </c>
      <c r="AC26" s="62"/>
      <c r="AD26" s="53">
        <f>-$AD52/12+AB26</f>
        <v>-1230495.0000000002</v>
      </c>
    </row>
    <row r="27" spans="1:30" x14ac:dyDescent="0.25">
      <c r="B27" s="7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</row>
    <row r="28" spans="1:30" ht="15.75" thickBot="1" x14ac:dyDescent="0.3">
      <c r="B28" s="55" t="s">
        <v>40</v>
      </c>
      <c r="C28" s="62"/>
      <c r="D28" s="62"/>
      <c r="E28" s="62"/>
      <c r="F28" s="62"/>
      <c r="G28" s="62"/>
      <c r="H28" s="57">
        <f>+H25+H26</f>
        <v>12166875.000000002</v>
      </c>
      <c r="I28" s="62"/>
      <c r="J28" s="57">
        <f>+J25+J26</f>
        <v>12127500.000000002</v>
      </c>
      <c r="K28" s="62"/>
      <c r="L28" s="57">
        <f>+L25+L26</f>
        <v>12051700.500000002</v>
      </c>
      <c r="M28" s="62"/>
      <c r="N28" s="57">
        <f>+N25+N26</f>
        <v>11975901.000000002</v>
      </c>
      <c r="O28" s="62"/>
      <c r="P28" s="57">
        <f>+P25+P26</f>
        <v>11900101.500000002</v>
      </c>
      <c r="Q28" s="62"/>
      <c r="R28" s="57">
        <f>+R25+R26</f>
        <v>11824302.000000002</v>
      </c>
      <c r="S28" s="62"/>
      <c r="T28" s="57">
        <f>+T25+T26</f>
        <v>11748502.500000002</v>
      </c>
      <c r="U28" s="62"/>
      <c r="V28" s="57">
        <f>+V25+V26</f>
        <v>11672703.000000002</v>
      </c>
      <c r="W28" s="62"/>
      <c r="X28" s="57">
        <f>+X25+X26</f>
        <v>11596903.500000002</v>
      </c>
      <c r="Y28" s="62"/>
      <c r="Z28" s="57">
        <f>+Z25+Z26</f>
        <v>11521104.000000002</v>
      </c>
      <c r="AA28" s="62"/>
      <c r="AB28" s="57">
        <f>+AB25+AB26</f>
        <v>11445304.500000002</v>
      </c>
      <c r="AC28" s="62"/>
      <c r="AD28" s="57">
        <f>+AD25+AD26</f>
        <v>11369505.000000002</v>
      </c>
    </row>
    <row r="29" spans="1:30" ht="15.75" thickTop="1" x14ac:dyDescent="0.25">
      <c r="B29" s="7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</row>
    <row r="30" spans="1:30" s="175" customFormat="1" ht="12.75" x14ac:dyDescent="0.2">
      <c r="A30" s="1"/>
      <c r="B30" s="2" t="s">
        <v>31</v>
      </c>
      <c r="C30" s="7"/>
      <c r="D30" s="6"/>
      <c r="E30" s="7"/>
      <c r="F30" s="6"/>
      <c r="G30" s="6"/>
      <c r="H30" s="3">
        <f>1-H28/H25</f>
        <v>3.4375000000000044E-2</v>
      </c>
      <c r="I30" s="6"/>
      <c r="J30" s="3">
        <f>1-J28/J25</f>
        <v>3.7499999999999978E-2</v>
      </c>
      <c r="K30" s="6"/>
      <c r="L30" s="3">
        <f>1-L28/L25</f>
        <v>4.3515833333333309E-2</v>
      </c>
      <c r="M30" s="6"/>
      <c r="N30" s="3">
        <f>1-N28/N25</f>
        <v>4.9531666666666641E-2</v>
      </c>
      <c r="O30" s="6"/>
      <c r="P30" s="3">
        <f>1-P28/P25</f>
        <v>5.5547499999999972E-2</v>
      </c>
      <c r="Q30" s="6"/>
      <c r="R30" s="3">
        <f>1-R28/R25</f>
        <v>6.1563333333333303E-2</v>
      </c>
      <c r="S30" s="6"/>
      <c r="T30" s="3">
        <f>1-T28/T25</f>
        <v>6.7579166666666635E-2</v>
      </c>
      <c r="U30" s="6"/>
      <c r="V30" s="3">
        <f>1-V28/V25</f>
        <v>7.3594999999999966E-2</v>
      </c>
      <c r="W30" s="6"/>
      <c r="X30" s="3">
        <f>1-X28/X25</f>
        <v>7.9610833333333297E-2</v>
      </c>
      <c r="Y30" s="3" t="e">
        <f>1-Y28/Y25</f>
        <v>#DIV/0!</v>
      </c>
      <c r="Z30" s="3">
        <f>1-Z28/Z25</f>
        <v>8.5626666666666629E-2</v>
      </c>
      <c r="AA30" s="3" t="e">
        <f>1-AA28/AA25</f>
        <v>#DIV/0!</v>
      </c>
      <c r="AB30" s="3">
        <f>1-AB28/AB25</f>
        <v>9.164249999999996E-2</v>
      </c>
      <c r="AC30" s="193"/>
      <c r="AD30" s="3">
        <f>1-AD28/AD25</f>
        <v>9.7658333333333291E-2</v>
      </c>
    </row>
    <row r="31" spans="1:30" x14ac:dyDescent="0.25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182"/>
    </row>
    <row r="32" spans="1:30" x14ac:dyDescent="0.25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182"/>
    </row>
    <row r="33" spans="2:30" x14ac:dyDescent="0.25"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182"/>
    </row>
    <row r="34" spans="2:30" x14ac:dyDescent="0.25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182"/>
    </row>
    <row r="35" spans="2:30" x14ac:dyDescent="0.25">
      <c r="B35" s="51" t="s">
        <v>32</v>
      </c>
      <c r="C35" s="62"/>
      <c r="D35" s="62"/>
      <c r="E35" s="62"/>
      <c r="F35" s="62"/>
      <c r="G35" s="62"/>
      <c r="H35" s="53">
        <f>+H28-H20</f>
        <v>-223125</v>
      </c>
      <c r="I35" s="62"/>
      <c r="J35" s="53">
        <f>+J28-J20</f>
        <v>-52500</v>
      </c>
      <c r="K35" s="62"/>
      <c r="L35" s="53">
        <f>+L28-L20</f>
        <v>81700.5</v>
      </c>
      <c r="M35" s="62"/>
      <c r="N35" s="53">
        <f>+N28-N20</f>
        <v>215901</v>
      </c>
      <c r="O35" s="62"/>
      <c r="P35" s="53">
        <f>+P28-P20</f>
        <v>350101.5</v>
      </c>
      <c r="Q35" s="62"/>
      <c r="R35" s="53">
        <f>+R28-R20</f>
        <v>484302</v>
      </c>
      <c r="S35" s="62"/>
      <c r="T35" s="53">
        <f>+T28-T20</f>
        <v>618502.5</v>
      </c>
      <c r="U35" s="62"/>
      <c r="V35" s="53">
        <f>+V28-V20</f>
        <v>752703</v>
      </c>
      <c r="W35" s="62"/>
      <c r="X35" s="53">
        <f>+X28-X20</f>
        <v>886903.5</v>
      </c>
      <c r="Y35" s="62"/>
      <c r="Z35" s="53">
        <f>+Z28-Z20</f>
        <v>1021104</v>
      </c>
      <c r="AA35" s="62"/>
      <c r="AB35" s="53">
        <f>+AB28-AB20</f>
        <v>1155304.5</v>
      </c>
      <c r="AC35" s="62"/>
      <c r="AD35" s="53">
        <f>+AD28-AD20</f>
        <v>1289505</v>
      </c>
    </row>
    <row r="36" spans="2:30" x14ac:dyDescent="0.25">
      <c r="B36" s="7"/>
      <c r="C36" s="62"/>
      <c r="D36" s="62"/>
      <c r="E36" s="62"/>
      <c r="F36" s="62"/>
      <c r="G36" s="62"/>
      <c r="H36" s="53"/>
      <c r="I36" s="62"/>
      <c r="J36" s="53"/>
      <c r="K36" s="62"/>
      <c r="L36" s="53"/>
      <c r="M36" s="62"/>
      <c r="N36" s="53"/>
      <c r="O36" s="62"/>
      <c r="P36" s="53"/>
      <c r="Q36" s="62"/>
      <c r="R36" s="53"/>
      <c r="S36" s="62"/>
      <c r="T36" s="53"/>
      <c r="U36" s="62"/>
      <c r="V36" s="53"/>
      <c r="W36" s="62"/>
      <c r="X36" s="53"/>
      <c r="Y36" s="62"/>
      <c r="Z36" s="53"/>
      <c r="AA36" s="62"/>
      <c r="AB36" s="53"/>
      <c r="AC36" s="62"/>
      <c r="AD36" s="53"/>
    </row>
    <row r="37" spans="2:30" x14ac:dyDescent="0.25">
      <c r="B37" s="51" t="s">
        <v>33</v>
      </c>
      <c r="C37" s="62"/>
      <c r="D37" s="62"/>
      <c r="E37" s="62"/>
      <c r="F37" s="62"/>
      <c r="G37" s="62"/>
      <c r="H37" s="183">
        <v>0.21</v>
      </c>
      <c r="I37" s="62"/>
      <c r="J37" s="183">
        <v>0.21</v>
      </c>
      <c r="K37" s="62"/>
      <c r="L37" s="183">
        <v>0.21</v>
      </c>
      <c r="M37" s="62"/>
      <c r="N37" s="183">
        <v>0.21</v>
      </c>
      <c r="O37" s="62"/>
      <c r="P37" s="183">
        <v>0.21</v>
      </c>
      <c r="Q37" s="62"/>
      <c r="R37" s="183">
        <v>0.21</v>
      </c>
      <c r="S37" s="62"/>
      <c r="T37" s="183">
        <v>0.21</v>
      </c>
      <c r="U37" s="62"/>
      <c r="V37" s="183">
        <v>0.21</v>
      </c>
      <c r="W37" s="62"/>
      <c r="X37" s="183">
        <v>0.21</v>
      </c>
      <c r="Y37" s="62"/>
      <c r="Z37" s="183">
        <v>0.21</v>
      </c>
      <c r="AA37" s="62"/>
      <c r="AB37" s="183">
        <v>0.21</v>
      </c>
      <c r="AC37" s="62"/>
      <c r="AD37" s="183">
        <v>0.21</v>
      </c>
    </row>
    <row r="38" spans="2:30" x14ac:dyDescent="0.25">
      <c r="B38" s="7"/>
      <c r="C38" s="62"/>
      <c r="D38" s="62"/>
      <c r="E38" s="62"/>
      <c r="F38" s="62"/>
      <c r="G38" s="62"/>
      <c r="H38" s="54"/>
      <c r="I38" s="62"/>
      <c r="J38" s="54"/>
      <c r="K38" s="62"/>
      <c r="L38" s="54"/>
      <c r="M38" s="62"/>
      <c r="N38" s="54"/>
      <c r="O38" s="62"/>
      <c r="P38" s="54"/>
      <c r="Q38" s="62"/>
      <c r="R38" s="54"/>
      <c r="S38" s="62"/>
      <c r="T38" s="54"/>
      <c r="U38" s="62"/>
      <c r="V38" s="54"/>
      <c r="W38" s="62"/>
      <c r="X38" s="54"/>
      <c r="Y38" s="62"/>
      <c r="Z38" s="54"/>
      <c r="AA38" s="62"/>
      <c r="AB38" s="54"/>
      <c r="AC38" s="62"/>
      <c r="AD38" s="54"/>
    </row>
    <row r="39" spans="2:30" ht="15.75" thickBot="1" x14ac:dyDescent="0.3">
      <c r="B39" s="51" t="s">
        <v>41</v>
      </c>
      <c r="C39" s="62"/>
      <c r="D39" s="62"/>
      <c r="E39" s="62"/>
      <c r="F39" s="62"/>
      <c r="G39" s="62"/>
      <c r="H39" s="58">
        <f>ROUND(H35*H37,0)</f>
        <v>-46856</v>
      </c>
      <c r="I39" s="62"/>
      <c r="J39" s="58">
        <f>ROUND(J35*J37,0)</f>
        <v>-11025</v>
      </c>
      <c r="K39" s="62"/>
      <c r="L39" s="58">
        <f>ROUND(L35*L37,0)</f>
        <v>17157</v>
      </c>
      <c r="M39" s="62"/>
      <c r="N39" s="58">
        <f>ROUND(N35*N37,0)</f>
        <v>45339</v>
      </c>
      <c r="O39" s="62"/>
      <c r="P39" s="58">
        <f>ROUND(P35*P37,0)</f>
        <v>73521</v>
      </c>
      <c r="Q39" s="62"/>
      <c r="R39" s="58">
        <f>ROUND(R35*R37,0)</f>
        <v>101703</v>
      </c>
      <c r="S39" s="62"/>
      <c r="T39" s="58">
        <f>ROUND(T35*T37,0)</f>
        <v>129886</v>
      </c>
      <c r="U39" s="62"/>
      <c r="V39" s="58">
        <f>ROUND(V35*V37,0)</f>
        <v>158068</v>
      </c>
      <c r="W39" s="62"/>
      <c r="X39" s="58">
        <f>ROUND(X35*X37,0)</f>
        <v>186250</v>
      </c>
      <c r="Y39" s="62"/>
      <c r="Z39" s="58">
        <f>ROUND(Z35*Z37,0)</f>
        <v>214432</v>
      </c>
      <c r="AA39" s="62"/>
      <c r="AB39" s="58">
        <f>ROUND(AB35*AB37,0)</f>
        <v>242614</v>
      </c>
      <c r="AC39" s="62"/>
      <c r="AD39" s="58">
        <f>ROUND(AD35*AD37,0)</f>
        <v>270796</v>
      </c>
    </row>
    <row r="40" spans="2:30" ht="15.75" thickTop="1" x14ac:dyDescent="0.25">
      <c r="B40" s="5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</row>
    <row r="41" spans="2:30" x14ac:dyDescent="0.25">
      <c r="B41" s="5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</row>
    <row r="42" spans="2:30" x14ac:dyDescent="0.25">
      <c r="B42" s="5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</row>
    <row r="43" spans="2:30" x14ac:dyDescent="0.25">
      <c r="B43" s="5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182"/>
    </row>
    <row r="44" spans="2:30" x14ac:dyDescent="0.25">
      <c r="B44" s="51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182"/>
    </row>
    <row r="45" spans="2:30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182"/>
    </row>
    <row r="46" spans="2:30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</row>
    <row r="47" spans="2:30" x14ac:dyDescent="0.25">
      <c r="B47" s="51" t="s">
        <v>75</v>
      </c>
      <c r="C47" s="62"/>
      <c r="D47" s="62"/>
      <c r="E47" s="62"/>
      <c r="F47" s="62"/>
      <c r="G47" s="62"/>
      <c r="H47" s="184"/>
      <c r="I47" s="62"/>
      <c r="J47" s="185">
        <v>2023</v>
      </c>
      <c r="K47" s="62"/>
      <c r="L47" s="184"/>
      <c r="M47" s="62"/>
      <c r="N47" s="184"/>
      <c r="O47" s="62"/>
      <c r="P47" s="184"/>
      <c r="Q47" s="62"/>
      <c r="R47" s="184"/>
      <c r="S47" s="62"/>
      <c r="T47" s="184"/>
      <c r="U47" s="62"/>
      <c r="V47" s="184"/>
      <c r="W47" s="62"/>
      <c r="X47" s="184"/>
      <c r="Y47" s="62"/>
      <c r="Z47" s="184"/>
      <c r="AA47" s="62"/>
      <c r="AB47" s="184"/>
      <c r="AC47" s="62"/>
      <c r="AD47" s="185">
        <f>$J$47</f>
        <v>2023</v>
      </c>
    </row>
    <row r="48" spans="2:30" x14ac:dyDescent="0.25">
      <c r="B48" s="51" t="s">
        <v>29</v>
      </c>
      <c r="C48" s="62"/>
      <c r="D48" s="62"/>
      <c r="E48" s="62"/>
      <c r="F48" s="62"/>
      <c r="G48" s="62"/>
      <c r="H48" s="182"/>
      <c r="I48" s="62"/>
      <c r="J48" s="186">
        <f>J25</f>
        <v>12600000.000000002</v>
      </c>
      <c r="K48" s="187"/>
      <c r="L48" s="186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6">
        <f>AD25</f>
        <v>12600000.000000002</v>
      </c>
    </row>
    <row r="49" spans="2:30" x14ac:dyDescent="0.25">
      <c r="B49" s="51" t="s">
        <v>34</v>
      </c>
      <c r="C49" s="62"/>
      <c r="D49" s="62"/>
      <c r="E49" s="62"/>
      <c r="F49" s="62"/>
      <c r="G49" s="62"/>
      <c r="H49" s="182"/>
      <c r="I49" s="62"/>
      <c r="J49" s="186">
        <f>J48*J13</f>
        <v>0</v>
      </c>
      <c r="K49" s="187"/>
      <c r="L49" s="186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6">
        <f>AD48*AD13</f>
        <v>0</v>
      </c>
    </row>
    <row r="50" spans="2:30" x14ac:dyDescent="0.25">
      <c r="B50" s="51" t="s">
        <v>35</v>
      </c>
      <c r="C50" s="62"/>
      <c r="D50" s="62"/>
      <c r="E50" s="62"/>
      <c r="F50" s="62"/>
      <c r="G50" s="62"/>
      <c r="H50" s="182"/>
      <c r="I50" s="62"/>
      <c r="J50" s="188">
        <f>J48-J49</f>
        <v>12600000.000000002</v>
      </c>
      <c r="K50" s="187"/>
      <c r="L50" s="186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8">
        <f>AD48-AD49</f>
        <v>12600000.000000002</v>
      </c>
    </row>
    <row r="51" spans="2:30" x14ac:dyDescent="0.25">
      <c r="B51" s="59" t="s">
        <v>36</v>
      </c>
      <c r="C51" s="62"/>
      <c r="D51" s="62"/>
      <c r="E51" s="62"/>
      <c r="F51" s="62"/>
      <c r="G51" s="62"/>
      <c r="H51" s="189"/>
      <c r="I51" s="62"/>
      <c r="J51" s="190">
        <f>VLOOKUP(J9-(J47-1),$E$57:$H$78,4)</f>
        <v>3.7499999999999999E-2</v>
      </c>
      <c r="K51" s="187"/>
      <c r="L51" s="190"/>
      <c r="M51" s="187"/>
      <c r="N51" s="190"/>
      <c r="O51" s="187"/>
      <c r="P51" s="190"/>
      <c r="Q51" s="187"/>
      <c r="R51" s="190"/>
      <c r="S51" s="187"/>
      <c r="T51" s="190"/>
      <c r="U51" s="187"/>
      <c r="V51" s="190"/>
      <c r="W51" s="187"/>
      <c r="X51" s="190"/>
      <c r="Y51" s="187"/>
      <c r="Z51" s="190"/>
      <c r="AA51" s="187"/>
      <c r="AB51" s="190"/>
      <c r="AC51" s="187"/>
      <c r="AD51" s="190">
        <f>VLOOKUP(AD9-(AD47-1),$E$57:$H$78,4)</f>
        <v>7.2190000000000004E-2</v>
      </c>
    </row>
    <row r="52" spans="2:30" ht="15.75" thickBot="1" x14ac:dyDescent="0.3">
      <c r="B52" s="51" t="s">
        <v>37</v>
      </c>
      <c r="C52" s="62"/>
      <c r="D52" s="62"/>
      <c r="E52" s="62"/>
      <c r="F52" s="62"/>
      <c r="G52" s="62"/>
      <c r="H52" s="62"/>
      <c r="I52" s="62"/>
      <c r="J52" s="191">
        <f>J48*J51</f>
        <v>472500.00000000006</v>
      </c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91">
        <f>AD48*AD51</f>
        <v>909594.00000000023</v>
      </c>
    </row>
    <row r="53" spans="2:30" ht="15.75" thickTop="1" x14ac:dyDescent="0.25"/>
    <row r="57" spans="2:30" x14ac:dyDescent="0.25">
      <c r="B57" s="4" t="s">
        <v>38</v>
      </c>
      <c r="E57" s="5">
        <v>1</v>
      </c>
      <c r="F57" s="6"/>
      <c r="H57" s="192">
        <v>3.7499999999999999E-2</v>
      </c>
    </row>
    <row r="58" spans="2:30" x14ac:dyDescent="0.25">
      <c r="B58" s="6"/>
      <c r="E58" s="5">
        <v>2</v>
      </c>
      <c r="F58" s="6"/>
      <c r="H58" s="192">
        <v>7.2190000000000004E-2</v>
      </c>
    </row>
    <row r="59" spans="2:30" x14ac:dyDescent="0.25">
      <c r="B59" s="7"/>
      <c r="E59" s="8">
        <v>3</v>
      </c>
      <c r="F59" s="7"/>
      <c r="H59" s="192">
        <v>6.6769999999999996E-2</v>
      </c>
    </row>
    <row r="60" spans="2:30" x14ac:dyDescent="0.25">
      <c r="B60" s="7"/>
      <c r="E60" s="8">
        <v>4</v>
      </c>
      <c r="F60" s="7"/>
      <c r="H60" s="192">
        <v>6.1769999999999999E-2</v>
      </c>
    </row>
    <row r="61" spans="2:30" x14ac:dyDescent="0.25">
      <c r="B61" s="7"/>
      <c r="E61" s="8">
        <v>5</v>
      </c>
      <c r="F61" s="7"/>
      <c r="H61" s="192">
        <v>5.713E-2</v>
      </c>
    </row>
    <row r="62" spans="2:30" x14ac:dyDescent="0.25">
      <c r="B62" s="7"/>
      <c r="E62" s="8">
        <v>6</v>
      </c>
      <c r="F62" s="7"/>
      <c r="H62" s="192">
        <v>5.2850000000000001E-2</v>
      </c>
    </row>
    <row r="63" spans="2:30" x14ac:dyDescent="0.25">
      <c r="B63" s="7"/>
      <c r="E63" s="8">
        <v>7</v>
      </c>
      <c r="F63" s="7"/>
      <c r="H63" s="192">
        <v>4.888E-2</v>
      </c>
    </row>
    <row r="64" spans="2:30" x14ac:dyDescent="0.25">
      <c r="B64" s="7"/>
      <c r="E64" s="8">
        <v>8</v>
      </c>
      <c r="F64" s="7"/>
      <c r="H64" s="192">
        <v>4.5220000000000003E-2</v>
      </c>
    </row>
    <row r="65" spans="2:8" x14ac:dyDescent="0.25">
      <c r="B65" s="7"/>
      <c r="E65" s="8">
        <v>9</v>
      </c>
      <c r="F65" s="7"/>
      <c r="H65" s="192">
        <v>4.462E-2</v>
      </c>
    </row>
    <row r="66" spans="2:8" x14ac:dyDescent="0.25">
      <c r="B66" s="7"/>
      <c r="E66" s="8">
        <v>10</v>
      </c>
      <c r="F66" s="7"/>
      <c r="H66" s="192">
        <v>4.4609999999999997E-2</v>
      </c>
    </row>
    <row r="67" spans="2:8" x14ac:dyDescent="0.25">
      <c r="B67" s="7"/>
      <c r="E67" s="8">
        <v>11</v>
      </c>
      <c r="F67" s="7"/>
      <c r="H67" s="192">
        <v>4.462E-2</v>
      </c>
    </row>
    <row r="68" spans="2:8" x14ac:dyDescent="0.25">
      <c r="B68" s="7"/>
      <c r="E68" s="8">
        <v>12</v>
      </c>
      <c r="F68" s="7"/>
      <c r="H68" s="192">
        <v>4.4609999999999997E-2</v>
      </c>
    </row>
    <row r="69" spans="2:8" x14ac:dyDescent="0.25">
      <c r="B69" s="7"/>
      <c r="E69" s="8">
        <v>13</v>
      </c>
      <c r="F69" s="7"/>
      <c r="H69" s="192">
        <v>4.462E-2</v>
      </c>
    </row>
    <row r="70" spans="2:8" x14ac:dyDescent="0.25">
      <c r="B70" s="7"/>
      <c r="E70" s="8">
        <v>14</v>
      </c>
      <c r="F70" s="7"/>
      <c r="H70" s="192">
        <v>4.4609999999999997E-2</v>
      </c>
    </row>
    <row r="71" spans="2:8" x14ac:dyDescent="0.25">
      <c r="B71" s="7"/>
      <c r="E71" s="8">
        <v>15</v>
      </c>
      <c r="F71" s="7"/>
      <c r="H71" s="192">
        <v>4.462E-2</v>
      </c>
    </row>
    <row r="72" spans="2:8" x14ac:dyDescent="0.25">
      <c r="B72" s="7"/>
      <c r="E72" s="8">
        <v>16</v>
      </c>
      <c r="F72" s="7"/>
      <c r="H72" s="192">
        <v>4.4609999999999997E-2</v>
      </c>
    </row>
    <row r="73" spans="2:8" x14ac:dyDescent="0.25">
      <c r="B73" s="7"/>
      <c r="E73" s="8">
        <v>17</v>
      </c>
      <c r="F73" s="7"/>
      <c r="H73" s="192">
        <v>4.462E-2</v>
      </c>
    </row>
    <row r="74" spans="2:8" x14ac:dyDescent="0.25">
      <c r="B74" s="7"/>
      <c r="E74" s="8">
        <v>18</v>
      </c>
      <c r="F74" s="7"/>
      <c r="H74" s="192">
        <v>4.4609999999999997E-2</v>
      </c>
    </row>
    <row r="75" spans="2:8" x14ac:dyDescent="0.25">
      <c r="B75" s="7"/>
      <c r="E75" s="8">
        <v>19</v>
      </c>
      <c r="F75" s="7"/>
      <c r="H75" s="192">
        <v>4.462E-2</v>
      </c>
    </row>
    <row r="76" spans="2:8" x14ac:dyDescent="0.25">
      <c r="B76" s="7"/>
      <c r="E76" s="8">
        <v>20</v>
      </c>
      <c r="F76" s="7"/>
      <c r="H76" s="192">
        <v>4.4609999999999997E-2</v>
      </c>
    </row>
    <row r="77" spans="2:8" x14ac:dyDescent="0.25">
      <c r="B77" s="7"/>
      <c r="E77" s="8">
        <v>21</v>
      </c>
      <c r="F77" s="7"/>
      <c r="H77" s="192">
        <v>2.231E-2</v>
      </c>
    </row>
    <row r="78" spans="2:8" x14ac:dyDescent="0.25">
      <c r="B78" s="7"/>
      <c r="E78" s="8">
        <v>22</v>
      </c>
      <c r="F78" s="7"/>
      <c r="H78" s="192">
        <v>0</v>
      </c>
    </row>
  </sheetData>
  <pageMargins left="0.7" right="0.7" top="0.75" bottom="0.75" header="0.3" footer="0.3"/>
  <pageSetup scale="48" fitToHeight="0" orientation="landscape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>
      <selection activeCell="M37" sqref="M37"/>
    </sheetView>
  </sheetViews>
  <sheetFormatPr defaultRowHeight="15" x14ac:dyDescent="0.25"/>
  <sheetData>
    <row r="1" spans="1:5" x14ac:dyDescent="0.25">
      <c r="A1" s="284" t="s">
        <v>51</v>
      </c>
      <c r="B1" s="284"/>
      <c r="C1" s="284"/>
      <c r="D1" s="284"/>
      <c r="E1" s="284"/>
    </row>
    <row r="2" spans="1:5" x14ac:dyDescent="0.25">
      <c r="A2" s="284" t="s">
        <v>48</v>
      </c>
      <c r="B2" s="284"/>
      <c r="C2" s="284"/>
      <c r="D2" s="284"/>
      <c r="E2" s="284"/>
    </row>
    <row r="3" spans="1:5" x14ac:dyDescent="0.25">
      <c r="A3" s="284" t="s">
        <v>50</v>
      </c>
      <c r="B3" s="284"/>
      <c r="C3" s="284"/>
      <c r="D3" s="284"/>
      <c r="E3" s="284"/>
    </row>
    <row r="4" spans="1:5" x14ac:dyDescent="0.25">
      <c r="A4" s="26"/>
      <c r="B4" s="26"/>
      <c r="C4" s="26"/>
      <c r="D4" s="26"/>
      <c r="E4" s="26"/>
    </row>
    <row r="5" spans="1:5" ht="39" x14ac:dyDescent="0.25">
      <c r="A5" s="27" t="s">
        <v>45</v>
      </c>
      <c r="B5" s="27" t="s">
        <v>7</v>
      </c>
      <c r="C5" s="27" t="s">
        <v>49</v>
      </c>
      <c r="D5" s="27" t="s">
        <v>46</v>
      </c>
      <c r="E5" s="27" t="s">
        <v>47</v>
      </c>
    </row>
    <row r="6" spans="1:5" x14ac:dyDescent="0.25">
      <c r="A6" s="33" t="s">
        <v>11</v>
      </c>
      <c r="B6" s="33">
        <v>2020</v>
      </c>
      <c r="C6" s="170">
        <v>0.96140000000000003</v>
      </c>
      <c r="D6" s="33" t="s">
        <v>12</v>
      </c>
      <c r="E6" s="33" t="s">
        <v>13</v>
      </c>
    </row>
    <row r="7" spans="1:5" x14ac:dyDescent="0.25">
      <c r="A7" s="33" t="s">
        <v>12</v>
      </c>
      <c r="B7" s="33">
        <v>2020</v>
      </c>
      <c r="C7" s="170">
        <v>0.96760000000000002</v>
      </c>
      <c r="D7" s="33" t="s">
        <v>13</v>
      </c>
      <c r="E7" s="33" t="s">
        <v>14</v>
      </c>
    </row>
    <row r="8" spans="1:5" x14ac:dyDescent="0.25">
      <c r="A8" s="33" t="s">
        <v>13</v>
      </c>
      <c r="B8" s="33">
        <v>2020</v>
      </c>
      <c r="C8" s="170">
        <v>0.97209999999999996</v>
      </c>
      <c r="D8" s="33" t="s">
        <v>14</v>
      </c>
      <c r="E8" s="33" t="s">
        <v>15</v>
      </c>
    </row>
    <row r="9" spans="1:5" x14ac:dyDescent="0.25">
      <c r="A9" s="33" t="s">
        <v>14</v>
      </c>
      <c r="B9" s="33">
        <v>2020</v>
      </c>
      <c r="C9" s="170">
        <v>0.97160000000000002</v>
      </c>
      <c r="D9" s="33" t="s">
        <v>15</v>
      </c>
      <c r="E9" s="33" t="s">
        <v>16</v>
      </c>
    </row>
    <row r="10" spans="1:5" x14ac:dyDescent="0.25">
      <c r="A10" s="33" t="s">
        <v>15</v>
      </c>
      <c r="B10" s="33">
        <v>2020</v>
      </c>
      <c r="C10" s="170">
        <v>0.95779999999999998</v>
      </c>
      <c r="D10" s="33" t="s">
        <v>16</v>
      </c>
      <c r="E10" s="33" t="s">
        <v>17</v>
      </c>
    </row>
    <row r="11" spans="1:5" x14ac:dyDescent="0.25">
      <c r="A11" s="33" t="s">
        <v>16</v>
      </c>
      <c r="B11" s="33">
        <v>2020</v>
      </c>
      <c r="C11" s="170">
        <v>0.95250000000000001</v>
      </c>
      <c r="D11" s="33" t="s">
        <v>17</v>
      </c>
      <c r="E11" s="33" t="s">
        <v>18</v>
      </c>
    </row>
    <row r="12" spans="1:5" x14ac:dyDescent="0.25">
      <c r="A12" s="33" t="s">
        <v>17</v>
      </c>
      <c r="B12" s="33">
        <v>2020</v>
      </c>
      <c r="C12" s="170">
        <v>0.91859999999999997</v>
      </c>
      <c r="D12" s="33" t="s">
        <v>18</v>
      </c>
      <c r="E12" s="33" t="s">
        <v>19</v>
      </c>
    </row>
    <row r="13" spans="1:5" x14ac:dyDescent="0.25">
      <c r="A13" s="33" t="s">
        <v>18</v>
      </c>
      <c r="B13" s="33">
        <v>2020</v>
      </c>
      <c r="C13" s="170">
        <v>0.95689999999999997</v>
      </c>
      <c r="D13" s="33" t="s">
        <v>19</v>
      </c>
      <c r="E13" s="33" t="s">
        <v>8</v>
      </c>
    </row>
    <row r="14" spans="1:5" x14ac:dyDescent="0.25">
      <c r="A14" s="33" t="s">
        <v>19</v>
      </c>
      <c r="B14" s="33">
        <v>2020</v>
      </c>
      <c r="C14" s="170">
        <v>0.9849</v>
      </c>
      <c r="D14" s="33" t="s">
        <v>8</v>
      </c>
      <c r="E14" s="33" t="s">
        <v>9</v>
      </c>
    </row>
    <row r="15" spans="1:5" x14ac:dyDescent="0.25">
      <c r="A15" s="33" t="s">
        <v>8</v>
      </c>
      <c r="B15" s="33">
        <v>2020</v>
      </c>
      <c r="C15" s="170">
        <v>0.97709999999999997</v>
      </c>
      <c r="D15" s="33" t="s">
        <v>9</v>
      </c>
      <c r="E15" s="33" t="s">
        <v>10</v>
      </c>
    </row>
    <row r="16" spans="1:5" x14ac:dyDescent="0.25">
      <c r="A16" s="33" t="s">
        <v>9</v>
      </c>
      <c r="B16" s="33">
        <v>2020</v>
      </c>
      <c r="C16" s="170">
        <v>0.96140000000000003</v>
      </c>
      <c r="D16" s="33" t="s">
        <v>10</v>
      </c>
      <c r="E16" s="33" t="s">
        <v>11</v>
      </c>
    </row>
    <row r="17" spans="1:5" x14ac:dyDescent="0.25">
      <c r="A17" s="33" t="s">
        <v>10</v>
      </c>
      <c r="B17" s="33">
        <v>2020</v>
      </c>
      <c r="C17" s="170">
        <v>0.97489999999999999</v>
      </c>
      <c r="D17" s="33" t="s">
        <v>11</v>
      </c>
      <c r="E17" s="33" t="s">
        <v>12</v>
      </c>
    </row>
    <row r="18" spans="1:5" x14ac:dyDescent="0.25">
      <c r="A18" s="33"/>
      <c r="B18" s="33"/>
      <c r="C18" s="34"/>
      <c r="D18" s="33"/>
      <c r="E18" s="26"/>
    </row>
    <row r="19" spans="1:5" x14ac:dyDescent="0.25">
      <c r="A19" s="171" t="s">
        <v>121</v>
      </c>
      <c r="B19" s="33"/>
      <c r="C19" s="36">
        <f>AVERAGE(C6:C17)</f>
        <v>0.96306666666666663</v>
      </c>
      <c r="D19" s="33"/>
      <c r="E19" s="26"/>
    </row>
    <row r="20" spans="1:5" x14ac:dyDescent="0.25">
      <c r="A20" s="35"/>
      <c r="B20" s="35"/>
      <c r="C20" s="35"/>
      <c r="D20" s="35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/>
  </sheetPr>
  <dimension ref="A1:Z50"/>
  <sheetViews>
    <sheetView topLeftCell="B1" zoomScaleNormal="100" workbookViewId="0">
      <pane ySplit="1" topLeftCell="A2" activePane="bottomLeft" state="frozen"/>
      <selection activeCell="J49" sqref="J49"/>
      <selection pane="bottomLeft" activeCell="T18" sqref="T18"/>
    </sheetView>
  </sheetViews>
  <sheetFormatPr defaultColWidth="8.85546875" defaultRowHeight="12.75" x14ac:dyDescent="0.2"/>
  <cols>
    <col min="1" max="2" width="10.7109375" style="67" customWidth="1"/>
    <col min="3" max="3" width="5" style="66" bestFit="1" customWidth="1"/>
    <col min="4" max="4" width="0.28515625" style="67" customWidth="1"/>
    <col min="5" max="5" width="12.7109375" style="67" customWidth="1"/>
    <col min="6" max="6" width="0.28515625" style="67" customWidth="1"/>
    <col min="7" max="7" width="15.7109375" style="67" customWidth="1"/>
    <col min="8" max="8" width="0.28515625" style="67" customWidth="1"/>
    <col min="9" max="9" width="12.85546875" style="67" customWidth="1"/>
    <col min="10" max="10" width="0.28515625" style="67" customWidth="1"/>
    <col min="11" max="11" width="12.7109375" style="67" customWidth="1"/>
    <col min="12" max="12" width="3.7109375" style="67" customWidth="1"/>
    <col min="13" max="13" width="0.28515625" style="67" customWidth="1"/>
    <col min="14" max="14" width="12.7109375" style="67" customWidth="1"/>
    <col min="15" max="15" width="0.28515625" style="67" customWidth="1"/>
    <col min="16" max="16" width="9.7109375" style="67" customWidth="1"/>
    <col min="17" max="17" width="0.28515625" style="67" customWidth="1"/>
    <col min="18" max="18" width="3.7109375" style="67" customWidth="1"/>
    <col min="19" max="19" width="0.28515625" style="67" customWidth="1"/>
    <col min="20" max="20" width="12" style="67" bestFit="1" customWidth="1"/>
    <col min="21" max="21" width="2.28515625" style="67" customWidth="1"/>
    <col min="22" max="22" width="8.85546875" style="67" customWidth="1"/>
    <col min="23" max="257" width="8.85546875" style="67"/>
    <col min="258" max="258" width="10.7109375" style="67" customWidth="1"/>
    <col min="259" max="259" width="5" style="67" bestFit="1" customWidth="1"/>
    <col min="260" max="260" width="0.28515625" style="67" customWidth="1"/>
    <col min="261" max="261" width="12.7109375" style="67" customWidth="1"/>
    <col min="262" max="262" width="0.28515625" style="67" customWidth="1"/>
    <col min="263" max="263" width="15.7109375" style="67" customWidth="1"/>
    <col min="264" max="264" width="0.28515625" style="67" customWidth="1"/>
    <col min="265" max="265" width="12.85546875" style="67" customWidth="1"/>
    <col min="266" max="266" width="0.28515625" style="67" customWidth="1"/>
    <col min="267" max="267" width="12.7109375" style="67" customWidth="1"/>
    <col min="268" max="268" width="3.7109375" style="67" customWidth="1"/>
    <col min="269" max="269" width="0.28515625" style="67" customWidth="1"/>
    <col min="270" max="270" width="12.7109375" style="67" customWidth="1"/>
    <col min="271" max="271" width="0.28515625" style="67" customWidth="1"/>
    <col min="272" max="272" width="9.7109375" style="67" customWidth="1"/>
    <col min="273" max="273" width="0.28515625" style="67" customWidth="1"/>
    <col min="274" max="274" width="3.7109375" style="67" customWidth="1"/>
    <col min="275" max="275" width="0.28515625" style="67" customWidth="1"/>
    <col min="276" max="276" width="12" style="67" bestFit="1" customWidth="1"/>
    <col min="277" max="277" width="2.28515625" style="67" customWidth="1"/>
    <col min="278" max="513" width="8.85546875" style="67"/>
    <col min="514" max="514" width="10.7109375" style="67" customWidth="1"/>
    <col min="515" max="515" width="5" style="67" bestFit="1" customWidth="1"/>
    <col min="516" max="516" width="0.28515625" style="67" customWidth="1"/>
    <col min="517" max="517" width="12.7109375" style="67" customWidth="1"/>
    <col min="518" max="518" width="0.28515625" style="67" customWidth="1"/>
    <col min="519" max="519" width="15.7109375" style="67" customWidth="1"/>
    <col min="520" max="520" width="0.28515625" style="67" customWidth="1"/>
    <col min="521" max="521" width="12.85546875" style="67" customWidth="1"/>
    <col min="522" max="522" width="0.28515625" style="67" customWidth="1"/>
    <col min="523" max="523" width="12.7109375" style="67" customWidth="1"/>
    <col min="524" max="524" width="3.7109375" style="67" customWidth="1"/>
    <col min="525" max="525" width="0.28515625" style="67" customWidth="1"/>
    <col min="526" max="526" width="12.7109375" style="67" customWidth="1"/>
    <col min="527" max="527" width="0.28515625" style="67" customWidth="1"/>
    <col min="528" max="528" width="9.7109375" style="67" customWidth="1"/>
    <col min="529" max="529" width="0.28515625" style="67" customWidth="1"/>
    <col min="530" max="530" width="3.7109375" style="67" customWidth="1"/>
    <col min="531" max="531" width="0.28515625" style="67" customWidth="1"/>
    <col min="532" max="532" width="12" style="67" bestFit="1" customWidth="1"/>
    <col min="533" max="533" width="2.28515625" style="67" customWidth="1"/>
    <col min="534" max="769" width="8.85546875" style="67"/>
    <col min="770" max="770" width="10.7109375" style="67" customWidth="1"/>
    <col min="771" max="771" width="5" style="67" bestFit="1" customWidth="1"/>
    <col min="772" max="772" width="0.28515625" style="67" customWidth="1"/>
    <col min="773" max="773" width="12.7109375" style="67" customWidth="1"/>
    <col min="774" max="774" width="0.28515625" style="67" customWidth="1"/>
    <col min="775" max="775" width="15.7109375" style="67" customWidth="1"/>
    <col min="776" max="776" width="0.28515625" style="67" customWidth="1"/>
    <col min="777" max="777" width="12.85546875" style="67" customWidth="1"/>
    <col min="778" max="778" width="0.28515625" style="67" customWidth="1"/>
    <col min="779" max="779" width="12.7109375" style="67" customWidth="1"/>
    <col min="780" max="780" width="3.7109375" style="67" customWidth="1"/>
    <col min="781" max="781" width="0.28515625" style="67" customWidth="1"/>
    <col min="782" max="782" width="12.7109375" style="67" customWidth="1"/>
    <col min="783" max="783" width="0.28515625" style="67" customWidth="1"/>
    <col min="784" max="784" width="9.7109375" style="67" customWidth="1"/>
    <col min="785" max="785" width="0.28515625" style="67" customWidth="1"/>
    <col min="786" max="786" width="3.7109375" style="67" customWidth="1"/>
    <col min="787" max="787" width="0.28515625" style="67" customWidth="1"/>
    <col min="788" max="788" width="12" style="67" bestFit="1" customWidth="1"/>
    <col min="789" max="789" width="2.28515625" style="67" customWidth="1"/>
    <col min="790" max="1025" width="8.85546875" style="67"/>
    <col min="1026" max="1026" width="10.7109375" style="67" customWidth="1"/>
    <col min="1027" max="1027" width="5" style="67" bestFit="1" customWidth="1"/>
    <col min="1028" max="1028" width="0.28515625" style="67" customWidth="1"/>
    <col min="1029" max="1029" width="12.7109375" style="67" customWidth="1"/>
    <col min="1030" max="1030" width="0.28515625" style="67" customWidth="1"/>
    <col min="1031" max="1031" width="15.7109375" style="67" customWidth="1"/>
    <col min="1032" max="1032" width="0.28515625" style="67" customWidth="1"/>
    <col min="1033" max="1033" width="12.85546875" style="67" customWidth="1"/>
    <col min="1034" max="1034" width="0.28515625" style="67" customWidth="1"/>
    <col min="1035" max="1035" width="12.7109375" style="67" customWidth="1"/>
    <col min="1036" max="1036" width="3.7109375" style="67" customWidth="1"/>
    <col min="1037" max="1037" width="0.28515625" style="67" customWidth="1"/>
    <col min="1038" max="1038" width="12.7109375" style="67" customWidth="1"/>
    <col min="1039" max="1039" width="0.28515625" style="67" customWidth="1"/>
    <col min="1040" max="1040" width="9.7109375" style="67" customWidth="1"/>
    <col min="1041" max="1041" width="0.28515625" style="67" customWidth="1"/>
    <col min="1042" max="1042" width="3.7109375" style="67" customWidth="1"/>
    <col min="1043" max="1043" width="0.28515625" style="67" customWidth="1"/>
    <col min="1044" max="1044" width="12" style="67" bestFit="1" customWidth="1"/>
    <col min="1045" max="1045" width="2.28515625" style="67" customWidth="1"/>
    <col min="1046" max="1281" width="8.85546875" style="67"/>
    <col min="1282" max="1282" width="10.7109375" style="67" customWidth="1"/>
    <col min="1283" max="1283" width="5" style="67" bestFit="1" customWidth="1"/>
    <col min="1284" max="1284" width="0.28515625" style="67" customWidth="1"/>
    <col min="1285" max="1285" width="12.7109375" style="67" customWidth="1"/>
    <col min="1286" max="1286" width="0.28515625" style="67" customWidth="1"/>
    <col min="1287" max="1287" width="15.7109375" style="67" customWidth="1"/>
    <col min="1288" max="1288" width="0.28515625" style="67" customWidth="1"/>
    <col min="1289" max="1289" width="12.85546875" style="67" customWidth="1"/>
    <col min="1290" max="1290" width="0.28515625" style="67" customWidth="1"/>
    <col min="1291" max="1291" width="12.7109375" style="67" customWidth="1"/>
    <col min="1292" max="1292" width="3.7109375" style="67" customWidth="1"/>
    <col min="1293" max="1293" width="0.28515625" style="67" customWidth="1"/>
    <col min="1294" max="1294" width="12.7109375" style="67" customWidth="1"/>
    <col min="1295" max="1295" width="0.28515625" style="67" customWidth="1"/>
    <col min="1296" max="1296" width="9.7109375" style="67" customWidth="1"/>
    <col min="1297" max="1297" width="0.28515625" style="67" customWidth="1"/>
    <col min="1298" max="1298" width="3.7109375" style="67" customWidth="1"/>
    <col min="1299" max="1299" width="0.28515625" style="67" customWidth="1"/>
    <col min="1300" max="1300" width="12" style="67" bestFit="1" customWidth="1"/>
    <col min="1301" max="1301" width="2.28515625" style="67" customWidth="1"/>
    <col min="1302" max="1537" width="8.85546875" style="67"/>
    <col min="1538" max="1538" width="10.7109375" style="67" customWidth="1"/>
    <col min="1539" max="1539" width="5" style="67" bestFit="1" customWidth="1"/>
    <col min="1540" max="1540" width="0.28515625" style="67" customWidth="1"/>
    <col min="1541" max="1541" width="12.7109375" style="67" customWidth="1"/>
    <col min="1542" max="1542" width="0.28515625" style="67" customWidth="1"/>
    <col min="1543" max="1543" width="15.7109375" style="67" customWidth="1"/>
    <col min="1544" max="1544" width="0.28515625" style="67" customWidth="1"/>
    <col min="1545" max="1545" width="12.85546875" style="67" customWidth="1"/>
    <col min="1546" max="1546" width="0.28515625" style="67" customWidth="1"/>
    <col min="1547" max="1547" width="12.7109375" style="67" customWidth="1"/>
    <col min="1548" max="1548" width="3.7109375" style="67" customWidth="1"/>
    <col min="1549" max="1549" width="0.28515625" style="67" customWidth="1"/>
    <col min="1550" max="1550" width="12.7109375" style="67" customWidth="1"/>
    <col min="1551" max="1551" width="0.28515625" style="67" customWidth="1"/>
    <col min="1552" max="1552" width="9.7109375" style="67" customWidth="1"/>
    <col min="1553" max="1553" width="0.28515625" style="67" customWidth="1"/>
    <col min="1554" max="1554" width="3.7109375" style="67" customWidth="1"/>
    <col min="1555" max="1555" width="0.28515625" style="67" customWidth="1"/>
    <col min="1556" max="1556" width="12" style="67" bestFit="1" customWidth="1"/>
    <col min="1557" max="1557" width="2.28515625" style="67" customWidth="1"/>
    <col min="1558" max="1793" width="8.85546875" style="67"/>
    <col min="1794" max="1794" width="10.7109375" style="67" customWidth="1"/>
    <col min="1795" max="1795" width="5" style="67" bestFit="1" customWidth="1"/>
    <col min="1796" max="1796" width="0.28515625" style="67" customWidth="1"/>
    <col min="1797" max="1797" width="12.7109375" style="67" customWidth="1"/>
    <col min="1798" max="1798" width="0.28515625" style="67" customWidth="1"/>
    <col min="1799" max="1799" width="15.7109375" style="67" customWidth="1"/>
    <col min="1800" max="1800" width="0.28515625" style="67" customWidth="1"/>
    <col min="1801" max="1801" width="12.85546875" style="67" customWidth="1"/>
    <col min="1802" max="1802" width="0.28515625" style="67" customWidth="1"/>
    <col min="1803" max="1803" width="12.7109375" style="67" customWidth="1"/>
    <col min="1804" max="1804" width="3.7109375" style="67" customWidth="1"/>
    <col min="1805" max="1805" width="0.28515625" style="67" customWidth="1"/>
    <col min="1806" max="1806" width="12.7109375" style="67" customWidth="1"/>
    <col min="1807" max="1807" width="0.28515625" style="67" customWidth="1"/>
    <col min="1808" max="1808" width="9.7109375" style="67" customWidth="1"/>
    <col min="1809" max="1809" width="0.28515625" style="67" customWidth="1"/>
    <col min="1810" max="1810" width="3.7109375" style="67" customWidth="1"/>
    <col min="1811" max="1811" width="0.28515625" style="67" customWidth="1"/>
    <col min="1812" max="1812" width="12" style="67" bestFit="1" customWidth="1"/>
    <col min="1813" max="1813" width="2.28515625" style="67" customWidth="1"/>
    <col min="1814" max="2049" width="8.85546875" style="67"/>
    <col min="2050" max="2050" width="10.7109375" style="67" customWidth="1"/>
    <col min="2051" max="2051" width="5" style="67" bestFit="1" customWidth="1"/>
    <col min="2052" max="2052" width="0.28515625" style="67" customWidth="1"/>
    <col min="2053" max="2053" width="12.7109375" style="67" customWidth="1"/>
    <col min="2054" max="2054" width="0.28515625" style="67" customWidth="1"/>
    <col min="2055" max="2055" width="15.7109375" style="67" customWidth="1"/>
    <col min="2056" max="2056" width="0.28515625" style="67" customWidth="1"/>
    <col min="2057" max="2057" width="12.85546875" style="67" customWidth="1"/>
    <col min="2058" max="2058" width="0.28515625" style="67" customWidth="1"/>
    <col min="2059" max="2059" width="12.7109375" style="67" customWidth="1"/>
    <col min="2060" max="2060" width="3.7109375" style="67" customWidth="1"/>
    <col min="2061" max="2061" width="0.28515625" style="67" customWidth="1"/>
    <col min="2062" max="2062" width="12.7109375" style="67" customWidth="1"/>
    <col min="2063" max="2063" width="0.28515625" style="67" customWidth="1"/>
    <col min="2064" max="2064" width="9.7109375" style="67" customWidth="1"/>
    <col min="2065" max="2065" width="0.28515625" style="67" customWidth="1"/>
    <col min="2066" max="2066" width="3.7109375" style="67" customWidth="1"/>
    <col min="2067" max="2067" width="0.28515625" style="67" customWidth="1"/>
    <col min="2068" max="2068" width="12" style="67" bestFit="1" customWidth="1"/>
    <col min="2069" max="2069" width="2.28515625" style="67" customWidth="1"/>
    <col min="2070" max="2305" width="8.85546875" style="67"/>
    <col min="2306" max="2306" width="10.7109375" style="67" customWidth="1"/>
    <col min="2307" max="2307" width="5" style="67" bestFit="1" customWidth="1"/>
    <col min="2308" max="2308" width="0.28515625" style="67" customWidth="1"/>
    <col min="2309" max="2309" width="12.7109375" style="67" customWidth="1"/>
    <col min="2310" max="2310" width="0.28515625" style="67" customWidth="1"/>
    <col min="2311" max="2311" width="15.7109375" style="67" customWidth="1"/>
    <col min="2312" max="2312" width="0.28515625" style="67" customWidth="1"/>
    <col min="2313" max="2313" width="12.85546875" style="67" customWidth="1"/>
    <col min="2314" max="2314" width="0.28515625" style="67" customWidth="1"/>
    <col min="2315" max="2315" width="12.7109375" style="67" customWidth="1"/>
    <col min="2316" max="2316" width="3.7109375" style="67" customWidth="1"/>
    <col min="2317" max="2317" width="0.28515625" style="67" customWidth="1"/>
    <col min="2318" max="2318" width="12.7109375" style="67" customWidth="1"/>
    <col min="2319" max="2319" width="0.28515625" style="67" customWidth="1"/>
    <col min="2320" max="2320" width="9.7109375" style="67" customWidth="1"/>
    <col min="2321" max="2321" width="0.28515625" style="67" customWidth="1"/>
    <col min="2322" max="2322" width="3.7109375" style="67" customWidth="1"/>
    <col min="2323" max="2323" width="0.28515625" style="67" customWidth="1"/>
    <col min="2324" max="2324" width="12" style="67" bestFit="1" customWidth="1"/>
    <col min="2325" max="2325" width="2.28515625" style="67" customWidth="1"/>
    <col min="2326" max="2561" width="8.85546875" style="67"/>
    <col min="2562" max="2562" width="10.7109375" style="67" customWidth="1"/>
    <col min="2563" max="2563" width="5" style="67" bestFit="1" customWidth="1"/>
    <col min="2564" max="2564" width="0.28515625" style="67" customWidth="1"/>
    <col min="2565" max="2565" width="12.7109375" style="67" customWidth="1"/>
    <col min="2566" max="2566" width="0.28515625" style="67" customWidth="1"/>
    <col min="2567" max="2567" width="15.7109375" style="67" customWidth="1"/>
    <col min="2568" max="2568" width="0.28515625" style="67" customWidth="1"/>
    <col min="2569" max="2569" width="12.85546875" style="67" customWidth="1"/>
    <col min="2570" max="2570" width="0.28515625" style="67" customWidth="1"/>
    <col min="2571" max="2571" width="12.7109375" style="67" customWidth="1"/>
    <col min="2572" max="2572" width="3.7109375" style="67" customWidth="1"/>
    <col min="2573" max="2573" width="0.28515625" style="67" customWidth="1"/>
    <col min="2574" max="2574" width="12.7109375" style="67" customWidth="1"/>
    <col min="2575" max="2575" width="0.28515625" style="67" customWidth="1"/>
    <col min="2576" max="2576" width="9.7109375" style="67" customWidth="1"/>
    <col min="2577" max="2577" width="0.28515625" style="67" customWidth="1"/>
    <col min="2578" max="2578" width="3.7109375" style="67" customWidth="1"/>
    <col min="2579" max="2579" width="0.28515625" style="67" customWidth="1"/>
    <col min="2580" max="2580" width="12" style="67" bestFit="1" customWidth="1"/>
    <col min="2581" max="2581" width="2.28515625" style="67" customWidth="1"/>
    <col min="2582" max="2817" width="8.85546875" style="67"/>
    <col min="2818" max="2818" width="10.7109375" style="67" customWidth="1"/>
    <col min="2819" max="2819" width="5" style="67" bestFit="1" customWidth="1"/>
    <col min="2820" max="2820" width="0.28515625" style="67" customWidth="1"/>
    <col min="2821" max="2821" width="12.7109375" style="67" customWidth="1"/>
    <col min="2822" max="2822" width="0.28515625" style="67" customWidth="1"/>
    <col min="2823" max="2823" width="15.7109375" style="67" customWidth="1"/>
    <col min="2824" max="2824" width="0.28515625" style="67" customWidth="1"/>
    <col min="2825" max="2825" width="12.85546875" style="67" customWidth="1"/>
    <col min="2826" max="2826" width="0.28515625" style="67" customWidth="1"/>
    <col min="2827" max="2827" width="12.7109375" style="67" customWidth="1"/>
    <col min="2828" max="2828" width="3.7109375" style="67" customWidth="1"/>
    <col min="2829" max="2829" width="0.28515625" style="67" customWidth="1"/>
    <col min="2830" max="2830" width="12.7109375" style="67" customWidth="1"/>
    <col min="2831" max="2831" width="0.28515625" style="67" customWidth="1"/>
    <col min="2832" max="2832" width="9.7109375" style="67" customWidth="1"/>
    <col min="2833" max="2833" width="0.28515625" style="67" customWidth="1"/>
    <col min="2834" max="2834" width="3.7109375" style="67" customWidth="1"/>
    <col min="2835" max="2835" width="0.28515625" style="67" customWidth="1"/>
    <col min="2836" max="2836" width="12" style="67" bestFit="1" customWidth="1"/>
    <col min="2837" max="2837" width="2.28515625" style="67" customWidth="1"/>
    <col min="2838" max="3073" width="8.85546875" style="67"/>
    <col min="3074" max="3074" width="10.7109375" style="67" customWidth="1"/>
    <col min="3075" max="3075" width="5" style="67" bestFit="1" customWidth="1"/>
    <col min="3076" max="3076" width="0.28515625" style="67" customWidth="1"/>
    <col min="3077" max="3077" width="12.7109375" style="67" customWidth="1"/>
    <col min="3078" max="3078" width="0.28515625" style="67" customWidth="1"/>
    <col min="3079" max="3079" width="15.7109375" style="67" customWidth="1"/>
    <col min="3080" max="3080" width="0.28515625" style="67" customWidth="1"/>
    <col min="3081" max="3081" width="12.85546875" style="67" customWidth="1"/>
    <col min="3082" max="3082" width="0.28515625" style="67" customWidth="1"/>
    <col min="3083" max="3083" width="12.7109375" style="67" customWidth="1"/>
    <col min="3084" max="3084" width="3.7109375" style="67" customWidth="1"/>
    <col min="3085" max="3085" width="0.28515625" style="67" customWidth="1"/>
    <col min="3086" max="3086" width="12.7109375" style="67" customWidth="1"/>
    <col min="3087" max="3087" width="0.28515625" style="67" customWidth="1"/>
    <col min="3088" max="3088" width="9.7109375" style="67" customWidth="1"/>
    <col min="3089" max="3089" width="0.28515625" style="67" customWidth="1"/>
    <col min="3090" max="3090" width="3.7109375" style="67" customWidth="1"/>
    <col min="3091" max="3091" width="0.28515625" style="67" customWidth="1"/>
    <col min="3092" max="3092" width="12" style="67" bestFit="1" customWidth="1"/>
    <col min="3093" max="3093" width="2.28515625" style="67" customWidth="1"/>
    <col min="3094" max="3329" width="8.85546875" style="67"/>
    <col min="3330" max="3330" width="10.7109375" style="67" customWidth="1"/>
    <col min="3331" max="3331" width="5" style="67" bestFit="1" customWidth="1"/>
    <col min="3332" max="3332" width="0.28515625" style="67" customWidth="1"/>
    <col min="3333" max="3333" width="12.7109375" style="67" customWidth="1"/>
    <col min="3334" max="3334" width="0.28515625" style="67" customWidth="1"/>
    <col min="3335" max="3335" width="15.7109375" style="67" customWidth="1"/>
    <col min="3336" max="3336" width="0.28515625" style="67" customWidth="1"/>
    <col min="3337" max="3337" width="12.85546875" style="67" customWidth="1"/>
    <col min="3338" max="3338" width="0.28515625" style="67" customWidth="1"/>
    <col min="3339" max="3339" width="12.7109375" style="67" customWidth="1"/>
    <col min="3340" max="3340" width="3.7109375" style="67" customWidth="1"/>
    <col min="3341" max="3341" width="0.28515625" style="67" customWidth="1"/>
    <col min="3342" max="3342" width="12.7109375" style="67" customWidth="1"/>
    <col min="3343" max="3343" width="0.28515625" style="67" customWidth="1"/>
    <col min="3344" max="3344" width="9.7109375" style="67" customWidth="1"/>
    <col min="3345" max="3345" width="0.28515625" style="67" customWidth="1"/>
    <col min="3346" max="3346" width="3.7109375" style="67" customWidth="1"/>
    <col min="3347" max="3347" width="0.28515625" style="67" customWidth="1"/>
    <col min="3348" max="3348" width="12" style="67" bestFit="1" customWidth="1"/>
    <col min="3349" max="3349" width="2.28515625" style="67" customWidth="1"/>
    <col min="3350" max="3585" width="8.85546875" style="67"/>
    <col min="3586" max="3586" width="10.7109375" style="67" customWidth="1"/>
    <col min="3587" max="3587" width="5" style="67" bestFit="1" customWidth="1"/>
    <col min="3588" max="3588" width="0.28515625" style="67" customWidth="1"/>
    <col min="3589" max="3589" width="12.7109375" style="67" customWidth="1"/>
    <col min="3590" max="3590" width="0.28515625" style="67" customWidth="1"/>
    <col min="3591" max="3591" width="15.7109375" style="67" customWidth="1"/>
    <col min="3592" max="3592" width="0.28515625" style="67" customWidth="1"/>
    <col min="3593" max="3593" width="12.85546875" style="67" customWidth="1"/>
    <col min="3594" max="3594" width="0.28515625" style="67" customWidth="1"/>
    <col min="3595" max="3595" width="12.7109375" style="67" customWidth="1"/>
    <col min="3596" max="3596" width="3.7109375" style="67" customWidth="1"/>
    <col min="3597" max="3597" width="0.28515625" style="67" customWidth="1"/>
    <col min="3598" max="3598" width="12.7109375" style="67" customWidth="1"/>
    <col min="3599" max="3599" width="0.28515625" style="67" customWidth="1"/>
    <col min="3600" max="3600" width="9.7109375" style="67" customWidth="1"/>
    <col min="3601" max="3601" width="0.28515625" style="67" customWidth="1"/>
    <col min="3602" max="3602" width="3.7109375" style="67" customWidth="1"/>
    <col min="3603" max="3603" width="0.28515625" style="67" customWidth="1"/>
    <col min="3604" max="3604" width="12" style="67" bestFit="1" customWidth="1"/>
    <col min="3605" max="3605" width="2.28515625" style="67" customWidth="1"/>
    <col min="3606" max="3841" width="8.85546875" style="67"/>
    <col min="3842" max="3842" width="10.7109375" style="67" customWidth="1"/>
    <col min="3843" max="3843" width="5" style="67" bestFit="1" customWidth="1"/>
    <col min="3844" max="3844" width="0.28515625" style="67" customWidth="1"/>
    <col min="3845" max="3845" width="12.7109375" style="67" customWidth="1"/>
    <col min="3846" max="3846" width="0.28515625" style="67" customWidth="1"/>
    <col min="3847" max="3847" width="15.7109375" style="67" customWidth="1"/>
    <col min="3848" max="3848" width="0.28515625" style="67" customWidth="1"/>
    <col min="3849" max="3849" width="12.85546875" style="67" customWidth="1"/>
    <col min="3850" max="3850" width="0.28515625" style="67" customWidth="1"/>
    <col min="3851" max="3851" width="12.7109375" style="67" customWidth="1"/>
    <col min="3852" max="3852" width="3.7109375" style="67" customWidth="1"/>
    <col min="3853" max="3853" width="0.28515625" style="67" customWidth="1"/>
    <col min="3854" max="3854" width="12.7109375" style="67" customWidth="1"/>
    <col min="3855" max="3855" width="0.28515625" style="67" customWidth="1"/>
    <col min="3856" max="3856" width="9.7109375" style="67" customWidth="1"/>
    <col min="3857" max="3857" width="0.28515625" style="67" customWidth="1"/>
    <col min="3858" max="3858" width="3.7109375" style="67" customWidth="1"/>
    <col min="3859" max="3859" width="0.28515625" style="67" customWidth="1"/>
    <col min="3860" max="3860" width="12" style="67" bestFit="1" customWidth="1"/>
    <col min="3861" max="3861" width="2.28515625" style="67" customWidth="1"/>
    <col min="3862" max="4097" width="8.85546875" style="67"/>
    <col min="4098" max="4098" width="10.7109375" style="67" customWidth="1"/>
    <col min="4099" max="4099" width="5" style="67" bestFit="1" customWidth="1"/>
    <col min="4100" max="4100" width="0.28515625" style="67" customWidth="1"/>
    <col min="4101" max="4101" width="12.7109375" style="67" customWidth="1"/>
    <col min="4102" max="4102" width="0.28515625" style="67" customWidth="1"/>
    <col min="4103" max="4103" width="15.7109375" style="67" customWidth="1"/>
    <col min="4104" max="4104" width="0.28515625" style="67" customWidth="1"/>
    <col min="4105" max="4105" width="12.85546875" style="67" customWidth="1"/>
    <col min="4106" max="4106" width="0.28515625" style="67" customWidth="1"/>
    <col min="4107" max="4107" width="12.7109375" style="67" customWidth="1"/>
    <col min="4108" max="4108" width="3.7109375" style="67" customWidth="1"/>
    <col min="4109" max="4109" width="0.28515625" style="67" customWidth="1"/>
    <col min="4110" max="4110" width="12.7109375" style="67" customWidth="1"/>
    <col min="4111" max="4111" width="0.28515625" style="67" customWidth="1"/>
    <col min="4112" max="4112" width="9.7109375" style="67" customWidth="1"/>
    <col min="4113" max="4113" width="0.28515625" style="67" customWidth="1"/>
    <col min="4114" max="4114" width="3.7109375" style="67" customWidth="1"/>
    <col min="4115" max="4115" width="0.28515625" style="67" customWidth="1"/>
    <col min="4116" max="4116" width="12" style="67" bestFit="1" customWidth="1"/>
    <col min="4117" max="4117" width="2.28515625" style="67" customWidth="1"/>
    <col min="4118" max="4353" width="8.85546875" style="67"/>
    <col min="4354" max="4354" width="10.7109375" style="67" customWidth="1"/>
    <col min="4355" max="4355" width="5" style="67" bestFit="1" customWidth="1"/>
    <col min="4356" max="4356" width="0.28515625" style="67" customWidth="1"/>
    <col min="4357" max="4357" width="12.7109375" style="67" customWidth="1"/>
    <col min="4358" max="4358" width="0.28515625" style="67" customWidth="1"/>
    <col min="4359" max="4359" width="15.7109375" style="67" customWidth="1"/>
    <col min="4360" max="4360" width="0.28515625" style="67" customWidth="1"/>
    <col min="4361" max="4361" width="12.85546875" style="67" customWidth="1"/>
    <col min="4362" max="4362" width="0.28515625" style="67" customWidth="1"/>
    <col min="4363" max="4363" width="12.7109375" style="67" customWidth="1"/>
    <col min="4364" max="4364" width="3.7109375" style="67" customWidth="1"/>
    <col min="4365" max="4365" width="0.28515625" style="67" customWidth="1"/>
    <col min="4366" max="4366" width="12.7109375" style="67" customWidth="1"/>
    <col min="4367" max="4367" width="0.28515625" style="67" customWidth="1"/>
    <col min="4368" max="4368" width="9.7109375" style="67" customWidth="1"/>
    <col min="4369" max="4369" width="0.28515625" style="67" customWidth="1"/>
    <col min="4370" max="4370" width="3.7109375" style="67" customWidth="1"/>
    <col min="4371" max="4371" width="0.28515625" style="67" customWidth="1"/>
    <col min="4372" max="4372" width="12" style="67" bestFit="1" customWidth="1"/>
    <col min="4373" max="4373" width="2.28515625" style="67" customWidth="1"/>
    <col min="4374" max="4609" width="8.85546875" style="67"/>
    <col min="4610" max="4610" width="10.7109375" style="67" customWidth="1"/>
    <col min="4611" max="4611" width="5" style="67" bestFit="1" customWidth="1"/>
    <col min="4612" max="4612" width="0.28515625" style="67" customWidth="1"/>
    <col min="4613" max="4613" width="12.7109375" style="67" customWidth="1"/>
    <col min="4614" max="4614" width="0.28515625" style="67" customWidth="1"/>
    <col min="4615" max="4615" width="15.7109375" style="67" customWidth="1"/>
    <col min="4616" max="4616" width="0.28515625" style="67" customWidth="1"/>
    <col min="4617" max="4617" width="12.85546875" style="67" customWidth="1"/>
    <col min="4618" max="4618" width="0.28515625" style="67" customWidth="1"/>
    <col min="4619" max="4619" width="12.7109375" style="67" customWidth="1"/>
    <col min="4620" max="4620" width="3.7109375" style="67" customWidth="1"/>
    <col min="4621" max="4621" width="0.28515625" style="67" customWidth="1"/>
    <col min="4622" max="4622" width="12.7109375" style="67" customWidth="1"/>
    <col min="4623" max="4623" width="0.28515625" style="67" customWidth="1"/>
    <col min="4624" max="4624" width="9.7109375" style="67" customWidth="1"/>
    <col min="4625" max="4625" width="0.28515625" style="67" customWidth="1"/>
    <col min="4626" max="4626" width="3.7109375" style="67" customWidth="1"/>
    <col min="4627" max="4627" width="0.28515625" style="67" customWidth="1"/>
    <col min="4628" max="4628" width="12" style="67" bestFit="1" customWidth="1"/>
    <col min="4629" max="4629" width="2.28515625" style="67" customWidth="1"/>
    <col min="4630" max="4865" width="8.85546875" style="67"/>
    <col min="4866" max="4866" width="10.7109375" style="67" customWidth="1"/>
    <col min="4867" max="4867" width="5" style="67" bestFit="1" customWidth="1"/>
    <col min="4868" max="4868" width="0.28515625" style="67" customWidth="1"/>
    <col min="4869" max="4869" width="12.7109375" style="67" customWidth="1"/>
    <col min="4870" max="4870" width="0.28515625" style="67" customWidth="1"/>
    <col min="4871" max="4871" width="15.7109375" style="67" customWidth="1"/>
    <col min="4872" max="4872" width="0.28515625" style="67" customWidth="1"/>
    <col min="4873" max="4873" width="12.85546875" style="67" customWidth="1"/>
    <col min="4874" max="4874" width="0.28515625" style="67" customWidth="1"/>
    <col min="4875" max="4875" width="12.7109375" style="67" customWidth="1"/>
    <col min="4876" max="4876" width="3.7109375" style="67" customWidth="1"/>
    <col min="4877" max="4877" width="0.28515625" style="67" customWidth="1"/>
    <col min="4878" max="4878" width="12.7109375" style="67" customWidth="1"/>
    <col min="4879" max="4879" width="0.28515625" style="67" customWidth="1"/>
    <col min="4880" max="4880" width="9.7109375" style="67" customWidth="1"/>
    <col min="4881" max="4881" width="0.28515625" style="67" customWidth="1"/>
    <col min="4882" max="4882" width="3.7109375" style="67" customWidth="1"/>
    <col min="4883" max="4883" width="0.28515625" style="67" customWidth="1"/>
    <col min="4884" max="4884" width="12" style="67" bestFit="1" customWidth="1"/>
    <col min="4885" max="4885" width="2.28515625" style="67" customWidth="1"/>
    <col min="4886" max="5121" width="8.85546875" style="67"/>
    <col min="5122" max="5122" width="10.7109375" style="67" customWidth="1"/>
    <col min="5123" max="5123" width="5" style="67" bestFit="1" customWidth="1"/>
    <col min="5124" max="5124" width="0.28515625" style="67" customWidth="1"/>
    <col min="5125" max="5125" width="12.7109375" style="67" customWidth="1"/>
    <col min="5126" max="5126" width="0.28515625" style="67" customWidth="1"/>
    <col min="5127" max="5127" width="15.7109375" style="67" customWidth="1"/>
    <col min="5128" max="5128" width="0.28515625" style="67" customWidth="1"/>
    <col min="5129" max="5129" width="12.85546875" style="67" customWidth="1"/>
    <col min="5130" max="5130" width="0.28515625" style="67" customWidth="1"/>
    <col min="5131" max="5131" width="12.7109375" style="67" customWidth="1"/>
    <col min="5132" max="5132" width="3.7109375" style="67" customWidth="1"/>
    <col min="5133" max="5133" width="0.28515625" style="67" customWidth="1"/>
    <col min="5134" max="5134" width="12.7109375" style="67" customWidth="1"/>
    <col min="5135" max="5135" width="0.28515625" style="67" customWidth="1"/>
    <col min="5136" max="5136" width="9.7109375" style="67" customWidth="1"/>
    <col min="5137" max="5137" width="0.28515625" style="67" customWidth="1"/>
    <col min="5138" max="5138" width="3.7109375" style="67" customWidth="1"/>
    <col min="5139" max="5139" width="0.28515625" style="67" customWidth="1"/>
    <col min="5140" max="5140" width="12" style="67" bestFit="1" customWidth="1"/>
    <col min="5141" max="5141" width="2.28515625" style="67" customWidth="1"/>
    <col min="5142" max="5377" width="8.85546875" style="67"/>
    <col min="5378" max="5378" width="10.7109375" style="67" customWidth="1"/>
    <col min="5379" max="5379" width="5" style="67" bestFit="1" customWidth="1"/>
    <col min="5380" max="5380" width="0.28515625" style="67" customWidth="1"/>
    <col min="5381" max="5381" width="12.7109375" style="67" customWidth="1"/>
    <col min="5382" max="5382" width="0.28515625" style="67" customWidth="1"/>
    <col min="5383" max="5383" width="15.7109375" style="67" customWidth="1"/>
    <col min="5384" max="5384" width="0.28515625" style="67" customWidth="1"/>
    <col min="5385" max="5385" width="12.85546875" style="67" customWidth="1"/>
    <col min="5386" max="5386" width="0.28515625" style="67" customWidth="1"/>
    <col min="5387" max="5387" width="12.7109375" style="67" customWidth="1"/>
    <col min="5388" max="5388" width="3.7109375" style="67" customWidth="1"/>
    <col min="5389" max="5389" width="0.28515625" style="67" customWidth="1"/>
    <col min="5390" max="5390" width="12.7109375" style="67" customWidth="1"/>
    <col min="5391" max="5391" width="0.28515625" style="67" customWidth="1"/>
    <col min="5392" max="5392" width="9.7109375" style="67" customWidth="1"/>
    <col min="5393" max="5393" width="0.28515625" style="67" customWidth="1"/>
    <col min="5394" max="5394" width="3.7109375" style="67" customWidth="1"/>
    <col min="5395" max="5395" width="0.28515625" style="67" customWidth="1"/>
    <col min="5396" max="5396" width="12" style="67" bestFit="1" customWidth="1"/>
    <col min="5397" max="5397" width="2.28515625" style="67" customWidth="1"/>
    <col min="5398" max="5633" width="8.85546875" style="67"/>
    <col min="5634" max="5634" width="10.7109375" style="67" customWidth="1"/>
    <col min="5635" max="5635" width="5" style="67" bestFit="1" customWidth="1"/>
    <col min="5636" max="5636" width="0.28515625" style="67" customWidth="1"/>
    <col min="5637" max="5637" width="12.7109375" style="67" customWidth="1"/>
    <col min="5638" max="5638" width="0.28515625" style="67" customWidth="1"/>
    <col min="5639" max="5639" width="15.7109375" style="67" customWidth="1"/>
    <col min="5640" max="5640" width="0.28515625" style="67" customWidth="1"/>
    <col min="5641" max="5641" width="12.85546875" style="67" customWidth="1"/>
    <col min="5642" max="5642" width="0.28515625" style="67" customWidth="1"/>
    <col min="5643" max="5643" width="12.7109375" style="67" customWidth="1"/>
    <col min="5644" max="5644" width="3.7109375" style="67" customWidth="1"/>
    <col min="5645" max="5645" width="0.28515625" style="67" customWidth="1"/>
    <col min="5646" max="5646" width="12.7109375" style="67" customWidth="1"/>
    <col min="5647" max="5647" width="0.28515625" style="67" customWidth="1"/>
    <col min="5648" max="5648" width="9.7109375" style="67" customWidth="1"/>
    <col min="5649" max="5649" width="0.28515625" style="67" customWidth="1"/>
    <col min="5650" max="5650" width="3.7109375" style="67" customWidth="1"/>
    <col min="5651" max="5651" width="0.28515625" style="67" customWidth="1"/>
    <col min="5652" max="5652" width="12" style="67" bestFit="1" customWidth="1"/>
    <col min="5653" max="5653" width="2.28515625" style="67" customWidth="1"/>
    <col min="5654" max="5889" width="8.85546875" style="67"/>
    <col min="5890" max="5890" width="10.7109375" style="67" customWidth="1"/>
    <col min="5891" max="5891" width="5" style="67" bestFit="1" customWidth="1"/>
    <col min="5892" max="5892" width="0.28515625" style="67" customWidth="1"/>
    <col min="5893" max="5893" width="12.7109375" style="67" customWidth="1"/>
    <col min="5894" max="5894" width="0.28515625" style="67" customWidth="1"/>
    <col min="5895" max="5895" width="15.7109375" style="67" customWidth="1"/>
    <col min="5896" max="5896" width="0.28515625" style="67" customWidth="1"/>
    <col min="5897" max="5897" width="12.85546875" style="67" customWidth="1"/>
    <col min="5898" max="5898" width="0.28515625" style="67" customWidth="1"/>
    <col min="5899" max="5899" width="12.7109375" style="67" customWidth="1"/>
    <col min="5900" max="5900" width="3.7109375" style="67" customWidth="1"/>
    <col min="5901" max="5901" width="0.28515625" style="67" customWidth="1"/>
    <col min="5902" max="5902" width="12.7109375" style="67" customWidth="1"/>
    <col min="5903" max="5903" width="0.28515625" style="67" customWidth="1"/>
    <col min="5904" max="5904" width="9.7109375" style="67" customWidth="1"/>
    <col min="5905" max="5905" width="0.28515625" style="67" customWidth="1"/>
    <col min="5906" max="5906" width="3.7109375" style="67" customWidth="1"/>
    <col min="5907" max="5907" width="0.28515625" style="67" customWidth="1"/>
    <col min="5908" max="5908" width="12" style="67" bestFit="1" customWidth="1"/>
    <col min="5909" max="5909" width="2.28515625" style="67" customWidth="1"/>
    <col min="5910" max="6145" width="8.85546875" style="67"/>
    <col min="6146" max="6146" width="10.7109375" style="67" customWidth="1"/>
    <col min="6147" max="6147" width="5" style="67" bestFit="1" customWidth="1"/>
    <col min="6148" max="6148" width="0.28515625" style="67" customWidth="1"/>
    <col min="6149" max="6149" width="12.7109375" style="67" customWidth="1"/>
    <col min="6150" max="6150" width="0.28515625" style="67" customWidth="1"/>
    <col min="6151" max="6151" width="15.7109375" style="67" customWidth="1"/>
    <col min="6152" max="6152" width="0.28515625" style="67" customWidth="1"/>
    <col min="6153" max="6153" width="12.85546875" style="67" customWidth="1"/>
    <col min="6154" max="6154" width="0.28515625" style="67" customWidth="1"/>
    <col min="6155" max="6155" width="12.7109375" style="67" customWidth="1"/>
    <col min="6156" max="6156" width="3.7109375" style="67" customWidth="1"/>
    <col min="6157" max="6157" width="0.28515625" style="67" customWidth="1"/>
    <col min="6158" max="6158" width="12.7109375" style="67" customWidth="1"/>
    <col min="6159" max="6159" width="0.28515625" style="67" customWidth="1"/>
    <col min="6160" max="6160" width="9.7109375" style="67" customWidth="1"/>
    <col min="6161" max="6161" width="0.28515625" style="67" customWidth="1"/>
    <col min="6162" max="6162" width="3.7109375" style="67" customWidth="1"/>
    <col min="6163" max="6163" width="0.28515625" style="67" customWidth="1"/>
    <col min="6164" max="6164" width="12" style="67" bestFit="1" customWidth="1"/>
    <col min="6165" max="6165" width="2.28515625" style="67" customWidth="1"/>
    <col min="6166" max="6401" width="8.85546875" style="67"/>
    <col min="6402" max="6402" width="10.7109375" style="67" customWidth="1"/>
    <col min="6403" max="6403" width="5" style="67" bestFit="1" customWidth="1"/>
    <col min="6404" max="6404" width="0.28515625" style="67" customWidth="1"/>
    <col min="6405" max="6405" width="12.7109375" style="67" customWidth="1"/>
    <col min="6406" max="6406" width="0.28515625" style="67" customWidth="1"/>
    <col min="6407" max="6407" width="15.7109375" style="67" customWidth="1"/>
    <col min="6408" max="6408" width="0.28515625" style="67" customWidth="1"/>
    <col min="6409" max="6409" width="12.85546875" style="67" customWidth="1"/>
    <col min="6410" max="6410" width="0.28515625" style="67" customWidth="1"/>
    <col min="6411" max="6411" width="12.7109375" style="67" customWidth="1"/>
    <col min="6412" max="6412" width="3.7109375" style="67" customWidth="1"/>
    <col min="6413" max="6413" width="0.28515625" style="67" customWidth="1"/>
    <col min="6414" max="6414" width="12.7109375" style="67" customWidth="1"/>
    <col min="6415" max="6415" width="0.28515625" style="67" customWidth="1"/>
    <col min="6416" max="6416" width="9.7109375" style="67" customWidth="1"/>
    <col min="6417" max="6417" width="0.28515625" style="67" customWidth="1"/>
    <col min="6418" max="6418" width="3.7109375" style="67" customWidth="1"/>
    <col min="6419" max="6419" width="0.28515625" style="67" customWidth="1"/>
    <col min="6420" max="6420" width="12" style="67" bestFit="1" customWidth="1"/>
    <col min="6421" max="6421" width="2.28515625" style="67" customWidth="1"/>
    <col min="6422" max="6657" width="8.85546875" style="67"/>
    <col min="6658" max="6658" width="10.7109375" style="67" customWidth="1"/>
    <col min="6659" max="6659" width="5" style="67" bestFit="1" customWidth="1"/>
    <col min="6660" max="6660" width="0.28515625" style="67" customWidth="1"/>
    <col min="6661" max="6661" width="12.7109375" style="67" customWidth="1"/>
    <col min="6662" max="6662" width="0.28515625" style="67" customWidth="1"/>
    <col min="6663" max="6663" width="15.7109375" style="67" customWidth="1"/>
    <col min="6664" max="6664" width="0.28515625" style="67" customWidth="1"/>
    <col min="6665" max="6665" width="12.85546875" style="67" customWidth="1"/>
    <col min="6666" max="6666" width="0.28515625" style="67" customWidth="1"/>
    <col min="6667" max="6667" width="12.7109375" style="67" customWidth="1"/>
    <col min="6668" max="6668" width="3.7109375" style="67" customWidth="1"/>
    <col min="6669" max="6669" width="0.28515625" style="67" customWidth="1"/>
    <col min="6670" max="6670" width="12.7109375" style="67" customWidth="1"/>
    <col min="6671" max="6671" width="0.28515625" style="67" customWidth="1"/>
    <col min="6672" max="6672" width="9.7109375" style="67" customWidth="1"/>
    <col min="6673" max="6673" width="0.28515625" style="67" customWidth="1"/>
    <col min="6674" max="6674" width="3.7109375" style="67" customWidth="1"/>
    <col min="6675" max="6675" width="0.28515625" style="67" customWidth="1"/>
    <col min="6676" max="6676" width="12" style="67" bestFit="1" customWidth="1"/>
    <col min="6677" max="6677" width="2.28515625" style="67" customWidth="1"/>
    <col min="6678" max="6913" width="8.85546875" style="67"/>
    <col min="6914" max="6914" width="10.7109375" style="67" customWidth="1"/>
    <col min="6915" max="6915" width="5" style="67" bestFit="1" customWidth="1"/>
    <col min="6916" max="6916" width="0.28515625" style="67" customWidth="1"/>
    <col min="6917" max="6917" width="12.7109375" style="67" customWidth="1"/>
    <col min="6918" max="6918" width="0.28515625" style="67" customWidth="1"/>
    <col min="6919" max="6919" width="15.7109375" style="67" customWidth="1"/>
    <col min="6920" max="6920" width="0.28515625" style="67" customWidth="1"/>
    <col min="6921" max="6921" width="12.85546875" style="67" customWidth="1"/>
    <col min="6922" max="6922" width="0.28515625" style="67" customWidth="1"/>
    <col min="6923" max="6923" width="12.7109375" style="67" customWidth="1"/>
    <col min="6924" max="6924" width="3.7109375" style="67" customWidth="1"/>
    <col min="6925" max="6925" width="0.28515625" style="67" customWidth="1"/>
    <col min="6926" max="6926" width="12.7109375" style="67" customWidth="1"/>
    <col min="6927" max="6927" width="0.28515625" style="67" customWidth="1"/>
    <col min="6928" max="6928" width="9.7109375" style="67" customWidth="1"/>
    <col min="6929" max="6929" width="0.28515625" style="67" customWidth="1"/>
    <col min="6930" max="6930" width="3.7109375" style="67" customWidth="1"/>
    <col min="6931" max="6931" width="0.28515625" style="67" customWidth="1"/>
    <col min="6932" max="6932" width="12" style="67" bestFit="1" customWidth="1"/>
    <col min="6933" max="6933" width="2.28515625" style="67" customWidth="1"/>
    <col min="6934" max="7169" width="8.85546875" style="67"/>
    <col min="7170" max="7170" width="10.7109375" style="67" customWidth="1"/>
    <col min="7171" max="7171" width="5" style="67" bestFit="1" customWidth="1"/>
    <col min="7172" max="7172" width="0.28515625" style="67" customWidth="1"/>
    <col min="7173" max="7173" width="12.7109375" style="67" customWidth="1"/>
    <col min="7174" max="7174" width="0.28515625" style="67" customWidth="1"/>
    <col min="7175" max="7175" width="15.7109375" style="67" customWidth="1"/>
    <col min="7176" max="7176" width="0.28515625" style="67" customWidth="1"/>
    <col min="7177" max="7177" width="12.85546875" style="67" customWidth="1"/>
    <col min="7178" max="7178" width="0.28515625" style="67" customWidth="1"/>
    <col min="7179" max="7179" width="12.7109375" style="67" customWidth="1"/>
    <col min="7180" max="7180" width="3.7109375" style="67" customWidth="1"/>
    <col min="7181" max="7181" width="0.28515625" style="67" customWidth="1"/>
    <col min="7182" max="7182" width="12.7109375" style="67" customWidth="1"/>
    <col min="7183" max="7183" width="0.28515625" style="67" customWidth="1"/>
    <col min="7184" max="7184" width="9.7109375" style="67" customWidth="1"/>
    <col min="7185" max="7185" width="0.28515625" style="67" customWidth="1"/>
    <col min="7186" max="7186" width="3.7109375" style="67" customWidth="1"/>
    <col min="7187" max="7187" width="0.28515625" style="67" customWidth="1"/>
    <col min="7188" max="7188" width="12" style="67" bestFit="1" customWidth="1"/>
    <col min="7189" max="7189" width="2.28515625" style="67" customWidth="1"/>
    <col min="7190" max="7425" width="8.85546875" style="67"/>
    <col min="7426" max="7426" width="10.7109375" style="67" customWidth="1"/>
    <col min="7427" max="7427" width="5" style="67" bestFit="1" customWidth="1"/>
    <col min="7428" max="7428" width="0.28515625" style="67" customWidth="1"/>
    <col min="7429" max="7429" width="12.7109375" style="67" customWidth="1"/>
    <col min="7430" max="7430" width="0.28515625" style="67" customWidth="1"/>
    <col min="7431" max="7431" width="15.7109375" style="67" customWidth="1"/>
    <col min="7432" max="7432" width="0.28515625" style="67" customWidth="1"/>
    <col min="7433" max="7433" width="12.85546875" style="67" customWidth="1"/>
    <col min="7434" max="7434" width="0.28515625" style="67" customWidth="1"/>
    <col min="7435" max="7435" width="12.7109375" style="67" customWidth="1"/>
    <col min="7436" max="7436" width="3.7109375" style="67" customWidth="1"/>
    <col min="7437" max="7437" width="0.28515625" style="67" customWidth="1"/>
    <col min="7438" max="7438" width="12.7109375" style="67" customWidth="1"/>
    <col min="7439" max="7439" width="0.28515625" style="67" customWidth="1"/>
    <col min="7440" max="7440" width="9.7109375" style="67" customWidth="1"/>
    <col min="7441" max="7441" width="0.28515625" style="67" customWidth="1"/>
    <col min="7442" max="7442" width="3.7109375" style="67" customWidth="1"/>
    <col min="7443" max="7443" width="0.28515625" style="67" customWidth="1"/>
    <col min="7444" max="7444" width="12" style="67" bestFit="1" customWidth="1"/>
    <col min="7445" max="7445" width="2.28515625" style="67" customWidth="1"/>
    <col min="7446" max="7681" width="8.85546875" style="67"/>
    <col min="7682" max="7682" width="10.7109375" style="67" customWidth="1"/>
    <col min="7683" max="7683" width="5" style="67" bestFit="1" customWidth="1"/>
    <col min="7684" max="7684" width="0.28515625" style="67" customWidth="1"/>
    <col min="7685" max="7685" width="12.7109375" style="67" customWidth="1"/>
    <col min="7686" max="7686" width="0.28515625" style="67" customWidth="1"/>
    <col min="7687" max="7687" width="15.7109375" style="67" customWidth="1"/>
    <col min="7688" max="7688" width="0.28515625" style="67" customWidth="1"/>
    <col min="7689" max="7689" width="12.85546875" style="67" customWidth="1"/>
    <col min="7690" max="7690" width="0.28515625" style="67" customWidth="1"/>
    <col min="7691" max="7691" width="12.7109375" style="67" customWidth="1"/>
    <col min="7692" max="7692" width="3.7109375" style="67" customWidth="1"/>
    <col min="7693" max="7693" width="0.28515625" style="67" customWidth="1"/>
    <col min="7694" max="7694" width="12.7109375" style="67" customWidth="1"/>
    <col min="7695" max="7695" width="0.28515625" style="67" customWidth="1"/>
    <col min="7696" max="7696" width="9.7109375" style="67" customWidth="1"/>
    <col min="7697" max="7697" width="0.28515625" style="67" customWidth="1"/>
    <col min="7698" max="7698" width="3.7109375" style="67" customWidth="1"/>
    <col min="7699" max="7699" width="0.28515625" style="67" customWidth="1"/>
    <col min="7700" max="7700" width="12" style="67" bestFit="1" customWidth="1"/>
    <col min="7701" max="7701" width="2.28515625" style="67" customWidth="1"/>
    <col min="7702" max="7937" width="8.85546875" style="67"/>
    <col min="7938" max="7938" width="10.7109375" style="67" customWidth="1"/>
    <col min="7939" max="7939" width="5" style="67" bestFit="1" customWidth="1"/>
    <col min="7940" max="7940" width="0.28515625" style="67" customWidth="1"/>
    <col min="7941" max="7941" width="12.7109375" style="67" customWidth="1"/>
    <col min="7942" max="7942" width="0.28515625" style="67" customWidth="1"/>
    <col min="7943" max="7943" width="15.7109375" style="67" customWidth="1"/>
    <col min="7944" max="7944" width="0.28515625" style="67" customWidth="1"/>
    <col min="7945" max="7945" width="12.85546875" style="67" customWidth="1"/>
    <col min="7946" max="7946" width="0.28515625" style="67" customWidth="1"/>
    <col min="7947" max="7947" width="12.7109375" style="67" customWidth="1"/>
    <col min="7948" max="7948" width="3.7109375" style="67" customWidth="1"/>
    <col min="7949" max="7949" width="0.28515625" style="67" customWidth="1"/>
    <col min="7950" max="7950" width="12.7109375" style="67" customWidth="1"/>
    <col min="7951" max="7951" width="0.28515625" style="67" customWidth="1"/>
    <col min="7952" max="7952" width="9.7109375" style="67" customWidth="1"/>
    <col min="7953" max="7953" width="0.28515625" style="67" customWidth="1"/>
    <col min="7954" max="7954" width="3.7109375" style="67" customWidth="1"/>
    <col min="7955" max="7955" width="0.28515625" style="67" customWidth="1"/>
    <col min="7956" max="7956" width="12" style="67" bestFit="1" customWidth="1"/>
    <col min="7957" max="7957" width="2.28515625" style="67" customWidth="1"/>
    <col min="7958" max="8193" width="8.85546875" style="67"/>
    <col min="8194" max="8194" width="10.7109375" style="67" customWidth="1"/>
    <col min="8195" max="8195" width="5" style="67" bestFit="1" customWidth="1"/>
    <col min="8196" max="8196" width="0.28515625" style="67" customWidth="1"/>
    <col min="8197" max="8197" width="12.7109375" style="67" customWidth="1"/>
    <col min="8198" max="8198" width="0.28515625" style="67" customWidth="1"/>
    <col min="8199" max="8199" width="15.7109375" style="67" customWidth="1"/>
    <col min="8200" max="8200" width="0.28515625" style="67" customWidth="1"/>
    <col min="8201" max="8201" width="12.85546875" style="67" customWidth="1"/>
    <col min="8202" max="8202" width="0.28515625" style="67" customWidth="1"/>
    <col min="8203" max="8203" width="12.7109375" style="67" customWidth="1"/>
    <col min="8204" max="8204" width="3.7109375" style="67" customWidth="1"/>
    <col min="8205" max="8205" width="0.28515625" style="67" customWidth="1"/>
    <col min="8206" max="8206" width="12.7109375" style="67" customWidth="1"/>
    <col min="8207" max="8207" width="0.28515625" style="67" customWidth="1"/>
    <col min="8208" max="8208" width="9.7109375" style="67" customWidth="1"/>
    <col min="8209" max="8209" width="0.28515625" style="67" customWidth="1"/>
    <col min="8210" max="8210" width="3.7109375" style="67" customWidth="1"/>
    <col min="8211" max="8211" width="0.28515625" style="67" customWidth="1"/>
    <col min="8212" max="8212" width="12" style="67" bestFit="1" customWidth="1"/>
    <col min="8213" max="8213" width="2.28515625" style="67" customWidth="1"/>
    <col min="8214" max="8449" width="8.85546875" style="67"/>
    <col min="8450" max="8450" width="10.7109375" style="67" customWidth="1"/>
    <col min="8451" max="8451" width="5" style="67" bestFit="1" customWidth="1"/>
    <col min="8452" max="8452" width="0.28515625" style="67" customWidth="1"/>
    <col min="8453" max="8453" width="12.7109375" style="67" customWidth="1"/>
    <col min="8454" max="8454" width="0.28515625" style="67" customWidth="1"/>
    <col min="8455" max="8455" width="15.7109375" style="67" customWidth="1"/>
    <col min="8456" max="8456" width="0.28515625" style="67" customWidth="1"/>
    <col min="8457" max="8457" width="12.85546875" style="67" customWidth="1"/>
    <col min="8458" max="8458" width="0.28515625" style="67" customWidth="1"/>
    <col min="8459" max="8459" width="12.7109375" style="67" customWidth="1"/>
    <col min="8460" max="8460" width="3.7109375" style="67" customWidth="1"/>
    <col min="8461" max="8461" width="0.28515625" style="67" customWidth="1"/>
    <col min="8462" max="8462" width="12.7109375" style="67" customWidth="1"/>
    <col min="8463" max="8463" width="0.28515625" style="67" customWidth="1"/>
    <col min="8464" max="8464" width="9.7109375" style="67" customWidth="1"/>
    <col min="8465" max="8465" width="0.28515625" style="67" customWidth="1"/>
    <col min="8466" max="8466" width="3.7109375" style="67" customWidth="1"/>
    <col min="8467" max="8467" width="0.28515625" style="67" customWidth="1"/>
    <col min="8468" max="8468" width="12" style="67" bestFit="1" customWidth="1"/>
    <col min="8469" max="8469" width="2.28515625" style="67" customWidth="1"/>
    <col min="8470" max="8705" width="8.85546875" style="67"/>
    <col min="8706" max="8706" width="10.7109375" style="67" customWidth="1"/>
    <col min="8707" max="8707" width="5" style="67" bestFit="1" customWidth="1"/>
    <col min="8708" max="8708" width="0.28515625" style="67" customWidth="1"/>
    <col min="8709" max="8709" width="12.7109375" style="67" customWidth="1"/>
    <col min="8710" max="8710" width="0.28515625" style="67" customWidth="1"/>
    <col min="8711" max="8711" width="15.7109375" style="67" customWidth="1"/>
    <col min="8712" max="8712" width="0.28515625" style="67" customWidth="1"/>
    <col min="8713" max="8713" width="12.85546875" style="67" customWidth="1"/>
    <col min="8714" max="8714" width="0.28515625" style="67" customWidth="1"/>
    <col min="8715" max="8715" width="12.7109375" style="67" customWidth="1"/>
    <col min="8716" max="8716" width="3.7109375" style="67" customWidth="1"/>
    <col min="8717" max="8717" width="0.28515625" style="67" customWidth="1"/>
    <col min="8718" max="8718" width="12.7109375" style="67" customWidth="1"/>
    <col min="8719" max="8719" width="0.28515625" style="67" customWidth="1"/>
    <col min="8720" max="8720" width="9.7109375" style="67" customWidth="1"/>
    <col min="8721" max="8721" width="0.28515625" style="67" customWidth="1"/>
    <col min="8722" max="8722" width="3.7109375" style="67" customWidth="1"/>
    <col min="8723" max="8723" width="0.28515625" style="67" customWidth="1"/>
    <col min="8724" max="8724" width="12" style="67" bestFit="1" customWidth="1"/>
    <col min="8725" max="8725" width="2.28515625" style="67" customWidth="1"/>
    <col min="8726" max="8961" width="8.85546875" style="67"/>
    <col min="8962" max="8962" width="10.7109375" style="67" customWidth="1"/>
    <col min="8963" max="8963" width="5" style="67" bestFit="1" customWidth="1"/>
    <col min="8964" max="8964" width="0.28515625" style="67" customWidth="1"/>
    <col min="8965" max="8965" width="12.7109375" style="67" customWidth="1"/>
    <col min="8966" max="8966" width="0.28515625" style="67" customWidth="1"/>
    <col min="8967" max="8967" width="15.7109375" style="67" customWidth="1"/>
    <col min="8968" max="8968" width="0.28515625" style="67" customWidth="1"/>
    <col min="8969" max="8969" width="12.85546875" style="67" customWidth="1"/>
    <col min="8970" max="8970" width="0.28515625" style="67" customWidth="1"/>
    <col min="8971" max="8971" width="12.7109375" style="67" customWidth="1"/>
    <col min="8972" max="8972" width="3.7109375" style="67" customWidth="1"/>
    <col min="8973" max="8973" width="0.28515625" style="67" customWidth="1"/>
    <col min="8974" max="8974" width="12.7109375" style="67" customWidth="1"/>
    <col min="8975" max="8975" width="0.28515625" style="67" customWidth="1"/>
    <col min="8976" max="8976" width="9.7109375" style="67" customWidth="1"/>
    <col min="8977" max="8977" width="0.28515625" style="67" customWidth="1"/>
    <col min="8978" max="8978" width="3.7109375" style="67" customWidth="1"/>
    <col min="8979" max="8979" width="0.28515625" style="67" customWidth="1"/>
    <col min="8980" max="8980" width="12" style="67" bestFit="1" customWidth="1"/>
    <col min="8981" max="8981" width="2.28515625" style="67" customWidth="1"/>
    <col min="8982" max="9217" width="8.85546875" style="67"/>
    <col min="9218" max="9218" width="10.7109375" style="67" customWidth="1"/>
    <col min="9219" max="9219" width="5" style="67" bestFit="1" customWidth="1"/>
    <col min="9220" max="9220" width="0.28515625" style="67" customWidth="1"/>
    <col min="9221" max="9221" width="12.7109375" style="67" customWidth="1"/>
    <col min="9222" max="9222" width="0.28515625" style="67" customWidth="1"/>
    <col min="9223" max="9223" width="15.7109375" style="67" customWidth="1"/>
    <col min="9224" max="9224" width="0.28515625" style="67" customWidth="1"/>
    <col min="9225" max="9225" width="12.85546875" style="67" customWidth="1"/>
    <col min="9226" max="9226" width="0.28515625" style="67" customWidth="1"/>
    <col min="9227" max="9227" width="12.7109375" style="67" customWidth="1"/>
    <col min="9228" max="9228" width="3.7109375" style="67" customWidth="1"/>
    <col min="9229" max="9229" width="0.28515625" style="67" customWidth="1"/>
    <col min="9230" max="9230" width="12.7109375" style="67" customWidth="1"/>
    <col min="9231" max="9231" width="0.28515625" style="67" customWidth="1"/>
    <col min="9232" max="9232" width="9.7109375" style="67" customWidth="1"/>
    <col min="9233" max="9233" width="0.28515625" style="67" customWidth="1"/>
    <col min="9234" max="9234" width="3.7109375" style="67" customWidth="1"/>
    <col min="9235" max="9235" width="0.28515625" style="67" customWidth="1"/>
    <col min="9236" max="9236" width="12" style="67" bestFit="1" customWidth="1"/>
    <col min="9237" max="9237" width="2.28515625" style="67" customWidth="1"/>
    <col min="9238" max="9473" width="8.85546875" style="67"/>
    <col min="9474" max="9474" width="10.7109375" style="67" customWidth="1"/>
    <col min="9475" max="9475" width="5" style="67" bestFit="1" customWidth="1"/>
    <col min="9476" max="9476" width="0.28515625" style="67" customWidth="1"/>
    <col min="9477" max="9477" width="12.7109375" style="67" customWidth="1"/>
    <col min="9478" max="9478" width="0.28515625" style="67" customWidth="1"/>
    <col min="9479" max="9479" width="15.7109375" style="67" customWidth="1"/>
    <col min="9480" max="9480" width="0.28515625" style="67" customWidth="1"/>
    <col min="9481" max="9481" width="12.85546875" style="67" customWidth="1"/>
    <col min="9482" max="9482" width="0.28515625" style="67" customWidth="1"/>
    <col min="9483" max="9483" width="12.7109375" style="67" customWidth="1"/>
    <col min="9484" max="9484" width="3.7109375" style="67" customWidth="1"/>
    <col min="9485" max="9485" width="0.28515625" style="67" customWidth="1"/>
    <col min="9486" max="9486" width="12.7109375" style="67" customWidth="1"/>
    <col min="9487" max="9487" width="0.28515625" style="67" customWidth="1"/>
    <col min="9488" max="9488" width="9.7109375" style="67" customWidth="1"/>
    <col min="9489" max="9489" width="0.28515625" style="67" customWidth="1"/>
    <col min="9490" max="9490" width="3.7109375" style="67" customWidth="1"/>
    <col min="9491" max="9491" width="0.28515625" style="67" customWidth="1"/>
    <col min="9492" max="9492" width="12" style="67" bestFit="1" customWidth="1"/>
    <col min="9493" max="9493" width="2.28515625" style="67" customWidth="1"/>
    <col min="9494" max="9729" width="8.85546875" style="67"/>
    <col min="9730" max="9730" width="10.7109375" style="67" customWidth="1"/>
    <col min="9731" max="9731" width="5" style="67" bestFit="1" customWidth="1"/>
    <col min="9732" max="9732" width="0.28515625" style="67" customWidth="1"/>
    <col min="9733" max="9733" width="12.7109375" style="67" customWidth="1"/>
    <col min="9734" max="9734" width="0.28515625" style="67" customWidth="1"/>
    <col min="9735" max="9735" width="15.7109375" style="67" customWidth="1"/>
    <col min="9736" max="9736" width="0.28515625" style="67" customWidth="1"/>
    <col min="9737" max="9737" width="12.85546875" style="67" customWidth="1"/>
    <col min="9738" max="9738" width="0.28515625" style="67" customWidth="1"/>
    <col min="9739" max="9739" width="12.7109375" style="67" customWidth="1"/>
    <col min="9740" max="9740" width="3.7109375" style="67" customWidth="1"/>
    <col min="9741" max="9741" width="0.28515625" style="67" customWidth="1"/>
    <col min="9742" max="9742" width="12.7109375" style="67" customWidth="1"/>
    <col min="9743" max="9743" width="0.28515625" style="67" customWidth="1"/>
    <col min="9744" max="9744" width="9.7109375" style="67" customWidth="1"/>
    <col min="9745" max="9745" width="0.28515625" style="67" customWidth="1"/>
    <col min="9746" max="9746" width="3.7109375" style="67" customWidth="1"/>
    <col min="9747" max="9747" width="0.28515625" style="67" customWidth="1"/>
    <col min="9748" max="9748" width="12" style="67" bestFit="1" customWidth="1"/>
    <col min="9749" max="9749" width="2.28515625" style="67" customWidth="1"/>
    <col min="9750" max="9985" width="8.85546875" style="67"/>
    <col min="9986" max="9986" width="10.7109375" style="67" customWidth="1"/>
    <col min="9987" max="9987" width="5" style="67" bestFit="1" customWidth="1"/>
    <col min="9988" max="9988" width="0.28515625" style="67" customWidth="1"/>
    <col min="9989" max="9989" width="12.7109375" style="67" customWidth="1"/>
    <col min="9990" max="9990" width="0.28515625" style="67" customWidth="1"/>
    <col min="9991" max="9991" width="15.7109375" style="67" customWidth="1"/>
    <col min="9992" max="9992" width="0.28515625" style="67" customWidth="1"/>
    <col min="9993" max="9993" width="12.85546875" style="67" customWidth="1"/>
    <col min="9994" max="9994" width="0.28515625" style="67" customWidth="1"/>
    <col min="9995" max="9995" width="12.7109375" style="67" customWidth="1"/>
    <col min="9996" max="9996" width="3.7109375" style="67" customWidth="1"/>
    <col min="9997" max="9997" width="0.28515625" style="67" customWidth="1"/>
    <col min="9998" max="9998" width="12.7109375" style="67" customWidth="1"/>
    <col min="9999" max="9999" width="0.28515625" style="67" customWidth="1"/>
    <col min="10000" max="10000" width="9.7109375" style="67" customWidth="1"/>
    <col min="10001" max="10001" width="0.28515625" style="67" customWidth="1"/>
    <col min="10002" max="10002" width="3.7109375" style="67" customWidth="1"/>
    <col min="10003" max="10003" width="0.28515625" style="67" customWidth="1"/>
    <col min="10004" max="10004" width="12" style="67" bestFit="1" customWidth="1"/>
    <col min="10005" max="10005" width="2.28515625" style="67" customWidth="1"/>
    <col min="10006" max="10241" width="8.85546875" style="67"/>
    <col min="10242" max="10242" width="10.7109375" style="67" customWidth="1"/>
    <col min="10243" max="10243" width="5" style="67" bestFit="1" customWidth="1"/>
    <col min="10244" max="10244" width="0.28515625" style="67" customWidth="1"/>
    <col min="10245" max="10245" width="12.7109375" style="67" customWidth="1"/>
    <col min="10246" max="10246" width="0.28515625" style="67" customWidth="1"/>
    <col min="10247" max="10247" width="15.7109375" style="67" customWidth="1"/>
    <col min="10248" max="10248" width="0.28515625" style="67" customWidth="1"/>
    <col min="10249" max="10249" width="12.85546875" style="67" customWidth="1"/>
    <col min="10250" max="10250" width="0.28515625" style="67" customWidth="1"/>
    <col min="10251" max="10251" width="12.7109375" style="67" customWidth="1"/>
    <col min="10252" max="10252" width="3.7109375" style="67" customWidth="1"/>
    <col min="10253" max="10253" width="0.28515625" style="67" customWidth="1"/>
    <col min="10254" max="10254" width="12.7109375" style="67" customWidth="1"/>
    <col min="10255" max="10255" width="0.28515625" style="67" customWidth="1"/>
    <col min="10256" max="10256" width="9.7109375" style="67" customWidth="1"/>
    <col min="10257" max="10257" width="0.28515625" style="67" customWidth="1"/>
    <col min="10258" max="10258" width="3.7109375" style="67" customWidth="1"/>
    <col min="10259" max="10259" width="0.28515625" style="67" customWidth="1"/>
    <col min="10260" max="10260" width="12" style="67" bestFit="1" customWidth="1"/>
    <col min="10261" max="10261" width="2.28515625" style="67" customWidth="1"/>
    <col min="10262" max="10497" width="8.85546875" style="67"/>
    <col min="10498" max="10498" width="10.7109375" style="67" customWidth="1"/>
    <col min="10499" max="10499" width="5" style="67" bestFit="1" customWidth="1"/>
    <col min="10500" max="10500" width="0.28515625" style="67" customWidth="1"/>
    <col min="10501" max="10501" width="12.7109375" style="67" customWidth="1"/>
    <col min="10502" max="10502" width="0.28515625" style="67" customWidth="1"/>
    <col min="10503" max="10503" width="15.7109375" style="67" customWidth="1"/>
    <col min="10504" max="10504" width="0.28515625" style="67" customWidth="1"/>
    <col min="10505" max="10505" width="12.85546875" style="67" customWidth="1"/>
    <col min="10506" max="10506" width="0.28515625" style="67" customWidth="1"/>
    <col min="10507" max="10507" width="12.7109375" style="67" customWidth="1"/>
    <col min="10508" max="10508" width="3.7109375" style="67" customWidth="1"/>
    <col min="10509" max="10509" width="0.28515625" style="67" customWidth="1"/>
    <col min="10510" max="10510" width="12.7109375" style="67" customWidth="1"/>
    <col min="10511" max="10511" width="0.28515625" style="67" customWidth="1"/>
    <col min="10512" max="10512" width="9.7109375" style="67" customWidth="1"/>
    <col min="10513" max="10513" width="0.28515625" style="67" customWidth="1"/>
    <col min="10514" max="10514" width="3.7109375" style="67" customWidth="1"/>
    <col min="10515" max="10515" width="0.28515625" style="67" customWidth="1"/>
    <col min="10516" max="10516" width="12" style="67" bestFit="1" customWidth="1"/>
    <col min="10517" max="10517" width="2.28515625" style="67" customWidth="1"/>
    <col min="10518" max="10753" width="8.85546875" style="67"/>
    <col min="10754" max="10754" width="10.7109375" style="67" customWidth="1"/>
    <col min="10755" max="10755" width="5" style="67" bestFit="1" customWidth="1"/>
    <col min="10756" max="10756" width="0.28515625" style="67" customWidth="1"/>
    <col min="10757" max="10757" width="12.7109375" style="67" customWidth="1"/>
    <col min="10758" max="10758" width="0.28515625" style="67" customWidth="1"/>
    <col min="10759" max="10759" width="15.7109375" style="67" customWidth="1"/>
    <col min="10760" max="10760" width="0.28515625" style="67" customWidth="1"/>
    <col min="10761" max="10761" width="12.85546875" style="67" customWidth="1"/>
    <col min="10762" max="10762" width="0.28515625" style="67" customWidth="1"/>
    <col min="10763" max="10763" width="12.7109375" style="67" customWidth="1"/>
    <col min="10764" max="10764" width="3.7109375" style="67" customWidth="1"/>
    <col min="10765" max="10765" width="0.28515625" style="67" customWidth="1"/>
    <col min="10766" max="10766" width="12.7109375" style="67" customWidth="1"/>
    <col min="10767" max="10767" width="0.28515625" style="67" customWidth="1"/>
    <col min="10768" max="10768" width="9.7109375" style="67" customWidth="1"/>
    <col min="10769" max="10769" width="0.28515625" style="67" customWidth="1"/>
    <col min="10770" max="10770" width="3.7109375" style="67" customWidth="1"/>
    <col min="10771" max="10771" width="0.28515625" style="67" customWidth="1"/>
    <col min="10772" max="10772" width="12" style="67" bestFit="1" customWidth="1"/>
    <col min="10773" max="10773" width="2.28515625" style="67" customWidth="1"/>
    <col min="10774" max="11009" width="8.85546875" style="67"/>
    <col min="11010" max="11010" width="10.7109375" style="67" customWidth="1"/>
    <col min="11011" max="11011" width="5" style="67" bestFit="1" customWidth="1"/>
    <col min="11012" max="11012" width="0.28515625" style="67" customWidth="1"/>
    <col min="11013" max="11013" width="12.7109375" style="67" customWidth="1"/>
    <col min="11014" max="11014" width="0.28515625" style="67" customWidth="1"/>
    <col min="11015" max="11015" width="15.7109375" style="67" customWidth="1"/>
    <col min="11016" max="11016" width="0.28515625" style="67" customWidth="1"/>
    <col min="11017" max="11017" width="12.85546875" style="67" customWidth="1"/>
    <col min="11018" max="11018" width="0.28515625" style="67" customWidth="1"/>
    <col min="11019" max="11019" width="12.7109375" style="67" customWidth="1"/>
    <col min="11020" max="11020" width="3.7109375" style="67" customWidth="1"/>
    <col min="11021" max="11021" width="0.28515625" style="67" customWidth="1"/>
    <col min="11022" max="11022" width="12.7109375" style="67" customWidth="1"/>
    <col min="11023" max="11023" width="0.28515625" style="67" customWidth="1"/>
    <col min="11024" max="11024" width="9.7109375" style="67" customWidth="1"/>
    <col min="11025" max="11025" width="0.28515625" style="67" customWidth="1"/>
    <col min="11026" max="11026" width="3.7109375" style="67" customWidth="1"/>
    <col min="11027" max="11027" width="0.28515625" style="67" customWidth="1"/>
    <col min="11028" max="11028" width="12" style="67" bestFit="1" customWidth="1"/>
    <col min="11029" max="11029" width="2.28515625" style="67" customWidth="1"/>
    <col min="11030" max="11265" width="8.85546875" style="67"/>
    <col min="11266" max="11266" width="10.7109375" style="67" customWidth="1"/>
    <col min="11267" max="11267" width="5" style="67" bestFit="1" customWidth="1"/>
    <col min="11268" max="11268" width="0.28515625" style="67" customWidth="1"/>
    <col min="11269" max="11269" width="12.7109375" style="67" customWidth="1"/>
    <col min="11270" max="11270" width="0.28515625" style="67" customWidth="1"/>
    <col min="11271" max="11271" width="15.7109375" style="67" customWidth="1"/>
    <col min="11272" max="11272" width="0.28515625" style="67" customWidth="1"/>
    <col min="11273" max="11273" width="12.85546875" style="67" customWidth="1"/>
    <col min="11274" max="11274" width="0.28515625" style="67" customWidth="1"/>
    <col min="11275" max="11275" width="12.7109375" style="67" customWidth="1"/>
    <col min="11276" max="11276" width="3.7109375" style="67" customWidth="1"/>
    <col min="11277" max="11277" width="0.28515625" style="67" customWidth="1"/>
    <col min="11278" max="11278" width="12.7109375" style="67" customWidth="1"/>
    <col min="11279" max="11279" width="0.28515625" style="67" customWidth="1"/>
    <col min="11280" max="11280" width="9.7109375" style="67" customWidth="1"/>
    <col min="11281" max="11281" width="0.28515625" style="67" customWidth="1"/>
    <col min="11282" max="11282" width="3.7109375" style="67" customWidth="1"/>
    <col min="11283" max="11283" width="0.28515625" style="67" customWidth="1"/>
    <col min="11284" max="11284" width="12" style="67" bestFit="1" customWidth="1"/>
    <col min="11285" max="11285" width="2.28515625" style="67" customWidth="1"/>
    <col min="11286" max="11521" width="8.85546875" style="67"/>
    <col min="11522" max="11522" width="10.7109375" style="67" customWidth="1"/>
    <col min="11523" max="11523" width="5" style="67" bestFit="1" customWidth="1"/>
    <col min="11524" max="11524" width="0.28515625" style="67" customWidth="1"/>
    <col min="11525" max="11525" width="12.7109375" style="67" customWidth="1"/>
    <col min="11526" max="11526" width="0.28515625" style="67" customWidth="1"/>
    <col min="11527" max="11527" width="15.7109375" style="67" customWidth="1"/>
    <col min="11528" max="11528" width="0.28515625" style="67" customWidth="1"/>
    <col min="11529" max="11529" width="12.85546875" style="67" customWidth="1"/>
    <col min="11530" max="11530" width="0.28515625" style="67" customWidth="1"/>
    <col min="11531" max="11531" width="12.7109375" style="67" customWidth="1"/>
    <col min="11532" max="11532" width="3.7109375" style="67" customWidth="1"/>
    <col min="11533" max="11533" width="0.28515625" style="67" customWidth="1"/>
    <col min="11534" max="11534" width="12.7109375" style="67" customWidth="1"/>
    <col min="11535" max="11535" width="0.28515625" style="67" customWidth="1"/>
    <col min="11536" max="11536" width="9.7109375" style="67" customWidth="1"/>
    <col min="11537" max="11537" width="0.28515625" style="67" customWidth="1"/>
    <col min="11538" max="11538" width="3.7109375" style="67" customWidth="1"/>
    <col min="11539" max="11539" width="0.28515625" style="67" customWidth="1"/>
    <col min="11540" max="11540" width="12" style="67" bestFit="1" customWidth="1"/>
    <col min="11541" max="11541" width="2.28515625" style="67" customWidth="1"/>
    <col min="11542" max="11777" width="8.85546875" style="67"/>
    <col min="11778" max="11778" width="10.7109375" style="67" customWidth="1"/>
    <col min="11779" max="11779" width="5" style="67" bestFit="1" customWidth="1"/>
    <col min="11780" max="11780" width="0.28515625" style="67" customWidth="1"/>
    <col min="11781" max="11781" width="12.7109375" style="67" customWidth="1"/>
    <col min="11782" max="11782" width="0.28515625" style="67" customWidth="1"/>
    <col min="11783" max="11783" width="15.7109375" style="67" customWidth="1"/>
    <col min="11784" max="11784" width="0.28515625" style="67" customWidth="1"/>
    <col min="11785" max="11785" width="12.85546875" style="67" customWidth="1"/>
    <col min="11786" max="11786" width="0.28515625" style="67" customWidth="1"/>
    <col min="11787" max="11787" width="12.7109375" style="67" customWidth="1"/>
    <col min="11788" max="11788" width="3.7109375" style="67" customWidth="1"/>
    <col min="11789" max="11789" width="0.28515625" style="67" customWidth="1"/>
    <col min="11790" max="11790" width="12.7109375" style="67" customWidth="1"/>
    <col min="11791" max="11791" width="0.28515625" style="67" customWidth="1"/>
    <col min="11792" max="11792" width="9.7109375" style="67" customWidth="1"/>
    <col min="11793" max="11793" width="0.28515625" style="67" customWidth="1"/>
    <col min="11794" max="11794" width="3.7109375" style="67" customWidth="1"/>
    <col min="11795" max="11795" width="0.28515625" style="67" customWidth="1"/>
    <col min="11796" max="11796" width="12" style="67" bestFit="1" customWidth="1"/>
    <col min="11797" max="11797" width="2.28515625" style="67" customWidth="1"/>
    <col min="11798" max="12033" width="8.85546875" style="67"/>
    <col min="12034" max="12034" width="10.7109375" style="67" customWidth="1"/>
    <col min="12035" max="12035" width="5" style="67" bestFit="1" customWidth="1"/>
    <col min="12036" max="12036" width="0.28515625" style="67" customWidth="1"/>
    <col min="12037" max="12037" width="12.7109375" style="67" customWidth="1"/>
    <col min="12038" max="12038" width="0.28515625" style="67" customWidth="1"/>
    <col min="12039" max="12039" width="15.7109375" style="67" customWidth="1"/>
    <col min="12040" max="12040" width="0.28515625" style="67" customWidth="1"/>
    <col min="12041" max="12041" width="12.85546875" style="67" customWidth="1"/>
    <col min="12042" max="12042" width="0.28515625" style="67" customWidth="1"/>
    <col min="12043" max="12043" width="12.7109375" style="67" customWidth="1"/>
    <col min="12044" max="12044" width="3.7109375" style="67" customWidth="1"/>
    <col min="12045" max="12045" width="0.28515625" style="67" customWidth="1"/>
    <col min="12046" max="12046" width="12.7109375" style="67" customWidth="1"/>
    <col min="12047" max="12047" width="0.28515625" style="67" customWidth="1"/>
    <col min="12048" max="12048" width="9.7109375" style="67" customWidth="1"/>
    <col min="12049" max="12049" width="0.28515625" style="67" customWidth="1"/>
    <col min="12050" max="12050" width="3.7109375" style="67" customWidth="1"/>
    <col min="12051" max="12051" width="0.28515625" style="67" customWidth="1"/>
    <col min="12052" max="12052" width="12" style="67" bestFit="1" customWidth="1"/>
    <col min="12053" max="12053" width="2.28515625" style="67" customWidth="1"/>
    <col min="12054" max="12289" width="8.85546875" style="67"/>
    <col min="12290" max="12290" width="10.7109375" style="67" customWidth="1"/>
    <col min="12291" max="12291" width="5" style="67" bestFit="1" customWidth="1"/>
    <col min="12292" max="12292" width="0.28515625" style="67" customWidth="1"/>
    <col min="12293" max="12293" width="12.7109375" style="67" customWidth="1"/>
    <col min="12294" max="12294" width="0.28515625" style="67" customWidth="1"/>
    <col min="12295" max="12295" width="15.7109375" style="67" customWidth="1"/>
    <col min="12296" max="12296" width="0.28515625" style="67" customWidth="1"/>
    <col min="12297" max="12297" width="12.85546875" style="67" customWidth="1"/>
    <col min="12298" max="12298" width="0.28515625" style="67" customWidth="1"/>
    <col min="12299" max="12299" width="12.7109375" style="67" customWidth="1"/>
    <col min="12300" max="12300" width="3.7109375" style="67" customWidth="1"/>
    <col min="12301" max="12301" width="0.28515625" style="67" customWidth="1"/>
    <col min="12302" max="12302" width="12.7109375" style="67" customWidth="1"/>
    <col min="12303" max="12303" width="0.28515625" style="67" customWidth="1"/>
    <col min="12304" max="12304" width="9.7109375" style="67" customWidth="1"/>
    <col min="12305" max="12305" width="0.28515625" style="67" customWidth="1"/>
    <col min="12306" max="12306" width="3.7109375" style="67" customWidth="1"/>
    <col min="12307" max="12307" width="0.28515625" style="67" customWidth="1"/>
    <col min="12308" max="12308" width="12" style="67" bestFit="1" customWidth="1"/>
    <col min="12309" max="12309" width="2.28515625" style="67" customWidth="1"/>
    <col min="12310" max="12545" width="8.85546875" style="67"/>
    <col min="12546" max="12546" width="10.7109375" style="67" customWidth="1"/>
    <col min="12547" max="12547" width="5" style="67" bestFit="1" customWidth="1"/>
    <col min="12548" max="12548" width="0.28515625" style="67" customWidth="1"/>
    <col min="12549" max="12549" width="12.7109375" style="67" customWidth="1"/>
    <col min="12550" max="12550" width="0.28515625" style="67" customWidth="1"/>
    <col min="12551" max="12551" width="15.7109375" style="67" customWidth="1"/>
    <col min="12552" max="12552" width="0.28515625" style="67" customWidth="1"/>
    <col min="12553" max="12553" width="12.85546875" style="67" customWidth="1"/>
    <col min="12554" max="12554" width="0.28515625" style="67" customWidth="1"/>
    <col min="12555" max="12555" width="12.7109375" style="67" customWidth="1"/>
    <col min="12556" max="12556" width="3.7109375" style="67" customWidth="1"/>
    <col min="12557" max="12557" width="0.28515625" style="67" customWidth="1"/>
    <col min="12558" max="12558" width="12.7109375" style="67" customWidth="1"/>
    <col min="12559" max="12559" width="0.28515625" style="67" customWidth="1"/>
    <col min="12560" max="12560" width="9.7109375" style="67" customWidth="1"/>
    <col min="12561" max="12561" width="0.28515625" style="67" customWidth="1"/>
    <col min="12562" max="12562" width="3.7109375" style="67" customWidth="1"/>
    <col min="12563" max="12563" width="0.28515625" style="67" customWidth="1"/>
    <col min="12564" max="12564" width="12" style="67" bestFit="1" customWidth="1"/>
    <col min="12565" max="12565" width="2.28515625" style="67" customWidth="1"/>
    <col min="12566" max="12801" width="8.85546875" style="67"/>
    <col min="12802" max="12802" width="10.7109375" style="67" customWidth="1"/>
    <col min="12803" max="12803" width="5" style="67" bestFit="1" customWidth="1"/>
    <col min="12804" max="12804" width="0.28515625" style="67" customWidth="1"/>
    <col min="12805" max="12805" width="12.7109375" style="67" customWidth="1"/>
    <col min="12806" max="12806" width="0.28515625" style="67" customWidth="1"/>
    <col min="12807" max="12807" width="15.7109375" style="67" customWidth="1"/>
    <col min="12808" max="12808" width="0.28515625" style="67" customWidth="1"/>
    <col min="12809" max="12809" width="12.85546875" style="67" customWidth="1"/>
    <col min="12810" max="12810" width="0.28515625" style="67" customWidth="1"/>
    <col min="12811" max="12811" width="12.7109375" style="67" customWidth="1"/>
    <col min="12812" max="12812" width="3.7109375" style="67" customWidth="1"/>
    <col min="12813" max="12813" width="0.28515625" style="67" customWidth="1"/>
    <col min="12814" max="12814" width="12.7109375" style="67" customWidth="1"/>
    <col min="12815" max="12815" width="0.28515625" style="67" customWidth="1"/>
    <col min="12816" max="12816" width="9.7109375" style="67" customWidth="1"/>
    <col min="12817" max="12817" width="0.28515625" style="67" customWidth="1"/>
    <col min="12818" max="12818" width="3.7109375" style="67" customWidth="1"/>
    <col min="12819" max="12819" width="0.28515625" style="67" customWidth="1"/>
    <col min="12820" max="12820" width="12" style="67" bestFit="1" customWidth="1"/>
    <col min="12821" max="12821" width="2.28515625" style="67" customWidth="1"/>
    <col min="12822" max="13057" width="8.85546875" style="67"/>
    <col min="13058" max="13058" width="10.7109375" style="67" customWidth="1"/>
    <col min="13059" max="13059" width="5" style="67" bestFit="1" customWidth="1"/>
    <col min="13060" max="13060" width="0.28515625" style="67" customWidth="1"/>
    <col min="13061" max="13061" width="12.7109375" style="67" customWidth="1"/>
    <col min="13062" max="13062" width="0.28515625" style="67" customWidth="1"/>
    <col min="13063" max="13063" width="15.7109375" style="67" customWidth="1"/>
    <col min="13064" max="13064" width="0.28515625" style="67" customWidth="1"/>
    <col min="13065" max="13065" width="12.85546875" style="67" customWidth="1"/>
    <col min="13066" max="13066" width="0.28515625" style="67" customWidth="1"/>
    <col min="13067" max="13067" width="12.7109375" style="67" customWidth="1"/>
    <col min="13068" max="13068" width="3.7109375" style="67" customWidth="1"/>
    <col min="13069" max="13069" width="0.28515625" style="67" customWidth="1"/>
    <col min="13070" max="13070" width="12.7109375" style="67" customWidth="1"/>
    <col min="13071" max="13071" width="0.28515625" style="67" customWidth="1"/>
    <col min="13072" max="13072" width="9.7109375" style="67" customWidth="1"/>
    <col min="13073" max="13073" width="0.28515625" style="67" customWidth="1"/>
    <col min="13074" max="13074" width="3.7109375" style="67" customWidth="1"/>
    <col min="13075" max="13075" width="0.28515625" style="67" customWidth="1"/>
    <col min="13076" max="13076" width="12" style="67" bestFit="1" customWidth="1"/>
    <col min="13077" max="13077" width="2.28515625" style="67" customWidth="1"/>
    <col min="13078" max="13313" width="8.85546875" style="67"/>
    <col min="13314" max="13314" width="10.7109375" style="67" customWidth="1"/>
    <col min="13315" max="13315" width="5" style="67" bestFit="1" customWidth="1"/>
    <col min="13316" max="13316" width="0.28515625" style="67" customWidth="1"/>
    <col min="13317" max="13317" width="12.7109375" style="67" customWidth="1"/>
    <col min="13318" max="13318" width="0.28515625" style="67" customWidth="1"/>
    <col min="13319" max="13319" width="15.7109375" style="67" customWidth="1"/>
    <col min="13320" max="13320" width="0.28515625" style="67" customWidth="1"/>
    <col min="13321" max="13321" width="12.85546875" style="67" customWidth="1"/>
    <col min="13322" max="13322" width="0.28515625" style="67" customWidth="1"/>
    <col min="13323" max="13323" width="12.7109375" style="67" customWidth="1"/>
    <col min="13324" max="13324" width="3.7109375" style="67" customWidth="1"/>
    <col min="13325" max="13325" width="0.28515625" style="67" customWidth="1"/>
    <col min="13326" max="13326" width="12.7109375" style="67" customWidth="1"/>
    <col min="13327" max="13327" width="0.28515625" style="67" customWidth="1"/>
    <col min="13328" max="13328" width="9.7109375" style="67" customWidth="1"/>
    <col min="13329" max="13329" width="0.28515625" style="67" customWidth="1"/>
    <col min="13330" max="13330" width="3.7109375" style="67" customWidth="1"/>
    <col min="13331" max="13331" width="0.28515625" style="67" customWidth="1"/>
    <col min="13332" max="13332" width="12" style="67" bestFit="1" customWidth="1"/>
    <col min="13333" max="13333" width="2.28515625" style="67" customWidth="1"/>
    <col min="13334" max="13569" width="8.85546875" style="67"/>
    <col min="13570" max="13570" width="10.7109375" style="67" customWidth="1"/>
    <col min="13571" max="13571" width="5" style="67" bestFit="1" customWidth="1"/>
    <col min="13572" max="13572" width="0.28515625" style="67" customWidth="1"/>
    <col min="13573" max="13573" width="12.7109375" style="67" customWidth="1"/>
    <col min="13574" max="13574" width="0.28515625" style="67" customWidth="1"/>
    <col min="13575" max="13575" width="15.7109375" style="67" customWidth="1"/>
    <col min="13576" max="13576" width="0.28515625" style="67" customWidth="1"/>
    <col min="13577" max="13577" width="12.85546875" style="67" customWidth="1"/>
    <col min="13578" max="13578" width="0.28515625" style="67" customWidth="1"/>
    <col min="13579" max="13579" width="12.7109375" style="67" customWidth="1"/>
    <col min="13580" max="13580" width="3.7109375" style="67" customWidth="1"/>
    <col min="13581" max="13581" width="0.28515625" style="67" customWidth="1"/>
    <col min="13582" max="13582" width="12.7109375" style="67" customWidth="1"/>
    <col min="13583" max="13583" width="0.28515625" style="67" customWidth="1"/>
    <col min="13584" max="13584" width="9.7109375" style="67" customWidth="1"/>
    <col min="13585" max="13585" width="0.28515625" style="67" customWidth="1"/>
    <col min="13586" max="13586" width="3.7109375" style="67" customWidth="1"/>
    <col min="13587" max="13587" width="0.28515625" style="67" customWidth="1"/>
    <col min="13588" max="13588" width="12" style="67" bestFit="1" customWidth="1"/>
    <col min="13589" max="13589" width="2.28515625" style="67" customWidth="1"/>
    <col min="13590" max="13825" width="8.85546875" style="67"/>
    <col min="13826" max="13826" width="10.7109375" style="67" customWidth="1"/>
    <col min="13827" max="13827" width="5" style="67" bestFit="1" customWidth="1"/>
    <col min="13828" max="13828" width="0.28515625" style="67" customWidth="1"/>
    <col min="13829" max="13829" width="12.7109375" style="67" customWidth="1"/>
    <col min="13830" max="13830" width="0.28515625" style="67" customWidth="1"/>
    <col min="13831" max="13831" width="15.7109375" style="67" customWidth="1"/>
    <col min="13832" max="13832" width="0.28515625" style="67" customWidth="1"/>
    <col min="13833" max="13833" width="12.85546875" style="67" customWidth="1"/>
    <col min="13834" max="13834" width="0.28515625" style="67" customWidth="1"/>
    <col min="13835" max="13835" width="12.7109375" style="67" customWidth="1"/>
    <col min="13836" max="13836" width="3.7109375" style="67" customWidth="1"/>
    <col min="13837" max="13837" width="0.28515625" style="67" customWidth="1"/>
    <col min="13838" max="13838" width="12.7109375" style="67" customWidth="1"/>
    <col min="13839" max="13839" width="0.28515625" style="67" customWidth="1"/>
    <col min="13840" max="13840" width="9.7109375" style="67" customWidth="1"/>
    <col min="13841" max="13841" width="0.28515625" style="67" customWidth="1"/>
    <col min="13842" max="13842" width="3.7109375" style="67" customWidth="1"/>
    <col min="13843" max="13843" width="0.28515625" style="67" customWidth="1"/>
    <col min="13844" max="13844" width="12" style="67" bestFit="1" customWidth="1"/>
    <col min="13845" max="13845" width="2.28515625" style="67" customWidth="1"/>
    <col min="13846" max="14081" width="8.85546875" style="67"/>
    <col min="14082" max="14082" width="10.7109375" style="67" customWidth="1"/>
    <col min="14083" max="14083" width="5" style="67" bestFit="1" customWidth="1"/>
    <col min="14084" max="14084" width="0.28515625" style="67" customWidth="1"/>
    <col min="14085" max="14085" width="12.7109375" style="67" customWidth="1"/>
    <col min="14086" max="14086" width="0.28515625" style="67" customWidth="1"/>
    <col min="14087" max="14087" width="15.7109375" style="67" customWidth="1"/>
    <col min="14088" max="14088" width="0.28515625" style="67" customWidth="1"/>
    <col min="14089" max="14089" width="12.85546875" style="67" customWidth="1"/>
    <col min="14090" max="14090" width="0.28515625" style="67" customWidth="1"/>
    <col min="14091" max="14091" width="12.7109375" style="67" customWidth="1"/>
    <col min="14092" max="14092" width="3.7109375" style="67" customWidth="1"/>
    <col min="14093" max="14093" width="0.28515625" style="67" customWidth="1"/>
    <col min="14094" max="14094" width="12.7109375" style="67" customWidth="1"/>
    <col min="14095" max="14095" width="0.28515625" style="67" customWidth="1"/>
    <col min="14096" max="14096" width="9.7109375" style="67" customWidth="1"/>
    <col min="14097" max="14097" width="0.28515625" style="67" customWidth="1"/>
    <col min="14098" max="14098" width="3.7109375" style="67" customWidth="1"/>
    <col min="14099" max="14099" width="0.28515625" style="67" customWidth="1"/>
    <col min="14100" max="14100" width="12" style="67" bestFit="1" customWidth="1"/>
    <col min="14101" max="14101" width="2.28515625" style="67" customWidth="1"/>
    <col min="14102" max="14337" width="8.85546875" style="67"/>
    <col min="14338" max="14338" width="10.7109375" style="67" customWidth="1"/>
    <col min="14339" max="14339" width="5" style="67" bestFit="1" customWidth="1"/>
    <col min="14340" max="14340" width="0.28515625" style="67" customWidth="1"/>
    <col min="14341" max="14341" width="12.7109375" style="67" customWidth="1"/>
    <col min="14342" max="14342" width="0.28515625" style="67" customWidth="1"/>
    <col min="14343" max="14343" width="15.7109375" style="67" customWidth="1"/>
    <col min="14344" max="14344" width="0.28515625" style="67" customWidth="1"/>
    <col min="14345" max="14345" width="12.85546875" style="67" customWidth="1"/>
    <col min="14346" max="14346" width="0.28515625" style="67" customWidth="1"/>
    <col min="14347" max="14347" width="12.7109375" style="67" customWidth="1"/>
    <col min="14348" max="14348" width="3.7109375" style="67" customWidth="1"/>
    <col min="14349" max="14349" width="0.28515625" style="67" customWidth="1"/>
    <col min="14350" max="14350" width="12.7109375" style="67" customWidth="1"/>
    <col min="14351" max="14351" width="0.28515625" style="67" customWidth="1"/>
    <col min="14352" max="14352" width="9.7109375" style="67" customWidth="1"/>
    <col min="14353" max="14353" width="0.28515625" style="67" customWidth="1"/>
    <col min="14354" max="14354" width="3.7109375" style="67" customWidth="1"/>
    <col min="14355" max="14355" width="0.28515625" style="67" customWidth="1"/>
    <col min="14356" max="14356" width="12" style="67" bestFit="1" customWidth="1"/>
    <col min="14357" max="14357" width="2.28515625" style="67" customWidth="1"/>
    <col min="14358" max="14593" width="8.85546875" style="67"/>
    <col min="14594" max="14594" width="10.7109375" style="67" customWidth="1"/>
    <col min="14595" max="14595" width="5" style="67" bestFit="1" customWidth="1"/>
    <col min="14596" max="14596" width="0.28515625" style="67" customWidth="1"/>
    <col min="14597" max="14597" width="12.7109375" style="67" customWidth="1"/>
    <col min="14598" max="14598" width="0.28515625" style="67" customWidth="1"/>
    <col min="14599" max="14599" width="15.7109375" style="67" customWidth="1"/>
    <col min="14600" max="14600" width="0.28515625" style="67" customWidth="1"/>
    <col min="14601" max="14601" width="12.85546875" style="67" customWidth="1"/>
    <col min="14602" max="14602" width="0.28515625" style="67" customWidth="1"/>
    <col min="14603" max="14603" width="12.7109375" style="67" customWidth="1"/>
    <col min="14604" max="14604" width="3.7109375" style="67" customWidth="1"/>
    <col min="14605" max="14605" width="0.28515625" style="67" customWidth="1"/>
    <col min="14606" max="14606" width="12.7109375" style="67" customWidth="1"/>
    <col min="14607" max="14607" width="0.28515625" style="67" customWidth="1"/>
    <col min="14608" max="14608" width="9.7109375" style="67" customWidth="1"/>
    <col min="14609" max="14609" width="0.28515625" style="67" customWidth="1"/>
    <col min="14610" max="14610" width="3.7109375" style="67" customWidth="1"/>
    <col min="14611" max="14611" width="0.28515625" style="67" customWidth="1"/>
    <col min="14612" max="14612" width="12" style="67" bestFit="1" customWidth="1"/>
    <col min="14613" max="14613" width="2.28515625" style="67" customWidth="1"/>
    <col min="14614" max="14849" width="8.85546875" style="67"/>
    <col min="14850" max="14850" width="10.7109375" style="67" customWidth="1"/>
    <col min="14851" max="14851" width="5" style="67" bestFit="1" customWidth="1"/>
    <col min="14852" max="14852" width="0.28515625" style="67" customWidth="1"/>
    <col min="14853" max="14853" width="12.7109375" style="67" customWidth="1"/>
    <col min="14854" max="14854" width="0.28515625" style="67" customWidth="1"/>
    <col min="14855" max="14855" width="15.7109375" style="67" customWidth="1"/>
    <col min="14856" max="14856" width="0.28515625" style="67" customWidth="1"/>
    <col min="14857" max="14857" width="12.85546875" style="67" customWidth="1"/>
    <col min="14858" max="14858" width="0.28515625" style="67" customWidth="1"/>
    <col min="14859" max="14859" width="12.7109375" style="67" customWidth="1"/>
    <col min="14860" max="14860" width="3.7109375" style="67" customWidth="1"/>
    <col min="14861" max="14861" width="0.28515625" style="67" customWidth="1"/>
    <col min="14862" max="14862" width="12.7109375" style="67" customWidth="1"/>
    <col min="14863" max="14863" width="0.28515625" style="67" customWidth="1"/>
    <col min="14864" max="14864" width="9.7109375" style="67" customWidth="1"/>
    <col min="14865" max="14865" width="0.28515625" style="67" customWidth="1"/>
    <col min="14866" max="14866" width="3.7109375" style="67" customWidth="1"/>
    <col min="14867" max="14867" width="0.28515625" style="67" customWidth="1"/>
    <col min="14868" max="14868" width="12" style="67" bestFit="1" customWidth="1"/>
    <col min="14869" max="14869" width="2.28515625" style="67" customWidth="1"/>
    <col min="14870" max="15105" width="8.85546875" style="67"/>
    <col min="15106" max="15106" width="10.7109375" style="67" customWidth="1"/>
    <col min="15107" max="15107" width="5" style="67" bestFit="1" customWidth="1"/>
    <col min="15108" max="15108" width="0.28515625" style="67" customWidth="1"/>
    <col min="15109" max="15109" width="12.7109375" style="67" customWidth="1"/>
    <col min="15110" max="15110" width="0.28515625" style="67" customWidth="1"/>
    <col min="15111" max="15111" width="15.7109375" style="67" customWidth="1"/>
    <col min="15112" max="15112" width="0.28515625" style="67" customWidth="1"/>
    <col min="15113" max="15113" width="12.85546875" style="67" customWidth="1"/>
    <col min="15114" max="15114" width="0.28515625" style="67" customWidth="1"/>
    <col min="15115" max="15115" width="12.7109375" style="67" customWidth="1"/>
    <col min="15116" max="15116" width="3.7109375" style="67" customWidth="1"/>
    <col min="15117" max="15117" width="0.28515625" style="67" customWidth="1"/>
    <col min="15118" max="15118" width="12.7109375" style="67" customWidth="1"/>
    <col min="15119" max="15119" width="0.28515625" style="67" customWidth="1"/>
    <col min="15120" max="15120" width="9.7109375" style="67" customWidth="1"/>
    <col min="15121" max="15121" width="0.28515625" style="67" customWidth="1"/>
    <col min="15122" max="15122" width="3.7109375" style="67" customWidth="1"/>
    <col min="15123" max="15123" width="0.28515625" style="67" customWidth="1"/>
    <col min="15124" max="15124" width="12" style="67" bestFit="1" customWidth="1"/>
    <col min="15125" max="15125" width="2.28515625" style="67" customWidth="1"/>
    <col min="15126" max="15361" width="8.85546875" style="67"/>
    <col min="15362" max="15362" width="10.7109375" style="67" customWidth="1"/>
    <col min="15363" max="15363" width="5" style="67" bestFit="1" customWidth="1"/>
    <col min="15364" max="15364" width="0.28515625" style="67" customWidth="1"/>
    <col min="15365" max="15365" width="12.7109375" style="67" customWidth="1"/>
    <col min="15366" max="15366" width="0.28515625" style="67" customWidth="1"/>
    <col min="15367" max="15367" width="15.7109375" style="67" customWidth="1"/>
    <col min="15368" max="15368" width="0.28515625" style="67" customWidth="1"/>
    <col min="15369" max="15369" width="12.85546875" style="67" customWidth="1"/>
    <col min="15370" max="15370" width="0.28515625" style="67" customWidth="1"/>
    <col min="15371" max="15371" width="12.7109375" style="67" customWidth="1"/>
    <col min="15372" max="15372" width="3.7109375" style="67" customWidth="1"/>
    <col min="15373" max="15373" width="0.28515625" style="67" customWidth="1"/>
    <col min="15374" max="15374" width="12.7109375" style="67" customWidth="1"/>
    <col min="15375" max="15375" width="0.28515625" style="67" customWidth="1"/>
    <col min="15376" max="15376" width="9.7109375" style="67" customWidth="1"/>
    <col min="15377" max="15377" width="0.28515625" style="67" customWidth="1"/>
    <col min="15378" max="15378" width="3.7109375" style="67" customWidth="1"/>
    <col min="15379" max="15379" width="0.28515625" style="67" customWidth="1"/>
    <col min="15380" max="15380" width="12" style="67" bestFit="1" customWidth="1"/>
    <col min="15381" max="15381" width="2.28515625" style="67" customWidth="1"/>
    <col min="15382" max="15617" width="8.85546875" style="67"/>
    <col min="15618" max="15618" width="10.7109375" style="67" customWidth="1"/>
    <col min="15619" max="15619" width="5" style="67" bestFit="1" customWidth="1"/>
    <col min="15620" max="15620" width="0.28515625" style="67" customWidth="1"/>
    <col min="15621" max="15621" width="12.7109375" style="67" customWidth="1"/>
    <col min="15622" max="15622" width="0.28515625" style="67" customWidth="1"/>
    <col min="15623" max="15623" width="15.7109375" style="67" customWidth="1"/>
    <col min="15624" max="15624" width="0.28515625" style="67" customWidth="1"/>
    <col min="15625" max="15625" width="12.85546875" style="67" customWidth="1"/>
    <col min="15626" max="15626" width="0.28515625" style="67" customWidth="1"/>
    <col min="15627" max="15627" width="12.7109375" style="67" customWidth="1"/>
    <col min="15628" max="15628" width="3.7109375" style="67" customWidth="1"/>
    <col min="15629" max="15629" width="0.28515625" style="67" customWidth="1"/>
    <col min="15630" max="15630" width="12.7109375" style="67" customWidth="1"/>
    <col min="15631" max="15631" width="0.28515625" style="67" customWidth="1"/>
    <col min="15632" max="15632" width="9.7109375" style="67" customWidth="1"/>
    <col min="15633" max="15633" width="0.28515625" style="67" customWidth="1"/>
    <col min="15634" max="15634" width="3.7109375" style="67" customWidth="1"/>
    <col min="15635" max="15635" width="0.28515625" style="67" customWidth="1"/>
    <col min="15636" max="15636" width="12" style="67" bestFit="1" customWidth="1"/>
    <col min="15637" max="15637" width="2.28515625" style="67" customWidth="1"/>
    <col min="15638" max="15873" width="8.85546875" style="67"/>
    <col min="15874" max="15874" width="10.7109375" style="67" customWidth="1"/>
    <col min="15875" max="15875" width="5" style="67" bestFit="1" customWidth="1"/>
    <col min="15876" max="15876" width="0.28515625" style="67" customWidth="1"/>
    <col min="15877" max="15877" width="12.7109375" style="67" customWidth="1"/>
    <col min="15878" max="15878" width="0.28515625" style="67" customWidth="1"/>
    <col min="15879" max="15879" width="15.7109375" style="67" customWidth="1"/>
    <col min="15880" max="15880" width="0.28515625" style="67" customWidth="1"/>
    <col min="15881" max="15881" width="12.85546875" style="67" customWidth="1"/>
    <col min="15882" max="15882" width="0.28515625" style="67" customWidth="1"/>
    <col min="15883" max="15883" width="12.7109375" style="67" customWidth="1"/>
    <col min="15884" max="15884" width="3.7109375" style="67" customWidth="1"/>
    <col min="15885" max="15885" width="0.28515625" style="67" customWidth="1"/>
    <col min="15886" max="15886" width="12.7109375" style="67" customWidth="1"/>
    <col min="15887" max="15887" width="0.28515625" style="67" customWidth="1"/>
    <col min="15888" max="15888" width="9.7109375" style="67" customWidth="1"/>
    <col min="15889" max="15889" width="0.28515625" style="67" customWidth="1"/>
    <col min="15890" max="15890" width="3.7109375" style="67" customWidth="1"/>
    <col min="15891" max="15891" width="0.28515625" style="67" customWidth="1"/>
    <col min="15892" max="15892" width="12" style="67" bestFit="1" customWidth="1"/>
    <col min="15893" max="15893" width="2.28515625" style="67" customWidth="1"/>
    <col min="15894" max="16129" width="8.85546875" style="67"/>
    <col min="16130" max="16130" width="10.7109375" style="67" customWidth="1"/>
    <col min="16131" max="16131" width="5" style="67" bestFit="1" customWidth="1"/>
    <col min="16132" max="16132" width="0.28515625" style="67" customWidth="1"/>
    <col min="16133" max="16133" width="12.7109375" style="67" customWidth="1"/>
    <col min="16134" max="16134" width="0.28515625" style="67" customWidth="1"/>
    <col min="16135" max="16135" width="15.7109375" style="67" customWidth="1"/>
    <col min="16136" max="16136" width="0.28515625" style="67" customWidth="1"/>
    <col min="16137" max="16137" width="12.85546875" style="67" customWidth="1"/>
    <col min="16138" max="16138" width="0.28515625" style="67" customWidth="1"/>
    <col min="16139" max="16139" width="12.7109375" style="67" customWidth="1"/>
    <col min="16140" max="16140" width="3.7109375" style="67" customWidth="1"/>
    <col min="16141" max="16141" width="0.28515625" style="67" customWidth="1"/>
    <col min="16142" max="16142" width="12.7109375" style="67" customWidth="1"/>
    <col min="16143" max="16143" width="0.28515625" style="67" customWidth="1"/>
    <col min="16144" max="16144" width="9.7109375" style="67" customWidth="1"/>
    <col min="16145" max="16145" width="0.28515625" style="67" customWidth="1"/>
    <col min="16146" max="16146" width="3.7109375" style="67" customWidth="1"/>
    <col min="16147" max="16147" width="0.28515625" style="67" customWidth="1"/>
    <col min="16148" max="16148" width="12" style="67" bestFit="1" customWidth="1"/>
    <col min="16149" max="16149" width="2.28515625" style="67" customWidth="1"/>
    <col min="16150" max="16384" width="8.85546875" style="67"/>
  </cols>
  <sheetData>
    <row r="1" spans="3:26" ht="13.5" thickBot="1" x14ac:dyDescent="0.25"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3:26" ht="30" customHeight="1" thickBot="1" x14ac:dyDescent="0.25">
      <c r="C2" s="71" t="s">
        <v>93</v>
      </c>
      <c r="D2" s="72"/>
      <c r="E2" s="73" t="s">
        <v>94</v>
      </c>
      <c r="F2" s="74"/>
      <c r="G2" s="75" t="s">
        <v>95</v>
      </c>
      <c r="H2" s="74"/>
      <c r="I2" s="75" t="s">
        <v>96</v>
      </c>
      <c r="J2" s="74"/>
      <c r="K2" s="75" t="s">
        <v>97</v>
      </c>
      <c r="L2" s="76"/>
      <c r="M2" s="74"/>
      <c r="N2" s="71" t="s">
        <v>98</v>
      </c>
      <c r="O2" s="77"/>
      <c r="P2" s="78" t="s">
        <v>99</v>
      </c>
      <c r="Q2" s="79"/>
      <c r="R2" s="80"/>
      <c r="S2" s="77"/>
      <c r="T2" s="81" t="s">
        <v>100</v>
      </c>
      <c r="U2" s="124"/>
    </row>
    <row r="3" spans="3:26" ht="30" customHeight="1" thickBot="1" x14ac:dyDescent="0.25">
      <c r="C3" s="82"/>
      <c r="D3" s="83"/>
      <c r="E3" s="84"/>
      <c r="F3" s="83"/>
      <c r="G3" s="136" t="s">
        <v>117</v>
      </c>
      <c r="H3" s="83"/>
      <c r="I3" s="84"/>
      <c r="J3" s="83"/>
      <c r="K3" s="137"/>
      <c r="L3" s="85"/>
      <c r="M3" s="83"/>
      <c r="N3" s="163"/>
      <c r="O3" s="86"/>
      <c r="P3" s="87"/>
      <c r="Q3" s="88"/>
      <c r="R3" s="89"/>
      <c r="S3" s="86"/>
      <c r="T3" s="90"/>
      <c r="U3" s="124"/>
    </row>
    <row r="4" spans="3:26" ht="12.75" customHeight="1" x14ac:dyDescent="0.2">
      <c r="C4" s="91"/>
      <c r="D4" s="92"/>
      <c r="E4" s="93"/>
      <c r="F4" s="92"/>
      <c r="G4" s="138"/>
      <c r="H4" s="92"/>
      <c r="I4" s="93"/>
      <c r="J4" s="92"/>
      <c r="K4" s="138"/>
      <c r="L4" s="94"/>
      <c r="M4" s="92"/>
      <c r="N4" s="164"/>
      <c r="O4" s="92"/>
      <c r="P4" s="93"/>
      <c r="Q4" s="92"/>
      <c r="R4" s="93"/>
      <c r="S4" s="92"/>
      <c r="T4" s="95"/>
      <c r="U4" s="70"/>
    </row>
    <row r="5" spans="3:26" ht="15" customHeight="1" x14ac:dyDescent="0.25">
      <c r="C5" s="96">
        <v>1</v>
      </c>
      <c r="D5" s="86"/>
      <c r="E5" s="89" t="s">
        <v>101</v>
      </c>
      <c r="F5" s="86"/>
      <c r="G5" s="139">
        <v>752127351</v>
      </c>
      <c r="H5" s="86"/>
      <c r="I5" s="140">
        <f>G5/$G$10</f>
        <v>0.5372775208424756</v>
      </c>
      <c r="J5" s="86"/>
      <c r="K5" s="141">
        <v>3.8899999999999997E-2</v>
      </c>
      <c r="L5" s="97"/>
      <c r="M5" s="86"/>
      <c r="N5" s="165">
        <f>ROUND(I5*K5,4)</f>
        <v>2.0899999999999998E-2</v>
      </c>
      <c r="O5" s="86"/>
      <c r="P5" s="142">
        <f>P34</f>
        <v>1.0060928985938846</v>
      </c>
      <c r="Q5" s="86"/>
      <c r="R5" s="98"/>
      <c r="S5" s="86"/>
      <c r="T5" s="173">
        <f>ROUND(N5*P5,4)</f>
        <v>2.1000000000000001E-2</v>
      </c>
      <c r="U5" s="125"/>
      <c r="Z5" s="126"/>
    </row>
    <row r="6" spans="3:26" ht="15" x14ac:dyDescent="0.25">
      <c r="C6" s="96">
        <f>+C5+1</f>
        <v>2</v>
      </c>
      <c r="D6" s="86"/>
      <c r="E6" s="89" t="s">
        <v>102</v>
      </c>
      <c r="F6" s="86"/>
      <c r="G6" s="139">
        <v>0</v>
      </c>
      <c r="H6" s="86"/>
      <c r="I6" s="140">
        <f t="shared" ref="I6:I8" si="0">G6/$G$10</f>
        <v>0</v>
      </c>
      <c r="J6" s="86"/>
      <c r="K6" s="141">
        <v>1.7100000000000001E-2</v>
      </c>
      <c r="L6" s="97"/>
      <c r="M6" s="86"/>
      <c r="N6" s="165">
        <f>ROUND(I6*K6,4)</f>
        <v>0</v>
      </c>
      <c r="O6" s="86"/>
      <c r="P6" s="142">
        <f>P34</f>
        <v>1.0060928985938846</v>
      </c>
      <c r="Q6" s="86"/>
      <c r="R6" s="89"/>
      <c r="S6" s="86"/>
      <c r="T6" s="173">
        <f>ROUND(N6*P6,4)</f>
        <v>0</v>
      </c>
      <c r="U6" s="125"/>
      <c r="Z6" s="126"/>
    </row>
    <row r="7" spans="3:26" ht="26.25" x14ac:dyDescent="0.25">
      <c r="C7" s="96">
        <f>+C6+1</f>
        <v>3</v>
      </c>
      <c r="D7" s="86"/>
      <c r="E7" s="99" t="s">
        <v>103</v>
      </c>
      <c r="F7" s="86"/>
      <c r="G7" s="139">
        <v>42248832</v>
      </c>
      <c r="H7" s="86"/>
      <c r="I7" s="140">
        <f t="shared" si="0"/>
        <v>3.0180191805643096E-2</v>
      </c>
      <c r="J7" s="86"/>
      <c r="K7" s="141">
        <v>2.8000000000000001E-2</v>
      </c>
      <c r="L7" s="97"/>
      <c r="M7" s="86"/>
      <c r="N7" s="165">
        <f>ROUND(I7*K7,4)</f>
        <v>8.0000000000000004E-4</v>
      </c>
      <c r="O7" s="86"/>
      <c r="P7" s="142">
        <f>P34</f>
        <v>1.0060928985938846</v>
      </c>
      <c r="Q7" s="86"/>
      <c r="R7" s="89"/>
      <c r="S7" s="86"/>
      <c r="T7" s="173">
        <f>ROUND(N7*P7,4)</f>
        <v>8.0000000000000004E-4</v>
      </c>
      <c r="U7" s="125"/>
      <c r="Z7" s="126"/>
    </row>
    <row r="8" spans="3:26" ht="15" x14ac:dyDescent="0.25">
      <c r="C8" s="96">
        <f>+C7+1</f>
        <v>4</v>
      </c>
      <c r="D8" s="86"/>
      <c r="E8" s="89" t="s">
        <v>104</v>
      </c>
      <c r="F8" s="86"/>
      <c r="G8" s="139">
        <v>605509950</v>
      </c>
      <c r="H8" s="86"/>
      <c r="I8" s="140">
        <f t="shared" si="0"/>
        <v>0.43254228735188133</v>
      </c>
      <c r="J8" s="86"/>
      <c r="K8" s="143">
        <v>9.0999999999999998E-2</v>
      </c>
      <c r="L8" s="100" t="s">
        <v>105</v>
      </c>
      <c r="M8" s="86"/>
      <c r="N8" s="165">
        <f>ROUND(I8*K8,4)</f>
        <v>3.9399999999999998E-2</v>
      </c>
      <c r="O8" s="86"/>
      <c r="P8" s="144">
        <f>T34</f>
        <v>1.3527309999999999</v>
      </c>
      <c r="Q8" s="86"/>
      <c r="R8" s="101"/>
      <c r="S8" s="86"/>
      <c r="T8" s="173">
        <f>ROUND(N8*P8,4)</f>
        <v>5.33E-2</v>
      </c>
      <c r="U8" s="125"/>
      <c r="Z8" s="126"/>
    </row>
    <row r="9" spans="3:26" ht="15" x14ac:dyDescent="0.25">
      <c r="C9" s="96"/>
      <c r="D9" s="86"/>
      <c r="E9" s="89"/>
      <c r="F9" s="86"/>
      <c r="G9" s="139"/>
      <c r="H9" s="86"/>
      <c r="I9" s="145"/>
      <c r="J9" s="86"/>
      <c r="K9" s="146"/>
      <c r="L9" s="97"/>
      <c r="M9" s="86"/>
      <c r="N9" s="166"/>
      <c r="O9" s="86"/>
      <c r="P9" s="87"/>
      <c r="Q9" s="86"/>
      <c r="R9" s="89"/>
      <c r="S9" s="86"/>
      <c r="T9" s="173"/>
      <c r="U9" s="127"/>
    </row>
    <row r="10" spans="3:26" ht="15" x14ac:dyDescent="0.25">
      <c r="C10" s="96">
        <f>+C8+1</f>
        <v>5</v>
      </c>
      <c r="D10" s="86"/>
      <c r="E10" s="89" t="s">
        <v>106</v>
      </c>
      <c r="F10" s="86"/>
      <c r="G10" s="147">
        <f>SUM(G5:G8)</f>
        <v>1399886133</v>
      </c>
      <c r="H10" s="86"/>
      <c r="I10" s="148">
        <f>SUM(I5:I8)</f>
        <v>1</v>
      </c>
      <c r="J10" s="86"/>
      <c r="K10" s="146"/>
      <c r="L10" s="97"/>
      <c r="M10" s="86"/>
      <c r="N10" s="167" t="s">
        <v>0</v>
      </c>
      <c r="O10" s="86"/>
      <c r="P10" s="89"/>
      <c r="Q10" s="86"/>
      <c r="R10" s="89"/>
      <c r="S10" s="86"/>
      <c r="T10" s="174">
        <f>ROUND(SUM(T5:T9),3)</f>
        <v>7.4999999999999997E-2</v>
      </c>
      <c r="U10" s="128"/>
    </row>
    <row r="11" spans="3:26" ht="15" x14ac:dyDescent="0.25">
      <c r="C11" s="96"/>
      <c r="D11" s="86"/>
      <c r="E11" s="89"/>
      <c r="F11" s="86"/>
      <c r="G11" s="89"/>
      <c r="H11" s="86"/>
      <c r="I11" s="89"/>
      <c r="J11" s="86"/>
      <c r="K11" s="89"/>
      <c r="L11" s="97"/>
      <c r="M11" s="86"/>
      <c r="N11" s="168"/>
      <c r="O11" s="86"/>
      <c r="P11" s="89"/>
      <c r="Q11" s="86"/>
      <c r="R11" s="89"/>
      <c r="S11" s="86"/>
      <c r="T11" s="102"/>
      <c r="U11" s="70"/>
    </row>
    <row r="12" spans="3:26" ht="15.75" thickBot="1" x14ac:dyDescent="0.3">
      <c r="C12" s="103"/>
      <c r="D12" s="104"/>
      <c r="E12" s="105"/>
      <c r="F12" s="104"/>
      <c r="G12" s="105"/>
      <c r="H12" s="104"/>
      <c r="I12" s="105"/>
      <c r="J12" s="104"/>
      <c r="K12" s="105"/>
      <c r="L12" s="106"/>
      <c r="M12" s="104"/>
      <c r="N12" s="169"/>
      <c r="O12" s="104"/>
      <c r="P12" s="105"/>
      <c r="Q12" s="104"/>
      <c r="R12" s="105"/>
      <c r="S12" s="104"/>
      <c r="T12" s="107"/>
      <c r="U12" s="70"/>
    </row>
    <row r="13" spans="3:26" hidden="1" x14ac:dyDescent="0.2">
      <c r="C13" s="108"/>
      <c r="D13" s="10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109"/>
      <c r="P13" s="70"/>
      <c r="Q13" s="110"/>
      <c r="R13" s="70"/>
      <c r="S13" s="70"/>
      <c r="T13" s="111"/>
      <c r="U13" s="70"/>
    </row>
    <row r="14" spans="3:26" ht="12" hidden="1" customHeight="1" x14ac:dyDescent="0.2">
      <c r="C14" s="108"/>
      <c r="D14" s="109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109"/>
      <c r="P14" s="70"/>
      <c r="Q14" s="110"/>
      <c r="R14" s="70"/>
      <c r="S14" s="70"/>
      <c r="T14" s="111"/>
      <c r="U14" s="70"/>
    </row>
    <row r="15" spans="3:26" s="115" customFormat="1" ht="12" customHeight="1" x14ac:dyDescent="0.2">
      <c r="C15" s="112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2"/>
      <c r="R15" s="113"/>
      <c r="S15" s="113"/>
      <c r="T15" s="113"/>
      <c r="U15" s="113"/>
    </row>
    <row r="16" spans="3:26" s="115" customFormat="1" ht="12" customHeight="1" x14ac:dyDescent="0.2">
      <c r="C16" s="112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2"/>
      <c r="R16" s="113"/>
      <c r="S16" s="113"/>
      <c r="T16" s="113"/>
      <c r="U16" s="113"/>
    </row>
    <row r="17" spans="3:22" s="115" customFormat="1" ht="12" customHeight="1" x14ac:dyDescent="0.2">
      <c r="C17" s="112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4" t="s">
        <v>107</v>
      </c>
      <c r="Q17" s="114"/>
      <c r="T17" s="114" t="s">
        <v>108</v>
      </c>
      <c r="U17" s="113"/>
    </row>
    <row r="18" spans="3:22" ht="15" x14ac:dyDescent="0.25">
      <c r="C18" s="101">
        <v>6</v>
      </c>
      <c r="D18" s="89"/>
      <c r="E18" s="98" t="s">
        <v>109</v>
      </c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149">
        <v>100</v>
      </c>
      <c r="Q18" s="130"/>
      <c r="R18" s="130"/>
      <c r="S18" s="130"/>
      <c r="T18" s="150">
        <f>P18</f>
        <v>100</v>
      </c>
      <c r="U18" s="89"/>
      <c r="V18" s="116"/>
    </row>
    <row r="19" spans="3:22" ht="15" x14ac:dyDescent="0.25">
      <c r="C19" s="101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33"/>
      <c r="Q19" s="133"/>
      <c r="R19" s="133"/>
      <c r="S19" s="133"/>
      <c r="T19" s="151"/>
      <c r="U19" s="116"/>
      <c r="V19" s="116"/>
    </row>
    <row r="20" spans="3:22" ht="15" x14ac:dyDescent="0.25">
      <c r="C20" s="101">
        <v>7</v>
      </c>
      <c r="D20" s="116"/>
      <c r="E20" s="117" t="s">
        <v>110</v>
      </c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52">
        <v>0.41</v>
      </c>
      <c r="Q20" s="133"/>
      <c r="R20" s="133"/>
      <c r="S20" s="133"/>
      <c r="T20" s="151">
        <f>P20</f>
        <v>0.41</v>
      </c>
      <c r="U20" s="116"/>
      <c r="V20" s="116"/>
    </row>
    <row r="21" spans="3:22" ht="15" x14ac:dyDescent="0.25">
      <c r="C21" s="101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33"/>
      <c r="Q21" s="133"/>
      <c r="R21" s="133"/>
      <c r="S21" s="133"/>
      <c r="T21" s="151"/>
      <c r="U21" s="116"/>
      <c r="V21" s="116"/>
    </row>
    <row r="22" spans="3:22" ht="15" x14ac:dyDescent="0.25">
      <c r="C22" s="101">
        <v>8</v>
      </c>
      <c r="D22" s="116"/>
      <c r="E22" s="117" t="s">
        <v>111</v>
      </c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33">
        <v>0.1956</v>
      </c>
      <c r="Q22" s="133"/>
      <c r="R22" s="133"/>
      <c r="S22" s="133"/>
      <c r="T22" s="151">
        <f>P22</f>
        <v>0.1956</v>
      </c>
      <c r="U22" s="116"/>
      <c r="V22" s="116"/>
    </row>
    <row r="23" spans="3:22" ht="15" x14ac:dyDescent="0.25">
      <c r="C23" s="101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53" t="s">
        <v>0</v>
      </c>
      <c r="Q23" s="133"/>
      <c r="R23" s="133"/>
      <c r="S23" s="133"/>
      <c r="T23" s="151"/>
      <c r="U23" s="116"/>
      <c r="V23" s="116"/>
    </row>
    <row r="24" spans="3:22" ht="15" x14ac:dyDescent="0.25">
      <c r="C24" s="101">
        <v>9</v>
      </c>
      <c r="D24" s="116"/>
      <c r="E24" s="117" t="s">
        <v>112</v>
      </c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54">
        <f>P18-P20-P22</f>
        <v>99.394400000000005</v>
      </c>
      <c r="Q24" s="155"/>
      <c r="R24" s="155"/>
      <c r="S24" s="155"/>
      <c r="T24" s="156">
        <f>T18-T20-T22</f>
        <v>99.394400000000005</v>
      </c>
      <c r="U24" s="116"/>
      <c r="V24" s="116"/>
    </row>
    <row r="25" spans="3:22" ht="15" x14ac:dyDescent="0.25">
      <c r="C25" s="101"/>
      <c r="D25" s="116"/>
      <c r="E25" s="117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57"/>
      <c r="U25" s="116"/>
      <c r="V25" s="116"/>
    </row>
    <row r="26" spans="3:22" ht="15" x14ac:dyDescent="0.25">
      <c r="C26" s="101">
        <v>10</v>
      </c>
      <c r="D26" s="116"/>
      <c r="E26" s="118" t="s">
        <v>118</v>
      </c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58">
        <v>5.8545E-2</v>
      </c>
      <c r="Q26" s="133"/>
      <c r="R26" s="133"/>
      <c r="S26" s="133"/>
      <c r="T26" s="156">
        <f>ROUND(T24*P26,6)</f>
        <v>5.819045</v>
      </c>
      <c r="U26" s="116"/>
      <c r="V26" s="116"/>
    </row>
    <row r="27" spans="3:22" ht="15" x14ac:dyDescent="0.25">
      <c r="C27" s="101"/>
      <c r="D27" s="116"/>
      <c r="E27" s="117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20"/>
      <c r="Q27" s="116"/>
      <c r="R27" s="116"/>
      <c r="S27" s="116"/>
      <c r="T27" s="157"/>
      <c r="U27" s="116"/>
      <c r="V27" s="116"/>
    </row>
    <row r="28" spans="3:22" ht="15" x14ac:dyDescent="0.25">
      <c r="C28" s="101">
        <v>11</v>
      </c>
      <c r="D28" s="116"/>
      <c r="E28" s="118" t="s">
        <v>119</v>
      </c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20"/>
      <c r="Q28" s="116"/>
      <c r="R28" s="116"/>
      <c r="S28" s="116"/>
      <c r="T28" s="156">
        <f>T24-T26</f>
        <v>93.575355000000002</v>
      </c>
      <c r="U28" s="116"/>
      <c r="V28" s="116"/>
    </row>
    <row r="29" spans="3:22" ht="15" x14ac:dyDescent="0.25">
      <c r="C29" s="101"/>
      <c r="D29" s="116"/>
      <c r="E29" s="117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57"/>
      <c r="U29" s="116"/>
      <c r="V29" s="116"/>
    </row>
    <row r="30" spans="3:22" ht="15" x14ac:dyDescent="0.25">
      <c r="C30" s="101">
        <f>C28+1</f>
        <v>12</v>
      </c>
      <c r="D30" s="116"/>
      <c r="E30" s="118" t="s">
        <v>120</v>
      </c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59">
        <f>T28*0.21</f>
        <v>19.650824549999999</v>
      </c>
      <c r="U30" s="116"/>
      <c r="V30" s="116"/>
    </row>
    <row r="31" spans="3:22" ht="15" x14ac:dyDescent="0.25">
      <c r="C31" s="101"/>
      <c r="D31" s="116"/>
      <c r="E31" s="118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57"/>
      <c r="U31" s="116"/>
      <c r="V31" s="116"/>
    </row>
    <row r="32" spans="3:22" ht="15" x14ac:dyDescent="0.25">
      <c r="C32" s="101">
        <f>C30+1</f>
        <v>13</v>
      </c>
      <c r="D32" s="116"/>
      <c r="E32" s="118" t="s">
        <v>113</v>
      </c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56">
        <f>T28-T30</f>
        <v>73.924530450000006</v>
      </c>
      <c r="U32" s="116"/>
      <c r="V32" s="116"/>
    </row>
    <row r="33" spans="1:24" ht="15" x14ac:dyDescent="0.25">
      <c r="C33" s="101"/>
      <c r="D33" s="116"/>
      <c r="E33" s="118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60"/>
      <c r="U33" s="116"/>
      <c r="V33" s="116"/>
    </row>
    <row r="34" spans="1:24" ht="15" x14ac:dyDescent="0.25">
      <c r="C34" s="101">
        <f>C32+1</f>
        <v>14</v>
      </c>
      <c r="D34" s="116"/>
      <c r="E34" s="118" t="s">
        <v>114</v>
      </c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61">
        <f>100/P24</f>
        <v>1.0060928985938846</v>
      </c>
      <c r="Q34" s="116"/>
      <c r="R34" s="116"/>
      <c r="S34" s="116"/>
      <c r="T34" s="162">
        <f>ROUND(100/T32,6)</f>
        <v>1.3527309999999999</v>
      </c>
      <c r="U34" s="116"/>
      <c r="V34" s="116"/>
    </row>
    <row r="35" spans="1:24" ht="15" x14ac:dyDescent="0.25">
      <c r="C35" s="101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</row>
    <row r="36" spans="1:24" x14ac:dyDescent="0.2">
      <c r="A36" s="68"/>
      <c r="B36" s="68"/>
      <c r="C36" s="121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68"/>
      <c r="X36" s="68"/>
    </row>
    <row r="37" spans="1:24" x14ac:dyDescent="0.2">
      <c r="A37" s="119" t="s">
        <v>115</v>
      </c>
      <c r="B37" s="119"/>
      <c r="C37" s="121"/>
      <c r="D37" s="118"/>
      <c r="E37" s="6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68"/>
      <c r="X37" s="68"/>
    </row>
    <row r="38" spans="1:24" x14ac:dyDescent="0.2">
      <c r="A38" s="129" t="s">
        <v>105</v>
      </c>
      <c r="B38" s="129"/>
      <c r="C38" s="122"/>
      <c r="D38" s="123"/>
      <c r="E38" s="123"/>
      <c r="F38" s="123"/>
      <c r="G38" s="123"/>
      <c r="H38" s="123"/>
      <c r="I38" s="68"/>
      <c r="J38" s="68"/>
      <c r="K38" s="68"/>
      <c r="L38" s="68"/>
      <c r="M38" s="68"/>
      <c r="N38" s="68"/>
      <c r="O38" s="68"/>
      <c r="P38" s="118"/>
      <c r="Q38" s="118"/>
      <c r="R38" s="118"/>
      <c r="S38" s="118"/>
      <c r="T38" s="118"/>
      <c r="U38" s="118"/>
      <c r="V38" s="118"/>
      <c r="W38" s="68"/>
      <c r="X38" s="68"/>
    </row>
    <row r="39" spans="1:24" x14ac:dyDescent="0.2">
      <c r="C39" s="120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</row>
    <row r="40" spans="1:24" x14ac:dyDescent="0.2">
      <c r="C40" s="120"/>
      <c r="D40" s="116"/>
      <c r="E40" s="116"/>
      <c r="F40" s="116"/>
      <c r="G40" s="116"/>
      <c r="H40" s="116"/>
      <c r="I40" s="116"/>
      <c r="J40" s="130"/>
      <c r="K40" s="130" t="s">
        <v>116</v>
      </c>
      <c r="L40" s="130"/>
      <c r="M40" s="130"/>
      <c r="N40" s="130"/>
      <c r="O40" s="130"/>
      <c r="P40" s="131"/>
      <c r="Q40" s="132"/>
      <c r="R40" s="130"/>
      <c r="S40" s="130"/>
      <c r="T40" s="130"/>
      <c r="U40" s="130"/>
      <c r="V40" s="133"/>
    </row>
    <row r="41" spans="1:24" x14ac:dyDescent="0.2">
      <c r="C41" s="120"/>
      <c r="D41" s="116"/>
      <c r="E41" s="116"/>
      <c r="F41" s="116"/>
      <c r="G41" s="116"/>
      <c r="H41" s="116"/>
      <c r="I41" s="116"/>
      <c r="J41" s="130"/>
      <c r="K41" s="130"/>
      <c r="L41" s="130"/>
      <c r="M41" s="130"/>
      <c r="N41" s="130"/>
      <c r="O41" s="130"/>
      <c r="P41" s="130"/>
      <c r="Q41" s="132"/>
      <c r="R41" s="130"/>
      <c r="S41" s="130"/>
      <c r="T41" s="130"/>
      <c r="U41" s="130"/>
      <c r="V41" s="133"/>
    </row>
    <row r="42" spans="1:24" x14ac:dyDescent="0.2">
      <c r="C42" s="120"/>
      <c r="D42" s="116"/>
      <c r="E42" s="116"/>
      <c r="F42" s="116"/>
      <c r="G42" s="116"/>
      <c r="H42" s="116"/>
      <c r="I42" s="116"/>
      <c r="J42" s="130"/>
      <c r="K42" s="130"/>
      <c r="L42" s="130"/>
      <c r="M42" s="130"/>
      <c r="N42" s="130"/>
      <c r="O42" s="130"/>
      <c r="P42" s="130"/>
      <c r="Q42" s="132"/>
      <c r="R42" s="130"/>
      <c r="S42" s="130"/>
      <c r="T42" s="130"/>
      <c r="U42" s="130"/>
      <c r="V42" s="133"/>
    </row>
    <row r="43" spans="1:24" x14ac:dyDescent="0.2">
      <c r="C43" s="120"/>
      <c r="D43" s="116"/>
      <c r="E43" s="116"/>
      <c r="F43" s="116"/>
      <c r="G43" s="116"/>
      <c r="H43" s="116"/>
      <c r="I43" s="116"/>
      <c r="J43" s="130"/>
      <c r="K43" s="130"/>
      <c r="L43" s="130"/>
      <c r="M43" s="130"/>
      <c r="N43" s="130"/>
      <c r="O43" s="130"/>
      <c r="P43" s="130"/>
      <c r="Q43" s="132"/>
      <c r="R43" s="130"/>
      <c r="S43" s="130"/>
      <c r="T43" s="130"/>
      <c r="U43" s="130"/>
      <c r="V43" s="133"/>
    </row>
    <row r="44" spans="1:24" x14ac:dyDescent="0.2">
      <c r="C44" s="120"/>
      <c r="D44" s="116"/>
      <c r="E44" s="116"/>
      <c r="F44" s="116"/>
      <c r="G44" s="116"/>
      <c r="H44" s="116"/>
      <c r="I44" s="116"/>
      <c r="J44" s="130"/>
      <c r="K44" s="130"/>
      <c r="L44" s="130"/>
      <c r="M44" s="130"/>
      <c r="N44" s="130"/>
      <c r="O44" s="130"/>
      <c r="P44" s="130"/>
      <c r="Q44" s="132"/>
      <c r="R44" s="130"/>
      <c r="S44" s="130"/>
      <c r="T44" s="130"/>
      <c r="U44" s="130"/>
      <c r="V44" s="133"/>
    </row>
    <row r="45" spans="1:24" x14ac:dyDescent="0.2">
      <c r="C45" s="120"/>
      <c r="D45" s="116"/>
      <c r="E45" s="116"/>
      <c r="F45" s="116"/>
      <c r="G45" s="116"/>
      <c r="H45" s="116"/>
      <c r="I45" s="116"/>
      <c r="J45" s="130"/>
      <c r="K45" s="130"/>
      <c r="L45" s="130"/>
      <c r="M45" s="130"/>
      <c r="N45" s="130"/>
      <c r="O45" s="130"/>
      <c r="P45" s="130"/>
      <c r="Q45" s="132"/>
      <c r="R45" s="130"/>
      <c r="S45" s="130"/>
      <c r="T45" s="130"/>
      <c r="U45" s="130"/>
      <c r="V45" s="133"/>
    </row>
    <row r="46" spans="1:24" x14ac:dyDescent="0.2">
      <c r="C46" s="120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</row>
    <row r="47" spans="1:24" x14ac:dyDescent="0.2">
      <c r="C47" s="134" t="s">
        <v>0</v>
      </c>
      <c r="D47" s="135"/>
      <c r="E47" s="130"/>
      <c r="F47" s="130"/>
      <c r="G47" s="130"/>
      <c r="H47" s="130"/>
      <c r="I47" s="130"/>
    </row>
    <row r="49" spans="3:9" x14ac:dyDescent="0.2">
      <c r="C49" s="135"/>
      <c r="D49" s="135"/>
      <c r="E49" s="130"/>
      <c r="F49" s="130"/>
      <c r="G49" s="130"/>
      <c r="H49" s="130"/>
      <c r="I49" s="130"/>
    </row>
    <row r="50" spans="3:9" x14ac:dyDescent="0.2">
      <c r="C50" s="120"/>
      <c r="D50" s="116"/>
      <c r="E50" s="116"/>
      <c r="F50" s="116"/>
      <c r="G50" s="116"/>
      <c r="H50" s="116"/>
      <c r="I50" s="116"/>
    </row>
  </sheetData>
  <printOptions horizontalCentered="1" verticalCentered="1"/>
  <pageMargins left="0" right="0" top="0" bottom="0.2" header="0" footer="0"/>
  <pageSetup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showGridLines="0" workbookViewId="0">
      <pane xSplit="1" ySplit="4" topLeftCell="B8" activePane="bottomRight" state="frozen"/>
      <selection pane="topRight" activeCell="B1" sqref="B1"/>
      <selection pane="bottomLeft" activeCell="A2" sqref="A2"/>
      <selection pane="bottomRight" activeCell="B46" sqref="B46"/>
    </sheetView>
  </sheetViews>
  <sheetFormatPr defaultRowHeight="12.75" x14ac:dyDescent="0.2"/>
  <cols>
    <col min="1" max="1" width="9.140625" style="26"/>
    <col min="2" max="2" width="16" style="26" bestFit="1" customWidth="1"/>
    <col min="3" max="4" width="14.28515625" style="26" customWidth="1"/>
    <col min="5" max="16384" width="9.140625" style="26"/>
  </cols>
  <sheetData>
    <row r="1" spans="1:5" x14ac:dyDescent="0.2">
      <c r="B1" s="285" t="s">
        <v>127</v>
      </c>
      <c r="C1" s="285"/>
      <c r="D1" s="285"/>
    </row>
    <row r="2" spans="1:5" x14ac:dyDescent="0.2">
      <c r="B2" s="285" t="s">
        <v>128</v>
      </c>
      <c r="C2" s="285"/>
      <c r="D2" s="285"/>
    </row>
    <row r="3" spans="1:5" ht="13.5" thickBot="1" x14ac:dyDescent="0.25"/>
    <row r="4" spans="1:5" s="202" customFormat="1" ht="51.75" customHeight="1" thickBot="1" x14ac:dyDescent="0.3">
      <c r="B4" s="231" t="s">
        <v>88</v>
      </c>
      <c r="C4" s="231" t="s">
        <v>89</v>
      </c>
      <c r="D4" s="232" t="s">
        <v>90</v>
      </c>
      <c r="E4" s="202" t="s">
        <v>91</v>
      </c>
    </row>
    <row r="5" spans="1:5" x14ac:dyDescent="0.2">
      <c r="A5" s="203" t="s">
        <v>87</v>
      </c>
      <c r="B5" s="230">
        <v>170336.84000000003</v>
      </c>
      <c r="C5" s="230">
        <v>0</v>
      </c>
      <c r="D5" s="230">
        <v>0</v>
      </c>
      <c r="E5" s="205">
        <f>SUM(B5:D5)</f>
        <v>170336.84000000003</v>
      </c>
    </row>
    <row r="6" spans="1:5" x14ac:dyDescent="0.2">
      <c r="A6" s="206">
        <v>43831</v>
      </c>
      <c r="B6" s="204">
        <v>323666.07</v>
      </c>
      <c r="C6" s="204">
        <v>0</v>
      </c>
      <c r="D6" s="204">
        <v>0</v>
      </c>
      <c r="E6" s="205">
        <f t="shared" ref="E6:E65" si="0">SUM(B6:D6)</f>
        <v>323666.07</v>
      </c>
    </row>
    <row r="7" spans="1:5" x14ac:dyDescent="0.2">
      <c r="A7" s="206">
        <v>43862</v>
      </c>
      <c r="B7" s="204">
        <v>126018.98999999996</v>
      </c>
      <c r="C7" s="204">
        <v>0</v>
      </c>
      <c r="D7" s="204">
        <v>0</v>
      </c>
      <c r="E7" s="205">
        <f t="shared" si="0"/>
        <v>126018.98999999996</v>
      </c>
    </row>
    <row r="8" spans="1:5" x14ac:dyDescent="0.2">
      <c r="A8" s="206">
        <v>43891</v>
      </c>
      <c r="B8" s="204">
        <v>202383.18999999994</v>
      </c>
      <c r="C8" s="204">
        <v>0</v>
      </c>
      <c r="D8" s="204">
        <v>0</v>
      </c>
      <c r="E8" s="205">
        <f t="shared" si="0"/>
        <v>202383.18999999994</v>
      </c>
    </row>
    <row r="9" spans="1:5" x14ac:dyDescent="0.2">
      <c r="A9" s="206">
        <v>43922</v>
      </c>
      <c r="B9" s="204">
        <v>197563.55999999997</v>
      </c>
      <c r="C9" s="204">
        <v>0</v>
      </c>
      <c r="D9" s="204">
        <v>0</v>
      </c>
      <c r="E9" s="205">
        <f t="shared" si="0"/>
        <v>197563.55999999997</v>
      </c>
    </row>
    <row r="10" spans="1:5" x14ac:dyDescent="0.2">
      <c r="A10" s="206">
        <v>43952</v>
      </c>
      <c r="B10" s="204">
        <v>86164.009999999937</v>
      </c>
      <c r="C10" s="204">
        <v>0</v>
      </c>
      <c r="D10" s="204">
        <v>0</v>
      </c>
      <c r="E10" s="205">
        <f t="shared" si="0"/>
        <v>86164.009999999937</v>
      </c>
    </row>
    <row r="11" spans="1:5" x14ac:dyDescent="0.2">
      <c r="A11" s="206">
        <v>43983</v>
      </c>
      <c r="B11" s="204">
        <v>85687.05</v>
      </c>
      <c r="C11" s="204">
        <v>0</v>
      </c>
      <c r="D11" s="204">
        <v>0</v>
      </c>
      <c r="E11" s="205">
        <f t="shared" si="0"/>
        <v>85687.05</v>
      </c>
    </row>
    <row r="12" spans="1:5" x14ac:dyDescent="0.2">
      <c r="A12" s="206">
        <v>44013</v>
      </c>
      <c r="B12" s="204">
        <v>63163.480000000018</v>
      </c>
      <c r="C12" s="204">
        <v>646.20999999999981</v>
      </c>
      <c r="D12" s="204">
        <v>0</v>
      </c>
      <c r="E12" s="205">
        <f t="shared" si="0"/>
        <v>63809.690000000017</v>
      </c>
    </row>
    <row r="13" spans="1:5" x14ac:dyDescent="0.2">
      <c r="A13" s="206">
        <v>44044</v>
      </c>
      <c r="B13" s="204">
        <v>48737.609999999993</v>
      </c>
      <c r="C13" s="204">
        <v>0</v>
      </c>
      <c r="D13" s="204">
        <v>14975.64</v>
      </c>
      <c r="E13" s="205">
        <f t="shared" si="0"/>
        <v>63713.249999999993</v>
      </c>
    </row>
    <row r="14" spans="1:5" x14ac:dyDescent="0.2">
      <c r="A14" s="206">
        <v>44075</v>
      </c>
      <c r="B14" s="204">
        <v>45365.78</v>
      </c>
      <c r="C14" s="204">
        <v>0</v>
      </c>
      <c r="D14" s="204">
        <v>17258.830000000002</v>
      </c>
      <c r="E14" s="205">
        <f t="shared" si="0"/>
        <v>62624.61</v>
      </c>
    </row>
    <row r="15" spans="1:5" x14ac:dyDescent="0.2">
      <c r="A15" s="206">
        <v>44105</v>
      </c>
      <c r="B15" s="204">
        <v>65392.409999999989</v>
      </c>
      <c r="C15" s="204">
        <v>300.74</v>
      </c>
      <c r="D15" s="204">
        <v>85.28</v>
      </c>
      <c r="E15" s="205">
        <f t="shared" si="0"/>
        <v>65778.429999999993</v>
      </c>
    </row>
    <row r="16" spans="1:5" x14ac:dyDescent="0.2">
      <c r="A16" s="206">
        <v>44136</v>
      </c>
      <c r="B16" s="204">
        <v>67263.277035990119</v>
      </c>
      <c r="C16" s="204">
        <v>54509.422046476822</v>
      </c>
      <c r="D16" s="204">
        <v>65103.801264867478</v>
      </c>
      <c r="E16" s="205">
        <f t="shared" si="0"/>
        <v>186876.50034733443</v>
      </c>
    </row>
    <row r="17" spans="1:5" x14ac:dyDescent="0.2">
      <c r="A17" s="206">
        <v>44166</v>
      </c>
      <c r="B17" s="204">
        <v>178430.85112530334</v>
      </c>
      <c r="C17" s="204">
        <v>150889.10654839998</v>
      </c>
      <c r="D17" s="204">
        <v>74236.837054160016</v>
      </c>
      <c r="E17" s="205">
        <f t="shared" si="0"/>
        <v>403556.79472786334</v>
      </c>
    </row>
    <row r="18" spans="1:5" x14ac:dyDescent="0.2">
      <c r="A18" s="206">
        <v>44197</v>
      </c>
      <c r="B18" s="204">
        <v>-410183</v>
      </c>
      <c r="C18" s="204">
        <v>199139</v>
      </c>
      <c r="D18" s="204">
        <v>476031</v>
      </c>
      <c r="E18" s="205">
        <f t="shared" si="0"/>
        <v>264987</v>
      </c>
    </row>
    <row r="19" spans="1:5" x14ac:dyDescent="0.2">
      <c r="A19" s="206">
        <v>44228</v>
      </c>
      <c r="B19" s="204">
        <v>17035.5</v>
      </c>
      <c r="C19" s="204">
        <v>11357</v>
      </c>
      <c r="D19" s="204">
        <v>48737.287445527414</v>
      </c>
      <c r="E19" s="205">
        <f t="shared" si="0"/>
        <v>77129.787445527414</v>
      </c>
    </row>
    <row r="20" spans="1:5" x14ac:dyDescent="0.2">
      <c r="A20" s="206">
        <v>44256</v>
      </c>
      <c r="B20" s="204">
        <v>17035.5</v>
      </c>
      <c r="C20" s="204">
        <v>11357</v>
      </c>
      <c r="D20" s="204">
        <v>48737.287445527414</v>
      </c>
      <c r="E20" s="205">
        <f t="shared" si="0"/>
        <v>77129.787445527414</v>
      </c>
    </row>
    <row r="21" spans="1:5" x14ac:dyDescent="0.2">
      <c r="A21" s="206">
        <v>44287</v>
      </c>
      <c r="B21" s="204">
        <v>17035.5</v>
      </c>
      <c r="C21" s="204">
        <v>11357</v>
      </c>
      <c r="D21" s="204">
        <v>48737.287445527414</v>
      </c>
      <c r="E21" s="205">
        <f t="shared" si="0"/>
        <v>77129.787445527414</v>
      </c>
    </row>
    <row r="22" spans="1:5" x14ac:dyDescent="0.2">
      <c r="A22" s="206">
        <v>44317</v>
      </c>
      <c r="B22" s="204">
        <v>22714</v>
      </c>
      <c r="C22" s="204">
        <v>17035.5</v>
      </c>
      <c r="D22" s="204">
        <v>47492.614284289899</v>
      </c>
      <c r="E22" s="205">
        <f t="shared" si="0"/>
        <v>87242.114284289899</v>
      </c>
    </row>
    <row r="23" spans="1:5" x14ac:dyDescent="0.2">
      <c r="A23" s="206">
        <v>44348</v>
      </c>
      <c r="B23" s="204">
        <v>79499</v>
      </c>
      <c r="C23" s="204">
        <v>45428</v>
      </c>
      <c r="D23" s="204">
        <v>48737.287445527414</v>
      </c>
      <c r="E23" s="205">
        <f t="shared" si="0"/>
        <v>173664.28744552741</v>
      </c>
    </row>
    <row r="24" spans="1:5" x14ac:dyDescent="0.2">
      <c r="A24" s="206">
        <v>44378</v>
      </c>
      <c r="B24" s="204">
        <v>153319.5</v>
      </c>
      <c r="C24" s="204">
        <v>68142</v>
      </c>
      <c r="D24" s="204">
        <v>116194.69614353645</v>
      </c>
      <c r="E24" s="205">
        <f t="shared" si="0"/>
        <v>337656.19614353648</v>
      </c>
    </row>
    <row r="25" spans="1:5" x14ac:dyDescent="0.2">
      <c r="A25" s="206">
        <v>44409</v>
      </c>
      <c r="B25" s="204">
        <v>198747.5</v>
      </c>
      <c r="C25" s="204">
        <v>90856</v>
      </c>
      <c r="D25" s="204">
        <v>41350.806898784242</v>
      </c>
      <c r="E25" s="205">
        <f t="shared" si="0"/>
        <v>330954.30689878424</v>
      </c>
    </row>
    <row r="26" spans="1:5" x14ac:dyDescent="0.2">
      <c r="A26" s="206">
        <v>44440</v>
      </c>
      <c r="B26" s="204">
        <v>426389.47940000001</v>
      </c>
      <c r="C26" s="204">
        <v>354338.4</v>
      </c>
      <c r="D26" s="204">
        <v>312464.82216842158</v>
      </c>
      <c r="E26" s="205">
        <f t="shared" si="0"/>
        <v>1093192.7015684214</v>
      </c>
    </row>
    <row r="27" spans="1:5" x14ac:dyDescent="0.2">
      <c r="A27" s="206">
        <v>44470</v>
      </c>
      <c r="B27" s="204">
        <v>498543.90749999997</v>
      </c>
      <c r="C27" s="204">
        <v>427023.2</v>
      </c>
      <c r="D27" s="204">
        <v>309166.26372823888</v>
      </c>
      <c r="E27" s="205">
        <f t="shared" si="0"/>
        <v>1234733.3712282388</v>
      </c>
    </row>
    <row r="28" spans="1:5" x14ac:dyDescent="0.2">
      <c r="A28" s="206">
        <v>44501</v>
      </c>
      <c r="B28" s="204">
        <v>543960.55050000001</v>
      </c>
      <c r="C28" s="204">
        <v>1290060.9655119628</v>
      </c>
      <c r="D28" s="204">
        <v>296369.34382511891</v>
      </c>
      <c r="E28" s="205">
        <f t="shared" si="0"/>
        <v>2130390.8598370817</v>
      </c>
    </row>
    <row r="29" spans="1:5" x14ac:dyDescent="0.2">
      <c r="A29" s="206">
        <v>44531</v>
      </c>
      <c r="B29" s="204">
        <v>870799.68990700005</v>
      </c>
      <c r="C29" s="204">
        <v>1019777.999371</v>
      </c>
      <c r="D29" s="204">
        <v>625122.71360931906</v>
      </c>
      <c r="E29" s="205">
        <f t="shared" si="0"/>
        <v>2515700.4028873192</v>
      </c>
    </row>
    <row r="30" spans="1:5" x14ac:dyDescent="0.2">
      <c r="A30" s="206">
        <v>44562</v>
      </c>
      <c r="B30" s="204">
        <v>437198.08729261748</v>
      </c>
      <c r="C30" s="204">
        <v>452229.85338363331</v>
      </c>
      <c r="D30" s="204">
        <v>322862.50841761252</v>
      </c>
      <c r="E30" s="205">
        <f t="shared" si="0"/>
        <v>1212290.4490938634</v>
      </c>
    </row>
    <row r="31" spans="1:5" x14ac:dyDescent="0.2">
      <c r="A31" s="206">
        <v>44593</v>
      </c>
      <c r="B31" s="204">
        <v>327226.48500940372</v>
      </c>
      <c r="C31" s="204">
        <v>456544.43888100516</v>
      </c>
      <c r="D31" s="204">
        <v>325942.83999245445</v>
      </c>
      <c r="E31" s="205">
        <f t="shared" si="0"/>
        <v>1109713.7638828633</v>
      </c>
    </row>
    <row r="32" spans="1:5" x14ac:dyDescent="0.2">
      <c r="A32" s="206">
        <v>44621</v>
      </c>
      <c r="B32" s="204">
        <v>101537.53959151058</v>
      </c>
      <c r="C32" s="204">
        <v>468525.9787944674</v>
      </c>
      <c r="D32" s="204">
        <v>334496.87507488532</v>
      </c>
      <c r="E32" s="205">
        <f t="shared" si="0"/>
        <v>904560.39346086327</v>
      </c>
    </row>
    <row r="33" spans="1:5" x14ac:dyDescent="0.2">
      <c r="A33" s="206">
        <v>44652</v>
      </c>
      <c r="B33" s="204">
        <v>760646.05247241305</v>
      </c>
      <c r="C33" s="204">
        <v>443059.1941433255</v>
      </c>
      <c r="D33" s="204">
        <v>316315.2581111248</v>
      </c>
      <c r="E33" s="205">
        <f t="shared" si="0"/>
        <v>1520020.5047268635</v>
      </c>
    </row>
    <row r="34" spans="1:5" x14ac:dyDescent="0.2">
      <c r="A34" s="206">
        <v>44682</v>
      </c>
      <c r="B34" s="204">
        <v>1288532.1908747288</v>
      </c>
      <c r="C34" s="204">
        <v>434305.81875278952</v>
      </c>
      <c r="D34" s="204">
        <v>310065.92115434498</v>
      </c>
      <c r="E34" s="205">
        <f t="shared" si="0"/>
        <v>2032903.9307818632</v>
      </c>
    </row>
    <row r="35" spans="1:5" x14ac:dyDescent="0.2">
      <c r="A35" s="206">
        <v>44713</v>
      </c>
      <c r="B35" s="204">
        <v>1183011.5790743369</v>
      </c>
      <c r="C35" s="204">
        <v>689077.60078845359</v>
      </c>
      <c r="D35" s="204">
        <v>613410.90531407308</v>
      </c>
      <c r="E35" s="205">
        <f t="shared" si="0"/>
        <v>2485500.0851768637</v>
      </c>
    </row>
    <row r="36" spans="1:5" x14ac:dyDescent="0.2">
      <c r="A36" s="206">
        <v>44743</v>
      </c>
      <c r="B36" s="204">
        <v>760646.05247241305</v>
      </c>
      <c r="C36" s="204">
        <v>443059.1941433255</v>
      </c>
      <c r="D36" s="204">
        <v>316315.2581111248</v>
      </c>
      <c r="E36" s="205">
        <f t="shared" si="0"/>
        <v>1520020.5047268635</v>
      </c>
    </row>
    <row r="37" spans="1:5" x14ac:dyDescent="0.2">
      <c r="A37" s="206">
        <v>44774</v>
      </c>
      <c r="B37" s="204">
        <v>101537.53959151058</v>
      </c>
      <c r="C37" s="204">
        <v>468525.9787944674</v>
      </c>
      <c r="D37" s="204">
        <v>334496.87507488532</v>
      </c>
      <c r="E37" s="205">
        <f t="shared" si="0"/>
        <v>904560.39346086327</v>
      </c>
    </row>
    <row r="38" spans="1:5" x14ac:dyDescent="0.2">
      <c r="A38" s="206">
        <v>44805</v>
      </c>
      <c r="B38" s="204">
        <v>101537.53959151058</v>
      </c>
      <c r="C38" s="204">
        <v>468525.9787944674</v>
      </c>
      <c r="D38" s="204">
        <v>334496.87507488532</v>
      </c>
      <c r="E38" s="205">
        <f t="shared" si="0"/>
        <v>904560.39346086327</v>
      </c>
    </row>
    <row r="39" spans="1:5" x14ac:dyDescent="0.2">
      <c r="A39" s="206">
        <v>44835</v>
      </c>
      <c r="B39" s="204">
        <v>319694.40356606565</v>
      </c>
      <c r="C39" s="204">
        <v>457214.65569345839</v>
      </c>
      <c r="D39" s="204">
        <v>318563.10902997293</v>
      </c>
      <c r="E39" s="205">
        <f t="shared" si="0"/>
        <v>1095472.168289497</v>
      </c>
    </row>
    <row r="40" spans="1:5" x14ac:dyDescent="0.2">
      <c r="A40" s="206">
        <v>44866</v>
      </c>
      <c r="B40" s="204">
        <v>207840.24046406531</v>
      </c>
      <c r="C40" s="204">
        <v>462682.45723730593</v>
      </c>
      <c r="D40" s="204">
        <v>322372.78537712578</v>
      </c>
      <c r="E40" s="205">
        <f t="shared" si="0"/>
        <v>992895.483078497</v>
      </c>
    </row>
    <row r="41" spans="1:5" x14ac:dyDescent="0.2">
      <c r="A41" s="206">
        <v>44896</v>
      </c>
      <c r="B41" s="204">
        <v>447964.03830334655</v>
      </c>
      <c r="C41" s="204">
        <v>2694757.1509771519</v>
      </c>
      <c r="D41" s="204">
        <v>615511.99380415864</v>
      </c>
      <c r="E41" s="205">
        <f t="shared" si="0"/>
        <v>3758233.183084657</v>
      </c>
    </row>
    <row r="42" spans="1:5" x14ac:dyDescent="0.2">
      <c r="A42" s="206">
        <v>44927</v>
      </c>
      <c r="B42" s="204">
        <v>1987475</v>
      </c>
      <c r="C42" s="204">
        <v>851324.53687915206</v>
      </c>
      <c r="D42" s="204">
        <v>403662.48033232789</v>
      </c>
      <c r="E42" s="205">
        <f t="shared" si="0"/>
        <v>3242462.0172114801</v>
      </c>
    </row>
    <row r="43" spans="1:5" x14ac:dyDescent="0.2">
      <c r="A43" s="206">
        <v>44958</v>
      </c>
      <c r="B43" s="204">
        <v>2782657.6238056002</v>
      </c>
      <c r="C43" s="204">
        <v>852430.85157584841</v>
      </c>
      <c r="D43" s="204">
        <v>404187.04847896402</v>
      </c>
      <c r="E43" s="205">
        <f t="shared" si="0"/>
        <v>4039275.5238604126</v>
      </c>
    </row>
    <row r="44" spans="1:5" x14ac:dyDescent="0.2">
      <c r="A44" s="206">
        <v>44986</v>
      </c>
      <c r="B44" s="204">
        <v>3350507.6238056002</v>
      </c>
      <c r="C44" s="204">
        <v>852430.85157584841</v>
      </c>
      <c r="D44" s="204">
        <v>404187.04847896402</v>
      </c>
      <c r="E44" s="205">
        <f t="shared" si="0"/>
        <v>4607125.5238604126</v>
      </c>
    </row>
    <row r="45" spans="1:5" x14ac:dyDescent="0.2">
      <c r="A45" s="206">
        <v>45017</v>
      </c>
      <c r="B45" s="204">
        <v>3350507.6238056002</v>
      </c>
      <c r="C45" s="204">
        <v>849143.76123241347</v>
      </c>
      <c r="D45" s="204">
        <v>402628.44775312149</v>
      </c>
      <c r="E45" s="205">
        <f t="shared" si="0"/>
        <v>4602279.8327911347</v>
      </c>
    </row>
    <row r="46" spans="1:5" x14ac:dyDescent="0.2">
      <c r="A46" s="206">
        <v>45047</v>
      </c>
      <c r="B46" s="211">
        <v>2782657.6238056002</v>
      </c>
      <c r="C46" s="204">
        <v>851324.53687915206</v>
      </c>
      <c r="D46" s="204">
        <v>403662.48033232789</v>
      </c>
      <c r="E46" s="205">
        <f t="shared" si="0"/>
        <v>4037644.6410170803</v>
      </c>
    </row>
    <row r="47" spans="1:5" x14ac:dyDescent="0.2">
      <c r="A47" s="206">
        <v>45078</v>
      </c>
      <c r="B47" s="211">
        <v>2782657.6238056002</v>
      </c>
      <c r="C47" s="204">
        <v>1543974.9949291309</v>
      </c>
      <c r="D47" s="204">
        <v>864499.36053953145</v>
      </c>
      <c r="E47" s="205">
        <f t="shared" si="0"/>
        <v>5191131.9792742627</v>
      </c>
    </row>
    <row r="48" spans="1:5" x14ac:dyDescent="0.2">
      <c r="A48" s="206">
        <v>45108</v>
      </c>
      <c r="B48" s="211">
        <v>1139139.23</v>
      </c>
      <c r="C48" s="204">
        <v>922387.09041730349</v>
      </c>
      <c r="D48" s="204">
        <v>403580.70429017901</v>
      </c>
      <c r="E48" s="205">
        <f t="shared" si="0"/>
        <v>2465107.0247074827</v>
      </c>
    </row>
    <row r="49" spans="1:5" x14ac:dyDescent="0.2">
      <c r="A49" s="206">
        <v>45139</v>
      </c>
      <c r="B49" s="211">
        <v>0</v>
      </c>
      <c r="C49" s="204">
        <v>1025299.0935617863</v>
      </c>
      <c r="D49" s="204">
        <v>401080.46529632725</v>
      </c>
      <c r="E49" s="205">
        <f t="shared" si="0"/>
        <v>1426379.5588581136</v>
      </c>
    </row>
    <row r="50" spans="1:5" x14ac:dyDescent="0.2">
      <c r="A50" s="206">
        <v>45170</v>
      </c>
      <c r="B50" s="211">
        <v>0</v>
      </c>
      <c r="C50" s="204">
        <v>848122.42079059395</v>
      </c>
      <c r="D50" s="204">
        <v>402068.41583397862</v>
      </c>
      <c r="E50" s="205">
        <f t="shared" si="0"/>
        <v>1250190.8366245725</v>
      </c>
    </row>
    <row r="51" spans="1:5" x14ac:dyDescent="0.2">
      <c r="A51" s="206">
        <v>45200</v>
      </c>
      <c r="B51" s="211">
        <v>0</v>
      </c>
      <c r="C51" s="204">
        <v>847299.58599433175</v>
      </c>
      <c r="D51" s="204">
        <v>401662.96182216378</v>
      </c>
      <c r="E51" s="205">
        <f t="shared" si="0"/>
        <v>1248962.5478164954</v>
      </c>
    </row>
    <row r="52" spans="1:5" x14ac:dyDescent="0.2">
      <c r="A52" s="206">
        <v>45231</v>
      </c>
      <c r="B52" s="211">
        <v>0</v>
      </c>
      <c r="C52" s="222">
        <v>985932.77737893036</v>
      </c>
      <c r="D52" s="211">
        <v>400704.89193406486</v>
      </c>
      <c r="E52" s="205">
        <f t="shared" si="0"/>
        <v>1386637.6693129952</v>
      </c>
    </row>
    <row r="53" spans="1:5" x14ac:dyDescent="0.2">
      <c r="A53" s="206">
        <v>45261</v>
      </c>
      <c r="B53" s="211">
        <v>0</v>
      </c>
      <c r="C53" s="222">
        <v>1794182.3455081019</v>
      </c>
      <c r="D53" s="211">
        <v>1097944.8347384124</v>
      </c>
      <c r="E53" s="205">
        <f t="shared" si="0"/>
        <v>2892127.1802465143</v>
      </c>
    </row>
    <row r="54" spans="1:5" x14ac:dyDescent="0.2">
      <c r="A54" s="206">
        <v>45292</v>
      </c>
      <c r="B54" s="211">
        <v>0</v>
      </c>
      <c r="C54" s="222">
        <v>43292.221508333329</v>
      </c>
      <c r="D54" s="211">
        <v>0</v>
      </c>
      <c r="E54" s="205">
        <f t="shared" si="0"/>
        <v>43292.221508333329</v>
      </c>
    </row>
    <row r="55" spans="1:5" x14ac:dyDescent="0.2">
      <c r="A55" s="206">
        <v>45323</v>
      </c>
      <c r="B55" s="211">
        <v>0</v>
      </c>
      <c r="C55" s="222">
        <v>43292.221508333329</v>
      </c>
      <c r="D55" s="211">
        <v>0</v>
      </c>
      <c r="E55" s="205">
        <f t="shared" si="0"/>
        <v>43292.221508333329</v>
      </c>
    </row>
    <row r="56" spans="1:5" x14ac:dyDescent="0.2">
      <c r="A56" s="206">
        <v>45352</v>
      </c>
      <c r="B56" s="211">
        <v>0</v>
      </c>
      <c r="C56" s="222">
        <v>43292.221508333329</v>
      </c>
      <c r="D56" s="211">
        <v>0</v>
      </c>
      <c r="E56" s="205">
        <f t="shared" si="0"/>
        <v>43292.221508333329</v>
      </c>
    </row>
    <row r="57" spans="1:5" x14ac:dyDescent="0.2">
      <c r="A57" s="206">
        <v>45383</v>
      </c>
      <c r="B57" s="211">
        <v>0</v>
      </c>
      <c r="C57" s="211">
        <v>43292.221508333329</v>
      </c>
      <c r="D57" s="211">
        <v>0</v>
      </c>
      <c r="E57" s="205">
        <f t="shared" si="0"/>
        <v>43292.221508333329</v>
      </c>
    </row>
    <row r="58" spans="1:5" x14ac:dyDescent="0.2">
      <c r="A58" s="206">
        <v>45413</v>
      </c>
      <c r="B58" s="211">
        <v>0</v>
      </c>
      <c r="C58" s="211">
        <v>43292.221508333329</v>
      </c>
      <c r="D58" s="211">
        <v>0</v>
      </c>
      <c r="E58" s="205">
        <f t="shared" si="0"/>
        <v>43292.221508333329</v>
      </c>
    </row>
    <row r="59" spans="1:5" x14ac:dyDescent="0.2">
      <c r="A59" s="206">
        <v>45444</v>
      </c>
      <c r="B59" s="211">
        <v>0</v>
      </c>
      <c r="C59" s="211">
        <v>274654.18625833333</v>
      </c>
      <c r="D59" s="211">
        <v>0</v>
      </c>
      <c r="E59" s="205">
        <f t="shared" si="0"/>
        <v>274654.18625833333</v>
      </c>
    </row>
    <row r="60" spans="1:5" x14ac:dyDescent="0.2">
      <c r="A60" s="206">
        <v>45474</v>
      </c>
      <c r="B60" s="211">
        <v>0</v>
      </c>
      <c r="C60" s="211">
        <v>0</v>
      </c>
      <c r="D60" s="211">
        <v>0</v>
      </c>
      <c r="E60" s="205">
        <f t="shared" si="0"/>
        <v>0</v>
      </c>
    </row>
    <row r="61" spans="1:5" x14ac:dyDescent="0.2">
      <c r="A61" s="206">
        <v>45505</v>
      </c>
      <c r="B61" s="211">
        <v>0</v>
      </c>
      <c r="C61" s="211">
        <v>0</v>
      </c>
      <c r="D61" s="211">
        <v>0</v>
      </c>
      <c r="E61" s="205">
        <f t="shared" si="0"/>
        <v>0</v>
      </c>
    </row>
    <row r="62" spans="1:5" x14ac:dyDescent="0.2">
      <c r="A62" s="206">
        <v>45536</v>
      </c>
      <c r="B62" s="211">
        <v>0</v>
      </c>
      <c r="C62" s="211">
        <v>0</v>
      </c>
      <c r="D62" s="211">
        <v>0</v>
      </c>
      <c r="E62" s="205">
        <f t="shared" si="0"/>
        <v>0</v>
      </c>
    </row>
    <row r="63" spans="1:5" x14ac:dyDescent="0.2">
      <c r="A63" s="206">
        <v>45566</v>
      </c>
      <c r="B63" s="211">
        <v>0</v>
      </c>
      <c r="C63" s="211">
        <v>0</v>
      </c>
      <c r="D63" s="211">
        <v>0</v>
      </c>
      <c r="E63" s="205">
        <f t="shared" si="0"/>
        <v>0</v>
      </c>
    </row>
    <row r="64" spans="1:5" x14ac:dyDescent="0.2">
      <c r="A64" s="206">
        <v>45597</v>
      </c>
      <c r="B64" s="211">
        <v>0</v>
      </c>
      <c r="C64" s="211">
        <v>0</v>
      </c>
      <c r="D64" s="211">
        <v>0</v>
      </c>
      <c r="E64" s="205">
        <f t="shared" si="0"/>
        <v>0</v>
      </c>
    </row>
    <row r="65" spans="1:5" x14ac:dyDescent="0.2">
      <c r="A65" s="206">
        <v>45627</v>
      </c>
      <c r="B65" s="211">
        <v>0</v>
      </c>
      <c r="C65" s="211">
        <v>0</v>
      </c>
      <c r="D65" s="211">
        <v>0</v>
      </c>
      <c r="E65" s="205">
        <f t="shared" si="0"/>
        <v>0</v>
      </c>
    </row>
    <row r="66" spans="1:5" x14ac:dyDescent="0.2">
      <c r="A66" s="207"/>
      <c r="B66" s="223"/>
      <c r="C66" s="223"/>
      <c r="D66" s="223"/>
    </row>
    <row r="67" spans="1:5" x14ac:dyDescent="0.2">
      <c r="A67" s="208" t="s">
        <v>91</v>
      </c>
      <c r="B67" s="195">
        <f>SUM(B5:B66)</f>
        <v>28308044.342800222</v>
      </c>
      <c r="C67" s="195">
        <f>SUM(C5:C66)</f>
        <v>24405693.984384276</v>
      </c>
      <c r="D67" s="195">
        <f>SUM(D5:D66)</f>
        <v>13045522.143125858</v>
      </c>
    </row>
    <row r="68" spans="1:5" x14ac:dyDescent="0.2">
      <c r="A68" s="207"/>
      <c r="B68" s="224"/>
      <c r="C68" s="225"/>
      <c r="D68" s="225"/>
    </row>
  </sheetData>
  <mergeCells count="2">
    <mergeCell ref="B1:D1"/>
    <mergeCell ref="B2:D2"/>
  </mergeCells>
  <pageMargins left="0.7" right="0.7" top="0.75" bottom="0.75" header="0.3" footer="0.3"/>
  <pageSetup orientation="portrait" r:id="rId1"/>
  <ignoredErrors>
    <ignoredError sqref="E6:E6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2BDECB756CA4D9BCDF6A872126CDA" ma:contentTypeVersion="0" ma:contentTypeDescription="Create a new document." ma:contentTypeScope="" ma:versionID="0b4e9073c090802ff62d1ee4b5f642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BA84FC-FC42-4468-81E2-79B0AF8A1007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736EA708-AD1E-4527-B212-8B259D027108}"/>
</file>

<file path=customXml/itemProps3.xml><?xml version="1.0" encoding="utf-8"?>
<ds:datastoreItem xmlns:ds="http://schemas.openxmlformats.org/officeDocument/2006/customXml" ds:itemID="{C24620A7-29B7-4914-9B46-02D112E4F2CE}"/>
</file>

<file path=customXml/itemProps4.xml><?xml version="1.0" encoding="utf-8"?>
<ds:datastoreItem xmlns:ds="http://schemas.openxmlformats.org/officeDocument/2006/customXml" ds:itemID="{68F5356F-DE64-4AA6-BFB4-659C71363C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 Revenue Req By Period</vt:lpstr>
      <vt:lpstr>Est Revenue Req CCR.ELG</vt:lpstr>
      <vt:lpstr>Est Revenue Req CCR Only</vt:lpstr>
      <vt:lpstr>Depreciation </vt:lpstr>
      <vt:lpstr>ADFIT-CCR.ELG</vt:lpstr>
      <vt:lpstr>ADFIT-CCR only</vt:lpstr>
      <vt:lpstr>Allocation Factor</vt:lpstr>
      <vt:lpstr>WACC</vt:lpstr>
      <vt:lpstr>CWIP CCR.ELG</vt:lpstr>
      <vt:lpstr>CWIP CCR Only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s290792</cp:lastModifiedBy>
  <cp:lastPrinted>2021-01-04T22:55:37Z</cp:lastPrinted>
  <dcterms:created xsi:type="dcterms:W3CDTF">2017-04-11T14:00:50Z</dcterms:created>
  <dcterms:modified xsi:type="dcterms:W3CDTF">2021-02-03T15:47:54Z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63a8f6b6-dac8-4cb3-a69e-454efb26d92a</vt:lpwstr>
  </property>
  <property fmtid="{D5CDD505-2E9C-101B-9397-08002B2CF9AE}" pid="3" name="bjSaver">
    <vt:lpwstr>Yzo6iu4RCOp5VcJWjy40zzIEO7NbA0wx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/&gt;&lt;/sisl&gt;</vt:lpwstr>
  </property>
  <property fmtid="{D5CDD505-2E9C-101B-9397-08002B2CF9AE}" pid="6" name="bjDocumentSecurityLabel">
    <vt:lpwstr>Uncategorized</vt:lpwstr>
  </property>
  <property fmtid="{D5CDD505-2E9C-101B-9397-08002B2CF9AE}" pid="7" name="ContentTypeId">
    <vt:lpwstr>0x01010053E2BDECB756CA4D9BCDF6A872126CDA</vt:lpwstr>
  </property>
</Properties>
</file>